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HP\Dropbox\Flatiron Holdings\Stone Terrace Phase II\Application\2019-5xxStoneTerracePh2AppFldr\"/>
    </mc:Choice>
  </mc:AlternateContent>
  <workbookProtection workbookAlgorithmName="SHA-512" workbookHashValue="Q7Dlwaahw6818hKw5BnzK5UPh1kRfzI+Mk2t7UULnw5qb+l98HVbDj8gRBuvCA/kAykf5t2HG36JfplKwXG2BQ==" workbookSaltValue="+Y+mXBGQLvvQDEBjHdbS0Q==" workbookSpinCount="100000" lockStructure="1"/>
  <bookViews>
    <workbookView xWindow="0" yWindow="0" windowWidth="15360" windowHeight="6525" tabRatio="876" activeTab="2"/>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89" i="78" l="1"/>
  <c r="F215" i="75" l="1"/>
  <c r="F216" i="75"/>
  <c r="K233" i="75"/>
  <c r="F232" i="75"/>
  <c r="I10" i="75" l="1"/>
  <c r="O390" i="73" l="1"/>
  <c r="N390" i="73"/>
  <c r="K53" i="75"/>
  <c r="K133" i="75" s="1"/>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G10" i="75"/>
  <c r="AG11" i="75"/>
  <c r="AG12" i="75"/>
  <c r="AG13" i="75"/>
  <c r="AG14" i="75"/>
  <c r="AG15" i="75"/>
  <c r="AG1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Q10" i="75"/>
  <c r="AQ11" i="75"/>
  <c r="AQ12" i="75"/>
  <c r="AQ13" i="75"/>
  <c r="AQ14" i="75"/>
  <c r="AQ15" i="75"/>
  <c r="AQ16"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F10" i="75"/>
  <c r="BF11" i="75"/>
  <c r="BF12" i="75"/>
  <c r="BF13" i="75"/>
  <c r="BF14" i="75"/>
  <c r="BF15" i="75"/>
  <c r="BF16"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H10" i="75"/>
  <c r="AH11" i="75"/>
  <c r="AH12" i="75"/>
  <c r="AH13" i="75"/>
  <c r="AH14" i="75"/>
  <c r="AH15" i="75"/>
  <c r="AH16" i="75"/>
  <c r="AH17"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R10" i="75"/>
  <c r="AR11" i="75"/>
  <c r="AR12" i="75"/>
  <c r="AR13" i="75"/>
  <c r="AR14" i="75"/>
  <c r="AR15" i="75"/>
  <c r="AR16" i="75"/>
  <c r="AR17" i="75"/>
  <c r="AR18" i="75"/>
  <c r="AR19" i="75"/>
  <c r="AR20" i="75"/>
  <c r="AR21" i="75"/>
  <c r="AR22" i="75"/>
  <c r="AR23" i="75"/>
  <c r="AR24" i="75"/>
  <c r="AR25" i="75"/>
  <c r="AR26" i="75"/>
  <c r="AR27" i="75"/>
  <c r="AR28" i="75"/>
  <c r="AR29" i="75"/>
  <c r="AR30" i="75"/>
  <c r="AR31" i="75"/>
  <c r="AR32" i="75"/>
  <c r="AR33" i="75"/>
  <c r="AR34" i="75"/>
  <c r="AR35" i="75"/>
  <c r="AR36" i="75"/>
  <c r="AR37" i="75"/>
  <c r="AR38" i="75"/>
  <c r="AR39" i="75"/>
  <c r="AR40" i="75"/>
  <c r="AR41" i="75"/>
  <c r="AR42" i="75"/>
  <c r="AR43" i="75"/>
  <c r="AR44" i="75"/>
  <c r="AR45" i="75"/>
  <c r="AR46" i="75"/>
  <c r="AR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G10" i="75"/>
  <c r="BG11" i="75"/>
  <c r="BG12" i="75"/>
  <c r="BG13" i="75"/>
  <c r="BG14" i="75"/>
  <c r="BG15" i="75"/>
  <c r="BG16"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I10" i="75"/>
  <c r="AI11" i="75"/>
  <c r="AI12" i="75"/>
  <c r="AI13" i="75"/>
  <c r="AI14" i="75"/>
  <c r="AI15" i="75"/>
  <c r="AI16" i="75"/>
  <c r="AI17" i="75"/>
  <c r="AI18" i="75"/>
  <c r="AI19"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S10" i="75"/>
  <c r="AS11" i="75"/>
  <c r="AS12" i="75"/>
  <c r="AS13" i="75"/>
  <c r="AS14" i="75"/>
  <c r="AS15" i="75"/>
  <c r="AS16"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H10" i="75"/>
  <c r="BH11" i="75"/>
  <c r="BH12" i="75"/>
  <c r="BH13" i="75"/>
  <c r="BH14" i="75"/>
  <c r="BH15" i="75"/>
  <c r="BH16" i="75"/>
  <c r="BH17" i="75"/>
  <c r="BH18" i="75"/>
  <c r="BH19" i="75"/>
  <c r="BH20" i="75"/>
  <c r="BH21" i="75"/>
  <c r="BH22" i="75"/>
  <c r="BH23" i="75"/>
  <c r="BH24" i="75"/>
  <c r="BH25" i="75"/>
  <c r="BH26" i="75"/>
  <c r="BH27" i="75"/>
  <c r="BH28" i="75"/>
  <c r="BH29" i="75"/>
  <c r="BH30" i="75"/>
  <c r="BH31" i="75"/>
  <c r="BH32" i="75"/>
  <c r="BH33" i="75"/>
  <c r="BH34" i="75"/>
  <c r="BH35" i="75"/>
  <c r="BH36" i="75"/>
  <c r="BH37" i="75"/>
  <c r="BH38" i="75"/>
  <c r="BH39" i="75"/>
  <c r="BH40" i="75"/>
  <c r="BH41" i="75"/>
  <c r="BH42" i="75"/>
  <c r="BH43" i="75"/>
  <c r="BH44" i="75"/>
  <c r="BH45" i="75"/>
  <c r="BH46" i="75"/>
  <c r="BH47"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J10" i="75"/>
  <c r="AJ11" i="75"/>
  <c r="AJ12" i="75"/>
  <c r="AJ13" i="75"/>
  <c r="AJ14" i="75"/>
  <c r="AJ15" i="75"/>
  <c r="AJ16" i="75"/>
  <c r="AJ17" i="75"/>
  <c r="AJ18" i="75"/>
  <c r="AJ19" i="75"/>
  <c r="AJ20"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T10" i="75"/>
  <c r="AT11" i="75"/>
  <c r="AT12" i="75"/>
  <c r="AT13" i="75"/>
  <c r="AT14" i="75"/>
  <c r="AT15" i="75"/>
  <c r="AT16"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I10" i="75"/>
  <c r="BI11" i="75"/>
  <c r="BI12" i="75"/>
  <c r="BI13" i="75"/>
  <c r="BI14" i="75"/>
  <c r="BI15" i="75"/>
  <c r="BI16"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K10" i="75"/>
  <c r="AK11" i="75"/>
  <c r="AK12" i="75"/>
  <c r="AK13" i="75"/>
  <c r="AK14" i="75"/>
  <c r="AK15" i="75"/>
  <c r="AK16"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U10" i="75"/>
  <c r="AU11" i="75"/>
  <c r="AU12" i="75"/>
  <c r="AU13" i="75"/>
  <c r="AU14" i="75"/>
  <c r="AU15" i="75"/>
  <c r="AU16"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J10" i="75"/>
  <c r="BJ11" i="75"/>
  <c r="BJ12" i="75"/>
  <c r="BJ13" i="75"/>
  <c r="BJ14" i="75"/>
  <c r="BJ15" i="75"/>
  <c r="BJ16"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I180" i="72"/>
  <c r="I181" i="72"/>
  <c r="O171" i="72"/>
  <c r="G280" i="72"/>
  <c r="O61" i="72"/>
  <c r="O1709" i="94" s="1"/>
  <c r="L1934" i="94" s="1"/>
  <c r="O288" i="72"/>
  <c r="K293" i="72"/>
  <c r="C772" i="94"/>
  <c r="B772" i="94"/>
  <c r="M772" i="94"/>
  <c r="C773" i="94"/>
  <c r="BH773" i="94" s="1"/>
  <c r="B773" i="94"/>
  <c r="M773" i="94"/>
  <c r="C774" i="94"/>
  <c r="B774" i="94"/>
  <c r="M774" i="94"/>
  <c r="W774" i="94"/>
  <c r="C775" i="94"/>
  <c r="B775" i="94"/>
  <c r="BH775" i="94" s="1"/>
  <c r="M775" i="94"/>
  <c r="C776" i="94"/>
  <c r="B776" i="94"/>
  <c r="M776" i="94"/>
  <c r="AW776" i="94" s="1"/>
  <c r="W776" i="94"/>
  <c r="C777" i="94"/>
  <c r="B777" i="94"/>
  <c r="M777" i="94"/>
  <c r="C778" i="94"/>
  <c r="B778" i="94"/>
  <c r="M778" i="94"/>
  <c r="W778" i="94"/>
  <c r="C779" i="94"/>
  <c r="B779" i="94"/>
  <c r="M779" i="94"/>
  <c r="C780" i="94"/>
  <c r="CY780" i="94" s="1"/>
  <c r="B780" i="94"/>
  <c r="M780" i="94"/>
  <c r="C781" i="94"/>
  <c r="ED781" i="94" s="1"/>
  <c r="B781" i="94"/>
  <c r="AW781" i="94" s="1"/>
  <c r="M781" i="94"/>
  <c r="C782" i="94"/>
  <c r="AR782" i="94" s="1"/>
  <c r="B782" i="94"/>
  <c r="M782" i="94"/>
  <c r="EC782" i="94" s="1"/>
  <c r="C783" i="94"/>
  <c r="B783" i="94"/>
  <c r="M783" i="94"/>
  <c r="EE783" i="94" s="1"/>
  <c r="C784" i="94"/>
  <c r="BH784" i="94" s="1"/>
  <c r="B784" i="94"/>
  <c r="M784" i="94"/>
  <c r="C785" i="94"/>
  <c r="B785" i="94"/>
  <c r="M785" i="94"/>
  <c r="C786" i="94"/>
  <c r="B786" i="94"/>
  <c r="M786" i="94"/>
  <c r="C787" i="94"/>
  <c r="B787" i="94"/>
  <c r="M787" i="94"/>
  <c r="C788" i="94"/>
  <c r="EC788" i="94" s="1"/>
  <c r="B788" i="94"/>
  <c r="M788" i="94"/>
  <c r="W788" i="94"/>
  <c r="C789" i="94"/>
  <c r="B789" i="94"/>
  <c r="M789" i="94"/>
  <c r="C790" i="94"/>
  <c r="B790" i="94"/>
  <c r="AN790" i="94" s="1"/>
  <c r="M790" i="94"/>
  <c r="C791" i="94"/>
  <c r="B791" i="94"/>
  <c r="M791" i="94"/>
  <c r="C792" i="94"/>
  <c r="B792" i="94"/>
  <c r="M792" i="94"/>
  <c r="C793" i="94"/>
  <c r="B793" i="94"/>
  <c r="M793" i="94"/>
  <c r="C794" i="94"/>
  <c r="B794" i="94"/>
  <c r="M794" i="94"/>
  <c r="C795" i="94"/>
  <c r="B795" i="94"/>
  <c r="M795" i="94"/>
  <c r="AW795" i="94" s="1"/>
  <c r="C796" i="94"/>
  <c r="EC796" i="94" s="1"/>
  <c r="B796" i="94"/>
  <c r="M796" i="94"/>
  <c r="ED796" i="94" s="1"/>
  <c r="C797" i="94"/>
  <c r="B797" i="94"/>
  <c r="M797" i="94"/>
  <c r="C798" i="94"/>
  <c r="B798" i="94"/>
  <c r="M798" i="94"/>
  <c r="C799" i="94"/>
  <c r="B799" i="94"/>
  <c r="M799" i="94"/>
  <c r="C800" i="94"/>
  <c r="B800" i="94"/>
  <c r="AQ800" i="94" s="1"/>
  <c r="M800" i="94"/>
  <c r="W800" i="94"/>
  <c r="C801" i="94"/>
  <c r="B801" i="94"/>
  <c r="M801" i="94"/>
  <c r="C802" i="94"/>
  <c r="B802" i="94"/>
  <c r="M802" i="94"/>
  <c r="AC802" i="94" s="1"/>
  <c r="W802" i="94"/>
  <c r="C803" i="94"/>
  <c r="B803" i="94"/>
  <c r="M803" i="94"/>
  <c r="C804" i="94"/>
  <c r="EC804" i="94" s="1"/>
  <c r="B804" i="94"/>
  <c r="M804" i="94"/>
  <c r="W804" i="94"/>
  <c r="C805" i="94"/>
  <c r="B805" i="94"/>
  <c r="M805" i="94"/>
  <c r="C806" i="94"/>
  <c r="B806" i="94"/>
  <c r="M806" i="94"/>
  <c r="C807" i="94"/>
  <c r="B807" i="94"/>
  <c r="M807" i="94"/>
  <c r="C808" i="94"/>
  <c r="AB808" i="94" s="1"/>
  <c r="B808" i="94"/>
  <c r="M808" i="94"/>
  <c r="C809" i="94"/>
  <c r="B809" i="94"/>
  <c r="M809" i="94"/>
  <c r="AB773" i="94"/>
  <c r="AB774" i="94"/>
  <c r="AB776" i="94"/>
  <c r="AB778" i="94"/>
  <c r="AB788" i="94"/>
  <c r="AB795" i="94"/>
  <c r="AB799" i="94"/>
  <c r="AB802" i="94"/>
  <c r="AB804" i="94"/>
  <c r="AB807" i="94"/>
  <c r="AG774" i="94"/>
  <c r="AG776" i="94"/>
  <c r="AG778" i="94"/>
  <c r="AG788" i="94"/>
  <c r="AG795" i="94"/>
  <c r="AG797" i="94"/>
  <c r="AG799" i="94"/>
  <c r="AG802" i="94"/>
  <c r="AG804" i="94"/>
  <c r="AG807" i="94"/>
  <c r="AL773" i="94"/>
  <c r="AL774" i="94"/>
  <c r="AL776" i="94"/>
  <c r="AL778" i="94"/>
  <c r="AL788" i="94"/>
  <c r="AL792" i="94"/>
  <c r="AL803" i="94"/>
  <c r="AL804" i="94"/>
  <c r="AL805" i="94"/>
  <c r="AQ774" i="94"/>
  <c r="AQ776" i="94"/>
  <c r="AQ777" i="94"/>
  <c r="AQ779" i="94"/>
  <c r="AQ787" i="94"/>
  <c r="AQ788" i="94"/>
  <c r="AQ789" i="94"/>
  <c r="AQ795" i="94"/>
  <c r="AQ797" i="94"/>
  <c r="AQ804" i="94"/>
  <c r="AV773" i="94"/>
  <c r="AV774" i="94"/>
  <c r="AV776" i="94"/>
  <c r="AV778" i="94"/>
  <c r="AV788" i="94"/>
  <c r="AV790" i="94"/>
  <c r="AV791" i="94"/>
  <c r="AV797" i="94"/>
  <c r="AV799" i="94"/>
  <c r="AV804" i="94"/>
  <c r="AV805" i="94"/>
  <c r="AV807" i="94"/>
  <c r="BA774" i="94"/>
  <c r="BA776" i="94"/>
  <c r="BA777" i="94"/>
  <c r="BA778" i="94"/>
  <c r="BA785" i="94"/>
  <c r="BA787" i="94"/>
  <c r="BA788" i="94"/>
  <c r="BA795" i="94"/>
  <c r="BA797" i="94"/>
  <c r="BA799" i="94"/>
  <c r="BA804" i="94"/>
  <c r="BA805" i="94"/>
  <c r="BA807" i="94"/>
  <c r="BF774" i="94"/>
  <c r="BF776" i="94"/>
  <c r="BF777" i="94"/>
  <c r="BF785" i="94"/>
  <c r="BF788" i="94"/>
  <c r="BF795" i="94"/>
  <c r="BF799" i="94"/>
  <c r="BF802" i="94"/>
  <c r="BF804" i="94"/>
  <c r="BF805" i="94"/>
  <c r="EC774" i="94"/>
  <c r="EC775" i="94"/>
  <c r="EC776" i="94"/>
  <c r="EC778" i="94"/>
  <c r="EC780" i="94"/>
  <c r="EC785" i="94"/>
  <c r="EC787" i="94"/>
  <c r="EC790" i="94"/>
  <c r="EC795" i="94"/>
  <c r="EC797" i="94"/>
  <c r="EC799" i="94"/>
  <c r="EC801" i="94"/>
  <c r="EC806" i="94"/>
  <c r="EC807" i="94"/>
  <c r="EC809" i="94"/>
  <c r="X774" i="94"/>
  <c r="X776" i="94"/>
  <c r="X778" i="94"/>
  <c r="X787" i="94"/>
  <c r="X789" i="94"/>
  <c r="X795" i="94"/>
  <c r="X797" i="94"/>
  <c r="X799" i="94"/>
  <c r="X801" i="94"/>
  <c r="X807" i="94"/>
  <c r="X808" i="94"/>
  <c r="X809" i="94"/>
  <c r="AC775" i="94"/>
  <c r="AC776" i="94"/>
  <c r="AC778" i="94"/>
  <c r="AC779" i="94"/>
  <c r="AC788" i="94"/>
  <c r="AC790" i="94"/>
  <c r="AC797" i="94"/>
  <c r="AC799" i="94"/>
  <c r="AC804" i="94"/>
  <c r="AC806" i="94"/>
  <c r="AC807" i="94"/>
  <c r="AH772" i="94"/>
  <c r="AH774" i="94"/>
  <c r="AH776" i="94"/>
  <c r="AH778" i="94"/>
  <c r="AH788" i="94"/>
  <c r="AH790" i="94"/>
  <c r="AH797" i="94"/>
  <c r="AH799" i="94"/>
  <c r="AH804" i="94"/>
  <c r="AH806" i="94"/>
  <c r="AH807" i="94"/>
  <c r="AM772" i="94"/>
  <c r="AM774" i="94"/>
  <c r="AM776" i="94"/>
  <c r="AM778" i="94"/>
  <c r="AM785" i="94"/>
  <c r="AM788" i="94"/>
  <c r="AM790" i="94"/>
  <c r="AM797" i="94"/>
  <c r="AM799" i="94"/>
  <c r="AM804" i="94"/>
  <c r="AM806" i="94"/>
  <c r="AM807" i="94"/>
  <c r="AR772" i="94"/>
  <c r="AR774" i="94"/>
  <c r="AR776" i="94"/>
  <c r="AR778" i="94"/>
  <c r="AR785" i="94"/>
  <c r="AR787" i="94"/>
  <c r="AR788" i="94"/>
  <c r="AR795" i="94"/>
  <c r="AR797" i="94"/>
  <c r="AR799" i="94"/>
  <c r="AR802" i="94"/>
  <c r="AR803" i="94"/>
  <c r="AR804" i="94"/>
  <c r="AR805" i="94"/>
  <c r="AR809" i="94"/>
  <c r="AW772" i="94"/>
  <c r="AW774" i="94"/>
  <c r="AW775" i="94"/>
  <c r="AW777" i="94"/>
  <c r="AW779" i="94"/>
  <c r="AW782" i="94"/>
  <c r="AW785" i="94"/>
  <c r="AW799" i="94"/>
  <c r="AW800" i="94"/>
  <c r="AW801" i="94"/>
  <c r="AW805" i="94"/>
  <c r="AW809" i="94"/>
  <c r="BB776" i="94"/>
  <c r="BB777" i="94"/>
  <c r="BB778" i="94"/>
  <c r="BB782" i="94"/>
  <c r="BB786" i="94"/>
  <c r="BB787" i="94"/>
  <c r="BB788" i="94"/>
  <c r="BB795" i="94"/>
  <c r="BB797" i="94"/>
  <c r="BB802" i="94"/>
  <c r="BB804" i="94"/>
  <c r="BB806" i="94"/>
  <c r="BG773" i="94"/>
  <c r="BG774" i="94"/>
  <c r="BG776" i="94"/>
  <c r="BG779" i="94"/>
  <c r="BG785" i="94"/>
  <c r="BG787" i="94"/>
  <c r="BG788" i="94"/>
  <c r="BG790" i="94"/>
  <c r="BG795" i="94"/>
  <c r="BG797" i="94"/>
  <c r="BG802" i="94"/>
  <c r="BG804" i="94"/>
  <c r="BG805" i="94"/>
  <c r="BG806" i="94"/>
  <c r="BG808" i="94"/>
  <c r="ED774" i="94"/>
  <c r="ED776" i="94"/>
  <c r="ED778" i="94"/>
  <c r="ED783" i="94"/>
  <c r="ED785" i="94"/>
  <c r="ED788" i="94"/>
  <c r="ED790" i="94"/>
  <c r="ED792" i="94"/>
  <c r="ED794" i="94"/>
  <c r="ED798" i="94"/>
  <c r="ED799" i="94"/>
  <c r="ED801" i="94"/>
  <c r="ED802" i="94"/>
  <c r="ED804" i="94"/>
  <c r="ED806" i="94"/>
  <c r="Y772" i="94"/>
  <c r="Y774" i="94"/>
  <c r="Y776" i="94"/>
  <c r="Y777" i="94"/>
  <c r="Y778" i="94"/>
  <c r="Y788" i="94"/>
  <c r="Y790" i="94"/>
  <c r="Y791" i="94"/>
  <c r="Y792" i="94"/>
  <c r="Y794" i="94"/>
  <c r="Y795" i="94"/>
  <c r="Y797" i="94"/>
  <c r="Y799" i="94"/>
  <c r="Y800" i="94"/>
  <c r="Y802" i="94"/>
  <c r="Y804" i="94"/>
  <c r="Y805" i="94"/>
  <c r="Y806" i="94"/>
  <c r="AD772" i="94"/>
  <c r="AD774" i="94"/>
  <c r="AD775" i="94"/>
  <c r="AD776" i="94"/>
  <c r="AD777" i="94"/>
  <c r="AD778" i="94"/>
  <c r="AD785" i="94"/>
  <c r="AD788" i="94"/>
  <c r="AD790" i="94"/>
  <c r="AD795" i="94"/>
  <c r="AD797" i="94"/>
  <c r="AD799" i="94"/>
  <c r="AD801" i="94"/>
  <c r="AD802" i="94"/>
  <c r="AD804" i="94"/>
  <c r="AD806" i="94"/>
  <c r="AD809" i="94"/>
  <c r="AI774" i="94"/>
  <c r="AI775" i="94"/>
  <c r="AI776" i="94"/>
  <c r="AI777" i="94"/>
  <c r="AI778" i="94"/>
  <c r="AI785" i="94"/>
  <c r="AI788" i="94"/>
  <c r="AI790" i="94"/>
  <c r="AI795" i="94"/>
  <c r="AI797" i="94"/>
  <c r="AI799" i="94"/>
  <c r="AI801" i="94"/>
  <c r="AI802" i="94"/>
  <c r="AI804" i="94"/>
  <c r="AI806" i="94"/>
  <c r="AI809" i="94"/>
  <c r="AN774" i="94"/>
  <c r="AN775" i="94"/>
  <c r="AN776" i="94"/>
  <c r="AN777" i="94"/>
  <c r="AN778" i="94"/>
  <c r="AN783" i="94"/>
  <c r="AN785" i="94"/>
  <c r="AN787" i="94"/>
  <c r="AN788" i="94"/>
  <c r="AN789" i="94"/>
  <c r="AN792" i="94"/>
  <c r="AN795" i="94"/>
  <c r="AN797" i="94"/>
  <c r="AN799" i="94"/>
  <c r="AN800" i="94"/>
  <c r="AN802" i="94"/>
  <c r="AN804" i="94"/>
  <c r="AN806" i="94"/>
  <c r="AS772" i="94"/>
  <c r="AS773" i="94"/>
  <c r="AS774" i="94"/>
  <c r="AS775" i="94"/>
  <c r="AS776" i="94"/>
  <c r="AS778" i="94"/>
  <c r="AS783" i="94"/>
  <c r="AS785" i="94"/>
  <c r="AS787" i="94"/>
  <c r="AS788" i="94"/>
  <c r="AS790" i="94"/>
  <c r="AS795" i="94"/>
  <c r="AS799" i="94"/>
  <c r="AS801" i="94"/>
  <c r="AS802" i="94"/>
  <c r="AS804" i="94"/>
  <c r="AS806" i="94"/>
  <c r="AS809" i="94"/>
  <c r="AX773" i="94"/>
  <c r="AX774" i="94"/>
  <c r="AX776" i="94"/>
  <c r="AX777" i="94"/>
  <c r="AX778" i="94"/>
  <c r="AX785" i="94"/>
  <c r="AX787" i="94"/>
  <c r="AX788" i="94"/>
  <c r="AX789" i="94"/>
  <c r="AX794" i="94"/>
  <c r="AX795" i="94"/>
  <c r="AX797" i="94"/>
  <c r="AX799" i="94"/>
  <c r="AX802" i="94"/>
  <c r="AX803" i="94"/>
  <c r="AX804" i="94"/>
  <c r="AX805" i="94"/>
  <c r="BC774" i="94"/>
  <c r="BC775" i="94"/>
  <c r="BC776" i="94"/>
  <c r="BC778" i="94"/>
  <c r="BC785" i="94"/>
  <c r="BC787" i="94"/>
  <c r="BC788" i="94"/>
  <c r="BC795" i="94"/>
  <c r="BC796" i="94"/>
  <c r="BC797" i="94"/>
  <c r="BC799" i="94"/>
  <c r="BC802" i="94"/>
  <c r="BC804" i="94"/>
  <c r="BC805" i="94"/>
  <c r="BC807" i="94"/>
  <c r="BH772" i="94"/>
  <c r="BH774" i="94"/>
  <c r="BH776" i="94"/>
  <c r="BH777" i="94"/>
  <c r="BH778" i="94"/>
  <c r="BH782" i="94"/>
  <c r="BH785" i="94"/>
  <c r="BH787" i="94"/>
  <c r="BH788" i="94"/>
  <c r="BH792" i="94"/>
  <c r="BH795" i="94"/>
  <c r="BH797" i="94"/>
  <c r="BH799" i="94"/>
  <c r="BH802" i="94"/>
  <c r="BH804" i="94"/>
  <c r="BH805" i="94"/>
  <c r="BH809" i="94"/>
  <c r="EE774" i="94"/>
  <c r="EE776" i="94"/>
  <c r="EE778" i="94"/>
  <c r="EE779" i="94"/>
  <c r="EE781" i="94"/>
  <c r="EE785" i="94"/>
  <c r="EE788" i="94"/>
  <c r="EE790" i="94"/>
  <c r="EE791" i="94"/>
  <c r="EE792" i="94"/>
  <c r="EE794" i="94"/>
  <c r="EE795" i="94"/>
  <c r="EE797" i="94"/>
  <c r="EE799" i="94"/>
  <c r="EE800" i="94"/>
  <c r="EE802" i="94"/>
  <c r="EE804" i="94"/>
  <c r="EE806" i="94"/>
  <c r="Z773" i="94"/>
  <c r="Z774" i="94"/>
  <c r="Z776" i="94"/>
  <c r="Z777" i="94"/>
  <c r="Z778" i="94"/>
  <c r="Z779" i="94"/>
  <c r="Z785" i="94"/>
  <c r="Z788" i="94"/>
  <c r="Z790" i="94"/>
  <c r="Z792" i="94"/>
  <c r="Z795" i="94"/>
  <c r="Z797" i="94"/>
  <c r="Z799" i="94"/>
  <c r="Z802" i="94"/>
  <c r="Z804" i="94"/>
  <c r="Z805" i="94"/>
  <c r="Z806" i="94"/>
  <c r="Z807" i="94"/>
  <c r="AE773" i="94"/>
  <c r="AE774" i="94"/>
  <c r="AE776" i="94"/>
  <c r="AE777" i="94"/>
  <c r="AE778" i="94"/>
  <c r="AE779" i="94"/>
  <c r="AE783" i="94"/>
  <c r="AE785" i="94"/>
  <c r="AE787" i="94"/>
  <c r="AE788" i="94"/>
  <c r="AE790" i="94"/>
  <c r="AE793" i="94"/>
  <c r="AE795" i="94"/>
  <c r="AE796" i="94"/>
  <c r="AE797" i="94"/>
  <c r="AE799" i="94"/>
  <c r="AE801" i="94"/>
  <c r="AE802" i="94"/>
  <c r="AE803" i="94"/>
  <c r="AE804" i="94"/>
  <c r="AE805" i="94"/>
  <c r="AE806" i="94"/>
  <c r="AE809" i="94"/>
  <c r="AJ772" i="94"/>
  <c r="AJ773" i="94"/>
  <c r="AJ774" i="94"/>
  <c r="AJ776" i="94"/>
  <c r="AJ777" i="94"/>
  <c r="AJ778" i="94"/>
  <c r="AJ779" i="94"/>
  <c r="AJ782" i="94"/>
  <c r="AJ785" i="94"/>
  <c r="AJ787" i="94"/>
  <c r="AJ788" i="94"/>
  <c r="AJ792" i="94"/>
  <c r="AJ795" i="94"/>
  <c r="AJ799" i="94"/>
  <c r="AJ802" i="94"/>
  <c r="AJ804" i="94"/>
  <c r="AJ806" i="94"/>
  <c r="AJ807" i="94"/>
  <c r="AJ809" i="94"/>
  <c r="AO772" i="94"/>
  <c r="AO773" i="94"/>
  <c r="AO774" i="94"/>
  <c r="AO775" i="94"/>
  <c r="AO776" i="94"/>
  <c r="AO777" i="94"/>
  <c r="AO778" i="94"/>
  <c r="AO779" i="94"/>
  <c r="AO783" i="94"/>
  <c r="AO785" i="94"/>
  <c r="AO787" i="94"/>
  <c r="AO788" i="94"/>
  <c r="AO790" i="94"/>
  <c r="AO792" i="94"/>
  <c r="AO795" i="94"/>
  <c r="AO796" i="94"/>
  <c r="AO797" i="94"/>
  <c r="AO799" i="94"/>
  <c r="AO802" i="94"/>
  <c r="AO804" i="94"/>
  <c r="AO805" i="94"/>
  <c r="AO806" i="94"/>
  <c r="AO809" i="94"/>
  <c r="AT772" i="94"/>
  <c r="AT773" i="94"/>
  <c r="AT774" i="94"/>
  <c r="AT775" i="94"/>
  <c r="AT776" i="94"/>
  <c r="AT777" i="94"/>
  <c r="AT778" i="94"/>
  <c r="AT779" i="94"/>
  <c r="AT781" i="94"/>
  <c r="AT785" i="94"/>
  <c r="AT787" i="94"/>
  <c r="AT788" i="94"/>
  <c r="AT789" i="94"/>
  <c r="AT792" i="94"/>
  <c r="AT794" i="94"/>
  <c r="AT795" i="94"/>
  <c r="AT797" i="94"/>
  <c r="AT799" i="94"/>
  <c r="AT801" i="94"/>
  <c r="AT802" i="94"/>
  <c r="AT803" i="94"/>
  <c r="AT804" i="94"/>
  <c r="AT805" i="94"/>
  <c r="AT806" i="94"/>
  <c r="AT809" i="94"/>
  <c r="AY773" i="94"/>
  <c r="AY774" i="94"/>
  <c r="AY775" i="94"/>
  <c r="AY776" i="94"/>
  <c r="AY777" i="94"/>
  <c r="AY778" i="94"/>
  <c r="AY779" i="94"/>
  <c r="AY785" i="94"/>
  <c r="AY786" i="94"/>
  <c r="AY787" i="94"/>
  <c r="AY788" i="94"/>
  <c r="AY792" i="94"/>
  <c r="AY794" i="94"/>
  <c r="AY795" i="94"/>
  <c r="AY796" i="94"/>
  <c r="AY797" i="94"/>
  <c r="AY799" i="94"/>
  <c r="AY800" i="94"/>
  <c r="AY801" i="94"/>
  <c r="AY802" i="94"/>
  <c r="AY804" i="94"/>
  <c r="AY806" i="94"/>
  <c r="AY808" i="94"/>
  <c r="AY809" i="94"/>
  <c r="BD772" i="94"/>
  <c r="BD773" i="94"/>
  <c r="BD774" i="94"/>
  <c r="BD776" i="94"/>
  <c r="BD777" i="94"/>
  <c r="BD778" i="94"/>
  <c r="BD779" i="94"/>
  <c r="BD785" i="94"/>
  <c r="BD786" i="94"/>
  <c r="BD787" i="94"/>
  <c r="BD788" i="94"/>
  <c r="BD790" i="94"/>
  <c r="BD791" i="94"/>
  <c r="BD792" i="94"/>
  <c r="BD794" i="94"/>
  <c r="BD795" i="94"/>
  <c r="BD797" i="94"/>
  <c r="BD799" i="94"/>
  <c r="BD800" i="94"/>
  <c r="BD801" i="94"/>
  <c r="BD802" i="94"/>
  <c r="BD804" i="94"/>
  <c r="BD806" i="94"/>
  <c r="BD807" i="94"/>
  <c r="BD808" i="94"/>
  <c r="BD809" i="94"/>
  <c r="BI773" i="94"/>
  <c r="BI774" i="94"/>
  <c r="BI776" i="94"/>
  <c r="BI777" i="94"/>
  <c r="BI778" i="94"/>
  <c r="BI779" i="94"/>
  <c r="BI785" i="94"/>
  <c r="BI787" i="94"/>
  <c r="BI788" i="94"/>
  <c r="BI789" i="94"/>
  <c r="BI790" i="94"/>
  <c r="BI792" i="94"/>
  <c r="BI795" i="94"/>
  <c r="BI796" i="94"/>
  <c r="BI797" i="94"/>
  <c r="BI798" i="94"/>
  <c r="BI799" i="94"/>
  <c r="BI800" i="94"/>
  <c r="BI802" i="94"/>
  <c r="BI804" i="94"/>
  <c r="BI805" i="94"/>
  <c r="BI806" i="94"/>
  <c r="BI807" i="94"/>
  <c r="BI808" i="94"/>
  <c r="BI809" i="94"/>
  <c r="EF772" i="94"/>
  <c r="EF774" i="94"/>
  <c r="EF775" i="94"/>
  <c r="EF776" i="94"/>
  <c r="EF777" i="94"/>
  <c r="EF778" i="94"/>
  <c r="EF779" i="94"/>
  <c r="EF781" i="94"/>
  <c r="EF783" i="94"/>
  <c r="EF785" i="94"/>
  <c r="EF786" i="94"/>
  <c r="EF787" i="94"/>
  <c r="EF788" i="94"/>
  <c r="EF790" i="94"/>
  <c r="EF792" i="94"/>
  <c r="EF794" i="94"/>
  <c r="EF795" i="94"/>
  <c r="EF796" i="94"/>
  <c r="EF797" i="94"/>
  <c r="EF799" i="94"/>
  <c r="EF800" i="94"/>
  <c r="EF801" i="94"/>
  <c r="EF802" i="94"/>
  <c r="EF804" i="94"/>
  <c r="EF806" i="94"/>
  <c r="EF808" i="94"/>
  <c r="EF809" i="94"/>
  <c r="AA772" i="94"/>
  <c r="AA773" i="94"/>
  <c r="AA774" i="94"/>
  <c r="AA776" i="94"/>
  <c r="AA777" i="94"/>
  <c r="AA778" i="94"/>
  <c r="AA779" i="94"/>
  <c r="AA784" i="94"/>
  <c r="AA785" i="94"/>
  <c r="AA786" i="94"/>
  <c r="AA787" i="94"/>
  <c r="AA788" i="94"/>
  <c r="AA790" i="94"/>
  <c r="AA791" i="94"/>
  <c r="AA792" i="94"/>
  <c r="AA794" i="94"/>
  <c r="AA795" i="94"/>
  <c r="AA797" i="94"/>
  <c r="AA799" i="94"/>
  <c r="AA800" i="94"/>
  <c r="AA801" i="94"/>
  <c r="AA802" i="94"/>
  <c r="AA804" i="94"/>
  <c r="AA806" i="94"/>
  <c r="AA807" i="94"/>
  <c r="AA808" i="94"/>
  <c r="AA809" i="94"/>
  <c r="AF773" i="94"/>
  <c r="AF774" i="94"/>
  <c r="AF776" i="94"/>
  <c r="AF777" i="94"/>
  <c r="AF778" i="94"/>
  <c r="AF779" i="94"/>
  <c r="AF785" i="94"/>
  <c r="AF786" i="94"/>
  <c r="AF787" i="94"/>
  <c r="AF788" i="94"/>
  <c r="AF790" i="94"/>
  <c r="AF791" i="94"/>
  <c r="AF792" i="94"/>
  <c r="AF794" i="94"/>
  <c r="AF795" i="94"/>
  <c r="AF797" i="94"/>
  <c r="AF799" i="94"/>
  <c r="AF800" i="94"/>
  <c r="AF801" i="94"/>
  <c r="AF802" i="94"/>
  <c r="AF804" i="94"/>
  <c r="AF806" i="94"/>
  <c r="AF807" i="94"/>
  <c r="AF808" i="94"/>
  <c r="AF809" i="94"/>
  <c r="AK772" i="94"/>
  <c r="AK774" i="94"/>
  <c r="AK776" i="94"/>
  <c r="AK777" i="94"/>
  <c r="AK778" i="94"/>
  <c r="AK779" i="94"/>
  <c r="AK785" i="94"/>
  <c r="AK787" i="94"/>
  <c r="AK788" i="94"/>
  <c r="AK789" i="94"/>
  <c r="AK790" i="94"/>
  <c r="AK791" i="94"/>
  <c r="AK792" i="94"/>
  <c r="AK795" i="94"/>
  <c r="AK797" i="94"/>
  <c r="AK799" i="94"/>
  <c r="AK800" i="94"/>
  <c r="AK801" i="94"/>
  <c r="AK802" i="94"/>
  <c r="AK804" i="94"/>
  <c r="AK805" i="94"/>
  <c r="AK806" i="94"/>
  <c r="AK807" i="94"/>
  <c r="AK809" i="94"/>
  <c r="AP772" i="94"/>
  <c r="AP774" i="94"/>
  <c r="AP775" i="94"/>
  <c r="AP776" i="94"/>
  <c r="AP777" i="94"/>
  <c r="AP778" i="94"/>
  <c r="AP779" i="94"/>
  <c r="AP782" i="94"/>
  <c r="AP785" i="94"/>
  <c r="AP786" i="94"/>
  <c r="AP787" i="94"/>
  <c r="AP788" i="94"/>
  <c r="AP790" i="94"/>
  <c r="AP792" i="94"/>
  <c r="AP794" i="94"/>
  <c r="AP795" i="94"/>
  <c r="AP796" i="94"/>
  <c r="AP797" i="94"/>
  <c r="AP799" i="94"/>
  <c r="AP802" i="94"/>
  <c r="AP804" i="94"/>
  <c r="AP805" i="94"/>
  <c r="AP806" i="94"/>
  <c r="AP809" i="94"/>
  <c r="AU772" i="94"/>
  <c r="AU773" i="94"/>
  <c r="AU774" i="94"/>
  <c r="AU775" i="94"/>
  <c r="AU776" i="94"/>
  <c r="AU777" i="94"/>
  <c r="AU778" i="94"/>
  <c r="AU779" i="94"/>
  <c r="AU783" i="94"/>
  <c r="AU785" i="94"/>
  <c r="AU787" i="94"/>
  <c r="AU788" i="94"/>
  <c r="AU789" i="94"/>
  <c r="AU792" i="94"/>
  <c r="AU794" i="94"/>
  <c r="AU795" i="94"/>
  <c r="AU797" i="94"/>
  <c r="AU799" i="94"/>
  <c r="AU801" i="94"/>
  <c r="AU802" i="94"/>
  <c r="AU803" i="94"/>
  <c r="AU804" i="94"/>
  <c r="AU805" i="94"/>
  <c r="AU806" i="94"/>
  <c r="AU809" i="94"/>
  <c r="AZ772" i="94"/>
  <c r="AZ773" i="94"/>
  <c r="AZ774" i="94"/>
  <c r="AZ775" i="94"/>
  <c r="AZ776" i="94"/>
  <c r="AZ777" i="94"/>
  <c r="AZ778" i="94"/>
  <c r="AZ779" i="94"/>
  <c r="AZ783" i="94"/>
  <c r="AZ785" i="94"/>
  <c r="AZ787" i="94"/>
  <c r="AZ788" i="94"/>
  <c r="AZ791" i="94"/>
  <c r="AZ792" i="94"/>
  <c r="AZ793" i="94"/>
  <c r="AZ795" i="94"/>
  <c r="AZ797" i="94"/>
  <c r="AZ799" i="94"/>
  <c r="AZ800" i="94"/>
  <c r="AZ801" i="94"/>
  <c r="AZ802" i="94"/>
  <c r="AZ804" i="94"/>
  <c r="AZ806" i="94"/>
  <c r="AZ807" i="94"/>
  <c r="AZ808" i="94"/>
  <c r="AZ809" i="94"/>
  <c r="BE773" i="94"/>
  <c r="BE774" i="94"/>
  <c r="BE776" i="94"/>
  <c r="BE777" i="94"/>
  <c r="BE778" i="94"/>
  <c r="BE779" i="94"/>
  <c r="BE781" i="94"/>
  <c r="BE785" i="94"/>
  <c r="BE786" i="94"/>
  <c r="BE787" i="94"/>
  <c r="BE788" i="94"/>
  <c r="BE790" i="94"/>
  <c r="BE791" i="94"/>
  <c r="BE792" i="94"/>
  <c r="BE794" i="94"/>
  <c r="BE795" i="94"/>
  <c r="BE797" i="94"/>
  <c r="BE799" i="94"/>
  <c r="BE800" i="94"/>
  <c r="BE801" i="94"/>
  <c r="BE802" i="94"/>
  <c r="BE804" i="94"/>
  <c r="BE806" i="94"/>
  <c r="BE807" i="94"/>
  <c r="BE808" i="94"/>
  <c r="BE809" i="94"/>
  <c r="BJ772" i="94"/>
  <c r="BJ774" i="94"/>
  <c r="BJ776" i="94"/>
  <c r="BJ777" i="94"/>
  <c r="BJ778" i="94"/>
  <c r="BJ779" i="94"/>
  <c r="BJ785" i="94"/>
  <c r="BJ787" i="94"/>
  <c r="BJ788" i="94"/>
  <c r="BJ790" i="94"/>
  <c r="BJ791" i="94"/>
  <c r="BJ792" i="94"/>
  <c r="BJ794" i="94"/>
  <c r="BJ795" i="94"/>
  <c r="BJ797" i="94"/>
  <c r="BJ799" i="94"/>
  <c r="BJ800" i="94"/>
  <c r="BJ801" i="94"/>
  <c r="BJ802" i="94"/>
  <c r="BJ804" i="94"/>
  <c r="BJ806" i="94"/>
  <c r="BJ807" i="94"/>
  <c r="BJ808" i="94"/>
  <c r="BJ809" i="94"/>
  <c r="EG772" i="94"/>
  <c r="EG774" i="94"/>
  <c r="EG775" i="94"/>
  <c r="EG776" i="94"/>
  <c r="EG777" i="94"/>
  <c r="EG778" i="94"/>
  <c r="EG779" i="94"/>
  <c r="EG781" i="94"/>
  <c r="EG783" i="94"/>
  <c r="EG785" i="94"/>
  <c r="EG786" i="94"/>
  <c r="EG787" i="94"/>
  <c r="EG788" i="94"/>
  <c r="EG790" i="94"/>
  <c r="EG792" i="94"/>
  <c r="EG794" i="94"/>
  <c r="EG795" i="94"/>
  <c r="EG796" i="94"/>
  <c r="EG797" i="94"/>
  <c r="EG799" i="94"/>
  <c r="EG801" i="94"/>
  <c r="EG802" i="94"/>
  <c r="EG804" i="94"/>
  <c r="EG805" i="94"/>
  <c r="EG806" i="94"/>
  <c r="EG809" i="94"/>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FM10" i="75"/>
  <c r="FM11" i="75"/>
  <c r="FM12" i="75"/>
  <c r="FM13" i="75"/>
  <c r="FM14" i="75"/>
  <c r="FM15" i="75"/>
  <c r="FM16" i="75"/>
  <c r="FM17" i="75"/>
  <c r="FM18" i="75"/>
  <c r="FM19" i="75"/>
  <c r="FM20" i="75"/>
  <c r="FM21"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FN10" i="75"/>
  <c r="FN11" i="75"/>
  <c r="FN12" i="75"/>
  <c r="FN13" i="75"/>
  <c r="FN14" i="75"/>
  <c r="FN15" i="75"/>
  <c r="FN16" i="75"/>
  <c r="FN17" i="75"/>
  <c r="FN18" i="75"/>
  <c r="FN19" i="75"/>
  <c r="FN20" i="75"/>
  <c r="FN21"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FO10" i="75"/>
  <c r="FO11" i="75"/>
  <c r="FO12"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FH10" i="75"/>
  <c r="FH11" i="75"/>
  <c r="FH12" i="75"/>
  <c r="FH13" i="75"/>
  <c r="FH14" i="75"/>
  <c r="FH15" i="75"/>
  <c r="FH16" i="75"/>
  <c r="FH17" i="75"/>
  <c r="FH18" i="75"/>
  <c r="FH19" i="75"/>
  <c r="FH20" i="75"/>
  <c r="FH21"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FI10" i="75"/>
  <c r="FI11" i="75"/>
  <c r="FI12" i="75"/>
  <c r="FI13" i="75"/>
  <c r="FI14" i="75"/>
  <c r="FI15" i="75"/>
  <c r="FI16" i="75"/>
  <c r="FI17" i="75"/>
  <c r="FI18" i="75"/>
  <c r="FI19" i="75"/>
  <c r="FI20" i="75"/>
  <c r="FI21"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FJ10" i="75"/>
  <c r="FJ11" i="75"/>
  <c r="FJ12" i="75"/>
  <c r="FJ13" i="75"/>
  <c r="FJ14" i="75"/>
  <c r="FJ15" i="75"/>
  <c r="FJ16" i="75"/>
  <c r="FJ17"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C10" i="75"/>
  <c r="FC11" i="75"/>
  <c r="FC12" i="75"/>
  <c r="FC13" i="75"/>
  <c r="FC14" i="75"/>
  <c r="FC15" i="75"/>
  <c r="FC16" i="75"/>
  <c r="FC17" i="75"/>
  <c r="FC18" i="75"/>
  <c r="FC19" i="75"/>
  <c r="FC20" i="75"/>
  <c r="FC21"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D10" i="75"/>
  <c r="FD11" i="75"/>
  <c r="FD12" i="75"/>
  <c r="FD13" i="75"/>
  <c r="FD14" i="75"/>
  <c r="FD15" i="75"/>
  <c r="FD16" i="75"/>
  <c r="FD17" i="75"/>
  <c r="FD18" i="75"/>
  <c r="FD19" i="75"/>
  <c r="FD20" i="75"/>
  <c r="FD21"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E10" i="75"/>
  <c r="FE11" i="75"/>
  <c r="FE12" i="75"/>
  <c r="FE13" i="75"/>
  <c r="FE14" i="75"/>
  <c r="FE15" i="75"/>
  <c r="FE16"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EW10" i="75"/>
  <c r="EW11" i="75"/>
  <c r="EW12" i="75"/>
  <c r="EW13" i="75"/>
  <c r="EW14" i="75"/>
  <c r="EW15" i="75"/>
  <c r="EW16" i="75"/>
  <c r="EW17" i="75"/>
  <c r="EW18" i="75"/>
  <c r="EW19" i="75"/>
  <c r="EW20" i="75"/>
  <c r="EW21" i="75"/>
  <c r="EW22" i="75"/>
  <c r="EW23" i="75"/>
  <c r="EW24" i="75"/>
  <c r="EW25" i="75"/>
  <c r="EW26" i="75"/>
  <c r="EW27" i="75"/>
  <c r="EW28" i="75"/>
  <c r="EW29" i="75"/>
  <c r="EW30" i="75"/>
  <c r="EW31" i="75"/>
  <c r="EW32" i="75"/>
  <c r="EW33" i="75"/>
  <c r="EW34" i="75"/>
  <c r="EW35" i="75"/>
  <c r="EW36" i="75"/>
  <c r="EW37" i="75"/>
  <c r="EW38" i="75"/>
  <c r="EW39" i="75"/>
  <c r="EW40" i="75"/>
  <c r="EW41" i="75"/>
  <c r="EW42" i="75"/>
  <c r="EW43" i="75"/>
  <c r="EW44" i="75"/>
  <c r="EW45" i="75"/>
  <c r="EW46" i="75"/>
  <c r="EW47" i="75"/>
  <c r="EX10" i="75"/>
  <c r="EX11" i="75"/>
  <c r="EX12" i="75"/>
  <c r="EX13" i="75"/>
  <c r="EX14" i="75"/>
  <c r="EX15" i="75"/>
  <c r="EX16" i="75"/>
  <c r="EX17" i="75"/>
  <c r="EX18" i="75"/>
  <c r="EX19" i="75"/>
  <c r="EX20" i="75"/>
  <c r="EX21" i="75"/>
  <c r="EX22" i="75"/>
  <c r="EX23" i="75"/>
  <c r="EX24" i="75"/>
  <c r="EX25" i="75"/>
  <c r="EX26" i="75"/>
  <c r="EX27" i="75"/>
  <c r="EX28" i="75"/>
  <c r="EX29" i="75"/>
  <c r="EX30" i="75"/>
  <c r="EX31" i="75"/>
  <c r="EX32" i="75"/>
  <c r="EX33" i="75"/>
  <c r="EX34" i="75"/>
  <c r="EX35" i="75"/>
  <c r="EX36" i="75"/>
  <c r="EX37" i="75"/>
  <c r="EX38" i="75"/>
  <c r="EX39" i="75"/>
  <c r="EX40" i="75"/>
  <c r="EX41" i="75"/>
  <c r="EX42" i="75"/>
  <c r="EX43" i="75"/>
  <c r="EX44" i="75"/>
  <c r="EX45" i="75"/>
  <c r="EX46" i="75"/>
  <c r="EX47" i="75"/>
  <c r="EY10" i="75"/>
  <c r="EY11" i="75"/>
  <c r="EY12" i="75"/>
  <c r="EY13" i="75"/>
  <c r="EY14" i="75"/>
  <c r="EY15" i="75"/>
  <c r="EY16" i="75"/>
  <c r="EY17" i="75"/>
  <c r="EY18" i="75"/>
  <c r="EY19" i="75"/>
  <c r="EY20" i="75"/>
  <c r="EY21" i="75"/>
  <c r="EY22" i="75"/>
  <c r="EY23" i="75"/>
  <c r="EY24" i="75"/>
  <c r="EY25" i="75"/>
  <c r="EY26" i="75"/>
  <c r="EY27" i="75"/>
  <c r="EY28" i="75"/>
  <c r="EY29" i="75"/>
  <c r="EY30" i="75"/>
  <c r="EY31" i="75"/>
  <c r="EY32" i="75"/>
  <c r="EY33" i="75"/>
  <c r="EY34" i="75"/>
  <c r="EY35" i="75"/>
  <c r="EY36" i="75"/>
  <c r="EY37" i="75"/>
  <c r="EY38" i="75"/>
  <c r="EY39" i="75"/>
  <c r="EY40" i="75"/>
  <c r="EY41" i="75"/>
  <c r="EY42" i="75"/>
  <c r="EY43" i="75"/>
  <c r="EY44" i="75"/>
  <c r="EY45" i="75"/>
  <c r="EY46" i="75"/>
  <c r="EY47" i="75"/>
  <c r="EZ10" i="75"/>
  <c r="EZ11" i="75"/>
  <c r="EZ12" i="75"/>
  <c r="EZ13" i="75"/>
  <c r="EZ14" i="75"/>
  <c r="EZ15" i="75"/>
  <c r="EZ16" i="75"/>
  <c r="EZ17" i="75"/>
  <c r="EZ18" i="75"/>
  <c r="EZ19" i="75"/>
  <c r="EZ20" i="75"/>
  <c r="EZ21" i="75"/>
  <c r="EZ22" i="75"/>
  <c r="EZ23" i="75"/>
  <c r="EZ24" i="75"/>
  <c r="EZ25" i="75"/>
  <c r="EZ26" i="75"/>
  <c r="EZ27" i="75"/>
  <c r="EZ28" i="75"/>
  <c r="EZ29" i="75"/>
  <c r="EZ30" i="75"/>
  <c r="EZ31" i="75"/>
  <c r="EZ32" i="75"/>
  <c r="EZ33" i="75"/>
  <c r="EZ34" i="75"/>
  <c r="EZ35" i="75"/>
  <c r="EZ36" i="75"/>
  <c r="EZ37" i="75"/>
  <c r="EZ38" i="75"/>
  <c r="EZ39" i="75"/>
  <c r="EZ40" i="75"/>
  <c r="EZ41" i="75"/>
  <c r="EZ42" i="75"/>
  <c r="EZ43" i="75"/>
  <c r="EZ44" i="75"/>
  <c r="EZ45" i="75"/>
  <c r="EZ46" i="75"/>
  <c r="EZ47" i="75"/>
  <c r="FA10" i="75"/>
  <c r="FA11" i="75"/>
  <c r="FA12" i="75"/>
  <c r="FA13" i="75"/>
  <c r="FA14" i="75"/>
  <c r="FA15" i="75"/>
  <c r="FA16" i="75"/>
  <c r="FA17" i="75"/>
  <c r="FA18" i="75"/>
  <c r="FA19" i="75"/>
  <c r="FA20" i="75"/>
  <c r="FA21" i="75"/>
  <c r="FA22" i="75"/>
  <c r="FA23" i="75"/>
  <c r="FA24" i="75"/>
  <c r="FA25" i="75"/>
  <c r="FA26" i="75"/>
  <c r="FA27" i="75"/>
  <c r="FA28" i="75"/>
  <c r="FA29" i="75"/>
  <c r="FA30" i="75"/>
  <c r="FA31" i="75"/>
  <c r="FA32" i="75"/>
  <c r="FA33" i="75"/>
  <c r="FA34" i="75"/>
  <c r="FA35" i="75"/>
  <c r="FA36" i="75"/>
  <c r="FA37" i="75"/>
  <c r="FA38" i="75"/>
  <c r="FA39" i="75"/>
  <c r="FA40" i="75"/>
  <c r="FA41" i="75"/>
  <c r="FA42" i="75"/>
  <c r="FA43" i="75"/>
  <c r="FA44" i="75"/>
  <c r="FA45" i="75"/>
  <c r="FA46" i="75"/>
  <c r="FA47" i="75"/>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S10" i="75"/>
  <c r="ES11" i="75"/>
  <c r="ES12" i="75"/>
  <c r="ES13" i="75"/>
  <c r="ES14" i="75"/>
  <c r="ES15" i="75"/>
  <c r="ES16" i="75"/>
  <c r="ES17" i="75"/>
  <c r="ES18" i="75"/>
  <c r="ES19" i="75"/>
  <c r="ES20" i="75"/>
  <c r="ES21" i="75"/>
  <c r="ES22"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T10" i="75"/>
  <c r="ET11" i="75"/>
  <c r="ET12" i="75"/>
  <c r="ET13" i="75"/>
  <c r="ET14" i="75"/>
  <c r="ET15" i="75"/>
  <c r="ET16" i="75"/>
  <c r="ET17" i="75"/>
  <c r="ET18" i="75"/>
  <c r="ET19" i="75"/>
  <c r="ET20" i="75"/>
  <c r="ET21" i="75"/>
  <c r="ET22"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U10" i="75"/>
  <c r="EU11" i="75"/>
  <c r="EU12" i="75"/>
  <c r="EU13" i="75"/>
  <c r="EU14" i="75"/>
  <c r="EU15" i="75"/>
  <c r="EU16" i="75"/>
  <c r="EU17" i="75"/>
  <c r="EU18" i="75"/>
  <c r="EU19" i="75"/>
  <c r="EU20"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N10" i="75"/>
  <c r="EN11" i="75"/>
  <c r="EN12" i="75"/>
  <c r="EN13" i="75"/>
  <c r="EN14" i="75"/>
  <c r="EN15" i="75"/>
  <c r="EN16" i="75"/>
  <c r="EN17" i="75"/>
  <c r="EN18" i="75"/>
  <c r="EN19" i="75"/>
  <c r="EN20" i="75"/>
  <c r="EN21" i="75"/>
  <c r="EN22"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O10" i="75"/>
  <c r="EO11" i="75"/>
  <c r="EO12" i="75"/>
  <c r="EO13" i="75"/>
  <c r="EO14" i="75"/>
  <c r="EO15" i="75"/>
  <c r="EO16" i="75"/>
  <c r="EO17" i="75"/>
  <c r="EO18" i="75"/>
  <c r="EO19" i="75"/>
  <c r="EO20" i="75"/>
  <c r="EO21" i="75"/>
  <c r="EO22"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P10" i="75"/>
  <c r="EP11" i="75"/>
  <c r="EP12" i="75"/>
  <c r="EP13" i="75"/>
  <c r="EP14" i="75"/>
  <c r="EP15" i="75"/>
  <c r="EP16" i="75"/>
  <c r="EP17" i="75"/>
  <c r="EP18" i="75"/>
  <c r="EP19" i="75"/>
  <c r="EP20" i="75"/>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I10" i="75"/>
  <c r="EI11" i="75"/>
  <c r="EI12" i="75"/>
  <c r="EI13" i="75"/>
  <c r="EI14" i="75"/>
  <c r="EI15" i="75"/>
  <c r="EI16" i="75"/>
  <c r="EI17" i="75"/>
  <c r="EI18" i="75"/>
  <c r="EI19" i="75"/>
  <c r="EI20" i="75"/>
  <c r="EI21" i="75"/>
  <c r="EI22"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J10" i="75"/>
  <c r="EJ11" i="75"/>
  <c r="EJ12" i="75"/>
  <c r="EJ13" i="75"/>
  <c r="EJ14" i="75"/>
  <c r="EJ15" i="75"/>
  <c r="EJ16" i="75"/>
  <c r="EJ17" i="75"/>
  <c r="EJ18" i="75"/>
  <c r="EJ19" i="75"/>
  <c r="EJ20" i="75"/>
  <c r="EJ21" i="75"/>
  <c r="EJ22"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K10" i="75"/>
  <c r="EK11" i="75"/>
  <c r="EK12" i="75"/>
  <c r="EK13" i="75"/>
  <c r="EK14" i="75"/>
  <c r="EK15" i="75"/>
  <c r="EK1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BK10" i="75"/>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M10" i="75"/>
  <c r="BM11" i="75"/>
  <c r="BM12" i="75"/>
  <c r="BM13" i="75"/>
  <c r="BM14" i="75"/>
  <c r="BM15" i="75"/>
  <c r="BM16" i="75"/>
  <c r="BM17" i="75"/>
  <c r="BM18" i="75"/>
  <c r="BM19" i="75"/>
  <c r="BM20" i="75"/>
  <c r="BM21" i="75"/>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Q10" i="75"/>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R10" i="75"/>
  <c r="BR11" i="75"/>
  <c r="BR12" i="75"/>
  <c r="BR13" i="75"/>
  <c r="BR14" i="75"/>
  <c r="BR15" i="75"/>
  <c r="BR16" i="75"/>
  <c r="BR17" i="75"/>
  <c r="BR18" i="75"/>
  <c r="BR19" i="75"/>
  <c r="BR20" i="75"/>
  <c r="BR21" i="75"/>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S10" i="75"/>
  <c r="BS11" i="75"/>
  <c r="BS12" i="75"/>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J10" i="75"/>
  <c r="CJ11" i="75"/>
  <c r="CJ12" i="75"/>
  <c r="CJ13" i="75"/>
  <c r="CJ14" i="75"/>
  <c r="CJ15" i="75"/>
  <c r="CJ16" i="75"/>
  <c r="CJ17" i="75"/>
  <c r="CJ18" i="75"/>
  <c r="CJ19" i="75"/>
  <c r="CJ20" i="75"/>
  <c r="CJ21" i="75"/>
  <c r="CJ22" i="75"/>
  <c r="CJ23"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K10" i="75"/>
  <c r="CK11" i="75"/>
  <c r="CK12" i="75"/>
  <c r="CK13" i="75"/>
  <c r="CK14" i="75"/>
  <c r="CK15" i="75"/>
  <c r="CK16" i="75"/>
  <c r="CK17" i="75"/>
  <c r="CK18" i="75"/>
  <c r="CK19" i="75"/>
  <c r="CK20" i="75"/>
  <c r="CK21" i="75"/>
  <c r="CK22" i="75"/>
  <c r="CK23"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L10" i="75"/>
  <c r="CL11" i="75"/>
  <c r="CL12" i="75"/>
  <c r="CL13" i="75"/>
  <c r="CL14" i="75"/>
  <c r="CL15" i="75"/>
  <c r="CL16" i="75"/>
  <c r="CL17" i="75"/>
  <c r="CL18" i="75"/>
  <c r="CL19" i="75"/>
  <c r="CL20" i="75"/>
  <c r="CL21" i="75"/>
  <c r="CL22" i="75"/>
  <c r="CL23"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M10" i="75"/>
  <c r="CM11" i="75"/>
  <c r="CM12" i="75"/>
  <c r="CM13" i="75"/>
  <c r="CM14" i="75"/>
  <c r="CM15" i="75"/>
  <c r="CM16" i="75"/>
  <c r="CM17" i="75"/>
  <c r="CM18" i="75"/>
  <c r="CM19" i="75"/>
  <c r="CM20" i="75"/>
  <c r="CM21" i="75"/>
  <c r="CM22" i="75"/>
  <c r="CM23"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N10" i="75"/>
  <c r="CN11" i="75"/>
  <c r="CN12" i="75"/>
  <c r="CN13" i="75"/>
  <c r="CN14" i="75"/>
  <c r="CN15" i="75"/>
  <c r="CN16" i="75"/>
  <c r="CN17" i="75"/>
  <c r="CN18" i="75"/>
  <c r="CN19" i="75"/>
  <c r="CN20" i="75"/>
  <c r="CN21" i="75"/>
  <c r="CN22" i="75"/>
  <c r="CN23"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J72" i="72"/>
  <c r="O71" i="72" s="1"/>
  <c r="O420" i="72"/>
  <c r="ID10" i="75"/>
  <c r="ID11" i="75"/>
  <c r="ID12" i="75"/>
  <c r="ID13" i="75"/>
  <c r="ID14" i="75"/>
  <c r="ID15" i="75"/>
  <c r="ID16" i="75"/>
  <c r="ID17" i="75"/>
  <c r="ID18" i="75"/>
  <c r="ID19" i="75"/>
  <c r="ID20" i="75"/>
  <c r="ID21" i="75"/>
  <c r="ID22" i="75"/>
  <c r="ID23" i="75"/>
  <c r="ID24" i="75"/>
  <c r="ID25" i="75"/>
  <c r="ID26" i="75"/>
  <c r="ID27" i="75"/>
  <c r="ID28" i="75"/>
  <c r="ID29" i="75"/>
  <c r="ID30" i="75"/>
  <c r="ID31" i="75"/>
  <c r="ID32" i="75"/>
  <c r="ID33" i="75"/>
  <c r="ID34" i="75"/>
  <c r="ID35" i="75"/>
  <c r="ID36" i="75"/>
  <c r="ID37" i="75"/>
  <c r="ID38" i="75"/>
  <c r="ID39" i="75"/>
  <c r="ID40" i="75"/>
  <c r="ID41" i="75"/>
  <c r="ID42" i="75"/>
  <c r="ID43" i="75"/>
  <c r="ID44" i="75"/>
  <c r="ID45" i="75"/>
  <c r="ID46" i="75"/>
  <c r="ID47" i="75"/>
  <c r="IX10" i="75"/>
  <c r="IX11" i="75"/>
  <c r="IX12" i="75"/>
  <c r="IX13" i="75"/>
  <c r="IX14" i="75"/>
  <c r="IX15" i="75"/>
  <c r="IX16" i="75"/>
  <c r="IX17" i="75"/>
  <c r="IX18" i="75"/>
  <c r="IX19" i="75"/>
  <c r="IX20" i="75"/>
  <c r="IX21" i="75"/>
  <c r="IX22" i="75"/>
  <c r="IX23"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N10" i="75"/>
  <c r="IN11" i="75"/>
  <c r="IN12" i="75"/>
  <c r="IN13" i="75"/>
  <c r="IN14" i="75"/>
  <c r="IN15" i="75"/>
  <c r="IN16" i="75"/>
  <c r="IN17" i="75"/>
  <c r="IN18" i="75"/>
  <c r="IN19" i="75"/>
  <c r="IN20" i="75"/>
  <c r="IN21" i="75"/>
  <c r="IN22" i="75"/>
  <c r="IN23"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IE10" i="75"/>
  <c r="IE11" i="75"/>
  <c r="IE12" i="75"/>
  <c r="IE13" i="75"/>
  <c r="IE14" i="75"/>
  <c r="IE15" i="75"/>
  <c r="IE16" i="75"/>
  <c r="IE17" i="75"/>
  <c r="IE18" i="75"/>
  <c r="IE19" i="75"/>
  <c r="IE20" i="75"/>
  <c r="IE21" i="75"/>
  <c r="IE22" i="75"/>
  <c r="IE23"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Y10" i="75"/>
  <c r="IY11" i="75"/>
  <c r="IY12" i="75"/>
  <c r="IY13" i="75"/>
  <c r="IY14" i="75"/>
  <c r="IY15" i="75"/>
  <c r="IY16" i="75"/>
  <c r="IY17" i="75"/>
  <c r="IY18" i="75"/>
  <c r="IY19" i="75"/>
  <c r="IY20" i="75"/>
  <c r="IY21" i="75"/>
  <c r="IY22" i="75"/>
  <c r="IY23"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O10" i="75"/>
  <c r="IO11" i="75"/>
  <c r="IO12" i="75"/>
  <c r="IO13" i="75"/>
  <c r="IO14" i="75"/>
  <c r="IO15" i="75"/>
  <c r="IO16" i="75"/>
  <c r="IO17" i="75"/>
  <c r="IO18" i="75"/>
  <c r="IO19" i="75"/>
  <c r="IO20" i="75"/>
  <c r="IO21" i="75"/>
  <c r="IO22" i="75"/>
  <c r="IO23"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F10" i="75"/>
  <c r="IF11" i="75"/>
  <c r="IF12" i="75"/>
  <c r="IF13" i="75"/>
  <c r="IF14" i="75"/>
  <c r="IF15" i="75"/>
  <c r="IF16" i="75"/>
  <c r="IF17" i="75"/>
  <c r="IF18" i="75"/>
  <c r="IF19" i="75"/>
  <c r="IF20" i="75"/>
  <c r="IF21" i="75"/>
  <c r="IF22" i="75"/>
  <c r="IF23"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Z10" i="75"/>
  <c r="IZ11" i="75"/>
  <c r="IZ12" i="75"/>
  <c r="IZ13" i="75"/>
  <c r="IZ14" i="75"/>
  <c r="IZ15" i="75"/>
  <c r="IZ16" i="75"/>
  <c r="IZ17" i="75"/>
  <c r="IZ18" i="75"/>
  <c r="IZ19" i="75"/>
  <c r="IZ20" i="75"/>
  <c r="IZ21" i="75"/>
  <c r="IZ22" i="75"/>
  <c r="IZ23"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P10" i="75"/>
  <c r="IP11" i="75"/>
  <c r="IP12" i="75"/>
  <c r="IP13" i="75"/>
  <c r="IP14" i="75"/>
  <c r="IP15" i="75"/>
  <c r="IP16" i="75"/>
  <c r="IP17" i="75"/>
  <c r="IP18" i="75"/>
  <c r="IP19" i="75"/>
  <c r="IP20" i="75"/>
  <c r="IP21" i="75"/>
  <c r="IP22" i="75"/>
  <c r="IP23"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G10" i="75"/>
  <c r="IG11" i="75"/>
  <c r="IG12" i="75"/>
  <c r="IG13" i="75"/>
  <c r="IG14" i="75"/>
  <c r="IG15" i="75"/>
  <c r="IG16" i="75"/>
  <c r="IG17" i="75"/>
  <c r="IG18" i="75"/>
  <c r="IG19" i="75"/>
  <c r="IG20" i="75"/>
  <c r="IG21" i="75"/>
  <c r="IG22" i="75"/>
  <c r="IG23" i="75"/>
  <c r="IG24" i="75"/>
  <c r="IG25" i="75"/>
  <c r="IG26" i="75"/>
  <c r="IG27" i="75"/>
  <c r="IG28" i="75"/>
  <c r="IG29" i="75"/>
  <c r="IG30" i="75"/>
  <c r="IG31" i="75"/>
  <c r="IG32" i="75"/>
  <c r="IG33" i="75"/>
  <c r="IG34" i="75"/>
  <c r="IG35" i="75"/>
  <c r="IG36" i="75"/>
  <c r="IG37" i="75"/>
  <c r="IG38" i="75"/>
  <c r="IG39" i="75"/>
  <c r="IG40" i="75"/>
  <c r="IG41" i="75"/>
  <c r="IG42" i="75"/>
  <c r="IG43" i="75"/>
  <c r="IG44" i="75"/>
  <c r="IG45" i="75"/>
  <c r="IG46" i="75"/>
  <c r="IG47" i="75"/>
  <c r="JA10" i="75"/>
  <c r="JA11" i="75"/>
  <c r="JA12" i="75"/>
  <c r="JA13" i="75"/>
  <c r="JA14" i="75"/>
  <c r="JA15" i="75"/>
  <c r="JA16" i="75"/>
  <c r="JA17" i="75"/>
  <c r="JA18" i="75"/>
  <c r="JA19" i="75"/>
  <c r="JA20" i="75"/>
  <c r="JA21" i="75"/>
  <c r="JA22" i="75"/>
  <c r="JA23"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IQ10" i="75"/>
  <c r="IQ11" i="75"/>
  <c r="IQ12" i="75"/>
  <c r="IQ13" i="75"/>
  <c r="IQ14" i="75"/>
  <c r="IQ15" i="75"/>
  <c r="IQ16" i="75"/>
  <c r="IQ17" i="75"/>
  <c r="IQ18" i="75"/>
  <c r="IQ19" i="75"/>
  <c r="IQ20" i="75"/>
  <c r="IQ21" i="75"/>
  <c r="IQ22" i="75"/>
  <c r="IQ23"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IH10" i="75"/>
  <c r="IH11" i="75"/>
  <c r="IH12" i="75"/>
  <c r="IH13" i="75"/>
  <c r="IH14" i="75"/>
  <c r="IH15" i="75"/>
  <c r="IH16" i="75"/>
  <c r="IH17" i="75"/>
  <c r="IH18" i="75"/>
  <c r="IH19" i="75"/>
  <c r="IH20" i="75"/>
  <c r="IH21" i="75"/>
  <c r="IH22" i="75"/>
  <c r="IH23"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JB10" i="75"/>
  <c r="JB11" i="75"/>
  <c r="JB12" i="75"/>
  <c r="JB13" i="75"/>
  <c r="JB14" i="75"/>
  <c r="JB15" i="75"/>
  <c r="JB16" i="75"/>
  <c r="JB17" i="75"/>
  <c r="JB18" i="75"/>
  <c r="JB19" i="75"/>
  <c r="JB20" i="75"/>
  <c r="JB21" i="75"/>
  <c r="JB22" i="75"/>
  <c r="JB23"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IR10" i="75"/>
  <c r="IR11" i="75"/>
  <c r="IR12" i="75"/>
  <c r="IR13" i="75"/>
  <c r="IR14" i="75"/>
  <c r="IR15" i="75"/>
  <c r="IR16" i="75"/>
  <c r="IR17" i="75"/>
  <c r="IR18" i="75"/>
  <c r="IR19" i="75"/>
  <c r="IR20" i="75"/>
  <c r="IR21" i="75"/>
  <c r="IR22" i="75"/>
  <c r="IR23"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JR10" i="75"/>
  <c r="JR11" i="75"/>
  <c r="JR12" i="75"/>
  <c r="JR13" i="75"/>
  <c r="JR14" i="75"/>
  <c r="JR15" i="75"/>
  <c r="JR16" i="75"/>
  <c r="JR17" i="75"/>
  <c r="JR18" i="75"/>
  <c r="JR19" i="75"/>
  <c r="JR20" i="75"/>
  <c r="JR21" i="75"/>
  <c r="JR22" i="75"/>
  <c r="JR23"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S10" i="75"/>
  <c r="JS11" i="75"/>
  <c r="JS12" i="75"/>
  <c r="JS13" i="75"/>
  <c r="JS14" i="75"/>
  <c r="JS15" i="75"/>
  <c r="JS16" i="75"/>
  <c r="JS17" i="75"/>
  <c r="JS18" i="75"/>
  <c r="JS19" i="75"/>
  <c r="JS20" i="75"/>
  <c r="JS21" i="75"/>
  <c r="JS22" i="75"/>
  <c r="JS23"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T10" i="75"/>
  <c r="JT11" i="75"/>
  <c r="JT12" i="75"/>
  <c r="JT13" i="75"/>
  <c r="JT14" i="75"/>
  <c r="JT15" i="75"/>
  <c r="JT16" i="75"/>
  <c r="JT17" i="75"/>
  <c r="JT18" i="75"/>
  <c r="JT19" i="75"/>
  <c r="JT20" i="75"/>
  <c r="JT21" i="75"/>
  <c r="JT22" i="75"/>
  <c r="JT23"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U10" i="75"/>
  <c r="JU11" i="75"/>
  <c r="JU12" i="75"/>
  <c r="JU13" i="75"/>
  <c r="JU14" i="75"/>
  <c r="JU15" i="75"/>
  <c r="JU16" i="75"/>
  <c r="JU17" i="75"/>
  <c r="JU18" i="75"/>
  <c r="JU19" i="75"/>
  <c r="JU20" i="75"/>
  <c r="JU21" i="75"/>
  <c r="JU22" i="75"/>
  <c r="JU23"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V10" i="75"/>
  <c r="JV11" i="75"/>
  <c r="JV12" i="75"/>
  <c r="JV13" i="75"/>
  <c r="JV14" i="75"/>
  <c r="JV15" i="75"/>
  <c r="JV16" i="75"/>
  <c r="JV17" i="75"/>
  <c r="JV18" i="75"/>
  <c r="JV19" i="75"/>
  <c r="JV20" i="75"/>
  <c r="JV21" i="75"/>
  <c r="JV22" i="75"/>
  <c r="JV23"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KL10" i="75"/>
  <c r="KL11" i="75"/>
  <c r="KL12" i="75"/>
  <c r="KL13" i="75"/>
  <c r="KL14" i="75"/>
  <c r="KL15" i="75"/>
  <c r="KL16" i="75"/>
  <c r="KL17" i="75"/>
  <c r="KL18" i="75"/>
  <c r="KL19" i="75"/>
  <c r="KL20" i="75"/>
  <c r="KL21" i="75"/>
  <c r="KL22" i="75"/>
  <c r="KL23"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KM10" i="75"/>
  <c r="KM11" i="75"/>
  <c r="KM12" i="75"/>
  <c r="KM13" i="75"/>
  <c r="KM14" i="75"/>
  <c r="KM15" i="75"/>
  <c r="KM16" i="75"/>
  <c r="KM17" i="75"/>
  <c r="KM18" i="75"/>
  <c r="KM19" i="75"/>
  <c r="KM20" i="75"/>
  <c r="KM21" i="75"/>
  <c r="KM22" i="75"/>
  <c r="KM23"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KN10" i="75"/>
  <c r="KN11" i="75"/>
  <c r="KN12" i="75"/>
  <c r="KN13" i="75"/>
  <c r="KN14" i="75"/>
  <c r="KN15" i="75"/>
  <c r="KN16" i="75"/>
  <c r="KN17" i="75"/>
  <c r="KN18" i="75"/>
  <c r="KN19" i="75"/>
  <c r="KN20" i="75"/>
  <c r="KN21" i="75"/>
  <c r="KN22" i="75"/>
  <c r="KN23"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KO10" i="75"/>
  <c r="KO11" i="75"/>
  <c r="KO12" i="75"/>
  <c r="KO13" i="75"/>
  <c r="KO14" i="75"/>
  <c r="KO15" i="75"/>
  <c r="KO16" i="75"/>
  <c r="KO17" i="75"/>
  <c r="KO18" i="75"/>
  <c r="KO19" i="75"/>
  <c r="KO20" i="75"/>
  <c r="KO21" i="75"/>
  <c r="KO22" i="75"/>
  <c r="KO23"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KP10" i="75"/>
  <c r="KP11" i="75"/>
  <c r="KP12" i="75"/>
  <c r="KP13" i="75"/>
  <c r="KP14" i="75"/>
  <c r="KP15" i="75"/>
  <c r="KP16" i="75"/>
  <c r="KP17" i="75"/>
  <c r="KP18" i="75"/>
  <c r="KP19" i="75"/>
  <c r="KP20" i="75"/>
  <c r="KP21" i="75"/>
  <c r="KP22" i="75"/>
  <c r="KP23"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KB10" i="75"/>
  <c r="KB11" i="75"/>
  <c r="KB12" i="75"/>
  <c r="KB13" i="75"/>
  <c r="KB14" i="75"/>
  <c r="KB15" i="75"/>
  <c r="KB16" i="75"/>
  <c r="KB17" i="75"/>
  <c r="KB18" i="75"/>
  <c r="KB19" i="75"/>
  <c r="KB20" i="75"/>
  <c r="KB21" i="75"/>
  <c r="KB22" i="75"/>
  <c r="KB23"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V10" i="75"/>
  <c r="KV11" i="75"/>
  <c r="KV12" i="75"/>
  <c r="KV13" i="75"/>
  <c r="KV14" i="75"/>
  <c r="KV15" i="75"/>
  <c r="KV16" i="75"/>
  <c r="KV17" i="75"/>
  <c r="KV18" i="75"/>
  <c r="KV19" i="75"/>
  <c r="KV20" i="75"/>
  <c r="KV21" i="75"/>
  <c r="KV22" i="75"/>
  <c r="KV23" i="75"/>
  <c r="KV24" i="75"/>
  <c r="KV25" i="75"/>
  <c r="KV26" i="75"/>
  <c r="KV27" i="75"/>
  <c r="KV28" i="75"/>
  <c r="KV29" i="75"/>
  <c r="KV30" i="75"/>
  <c r="KV31" i="75"/>
  <c r="KV32" i="75"/>
  <c r="KV33" i="75"/>
  <c r="KV34" i="75"/>
  <c r="KV35" i="75"/>
  <c r="KV36" i="75"/>
  <c r="KV37" i="75"/>
  <c r="KV38" i="75"/>
  <c r="KV39" i="75"/>
  <c r="KV40" i="75"/>
  <c r="KV41" i="75"/>
  <c r="KV42" i="75"/>
  <c r="KV43" i="75"/>
  <c r="KV44" i="75"/>
  <c r="KV45" i="75"/>
  <c r="KV46" i="75"/>
  <c r="KV47" i="75"/>
  <c r="KC10" i="75"/>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W10" i="75"/>
  <c r="KW11" i="75"/>
  <c r="KW12" i="75"/>
  <c r="KW13" i="75"/>
  <c r="KW14" i="75"/>
  <c r="KW15" i="75"/>
  <c r="KW16" i="75"/>
  <c r="KW17"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KD10"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X10" i="75"/>
  <c r="KX11" i="75"/>
  <c r="KX12" i="75"/>
  <c r="KX13" i="75"/>
  <c r="KX14" i="75"/>
  <c r="KX15" i="75"/>
  <c r="KX16" i="75"/>
  <c r="KX17" i="75"/>
  <c r="KX18"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E10"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Y10" i="75"/>
  <c r="KY11" i="75"/>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KF10" i="75"/>
  <c r="KF11" i="75"/>
  <c r="KF12" i="75"/>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Z10"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J39" i="66"/>
  <c r="J62" i="94" s="1"/>
  <c r="F102" i="78"/>
  <c r="F101" i="78"/>
  <c r="O2090" i="94"/>
  <c r="O440" i="72"/>
  <c r="O2088" i="94" s="1"/>
  <c r="L2088" i="94" s="1"/>
  <c r="O2068" i="94"/>
  <c r="P2057" i="94"/>
  <c r="O2057" i="94"/>
  <c r="N2057" i="94"/>
  <c r="R386" i="72"/>
  <c r="M409" i="72"/>
  <c r="M2057" i="94" s="1"/>
  <c r="P2056" i="94"/>
  <c r="O2056" i="94"/>
  <c r="N2056" i="94"/>
  <c r="G17" i="78"/>
  <c r="G23" i="78"/>
  <c r="G27" i="78"/>
  <c r="G33" i="78"/>
  <c r="G38" i="78"/>
  <c r="G64" i="78"/>
  <c r="G77" i="78"/>
  <c r="G83" i="78"/>
  <c r="G91" i="78"/>
  <c r="G105" i="78"/>
  <c r="G111" i="78"/>
  <c r="G118" i="78"/>
  <c r="D43" i="68" s="1"/>
  <c r="D420" i="94" s="1"/>
  <c r="G126" i="78"/>
  <c r="G130" i="78"/>
  <c r="K2057" i="94"/>
  <c r="L386" i="72"/>
  <c r="J409" i="72" s="1"/>
  <c r="J2057" i="94" s="1"/>
  <c r="O384" i="72"/>
  <c r="O2032" i="94" s="1"/>
  <c r="L2032" i="94" s="1"/>
  <c r="O369" i="72"/>
  <c r="O2017" i="94"/>
  <c r="O1991" i="94"/>
  <c r="O330" i="72"/>
  <c r="O1978" i="94" s="1"/>
  <c r="O334" i="72"/>
  <c r="O1982" i="94" s="1"/>
  <c r="Q1982" i="94" s="1"/>
  <c r="L306" i="72"/>
  <c r="O320" i="72" s="1"/>
  <c r="O298" i="72"/>
  <c r="O1946" i="94" s="1"/>
  <c r="K1934" i="94"/>
  <c r="O1936" i="94"/>
  <c r="K1870" i="94"/>
  <c r="J222" i="72"/>
  <c r="J1870" i="94" s="1"/>
  <c r="O205" i="72"/>
  <c r="O1853" i="94" s="1"/>
  <c r="I182" i="72"/>
  <c r="I1830" i="94" s="1"/>
  <c r="I1829" i="94"/>
  <c r="I1828" i="94"/>
  <c r="O1819" i="94"/>
  <c r="O107" i="72"/>
  <c r="O1755" i="94"/>
  <c r="O92" i="72"/>
  <c r="O1740" i="94" s="1"/>
  <c r="O86" i="72"/>
  <c r="O1734" i="94" s="1"/>
  <c r="O51" i="72"/>
  <c r="O1699" i="94" s="1"/>
  <c r="O22" i="72"/>
  <c r="O16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L2059" i="94" s="1"/>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L2034" i="94" s="1"/>
  <c r="O2034" i="94"/>
  <c r="O2039" i="94"/>
  <c r="L2039" i="94" s="1"/>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29" i="94"/>
  <c r="O1931" i="94"/>
  <c r="O1930" i="94"/>
  <c r="M1930" i="94" s="1"/>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Q1855" i="94" s="1"/>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H1826" i="94" s="1"/>
  <c r="L1806" i="94"/>
  <c r="K1806" i="94"/>
  <c r="J1806" i="94"/>
  <c r="I1806" i="94"/>
  <c r="O1807" i="94"/>
  <c r="O1804" i="94"/>
  <c r="O1816" i="94"/>
  <c r="O1815" i="94"/>
  <c r="O1814" i="94"/>
  <c r="K1816" i="94"/>
  <c r="J1816" i="94"/>
  <c r="I1816" i="94"/>
  <c r="H1816" i="94"/>
  <c r="K1815" i="94"/>
  <c r="J1815" i="94"/>
  <c r="I1815" i="94"/>
  <c r="L1815" i="94" s="1"/>
  <c r="H1815" i="94"/>
  <c r="K1814" i="94"/>
  <c r="J1814" i="94"/>
  <c r="I1814" i="94"/>
  <c r="L1814" i="94" s="1"/>
  <c r="M1814" i="94" s="1"/>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c r="O1783" i="94"/>
  <c r="O1782" i="94"/>
  <c r="O1781" i="94"/>
  <c r="O1780" i="94"/>
  <c r="O1779" i="94"/>
  <c r="O1778" i="94"/>
  <c r="O1777" i="94"/>
  <c r="O1776" i="94"/>
  <c r="O1774" i="94"/>
  <c r="O1773" i="94"/>
  <c r="O1767" i="94"/>
  <c r="O1766" i="94"/>
  <c r="O1764" i="94"/>
  <c r="O1763" i="94"/>
  <c r="L1763" i="94" s="1"/>
  <c r="O1760" i="94"/>
  <c r="O1759" i="94"/>
  <c r="O1757" i="94"/>
  <c r="L1757" i="94" s="1"/>
  <c r="A2102" i="94"/>
  <c r="A2084" i="94"/>
  <c r="A2064" i="94"/>
  <c r="A2028" i="94"/>
  <c r="A2013" i="94"/>
  <c r="A1973" i="94"/>
  <c r="A1950" i="94"/>
  <c r="A1921" i="94"/>
  <c r="A1872" i="94"/>
  <c r="A1833" i="94"/>
  <c r="A1715" i="94"/>
  <c r="I1746" i="94"/>
  <c r="I1744" i="94"/>
  <c r="I1742" i="94"/>
  <c r="L1740" i="94"/>
  <c r="I1740" i="94"/>
  <c r="O1745" i="94"/>
  <c r="Q1745" i="94" s="1"/>
  <c r="O1744" i="94"/>
  <c r="O1743" i="94"/>
  <c r="Q1743" i="94"/>
  <c r="O1742" i="94"/>
  <c r="O1741" i="94"/>
  <c r="O1737" i="94"/>
  <c r="O1736" i="94"/>
  <c r="O1735" i="94"/>
  <c r="Q1735" i="94" s="1"/>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c r="H1704" i="94"/>
  <c r="O1675" i="94"/>
  <c r="O1674" i="94"/>
  <c r="O1678" i="94"/>
  <c r="O1673" i="94"/>
  <c r="O1656" i="94"/>
  <c r="P2097" i="94"/>
  <c r="M2096" i="94"/>
  <c r="P2088" i="94"/>
  <c r="Q2079" i="94"/>
  <c r="O111" i="75"/>
  <c r="O2074" i="94"/>
  <c r="Q2072" i="94"/>
  <c r="L2070" i="94"/>
  <c r="R2068" i="94"/>
  <c r="P2068" i="94"/>
  <c r="M2052" i="94"/>
  <c r="Q2039" i="94"/>
  <c r="S2034" i="94"/>
  <c r="R2034" i="94"/>
  <c r="P2032" i="94"/>
  <c r="J2032" i="94"/>
  <c r="P2017" i="94"/>
  <c r="E1666" i="94"/>
  <c r="I2007" i="94"/>
  <c r="G1999" i="94"/>
  <c r="G1991" i="94"/>
  <c r="P1990" i="94"/>
  <c r="P2098" i="94"/>
  <c r="P1982" i="94"/>
  <c r="P1978" i="94"/>
  <c r="P1984" i="94"/>
  <c r="P1977" i="94" s="1"/>
  <c r="Q1970" i="94"/>
  <c r="Q1969" i="94"/>
  <c r="L306" i="94"/>
  <c r="P1968" i="94" s="1"/>
  <c r="Q1966" i="94"/>
  <c r="L1966" i="94"/>
  <c r="P1964" i="94"/>
  <c r="Q1955" i="94"/>
  <c r="L1955" i="94"/>
  <c r="J1955" i="94"/>
  <c r="P1954" i="94"/>
  <c r="L1954" i="94"/>
  <c r="U1948" i="94"/>
  <c r="U1947" i="94"/>
  <c r="M1947" i="94"/>
  <c r="P1946" i="94"/>
  <c r="H293" i="94"/>
  <c r="P1941" i="94" s="1"/>
  <c r="P1936" i="94"/>
  <c r="K1941" i="94"/>
  <c r="G1928" i="94"/>
  <c r="J1927" i="94"/>
  <c r="L1884" i="94"/>
  <c r="K1884" i="94"/>
  <c r="P153" i="94"/>
  <c r="O153" i="94"/>
  <c r="K1883" i="94"/>
  <c r="K1882" i="94"/>
  <c r="L1880" i="94"/>
  <c r="O107" i="94"/>
  <c r="K1880" i="94" s="1"/>
  <c r="P189" i="94"/>
  <c r="L1879" i="94" s="1"/>
  <c r="O189" i="94"/>
  <c r="K1879" i="94"/>
  <c r="L1870" i="94"/>
  <c r="I1861" i="94"/>
  <c r="J1859" i="94"/>
  <c r="L1858" i="94"/>
  <c r="L1857" i="94"/>
  <c r="L1856" i="94"/>
  <c r="L1855" i="94"/>
  <c r="Q1854" i="94"/>
  <c r="P1853" i="94"/>
  <c r="J1830" i="94"/>
  <c r="J1829" i="94"/>
  <c r="J1828" i="94"/>
  <c r="P1819" i="94" s="1"/>
  <c r="P1801" i="94" s="1"/>
  <c r="K1826" i="94"/>
  <c r="T1820" i="94"/>
  <c r="L1816" i="94"/>
  <c r="M1816" i="94" s="1"/>
  <c r="T1816" i="94" s="1"/>
  <c r="M1815" i="94"/>
  <c r="T1815" i="94" s="1"/>
  <c r="T1814" i="94"/>
  <c r="F1808" i="94"/>
  <c r="Q1771" i="94"/>
  <c r="Q1770" i="94"/>
  <c r="Q1769" i="94"/>
  <c r="Q1763" i="94"/>
  <c r="Q1757" i="94"/>
  <c r="J1757" i="94"/>
  <c r="M107" i="94"/>
  <c r="P1755" i="94"/>
  <c r="Q1748" i="94"/>
  <c r="Q1744" i="94"/>
  <c r="J72" i="94"/>
  <c r="P1740" i="94"/>
  <c r="F1738" i="94"/>
  <c r="Q1737" i="94"/>
  <c r="P1734" i="94"/>
  <c r="J1720" i="94"/>
  <c r="P1719" i="94"/>
  <c r="Q1712" i="94"/>
  <c r="P1709" i="94"/>
  <c r="M1934" i="94" s="1"/>
  <c r="J1704" i="94"/>
  <c r="Q1701" i="94"/>
  <c r="K1700" i="94"/>
  <c r="P1699" i="94"/>
  <c r="K1697" i="94"/>
  <c r="O1681" i="94"/>
  <c r="P1678" i="94" s="1"/>
  <c r="J1681" i="94"/>
  <c r="F1681" i="94"/>
  <c r="P1674" i="94"/>
  <c r="P1673" i="94"/>
  <c r="F1668" i="94"/>
  <c r="O420" i="94"/>
  <c r="E1668" i="94"/>
  <c r="F1667" i="94"/>
  <c r="E1667" i="94"/>
  <c r="F1666" i="94"/>
  <c r="F1665" i="94"/>
  <c r="O359" i="94"/>
  <c r="E1665" i="94"/>
  <c r="F1664" i="94"/>
  <c r="E1664" i="94"/>
  <c r="F1663" i="94"/>
  <c r="E1663" i="94"/>
  <c r="F1662" i="94"/>
  <c r="F1661" i="94"/>
  <c r="E1661" i="94"/>
  <c r="Q1660" i="94"/>
  <c r="F1660" i="94"/>
  <c r="E1660" i="94"/>
  <c r="F1659" i="94"/>
  <c r="O61" i="94"/>
  <c r="E1659" i="94" s="1"/>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3" i="73"/>
  <c r="A1161" i="94" s="1"/>
  <c r="H3" i="73"/>
  <c r="H1161" i="94" s="1"/>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c r="J1539" i="94"/>
  <c r="N1467" i="94"/>
  <c r="N1465" i="94"/>
  <c r="M1465" i="94"/>
  <c r="L1465" i="94" s="1"/>
  <c r="N1464" i="94"/>
  <c r="N1399" i="94"/>
  <c r="J1231" i="94"/>
  <c r="L1224" i="94"/>
  <c r="L1223" i="94"/>
  <c r="L1222" i="94"/>
  <c r="L1221" i="94"/>
  <c r="L1220" i="94"/>
  <c r="R48" i="81"/>
  <c r="L1217" i="94"/>
  <c r="Q1216" i="94"/>
  <c r="P1216" i="94"/>
  <c r="Q48" i="81"/>
  <c r="L1216" i="94" s="1"/>
  <c r="P48" i="81"/>
  <c r="L1201" i="94" s="1"/>
  <c r="L1215" i="94"/>
  <c r="O48" i="81"/>
  <c r="L1214" i="94"/>
  <c r="Q1213" i="94"/>
  <c r="P1213" i="94"/>
  <c r="N48" i="81"/>
  <c r="L1213" i="94" s="1"/>
  <c r="L1210" i="94"/>
  <c r="L1209" i="94"/>
  <c r="L1208" i="94"/>
  <c r="L1207" i="94"/>
  <c r="L1206" i="94"/>
  <c r="L1203" i="94"/>
  <c r="L1202" i="94"/>
  <c r="L1200" i="94"/>
  <c r="L1199" i="94"/>
  <c r="R1159" i="94"/>
  <c r="A1159" i="94"/>
  <c r="K210" i="75"/>
  <c r="F112" i="74"/>
  <c r="F1127" i="94" s="1"/>
  <c r="J210" i="75"/>
  <c r="E112" i="74"/>
  <c r="E1127" i="94"/>
  <c r="I210" i="75"/>
  <c r="D112" i="74"/>
  <c r="D1127" i="94" s="1"/>
  <c r="H210" i="75"/>
  <c r="C112" i="74" s="1"/>
  <c r="C1127" i="94" s="1"/>
  <c r="G210" i="75"/>
  <c r="B112" i="74" s="1"/>
  <c r="B1127" i="94" s="1"/>
  <c r="K206" i="75"/>
  <c r="F111" i="74" s="1"/>
  <c r="F1126" i="94" s="1"/>
  <c r="J206" i="75"/>
  <c r="E111" i="74" s="1"/>
  <c r="E1126" i="94" s="1"/>
  <c r="I206" i="75"/>
  <c r="D111" i="74" s="1"/>
  <c r="D1126" i="94"/>
  <c r="H206" i="75"/>
  <c r="C111" i="74"/>
  <c r="C1126" i="94" s="1"/>
  <c r="G206" i="75"/>
  <c r="B111" i="74"/>
  <c r="B1126" i="94"/>
  <c r="P201" i="75"/>
  <c r="K82" i="74"/>
  <c r="K1097" i="94" s="1"/>
  <c r="O201" i="75"/>
  <c r="J82" i="74" s="1"/>
  <c r="J1097" i="94" s="1"/>
  <c r="N201" i="75"/>
  <c r="I82" i="74" s="1"/>
  <c r="I1097" i="94" s="1"/>
  <c r="M201" i="75"/>
  <c r="H82" i="74" s="1"/>
  <c r="H1097" i="94" s="1"/>
  <c r="L201" i="75"/>
  <c r="G82" i="74" s="1"/>
  <c r="G1097" i="94" s="1"/>
  <c r="K201" i="75"/>
  <c r="F82" i="74" s="1"/>
  <c r="F1097" i="94"/>
  <c r="J201" i="75"/>
  <c r="E82" i="74"/>
  <c r="E1097" i="94" s="1"/>
  <c r="I201" i="75"/>
  <c r="D82" i="74"/>
  <c r="D1097" i="94"/>
  <c r="H201" i="75"/>
  <c r="C82" i="74"/>
  <c r="C1097" i="94" s="1"/>
  <c r="G201" i="75"/>
  <c r="B82" i="74" s="1"/>
  <c r="B1097" i="94" s="1"/>
  <c r="P197" i="75"/>
  <c r="K81" i="74" s="1"/>
  <c r="K1096" i="94" s="1"/>
  <c r="O197" i="75"/>
  <c r="J81" i="74" s="1"/>
  <c r="J1096" i="94" s="1"/>
  <c r="N197" i="75"/>
  <c r="I81" i="74" s="1"/>
  <c r="I1096" i="94" s="1"/>
  <c r="M197" i="75"/>
  <c r="H81" i="74" s="1"/>
  <c r="H1096" i="94"/>
  <c r="L197" i="75"/>
  <c r="G81" i="74"/>
  <c r="G1096" i="94" s="1"/>
  <c r="K197" i="75"/>
  <c r="F81" i="74"/>
  <c r="F1096" i="94"/>
  <c r="J197" i="75"/>
  <c r="E81" i="74"/>
  <c r="E1096" i="94" s="1"/>
  <c r="I197" i="75"/>
  <c r="D81" i="74" s="1"/>
  <c r="D1096" i="94" s="1"/>
  <c r="H197" i="75"/>
  <c r="C81" i="74" s="1"/>
  <c r="C1096" i="94" s="1"/>
  <c r="G197" i="75"/>
  <c r="B81" i="74" s="1"/>
  <c r="B1096" i="94" s="1"/>
  <c r="P192" i="75"/>
  <c r="K50" i="74" s="1"/>
  <c r="K1065" i="94" s="1"/>
  <c r="O192" i="75"/>
  <c r="J50" i="74" s="1"/>
  <c r="J1065" i="94"/>
  <c r="N192" i="75"/>
  <c r="I50" i="74"/>
  <c r="I1065" i="94" s="1"/>
  <c r="M192" i="75"/>
  <c r="H50" i="74"/>
  <c r="H1065" i="94"/>
  <c r="L192" i="75"/>
  <c r="G50" i="74"/>
  <c r="G1065" i="94" s="1"/>
  <c r="K192" i="75"/>
  <c r="F50" i="74" s="1"/>
  <c r="F1065" i="94" s="1"/>
  <c r="J192" i="75"/>
  <c r="E50" i="74" s="1"/>
  <c r="E1065" i="94" s="1"/>
  <c r="I192" i="75"/>
  <c r="D50" i="74" s="1"/>
  <c r="D1065" i="94" s="1"/>
  <c r="H192" i="75"/>
  <c r="C50" i="74"/>
  <c r="C1065" i="94"/>
  <c r="G192" i="75"/>
  <c r="B50" i="74" s="1"/>
  <c r="B1065" i="94"/>
  <c r="P188" i="75"/>
  <c r="K49" i="74"/>
  <c r="K1064" i="94" s="1"/>
  <c r="O188" i="75"/>
  <c r="J49" i="74"/>
  <c r="J1064" i="94" s="1"/>
  <c r="N188" i="75"/>
  <c r="I49" i="74"/>
  <c r="I1064" i="94" s="1"/>
  <c r="M188" i="75"/>
  <c r="H49" i="74" s="1"/>
  <c r="H1064" i="94" s="1"/>
  <c r="L188" i="75"/>
  <c r="G49" i="74"/>
  <c r="G1064" i="94" s="1"/>
  <c r="K188" i="75"/>
  <c r="F49" i="74" s="1"/>
  <c r="F1064" i="94"/>
  <c r="J188" i="75"/>
  <c r="E49" i="74"/>
  <c r="E1064" i="94"/>
  <c r="I188" i="75"/>
  <c r="D49" i="74" s="1"/>
  <c r="D1064" i="94" s="1"/>
  <c r="H188" i="75"/>
  <c r="C49" i="74"/>
  <c r="C1064" i="94" s="1"/>
  <c r="G188" i="75"/>
  <c r="B49" i="74"/>
  <c r="B1064" i="94"/>
  <c r="G179" i="75"/>
  <c r="B17" i="74"/>
  <c r="B1032" i="94" s="1"/>
  <c r="H179" i="75"/>
  <c r="C17" i="74" s="1"/>
  <c r="C1032" i="94" s="1"/>
  <c r="I179" i="75"/>
  <c r="D17" i="74" s="1"/>
  <c r="D1032" i="94" s="1"/>
  <c r="J179" i="75"/>
  <c r="E17" i="74" s="1"/>
  <c r="E1032" i="94" s="1"/>
  <c r="K179" i="75"/>
  <c r="F17" i="74"/>
  <c r="F1032" i="94"/>
  <c r="L179" i="75"/>
  <c r="G17" i="74" s="1"/>
  <c r="G1032" i="94"/>
  <c r="M179" i="75"/>
  <c r="H17" i="74"/>
  <c r="H1032" i="94" s="1"/>
  <c r="N179" i="75"/>
  <c r="I17" i="74"/>
  <c r="I1032" i="94"/>
  <c r="O179" i="75"/>
  <c r="J17" i="74" s="1"/>
  <c r="J1032" i="94" s="1"/>
  <c r="P179" i="75"/>
  <c r="K17" i="74"/>
  <c r="K1032" i="94" s="1"/>
  <c r="G183" i="75"/>
  <c r="B18" i="74"/>
  <c r="B1033" i="94"/>
  <c r="H183" i="75"/>
  <c r="C18" i="74"/>
  <c r="C1033" i="94" s="1"/>
  <c r="I183" i="75"/>
  <c r="D18" i="74" s="1"/>
  <c r="D1033" i="94" s="1"/>
  <c r="J183" i="75"/>
  <c r="E18" i="74"/>
  <c r="E1033" i="94" s="1"/>
  <c r="K183" i="75"/>
  <c r="F18" i="74" s="1"/>
  <c r="F1033" i="94" s="1"/>
  <c r="L183" i="75"/>
  <c r="G18" i="74"/>
  <c r="G1033" i="94"/>
  <c r="M183" i="75"/>
  <c r="H18" i="74" s="1"/>
  <c r="H1033" i="94" s="1"/>
  <c r="N183" i="75"/>
  <c r="I18" i="74"/>
  <c r="I1033" i="94" s="1"/>
  <c r="O183" i="75"/>
  <c r="J18" i="74"/>
  <c r="J1033" i="94"/>
  <c r="P183" i="75"/>
  <c r="K18" i="74"/>
  <c r="K1033" i="94" s="1"/>
  <c r="G1154" i="94"/>
  <c r="A1154" i="94"/>
  <c r="F135" i="74"/>
  <c r="F1150" i="94"/>
  <c r="E135" i="74"/>
  <c r="E1150" i="94" s="1"/>
  <c r="D135" i="74"/>
  <c r="D1150" i="94" s="1"/>
  <c r="C135" i="74"/>
  <c r="C1150" i="94" s="1"/>
  <c r="B135" i="74"/>
  <c r="B1150" i="94"/>
  <c r="F134" i="74"/>
  <c r="F1149" i="94" s="1"/>
  <c r="E134" i="74"/>
  <c r="E1149" i="94" s="1"/>
  <c r="D134" i="74"/>
  <c r="D1149" i="94" s="1"/>
  <c r="C134" i="74"/>
  <c r="C1149" i="94"/>
  <c r="B134" i="74"/>
  <c r="B1149" i="94" s="1"/>
  <c r="F133" i="74"/>
  <c r="F1148" i="94" s="1"/>
  <c r="E133" i="74"/>
  <c r="E1148" i="94" s="1"/>
  <c r="D133" i="74"/>
  <c r="D1148" i="94"/>
  <c r="C133" i="74"/>
  <c r="C1148" i="94" s="1"/>
  <c r="B133" i="74"/>
  <c r="B1148" i="94" s="1"/>
  <c r="K105" i="74"/>
  <c r="K1120" i="94" s="1"/>
  <c r="J105" i="74"/>
  <c r="J1120" i="94"/>
  <c r="I105" i="74"/>
  <c r="I1120" i="94" s="1"/>
  <c r="H105" i="74"/>
  <c r="H1120" i="94" s="1"/>
  <c r="G105" i="74"/>
  <c r="G1120" i="94" s="1"/>
  <c r="F105" i="74"/>
  <c r="F1120" i="94"/>
  <c r="E105" i="74"/>
  <c r="E1120" i="94" s="1"/>
  <c r="D105" i="74"/>
  <c r="D1120" i="94" s="1"/>
  <c r="C105" i="74"/>
  <c r="C1120" i="94" s="1"/>
  <c r="B105" i="74"/>
  <c r="B1120" i="94"/>
  <c r="K104" i="74"/>
  <c r="K1119" i="94" s="1"/>
  <c r="J104" i="74"/>
  <c r="J1119" i="94" s="1"/>
  <c r="I104" i="74"/>
  <c r="I1119" i="94" s="1"/>
  <c r="H104" i="74"/>
  <c r="H1119" i="94"/>
  <c r="G104" i="74"/>
  <c r="G1119" i="94" s="1"/>
  <c r="F104" i="74"/>
  <c r="F1119" i="94" s="1"/>
  <c r="E104" i="74"/>
  <c r="E1119" i="94" s="1"/>
  <c r="D104" i="74"/>
  <c r="D1119" i="94"/>
  <c r="C104" i="74"/>
  <c r="C1119" i="94" s="1"/>
  <c r="B104" i="74"/>
  <c r="B1119" i="94" s="1"/>
  <c r="K103" i="74"/>
  <c r="K1118" i="94" s="1"/>
  <c r="J103" i="74"/>
  <c r="J1118" i="94"/>
  <c r="I103" i="74"/>
  <c r="I1118" i="94" s="1"/>
  <c r="H103" i="74"/>
  <c r="H1118" i="94" s="1"/>
  <c r="G103" i="74"/>
  <c r="G1118" i="94" s="1"/>
  <c r="F103" i="74"/>
  <c r="F1118" i="94"/>
  <c r="E103" i="74"/>
  <c r="E1118" i="94" s="1"/>
  <c r="D103" i="74"/>
  <c r="D1118" i="94" s="1"/>
  <c r="C103" i="74"/>
  <c r="C1118" i="94" s="1"/>
  <c r="B103" i="74"/>
  <c r="B1118" i="94"/>
  <c r="K75" i="74"/>
  <c r="K1090" i="94" s="1"/>
  <c r="J75" i="74"/>
  <c r="J1090" i="94" s="1"/>
  <c r="I75" i="74"/>
  <c r="I1090" i="94" s="1"/>
  <c r="H75" i="74"/>
  <c r="H1090" i="94" s="1"/>
  <c r="K74" i="74"/>
  <c r="K1089" i="94" s="1"/>
  <c r="J74" i="74"/>
  <c r="J1089" i="94"/>
  <c r="I74" i="74"/>
  <c r="I1089" i="94" s="1"/>
  <c r="H74" i="74"/>
  <c r="H1089" i="94" s="1"/>
  <c r="G74" i="74"/>
  <c r="G1089" i="94" s="1"/>
  <c r="F74" i="74"/>
  <c r="F1089" i="94"/>
  <c r="E74" i="74"/>
  <c r="E1089" i="94" s="1"/>
  <c r="D74" i="74"/>
  <c r="D1089" i="94" s="1"/>
  <c r="C74" i="74"/>
  <c r="C1089" i="94" s="1"/>
  <c r="B74" i="74"/>
  <c r="B1089" i="94"/>
  <c r="K73" i="74"/>
  <c r="K1088" i="94" s="1"/>
  <c r="J73" i="74"/>
  <c r="J1088" i="94" s="1"/>
  <c r="I73" i="74"/>
  <c r="I1088" i="94" s="1"/>
  <c r="H73" i="74"/>
  <c r="H1088" i="94"/>
  <c r="G73" i="74"/>
  <c r="G1088" i="94" s="1"/>
  <c r="F73" i="74"/>
  <c r="F1088" i="94" s="1"/>
  <c r="E73" i="74"/>
  <c r="E1088" i="94" s="1"/>
  <c r="D73" i="74"/>
  <c r="D1088" i="94"/>
  <c r="C73" i="74"/>
  <c r="C1088" i="94" s="1"/>
  <c r="B73" i="74"/>
  <c r="B1088" i="94" s="1"/>
  <c r="K72" i="74"/>
  <c r="K1087" i="94" s="1"/>
  <c r="J72" i="74"/>
  <c r="J1087" i="94"/>
  <c r="I72" i="74"/>
  <c r="I1087" i="94" s="1"/>
  <c r="H72" i="74"/>
  <c r="H1087" i="94" s="1"/>
  <c r="G72" i="74"/>
  <c r="G1087" i="94" s="1"/>
  <c r="F72" i="74"/>
  <c r="F1087" i="94"/>
  <c r="E72" i="74"/>
  <c r="E1087" i="94" s="1"/>
  <c r="D72" i="74"/>
  <c r="D1087" i="94" s="1"/>
  <c r="C72" i="74"/>
  <c r="C1087" i="94" s="1"/>
  <c r="B72" i="74"/>
  <c r="B1087" i="94"/>
  <c r="K42" i="74"/>
  <c r="K1057" i="94" s="1"/>
  <c r="J42" i="74"/>
  <c r="J1057" i="94" s="1"/>
  <c r="I42" i="74"/>
  <c r="I1057" i="94" s="1"/>
  <c r="H42" i="74"/>
  <c r="H1057" i="94"/>
  <c r="G42" i="74"/>
  <c r="G1057" i="94" s="1"/>
  <c r="F42" i="74"/>
  <c r="F1057" i="94" s="1"/>
  <c r="E42" i="74"/>
  <c r="E1057" i="94" s="1"/>
  <c r="D42" i="74"/>
  <c r="D1057" i="94"/>
  <c r="C42" i="74"/>
  <c r="C1057" i="94" s="1"/>
  <c r="B42" i="74"/>
  <c r="B1057" i="94" s="1"/>
  <c r="K41" i="74"/>
  <c r="K1056" i="94" s="1"/>
  <c r="J41" i="74"/>
  <c r="J1056" i="94"/>
  <c r="I41" i="74"/>
  <c r="I1056" i="94" s="1"/>
  <c r="H41" i="74"/>
  <c r="H1056" i="94" s="1"/>
  <c r="G41" i="74"/>
  <c r="G1056" i="94" s="1"/>
  <c r="F41" i="74"/>
  <c r="F1056" i="94"/>
  <c r="E41" i="74"/>
  <c r="E1056" i="94" s="1"/>
  <c r="D41" i="74"/>
  <c r="D1056" i="94" s="1"/>
  <c r="C41" i="74"/>
  <c r="C1056" i="94" s="1"/>
  <c r="B41" i="74"/>
  <c r="B1056" i="94"/>
  <c r="K40" i="74"/>
  <c r="K1055" i="94" s="1"/>
  <c r="J40" i="74"/>
  <c r="J1055" i="94" s="1"/>
  <c r="I40" i="74"/>
  <c r="I1055" i="94" s="1"/>
  <c r="H40" i="74"/>
  <c r="H1055" i="94"/>
  <c r="G40" i="74"/>
  <c r="G1055" i="94" s="1"/>
  <c r="F40" i="74"/>
  <c r="F1055" i="94" s="1"/>
  <c r="E40" i="74"/>
  <c r="E1055" i="94" s="1"/>
  <c r="D40" i="74"/>
  <c r="D1055" i="94"/>
  <c r="C40" i="74"/>
  <c r="C1055" i="94" s="1"/>
  <c r="B40" i="74"/>
  <c r="B1055" i="94" s="1"/>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J2052" i="94"/>
  <c r="L1785" i="94"/>
  <c r="L1700" i="94"/>
  <c r="U1814" i="94"/>
  <c r="P1670" i="94"/>
  <c r="K1044" i="94"/>
  <c r="J1044" i="94"/>
  <c r="I1044" i="94"/>
  <c r="H1044" i="94"/>
  <c r="G1044" i="94"/>
  <c r="F1044" i="94"/>
  <c r="E1044" i="94"/>
  <c r="D1044" i="94"/>
  <c r="C1044" i="94"/>
  <c r="B1044" i="94"/>
  <c r="P43" i="68"/>
  <c r="K31" i="74" s="1"/>
  <c r="B30" i="74"/>
  <c r="B1045" i="94" s="1"/>
  <c r="C30" i="74"/>
  <c r="P41" i="68"/>
  <c r="K28" i="74"/>
  <c r="K1043" i="94"/>
  <c r="J28" i="74"/>
  <c r="J1043" i="94" s="1"/>
  <c r="I28" i="74"/>
  <c r="I1043" i="94" s="1"/>
  <c r="H28" i="74"/>
  <c r="H1043" i="94" s="1"/>
  <c r="G28" i="74"/>
  <c r="G1043" i="94"/>
  <c r="F28" i="74"/>
  <c r="F1043" i="94" s="1"/>
  <c r="E28" i="74"/>
  <c r="E1043" i="94" s="1"/>
  <c r="D28" i="74"/>
  <c r="D1043" i="94" s="1"/>
  <c r="C28" i="74"/>
  <c r="C1043" i="94"/>
  <c r="B28" i="74"/>
  <c r="B1043" i="94" s="1"/>
  <c r="P40" i="68"/>
  <c r="P39" i="68"/>
  <c r="E1135" i="94" s="1"/>
  <c r="K26" i="74"/>
  <c r="K1041" i="94" s="1"/>
  <c r="J26" i="74"/>
  <c r="J1041" i="94" s="1"/>
  <c r="G26" i="74"/>
  <c r="G1041" i="94" s="1"/>
  <c r="F26" i="74"/>
  <c r="F1041" i="94" s="1"/>
  <c r="C26" i="74"/>
  <c r="C1041" i="94" s="1"/>
  <c r="B26" i="74"/>
  <c r="B1041" i="94" s="1"/>
  <c r="P38" i="68"/>
  <c r="J25" i="74" s="1"/>
  <c r="C13" i="74"/>
  <c r="C23" i="74"/>
  <c r="C1038" i="94"/>
  <c r="D13" i="74"/>
  <c r="B23" i="74"/>
  <c r="B1038" i="94" s="1"/>
  <c r="K1024" i="94"/>
  <c r="K1023" i="94"/>
  <c r="G1024" i="94"/>
  <c r="G1023" i="94"/>
  <c r="G1020" i="94"/>
  <c r="B1023" i="94"/>
  <c r="F1137" i="94"/>
  <c r="E1137" i="94"/>
  <c r="D1137" i="94"/>
  <c r="C1137" i="94"/>
  <c r="B1137" i="94"/>
  <c r="F1135" i="94"/>
  <c r="K1107" i="94"/>
  <c r="J1107" i="94"/>
  <c r="I1107" i="94"/>
  <c r="H1107" i="94"/>
  <c r="G1107" i="94"/>
  <c r="F1107" i="94"/>
  <c r="E1107" i="94"/>
  <c r="D1107" i="94"/>
  <c r="C1107" i="94"/>
  <c r="B1107" i="94"/>
  <c r="B1106" i="94"/>
  <c r="G1105" i="94"/>
  <c r="F1105" i="94"/>
  <c r="D1105" i="94"/>
  <c r="A1083" i="94"/>
  <c r="A1114" i="94"/>
  <c r="A1144" i="94"/>
  <c r="K1075" i="94"/>
  <c r="J1075" i="94"/>
  <c r="I1075" i="94"/>
  <c r="H1075" i="94"/>
  <c r="G1075" i="94"/>
  <c r="F1075" i="94"/>
  <c r="E1075" i="94"/>
  <c r="D1075" i="94"/>
  <c r="C1075" i="94"/>
  <c r="B1075" i="94"/>
  <c r="A1075" i="94"/>
  <c r="A1107" i="94" s="1"/>
  <c r="A1137" i="94" s="1"/>
  <c r="A1074" i="94"/>
  <c r="A1106" i="94"/>
  <c r="A1136" i="94" s="1"/>
  <c r="K1073" i="94"/>
  <c r="F1073" i="94"/>
  <c r="E1073" i="94"/>
  <c r="C1073" i="94"/>
  <c r="A1073" i="94"/>
  <c r="A1105" i="94" s="1"/>
  <c r="A1135" i="94" s="1"/>
  <c r="A1072" i="94"/>
  <c r="A1104" i="94"/>
  <c r="A1134" i="94" s="1"/>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11" i="75"/>
  <c r="Q773" i="94" s="1"/>
  <c r="Q12" i="75"/>
  <c r="Q774" i="94" s="1"/>
  <c r="Q13" i="75"/>
  <c r="Q775" i="94" s="1"/>
  <c r="Q14" i="75"/>
  <c r="Q776" i="94"/>
  <c r="Q15" i="75"/>
  <c r="Q777" i="94" s="1"/>
  <c r="Q16" i="75"/>
  <c r="Q778" i="94" s="1"/>
  <c r="Q17" i="75"/>
  <c r="Q779" i="94" s="1"/>
  <c r="Q18" i="75"/>
  <c r="Q780" i="94" s="1"/>
  <c r="Q19" i="75"/>
  <c r="Q781" i="94" s="1"/>
  <c r="Q20" i="75"/>
  <c r="Q782" i="94" s="1"/>
  <c r="Q21" i="75"/>
  <c r="Q783" i="94"/>
  <c r="Q22" i="75"/>
  <c r="Q784" i="94" s="1"/>
  <c r="Q23" i="75"/>
  <c r="Q785" i="94"/>
  <c r="Q24" i="75"/>
  <c r="Q786" i="94"/>
  <c r="Q25" i="75"/>
  <c r="Q787" i="94"/>
  <c r="Q26" i="75"/>
  <c r="Q788" i="94"/>
  <c r="Q27" i="75"/>
  <c r="Q789" i="94"/>
  <c r="Q28" i="75"/>
  <c r="Q790" i="94"/>
  <c r="Q29" i="75"/>
  <c r="Q791" i="94"/>
  <c r="Q30" i="75"/>
  <c r="Q792" i="94"/>
  <c r="Q31" i="75"/>
  <c r="Q793" i="94"/>
  <c r="Q32" i="75"/>
  <c r="Q794" i="94"/>
  <c r="Q33" i="75"/>
  <c r="Q795" i="94"/>
  <c r="Q34" i="75"/>
  <c r="Q796" i="94"/>
  <c r="Q35" i="75"/>
  <c r="Q797" i="94"/>
  <c r="Q36" i="75"/>
  <c r="Q798" i="94"/>
  <c r="Q37" i="75"/>
  <c r="Q799" i="94"/>
  <c r="Q38" i="75"/>
  <c r="Q800" i="94"/>
  <c r="Q39" i="75"/>
  <c r="Q801" i="94"/>
  <c r="Q40" i="75"/>
  <c r="Q802" i="94"/>
  <c r="Q41" i="75"/>
  <c r="Q803" i="94"/>
  <c r="Q42" i="75"/>
  <c r="Q804" i="94"/>
  <c r="Q43" i="75"/>
  <c r="Q805" i="94"/>
  <c r="Q44" i="75"/>
  <c r="Q806" i="94"/>
  <c r="Q45" i="75"/>
  <c r="Q807" i="94"/>
  <c r="Q46" i="75"/>
  <c r="Q808" i="94"/>
  <c r="Q47" i="75"/>
  <c r="Q809"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N963" i="94" s="1"/>
  <c r="M961" i="94"/>
  <c r="M963"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M941" i="94" s="1"/>
  <c r="N940" i="94"/>
  <c r="O940" i="94"/>
  <c r="P940" i="94"/>
  <c r="G940" i="94"/>
  <c r="C940" i="94"/>
  <c r="G939" i="94"/>
  <c r="K872" i="94"/>
  <c r="L872" i="94"/>
  <c r="M872" i="94"/>
  <c r="N872" i="94"/>
  <c r="K873" i="94"/>
  <c r="L873" i="94"/>
  <c r="M873" i="94"/>
  <c r="N873" i="94"/>
  <c r="J873" i="94"/>
  <c r="J872" i="94"/>
  <c r="B49" i="75"/>
  <c r="B811" i="94" s="1"/>
  <c r="N773" i="94"/>
  <c r="O773" i="94"/>
  <c r="P773" i="94"/>
  <c r="N774" i="94"/>
  <c r="O774" i="94"/>
  <c r="P774" i="94"/>
  <c r="N775" i="94"/>
  <c r="O775" i="94"/>
  <c r="P775" i="94"/>
  <c r="N776" i="94"/>
  <c r="O776" i="94"/>
  <c r="P776" i="94"/>
  <c r="N777" i="94"/>
  <c r="O777" i="94"/>
  <c r="HQ777" i="94" s="1"/>
  <c r="LX777" i="94"/>
  <c r="P777" i="94"/>
  <c r="N778" i="94"/>
  <c r="O778" i="94"/>
  <c r="P778" i="94"/>
  <c r="N779" i="94"/>
  <c r="IC779" i="94" s="1"/>
  <c r="O779" i="94"/>
  <c r="P779" i="94"/>
  <c r="LC779" i="94" s="1"/>
  <c r="N780" i="94"/>
  <c r="O780" i="94"/>
  <c r="P780" i="94"/>
  <c r="N781" i="94"/>
  <c r="O781" i="94"/>
  <c r="P781" i="94"/>
  <c r="IT781" i="94" s="1"/>
  <c r="N782" i="94"/>
  <c r="O782" i="94"/>
  <c r="P782" i="94"/>
  <c r="N783" i="94"/>
  <c r="O783" i="94"/>
  <c r="GO783" i="94" s="1"/>
  <c r="P783" i="94"/>
  <c r="N784" i="94"/>
  <c r="MF784" i="94" s="1"/>
  <c r="O784" i="94"/>
  <c r="P784" i="94"/>
  <c r="N785" i="94"/>
  <c r="O785" i="94"/>
  <c r="P785" i="94"/>
  <c r="N786" i="94"/>
  <c r="O786" i="94"/>
  <c r="P786" i="94"/>
  <c r="N787" i="94"/>
  <c r="IA787" i="94" s="1"/>
  <c r="O787" i="94"/>
  <c r="P787" i="94"/>
  <c r="IW787" i="94" s="1"/>
  <c r="N788" i="94"/>
  <c r="O788" i="94"/>
  <c r="P788" i="94"/>
  <c r="N789" i="94"/>
  <c r="O789" i="94"/>
  <c r="P789" i="94"/>
  <c r="JS789" i="94" s="1"/>
  <c r="N790" i="94"/>
  <c r="O790" i="94"/>
  <c r="P790" i="94"/>
  <c r="N791" i="94"/>
  <c r="O791" i="94"/>
  <c r="P791" i="94"/>
  <c r="N792" i="94"/>
  <c r="O792" i="94"/>
  <c r="P792" i="94"/>
  <c r="N793" i="94"/>
  <c r="O793" i="94"/>
  <c r="P793" i="94"/>
  <c r="N794" i="94"/>
  <c r="O794" i="94"/>
  <c r="MD794" i="94" s="1"/>
  <c r="P794" i="94"/>
  <c r="N795" i="94"/>
  <c r="O795" i="94"/>
  <c r="LZ795" i="94" s="1"/>
  <c r="P795" i="94"/>
  <c r="N796" i="94"/>
  <c r="O796" i="94"/>
  <c r="P796" i="94"/>
  <c r="N797" i="94"/>
  <c r="O797" i="94"/>
  <c r="P797" i="94"/>
  <c r="N798" i="94"/>
  <c r="JD798" i="94" s="1"/>
  <c r="O798" i="94"/>
  <c r="P798" i="94"/>
  <c r="N799" i="94"/>
  <c r="O799" i="94"/>
  <c r="P799" i="94"/>
  <c r="N800" i="94"/>
  <c r="O800" i="94"/>
  <c r="P800" i="94"/>
  <c r="N801" i="94"/>
  <c r="IA801" i="94" s="1"/>
  <c r="O801" i="94"/>
  <c r="P801" i="94"/>
  <c r="N802" i="94"/>
  <c r="O802" i="94"/>
  <c r="LT802" i="94"/>
  <c r="P802" i="94"/>
  <c r="N803" i="94"/>
  <c r="O803" i="94"/>
  <c r="P803" i="94"/>
  <c r="N804" i="94"/>
  <c r="O804" i="94"/>
  <c r="P804" i="94"/>
  <c r="N805" i="94"/>
  <c r="O805" i="94"/>
  <c r="P805" i="94"/>
  <c r="JN805" i="94" s="1"/>
  <c r="N806" i="94"/>
  <c r="O806" i="94"/>
  <c r="P806" i="94"/>
  <c r="N807" i="94"/>
  <c r="O807" i="94"/>
  <c r="P807" i="94"/>
  <c r="N808" i="94"/>
  <c r="O808" i="94"/>
  <c r="LP808" i="94" s="1"/>
  <c r="P808" i="94"/>
  <c r="N809" i="94"/>
  <c r="O809" i="94"/>
  <c r="P809" i="94"/>
  <c r="D773" i="94"/>
  <c r="E773" i="94"/>
  <c r="F773" i="94"/>
  <c r="G773" i="94"/>
  <c r="H773" i="94"/>
  <c r="J773" i="94"/>
  <c r="CW773" i="94"/>
  <c r="D774" i="94"/>
  <c r="E774" i="94"/>
  <c r="F774" i="94"/>
  <c r="G774" i="94"/>
  <c r="H774" i="94"/>
  <c r="J774" i="94"/>
  <c r="E775" i="94"/>
  <c r="MS775" i="94"/>
  <c r="D775" i="94"/>
  <c r="F775" i="94"/>
  <c r="G775" i="94"/>
  <c r="H775" i="94"/>
  <c r="J775" i="94"/>
  <c r="CW775" i="94" s="1"/>
  <c r="D776" i="94"/>
  <c r="E776" i="94"/>
  <c r="F776" i="94"/>
  <c r="G776" i="94"/>
  <c r="H776" i="94"/>
  <c r="J776" i="94"/>
  <c r="D777" i="94"/>
  <c r="E777" i="94"/>
  <c r="MN777" i="94" s="1"/>
  <c r="F777" i="94"/>
  <c r="G777" i="94"/>
  <c r="H777" i="94"/>
  <c r="J777" i="94"/>
  <c r="D778" i="94"/>
  <c r="E778" i="94"/>
  <c r="F778" i="94"/>
  <c r="G778" i="94"/>
  <c r="H778" i="94"/>
  <c r="J778" i="94"/>
  <c r="D779" i="94"/>
  <c r="E779" i="94"/>
  <c r="F779" i="94"/>
  <c r="G779" i="94"/>
  <c r="H779" i="94"/>
  <c r="J779" i="94"/>
  <c r="D780" i="94"/>
  <c r="E780" i="94"/>
  <c r="F780" i="94"/>
  <c r="G780" i="94"/>
  <c r="H780" i="94"/>
  <c r="J780" i="94"/>
  <c r="D781" i="94"/>
  <c r="E781" i="94"/>
  <c r="IB781" i="94" s="1"/>
  <c r="F781" i="94"/>
  <c r="ES781" i="94" s="1"/>
  <c r="G781" i="94"/>
  <c r="H781" i="94"/>
  <c r="J781" i="94"/>
  <c r="D782" i="94"/>
  <c r="E782" i="94"/>
  <c r="MP782" i="94" s="1"/>
  <c r="F782" i="94"/>
  <c r="G782" i="94"/>
  <c r="H782" i="94"/>
  <c r="J782" i="94"/>
  <c r="D783" i="94"/>
  <c r="E783" i="94"/>
  <c r="F783" i="94"/>
  <c r="G783" i="94"/>
  <c r="H783" i="94"/>
  <c r="J783" i="94"/>
  <c r="D784" i="94"/>
  <c r="E784" i="94"/>
  <c r="F784" i="94"/>
  <c r="G784" i="94"/>
  <c r="H784" i="94"/>
  <c r="J784" i="94"/>
  <c r="D785" i="94"/>
  <c r="E785" i="94"/>
  <c r="F785" i="94"/>
  <c r="G785" i="94"/>
  <c r="H785" i="94"/>
  <c r="J785" i="94"/>
  <c r="D786" i="94"/>
  <c r="E786" i="94"/>
  <c r="F786" i="94"/>
  <c r="G786" i="94"/>
  <c r="H786" i="94"/>
  <c r="J786" i="94"/>
  <c r="DN786" i="94" s="1"/>
  <c r="D787" i="94"/>
  <c r="E787" i="94"/>
  <c r="F787" i="94"/>
  <c r="G787" i="94"/>
  <c r="H787" i="94"/>
  <c r="J787" i="94"/>
  <c r="D788" i="94"/>
  <c r="E788" i="94"/>
  <c r="F788" i="94"/>
  <c r="G788" i="94"/>
  <c r="H788" i="94"/>
  <c r="J788" i="94"/>
  <c r="D789" i="94"/>
  <c r="A789" i="94" s="1"/>
  <c r="E789" i="94"/>
  <c r="F789" i="94"/>
  <c r="G789" i="94"/>
  <c r="H789" i="94"/>
  <c r="J789" i="94"/>
  <c r="D790" i="94"/>
  <c r="E790" i="94"/>
  <c r="F790" i="94"/>
  <c r="G790" i="94"/>
  <c r="H790" i="94"/>
  <c r="J790" i="94"/>
  <c r="DE790" i="94" s="1"/>
  <c r="D791" i="94"/>
  <c r="E791" i="94"/>
  <c r="F791" i="94"/>
  <c r="G791" i="94"/>
  <c r="H791" i="94"/>
  <c r="J791" i="94"/>
  <c r="D792" i="94"/>
  <c r="E792" i="94"/>
  <c r="F792" i="94"/>
  <c r="G792" i="94"/>
  <c r="H792" i="94"/>
  <c r="J792" i="94"/>
  <c r="D793" i="94"/>
  <c r="E793" i="94"/>
  <c r="F793" i="94"/>
  <c r="G793" i="94"/>
  <c r="H793" i="94"/>
  <c r="J793" i="94"/>
  <c r="EA793" i="94"/>
  <c r="D794" i="94"/>
  <c r="E794" i="94"/>
  <c r="ML794" i="94" s="1"/>
  <c r="F794" i="94"/>
  <c r="G794" i="94"/>
  <c r="H794" i="94"/>
  <c r="J794" i="94"/>
  <c r="FL795" i="94"/>
  <c r="D795" i="94"/>
  <c r="E795" i="94"/>
  <c r="F795" i="94"/>
  <c r="G795" i="94"/>
  <c r="H795" i="94"/>
  <c r="J795" i="94"/>
  <c r="DH795" i="94" s="1"/>
  <c r="D796" i="94"/>
  <c r="E796" i="94"/>
  <c r="F796" i="94"/>
  <c r="G796" i="94"/>
  <c r="H796" i="94"/>
  <c r="J796" i="94"/>
  <c r="D797" i="94"/>
  <c r="E797" i="94"/>
  <c r="MP797" i="94" s="1"/>
  <c r="F797" i="94"/>
  <c r="G797" i="94"/>
  <c r="H797" i="94"/>
  <c r="J797" i="94"/>
  <c r="D798" i="94"/>
  <c r="E798" i="94"/>
  <c r="F798" i="94"/>
  <c r="G798" i="94"/>
  <c r="H798" i="94"/>
  <c r="J798" i="94"/>
  <c r="D799" i="94"/>
  <c r="E799" i="94"/>
  <c r="F799" i="94"/>
  <c r="G799" i="94"/>
  <c r="H799" i="94"/>
  <c r="J799" i="94"/>
  <c r="D800" i="94"/>
  <c r="E800" i="94"/>
  <c r="F800" i="94"/>
  <c r="G800" i="94"/>
  <c r="H800" i="94"/>
  <c r="J800" i="94"/>
  <c r="D801" i="94"/>
  <c r="E801" i="94"/>
  <c r="F801" i="94"/>
  <c r="G801" i="94"/>
  <c r="H801" i="94"/>
  <c r="J801" i="94"/>
  <c r="D802" i="94"/>
  <c r="E802" i="94"/>
  <c r="F802" i="94"/>
  <c r="G802" i="94"/>
  <c r="H802" i="94"/>
  <c r="J802" i="94"/>
  <c r="D803" i="94"/>
  <c r="E803" i="94"/>
  <c r="F803" i="94"/>
  <c r="G803" i="94"/>
  <c r="H803" i="94"/>
  <c r="J803" i="94"/>
  <c r="D804" i="94"/>
  <c r="E804" i="94"/>
  <c r="F804" i="94"/>
  <c r="G804" i="94"/>
  <c r="H804" i="94"/>
  <c r="J804" i="94"/>
  <c r="D805" i="94"/>
  <c r="E805" i="94"/>
  <c r="F805" i="94"/>
  <c r="G805" i="94"/>
  <c r="H805" i="94"/>
  <c r="J805" i="94"/>
  <c r="D806" i="94"/>
  <c r="E806" i="94"/>
  <c r="F806" i="94"/>
  <c r="G806" i="94"/>
  <c r="H806" i="94"/>
  <c r="J806" i="94"/>
  <c r="D807" i="94"/>
  <c r="E807" i="94"/>
  <c r="F807" i="94"/>
  <c r="G807" i="94"/>
  <c r="H807" i="94"/>
  <c r="J807" i="94"/>
  <c r="D808" i="94"/>
  <c r="E808" i="94"/>
  <c r="F808" i="94"/>
  <c r="G808" i="94"/>
  <c r="H808" i="94"/>
  <c r="J808" i="94"/>
  <c r="D809" i="94"/>
  <c r="E809" i="94"/>
  <c r="F809" i="94"/>
  <c r="G809" i="94"/>
  <c r="H809" i="94"/>
  <c r="J809" i="94"/>
  <c r="P772" i="94"/>
  <c r="O772" i="94"/>
  <c r="N772" i="94"/>
  <c r="JG772" i="94" s="1"/>
  <c r="J772" i="94"/>
  <c r="H772" i="94"/>
  <c r="G772" i="94"/>
  <c r="F772" i="94"/>
  <c r="E772" i="94"/>
  <c r="D772" i="94"/>
  <c r="ES773" i="94"/>
  <c r="LH782" i="94"/>
  <c r="LM793" i="94"/>
  <c r="F768" i="94"/>
  <c r="G767" i="94"/>
  <c r="R974" i="94"/>
  <c r="R969" i="94"/>
  <c r="S965" i="94"/>
  <c r="R960" i="94"/>
  <c r="S956" i="94"/>
  <c r="R951" i="94"/>
  <c r="S947" i="94"/>
  <c r="R942" i="94"/>
  <c r="R938" i="94"/>
  <c r="R937" i="94"/>
  <c r="R935" i="94"/>
  <c r="R906" i="94"/>
  <c r="R896" i="94"/>
  <c r="R895" i="94"/>
  <c r="R876" i="94"/>
  <c r="R853" i="94"/>
  <c r="R852" i="94"/>
  <c r="R842" i="94"/>
  <c r="R815" i="94"/>
  <c r="K815" i="94"/>
  <c r="CC809" i="94"/>
  <c r="GB808" i="94"/>
  <c r="MA802" i="94"/>
  <c r="LL802" i="94"/>
  <c r="LK802" i="94"/>
  <c r="HL802" i="94"/>
  <c r="GE802" i="94"/>
  <c r="FP802" i="94"/>
  <c r="FO802" i="94"/>
  <c r="FH802" i="94"/>
  <c r="FG802" i="94"/>
  <c r="EZ802" i="94"/>
  <c r="EY802" i="94"/>
  <c r="ER802" i="94"/>
  <c r="EQ802" i="94"/>
  <c r="EJ802" i="94"/>
  <c r="EI802" i="94"/>
  <c r="CP801" i="94"/>
  <c r="GD800" i="94"/>
  <c r="GB800" i="94"/>
  <c r="GA800" i="94"/>
  <c r="FZ800" i="94"/>
  <c r="FX800" i="94"/>
  <c r="IC797" i="94"/>
  <c r="IB797" i="94"/>
  <c r="IA797" i="94"/>
  <c r="HZ797" i="94"/>
  <c r="HY797" i="94"/>
  <c r="GA797" i="94"/>
  <c r="IB795"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LN793" i="94"/>
  <c r="IB793" i="94"/>
  <c r="GE793" i="94"/>
  <c r="GC793" i="94"/>
  <c r="GA793" i="94"/>
  <c r="FV793" i="94"/>
  <c r="FO793" i="94"/>
  <c r="FJ793" i="94"/>
  <c r="FC793" i="94"/>
  <c r="EW793" i="94"/>
  <c r="EP793" i="94"/>
  <c r="EI793" i="94"/>
  <c r="DW793" i="94"/>
  <c r="DQ793" i="94"/>
  <c r="DJ793" i="94"/>
  <c r="DC793" i="94"/>
  <c r="CX793" i="94"/>
  <c r="CQ793" i="94"/>
  <c r="CK793" i="94"/>
  <c r="CD793" i="94"/>
  <c r="BW793" i="94"/>
  <c r="BR793" i="94"/>
  <c r="BK793" i="94"/>
  <c r="GE792" i="94"/>
  <c r="GD792" i="94"/>
  <c r="GC792" i="94"/>
  <c r="GB792" i="94"/>
  <c r="GA792" i="94"/>
  <c r="FZ792" i="94"/>
  <c r="FY792" i="94"/>
  <c r="FX792" i="94"/>
  <c r="FW792" i="94"/>
  <c r="FV792" i="94"/>
  <c r="IC789" i="94"/>
  <c r="IB789" i="94"/>
  <c r="IA789" i="94"/>
  <c r="HZ789" i="94"/>
  <c r="HY789" i="94"/>
  <c r="GE789" i="94"/>
  <c r="GD789" i="94"/>
  <c r="GC789" i="94"/>
  <c r="GB789" i="94"/>
  <c r="GA789" i="94"/>
  <c r="LO787" i="94"/>
  <c r="LN787" i="94"/>
  <c r="LM787" i="94"/>
  <c r="LL787" i="94"/>
  <c r="LK787" i="94"/>
  <c r="LJ787" i="94"/>
  <c r="LI787" i="94"/>
  <c r="LH787" i="94"/>
  <c r="LG787" i="94"/>
  <c r="LF787" i="94"/>
  <c r="JE787" i="94"/>
  <c r="IB787" i="94"/>
  <c r="HY787" i="94"/>
  <c r="GE787" i="94"/>
  <c r="GD787" i="94"/>
  <c r="GC787" i="94"/>
  <c r="GB787" i="94"/>
  <c r="GA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B787" i="94"/>
  <c r="DZ787" i="94"/>
  <c r="DU787" i="94"/>
  <c r="DT787" i="94"/>
  <c r="DR787" i="94"/>
  <c r="DM787" i="94"/>
  <c r="DL787" i="94"/>
  <c r="DJ787" i="94"/>
  <c r="DE787" i="94"/>
  <c r="DD787" i="94"/>
  <c r="DB787" i="94"/>
  <c r="CW787" i="94"/>
  <c r="CV787" i="94"/>
  <c r="CT787" i="94"/>
  <c r="CO787" i="94"/>
  <c r="CN787" i="94"/>
  <c r="CL787" i="94"/>
  <c r="CG787" i="94"/>
  <c r="CF787" i="94"/>
  <c r="CD787" i="94"/>
  <c r="BY787" i="94"/>
  <c r="BX787" i="94"/>
  <c r="BV787" i="94"/>
  <c r="BQ787" i="94"/>
  <c r="BP787" i="94"/>
  <c r="BN787"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LO785" i="94"/>
  <c r="LN785" i="94"/>
  <c r="LM785" i="94"/>
  <c r="LL785" i="94"/>
  <c r="LK785" i="94"/>
  <c r="LJ785" i="94"/>
  <c r="LI785" i="94"/>
  <c r="LH785" i="94"/>
  <c r="LG785" i="94"/>
  <c r="LF785" i="94"/>
  <c r="HZ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GE784" i="94"/>
  <c r="GA784" i="94"/>
  <c r="FW784" i="94"/>
  <c r="FZ782" i="94"/>
  <c r="EX782" i="94"/>
  <c r="DD782" i="94"/>
  <c r="CU782" i="94"/>
  <c r="BV782" i="94"/>
  <c r="GE781" i="94"/>
  <c r="GD781" i="94"/>
  <c r="GC781" i="94"/>
  <c r="GB781" i="94"/>
  <c r="GA781" i="94"/>
  <c r="LO779" i="94"/>
  <c r="LN779" i="94"/>
  <c r="LM779" i="94"/>
  <c r="LL779" i="94"/>
  <c r="LK779" i="94"/>
  <c r="LJ779" i="94"/>
  <c r="LI779" i="94"/>
  <c r="LH779" i="94"/>
  <c r="LG779" i="94"/>
  <c r="LF779" i="94"/>
  <c r="IB779" i="94"/>
  <c r="GE779" i="94"/>
  <c r="GD779" i="94"/>
  <c r="GC779" i="94"/>
  <c r="GB779" i="94"/>
  <c r="GA779" i="94"/>
  <c r="FU779" i="94"/>
  <c r="FT779" i="94"/>
  <c r="FS779" i="94"/>
  <c r="FR779" i="94"/>
  <c r="FQ779" i="94"/>
  <c r="FP779" i="94"/>
  <c r="FO779" i="94"/>
  <c r="FN779" i="94"/>
  <c r="FM779" i="94"/>
  <c r="FL779" i="94"/>
  <c r="FK779" i="94"/>
  <c r="FJ779" i="94"/>
  <c r="FI779" i="94"/>
  <c r="FH779" i="94"/>
  <c r="FG779" i="94"/>
  <c r="FF779" i="94"/>
  <c r="FE779" i="94"/>
  <c r="FD779" i="94"/>
  <c r="FC779" i="94"/>
  <c r="FB779" i="94"/>
  <c r="FA779" i="94"/>
  <c r="EZ779" i="94"/>
  <c r="EY779" i="94"/>
  <c r="EX779" i="94"/>
  <c r="EW779" i="94"/>
  <c r="EV779" i="94"/>
  <c r="EU779" i="94"/>
  <c r="ET779" i="94"/>
  <c r="ER779" i="94"/>
  <c r="EQ779" i="94"/>
  <c r="EP779" i="94"/>
  <c r="EO779" i="94"/>
  <c r="EN779" i="94"/>
  <c r="EM779" i="94"/>
  <c r="EL779" i="94"/>
  <c r="EK779" i="94"/>
  <c r="EJ779" i="94"/>
  <c r="EI779" i="94"/>
  <c r="EH779" i="94"/>
  <c r="DL779" i="94"/>
  <c r="CO779" i="94"/>
  <c r="BV779"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DL778" i="94"/>
  <c r="CV778" i="94"/>
  <c r="CN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LI776" i="94"/>
  <c r="IY776" i="94"/>
  <c r="HW776" i="94"/>
  <c r="GE776" i="94"/>
  <c r="GD776" i="94"/>
  <c r="GC776" i="94"/>
  <c r="GB776" i="94"/>
  <c r="GA776" i="94"/>
  <c r="FZ776" i="94"/>
  <c r="FY776" i="94"/>
  <c r="FX776" i="94"/>
  <c r="FW776" i="94"/>
  <c r="FV776" i="94"/>
  <c r="FS776" i="94"/>
  <c r="CQ776" i="94"/>
  <c r="CI776" i="94"/>
  <c r="CA776"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B774" i="94"/>
  <c r="EA774" i="94"/>
  <c r="DY774" i="94"/>
  <c r="DV774" i="94"/>
  <c r="DT774" i="94"/>
  <c r="DS774" i="94"/>
  <c r="DQ774" i="94"/>
  <c r="DN774" i="94"/>
  <c r="DL774" i="94"/>
  <c r="DK774" i="94"/>
  <c r="DI774" i="94"/>
  <c r="DF774" i="94"/>
  <c r="DD774" i="94"/>
  <c r="DC774" i="94"/>
  <c r="DA774" i="94"/>
  <c r="CX774" i="94"/>
  <c r="CV774" i="94"/>
  <c r="CU774" i="94"/>
  <c r="CS774" i="94"/>
  <c r="CP774" i="94"/>
  <c r="CN774" i="94"/>
  <c r="CM774" i="94"/>
  <c r="CK774" i="94"/>
  <c r="CH774" i="94"/>
  <c r="CF774" i="94"/>
  <c r="CE774" i="94"/>
  <c r="CC774" i="94"/>
  <c r="BZ774" i="94"/>
  <c r="BX774" i="94"/>
  <c r="BW774" i="94"/>
  <c r="BU774" i="94"/>
  <c r="BR774" i="94"/>
  <c r="BP774" i="94"/>
  <c r="BO774" i="94"/>
  <c r="BM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M749" i="94" s="1"/>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85" i="94"/>
  <c r="V586" i="94"/>
  <c r="V591"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V536" i="94" s="1"/>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V483" i="94" s="1"/>
  <c r="V486" i="94" s="1"/>
  <c r="W476" i="94"/>
  <c r="W477" i="94"/>
  <c r="W478" i="94"/>
  <c r="V476" i="94"/>
  <c r="V477" i="94"/>
  <c r="W472" i="94"/>
  <c r="W466" i="94"/>
  <c r="W467" i="94"/>
  <c r="W468" i="94"/>
  <c r="V466" i="94"/>
  <c r="V467" i="94"/>
  <c r="V613" i="94"/>
  <c r="V612" i="94"/>
  <c r="W608" i="94"/>
  <c r="V608" i="94"/>
  <c r="W607" i="94"/>
  <c r="V607" i="94"/>
  <c r="W595" i="94"/>
  <c r="V595" i="94"/>
  <c r="W594" i="94"/>
  <c r="V594" i="94"/>
  <c r="W586" i="94"/>
  <c r="W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3" i="94"/>
  <c r="V575" i="94"/>
  <c r="W573" i="94"/>
  <c r="W566" i="94"/>
  <c r="V566" i="94"/>
  <c r="W565" i="94"/>
  <c r="V565" i="94"/>
  <c r="W559" i="94"/>
  <c r="V559" i="94"/>
  <c r="W558" i="94"/>
  <c r="V558" i="94"/>
  <c r="W553" i="94"/>
  <c r="V553" i="94"/>
  <c r="V552" i="94"/>
  <c r="V556" i="94" s="1"/>
  <c r="W552" i="94"/>
  <c r="W542" i="94"/>
  <c r="V542" i="94"/>
  <c r="V550" i="94" s="1"/>
  <c r="W541" i="94"/>
  <c r="V541" i="94"/>
  <c r="W531" i="94"/>
  <c r="V531" i="94"/>
  <c r="W530" i="94"/>
  <c r="V530" i="94"/>
  <c r="W525" i="94"/>
  <c r="V525" i="94"/>
  <c r="W524" i="94"/>
  <c r="V524" i="94"/>
  <c r="W512" i="94"/>
  <c r="V512" i="94"/>
  <c r="W511" i="94"/>
  <c r="V511" i="94"/>
  <c r="W498" i="94"/>
  <c r="V498" i="94"/>
  <c r="W497" i="94"/>
  <c r="V497" i="94"/>
  <c r="W481" i="94"/>
  <c r="V481" i="94"/>
  <c r="V480" i="94"/>
  <c r="W480" i="94"/>
  <c r="W475" i="94"/>
  <c r="V475" i="94"/>
  <c r="W474" i="94"/>
  <c r="V474" i="94"/>
  <c r="W471" i="94"/>
  <c r="V471" i="94"/>
  <c r="V472" i="94" s="1"/>
  <c r="V470" i="94"/>
  <c r="W470" i="94"/>
  <c r="W465" i="94"/>
  <c r="V465" i="94"/>
  <c r="V468" i="94" s="1"/>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91" i="94" s="1"/>
  <c r="P595" i="94" s="1"/>
  <c r="P586" i="94"/>
  <c r="P585" i="94"/>
  <c r="J590" i="94"/>
  <c r="J589" i="94"/>
  <c r="J588" i="94"/>
  <c r="J587" i="94"/>
  <c r="J586" i="94"/>
  <c r="J585" i="94"/>
  <c r="H597" i="94"/>
  <c r="R597" i="94"/>
  <c r="T610" i="94"/>
  <c r="G574" i="94"/>
  <c r="G573" i="94"/>
  <c r="G575" i="94"/>
  <c r="S574" i="94"/>
  <c r="S573" i="94"/>
  <c r="S575" i="94" s="1"/>
  <c r="J574" i="94"/>
  <c r="J573" i="94"/>
  <c r="J575" i="94" s="1"/>
  <c r="M574" i="94"/>
  <c r="M573" i="94"/>
  <c r="P574" i="94"/>
  <c r="P573" i="94"/>
  <c r="P570" i="94"/>
  <c r="P569" i="94"/>
  <c r="P571" i="94" s="1"/>
  <c r="M570" i="94"/>
  <c r="M569" i="94"/>
  <c r="M571" i="94"/>
  <c r="J570" i="94"/>
  <c r="J569" i="94"/>
  <c r="S570" i="94"/>
  <c r="S569" i="94"/>
  <c r="S568" i="94"/>
  <c r="S567" i="94"/>
  <c r="S566" i="94"/>
  <c r="S565" i="94"/>
  <c r="G570" i="94"/>
  <c r="U570" i="94" s="1"/>
  <c r="G569" i="94"/>
  <c r="G571" i="94" s="1"/>
  <c r="G568" i="94"/>
  <c r="G567" i="94"/>
  <c r="J567" i="94" s="1"/>
  <c r="G566" i="94"/>
  <c r="J566" i="94"/>
  <c r="G565" i="94"/>
  <c r="S562" i="94"/>
  <c r="S561" i="94"/>
  <c r="S560" i="94"/>
  <c r="P562" i="94"/>
  <c r="P561" i="94"/>
  <c r="P560" i="94"/>
  <c r="M562" i="94"/>
  <c r="M561" i="94"/>
  <c r="M560" i="94"/>
  <c r="M563" i="94" s="1"/>
  <c r="J562" i="94"/>
  <c r="J561" i="94"/>
  <c r="J560" i="94"/>
  <c r="G562" i="94"/>
  <c r="G561" i="94"/>
  <c r="G560" i="94"/>
  <c r="G563" i="94" s="1"/>
  <c r="S555" i="94"/>
  <c r="S554" i="94"/>
  <c r="S552" i="94"/>
  <c r="S553" i="94"/>
  <c r="G553" i="94"/>
  <c r="G554" i="94"/>
  <c r="G555" i="94"/>
  <c r="U555" i="94" s="1"/>
  <c r="S549" i="94"/>
  <c r="S548" i="94"/>
  <c r="S547" i="94"/>
  <c r="S546" i="94"/>
  <c r="S545" i="94"/>
  <c r="S544" i="94"/>
  <c r="S543" i="94"/>
  <c r="S542" i="94"/>
  <c r="S541" i="94"/>
  <c r="G542" i="94"/>
  <c r="G543" i="94"/>
  <c r="G544" i="94"/>
  <c r="G545" i="94"/>
  <c r="G546" i="94"/>
  <c r="G547" i="94"/>
  <c r="G548" i="94"/>
  <c r="G549" i="94"/>
  <c r="U549" i="94" s="1"/>
  <c r="S535" i="94"/>
  <c r="S534" i="94"/>
  <c r="S533" i="94"/>
  <c r="S532" i="94"/>
  <c r="S531" i="94"/>
  <c r="S530" i="94"/>
  <c r="G531" i="94"/>
  <c r="G532" i="94"/>
  <c r="G533" i="94"/>
  <c r="G534" i="94"/>
  <c r="G535" i="94"/>
  <c r="G552" i="94"/>
  <c r="G541" i="94"/>
  <c r="G530" i="94"/>
  <c r="E527" i="94"/>
  <c r="E526" i="94"/>
  <c r="S527" i="94"/>
  <c r="S526" i="94"/>
  <c r="S525" i="94"/>
  <c r="S524" i="94"/>
  <c r="P527" i="94"/>
  <c r="P528" i="94" s="1"/>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22" i="94" s="1"/>
  <c r="P517" i="94"/>
  <c r="P516" i="94"/>
  <c r="P515" i="94"/>
  <c r="P514" i="94"/>
  <c r="P513" i="94"/>
  <c r="P512" i="94"/>
  <c r="P511" i="94"/>
  <c r="M521" i="94"/>
  <c r="M520" i="94"/>
  <c r="M519" i="94"/>
  <c r="M518" i="94"/>
  <c r="M517" i="94"/>
  <c r="M516" i="94"/>
  <c r="M515" i="94"/>
  <c r="M514" i="94"/>
  <c r="M513" i="94"/>
  <c r="M522" i="94" s="1"/>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S563" i="94" s="1"/>
  <c r="P558" i="94"/>
  <c r="M558" i="94"/>
  <c r="J558" i="94"/>
  <c r="G558" i="94"/>
  <c r="G524" i="94"/>
  <c r="G511" i="94"/>
  <c r="S497" i="94"/>
  <c r="P497" i="94"/>
  <c r="M497" i="94"/>
  <c r="G497" i="94"/>
  <c r="A624" i="94"/>
  <c r="C590" i="94"/>
  <c r="C574" i="94"/>
  <c r="C570" i="94"/>
  <c r="C555" i="94"/>
  <c r="C549" i="94"/>
  <c r="C548" i="94"/>
  <c r="U548" i="94" s="1"/>
  <c r="C535" i="94"/>
  <c r="C521" i="94"/>
  <c r="C508" i="94"/>
  <c r="C507" i="94"/>
  <c r="C486" i="94"/>
  <c r="S492" i="94"/>
  <c r="P492" i="94"/>
  <c r="M492" i="94"/>
  <c r="J492" i="94"/>
  <c r="G492" i="94"/>
  <c r="S486" i="94"/>
  <c r="P486" i="94"/>
  <c r="M486" i="94"/>
  <c r="J486" i="94"/>
  <c r="G486" i="94"/>
  <c r="C460" i="94"/>
  <c r="G460" i="94"/>
  <c r="A460" i="94"/>
  <c r="C461" i="94"/>
  <c r="C459" i="94"/>
  <c r="S482" i="94"/>
  <c r="S481" i="94"/>
  <c r="S480" i="94"/>
  <c r="P482" i="94"/>
  <c r="P481" i="94"/>
  <c r="P480" i="94"/>
  <c r="P483" i="94" s="1"/>
  <c r="M482" i="94"/>
  <c r="M481" i="94"/>
  <c r="M480" i="94"/>
  <c r="M483" i="94" s="1"/>
  <c r="J482" i="94"/>
  <c r="J481" i="94"/>
  <c r="J480" i="94"/>
  <c r="G481" i="94"/>
  <c r="G482" i="94"/>
  <c r="S471" i="94"/>
  <c r="S470" i="94"/>
  <c r="J471" i="94"/>
  <c r="J470" i="94"/>
  <c r="G471" i="94"/>
  <c r="G470" i="94"/>
  <c r="G472" i="94" s="1"/>
  <c r="S477" i="94"/>
  <c r="S478" i="94" s="1"/>
  <c r="S476" i="94"/>
  <c r="S475" i="94"/>
  <c r="S474" i="94"/>
  <c r="P477" i="94"/>
  <c r="P474" i="94"/>
  <c r="P478" i="94" s="1"/>
  <c r="P475" i="94"/>
  <c r="P476" i="94"/>
  <c r="M477" i="94"/>
  <c r="M476" i="94"/>
  <c r="M475" i="94"/>
  <c r="M474" i="94"/>
  <c r="J477" i="94"/>
  <c r="J476" i="94"/>
  <c r="J475" i="94"/>
  <c r="J474" i="94"/>
  <c r="G477" i="94"/>
  <c r="G476" i="94"/>
  <c r="G475" i="94"/>
  <c r="G474" i="94"/>
  <c r="S467" i="94"/>
  <c r="S464" i="94"/>
  <c r="S465" i="94"/>
  <c r="S466" i="94"/>
  <c r="M467" i="94"/>
  <c r="G465" i="94"/>
  <c r="G466" i="94"/>
  <c r="G467" i="94"/>
  <c r="S461" i="94"/>
  <c r="S460" i="94"/>
  <c r="S459" i="94"/>
  <c r="S458" i="94"/>
  <c r="S457" i="94"/>
  <c r="S456" i="94"/>
  <c r="S455" i="94"/>
  <c r="S454" i="94"/>
  <c r="S453" i="94"/>
  <c r="S462" i="94" s="1"/>
  <c r="P461" i="94"/>
  <c r="P460" i="94"/>
  <c r="P459" i="94"/>
  <c r="P458" i="94"/>
  <c r="P457" i="94"/>
  <c r="P456" i="94"/>
  <c r="P455" i="94"/>
  <c r="P454" i="94"/>
  <c r="P462" i="94" s="1"/>
  <c r="P577" i="94" s="1"/>
  <c r="P594" i="94" s="1"/>
  <c r="P453" i="94"/>
  <c r="M461" i="94"/>
  <c r="M460" i="94"/>
  <c r="M459" i="94"/>
  <c r="M458" i="94"/>
  <c r="M457" i="94"/>
  <c r="M456" i="94"/>
  <c r="M455" i="94"/>
  <c r="M462" i="94" s="1"/>
  <c r="M454" i="94"/>
  <c r="M453" i="94"/>
  <c r="J461" i="94"/>
  <c r="J460" i="94"/>
  <c r="J459" i="94"/>
  <c r="J458" i="94"/>
  <c r="J457" i="94"/>
  <c r="J456" i="94"/>
  <c r="J455" i="94"/>
  <c r="J454" i="94"/>
  <c r="J453" i="94"/>
  <c r="G454" i="94"/>
  <c r="G455" i="94"/>
  <c r="G456" i="94"/>
  <c r="G457" i="94"/>
  <c r="G458" i="94"/>
  <c r="G459" i="94"/>
  <c r="G461" i="94"/>
  <c r="U461" i="94"/>
  <c r="G480" i="94"/>
  <c r="M470" i="94"/>
  <c r="M472" i="94" s="1"/>
  <c r="P470" i="94"/>
  <c r="P472" i="94"/>
  <c r="M466" i="94"/>
  <c r="G464" i="94"/>
  <c r="G453" i="94"/>
  <c r="J611" i="94"/>
  <c r="O610" i="94"/>
  <c r="I58" i="68"/>
  <c r="J609" i="94" s="1"/>
  <c r="W606" i="94"/>
  <c r="W593" i="94"/>
  <c r="W583" i="94"/>
  <c r="W582" i="94"/>
  <c r="M575" i="94"/>
  <c r="W572" i="94"/>
  <c r="O572"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0" i="94"/>
  <c r="D483" i="94"/>
  <c r="F480" i="94"/>
  <c r="F479" i="94" s="1"/>
  <c r="W479" i="94"/>
  <c r="O479" i="94"/>
  <c r="W473" i="94"/>
  <c r="O473" i="94"/>
  <c r="S472" i="94"/>
  <c r="F470" i="94"/>
  <c r="W469" i="94"/>
  <c r="O469" i="94"/>
  <c r="F464" i="94"/>
  <c r="W463" i="94"/>
  <c r="O463" i="94"/>
  <c r="A461" i="94"/>
  <c r="W452" i="94"/>
  <c r="O452" i="94"/>
  <c r="V450" i="94"/>
  <c r="D450" i="94"/>
  <c r="A446" i="94"/>
  <c r="W446" i="94" s="1"/>
  <c r="IW772" i="94"/>
  <c r="FI775" i="94"/>
  <c r="BS793" i="94"/>
  <c r="CE793" i="94"/>
  <c r="CS793" i="94"/>
  <c r="DF793" i="94"/>
  <c r="DR793" i="94"/>
  <c r="EQ793" i="94"/>
  <c r="FE793" i="94"/>
  <c r="FR793" i="94"/>
  <c r="GL794" i="94"/>
  <c r="GT794" i="94"/>
  <c r="HC794" i="94"/>
  <c r="HN794" i="94"/>
  <c r="LX794" i="94"/>
  <c r="FT795" i="94"/>
  <c r="ET801" i="94"/>
  <c r="HT802" i="94"/>
  <c r="BM772" i="94"/>
  <c r="GO775" i="94"/>
  <c r="BU793" i="94"/>
  <c r="CH793" i="94"/>
  <c r="CT793" i="94"/>
  <c r="DG793" i="94"/>
  <c r="DS793" i="94"/>
  <c r="ET793" i="94"/>
  <c r="FF793" i="94"/>
  <c r="FS793" i="94"/>
  <c r="GM794" i="94"/>
  <c r="GU794" i="94"/>
  <c r="HE794" i="94"/>
  <c r="HP794" i="94"/>
  <c r="LZ794" i="94"/>
  <c r="HY795" i="94"/>
  <c r="M528" i="94"/>
  <c r="CN772" i="94"/>
  <c r="LM773" i="94"/>
  <c r="HU775" i="94"/>
  <c r="BV793" i="94"/>
  <c r="CI793" i="94"/>
  <c r="CU793" i="94"/>
  <c r="DI793" i="94"/>
  <c r="DV793" i="94"/>
  <c r="EH793" i="94"/>
  <c r="EU793" i="94"/>
  <c r="FG793" i="94"/>
  <c r="FU793" i="94"/>
  <c r="GF794" i="94"/>
  <c r="GN794" i="94"/>
  <c r="GW794" i="94"/>
  <c r="HF794" i="94"/>
  <c r="HQ794" i="94"/>
  <c r="LP794" i="94"/>
  <c r="MA794" i="94"/>
  <c r="IA795" i="94"/>
  <c r="JA775" i="94"/>
  <c r="DV801" i="94"/>
  <c r="A508" i="94"/>
  <c r="EZ772" i="94"/>
  <c r="LK772" i="94"/>
  <c r="KG775" i="94"/>
  <c r="BM793" i="94"/>
  <c r="BZ793" i="94"/>
  <c r="CL793" i="94"/>
  <c r="CY793" i="94"/>
  <c r="DK793" i="94"/>
  <c r="DY793" i="94"/>
  <c r="EL793" i="94"/>
  <c r="EX793" i="94"/>
  <c r="FK793" i="94"/>
  <c r="FW793" i="94"/>
  <c r="LF793" i="94"/>
  <c r="GH794" i="94"/>
  <c r="GP794" i="94"/>
  <c r="GY794" i="94"/>
  <c r="HI794" i="94"/>
  <c r="HS794" i="94"/>
  <c r="LS794" i="94"/>
  <c r="GF802" i="94"/>
  <c r="CF794" i="94"/>
  <c r="IL786" i="94"/>
  <c r="GF772" i="94"/>
  <c r="BQ773" i="94"/>
  <c r="FY773" i="94"/>
  <c r="LM775" i="94"/>
  <c r="BN793" i="94"/>
  <c r="CA793" i="94"/>
  <c r="CM793" i="94"/>
  <c r="DA793" i="94"/>
  <c r="DN793" i="94"/>
  <c r="DZ793" i="94"/>
  <c r="EM793" i="94"/>
  <c r="EY793" i="94"/>
  <c r="FM793" i="94"/>
  <c r="FZ793" i="94"/>
  <c r="LH793" i="94"/>
  <c r="GI794" i="94"/>
  <c r="GQ794" i="94"/>
  <c r="GZ794" i="94"/>
  <c r="HJ794" i="94"/>
  <c r="HU794" i="94"/>
  <c r="LU794" i="94"/>
  <c r="GN802" i="94"/>
  <c r="DT772" i="94"/>
  <c r="BO793" i="94"/>
  <c r="CC793" i="94"/>
  <c r="CP793" i="94"/>
  <c r="DB793" i="94"/>
  <c r="DO793" i="94"/>
  <c r="EO793" i="94"/>
  <c r="FB793" i="94"/>
  <c r="FN793" i="94"/>
  <c r="GJ794" i="94"/>
  <c r="GR794" i="94"/>
  <c r="HA794" i="94"/>
  <c r="HK794" i="94"/>
  <c r="HV794" i="94"/>
  <c r="LV794" i="94"/>
  <c r="CH801" i="94"/>
  <c r="HK802" i="94"/>
  <c r="JK789" i="94"/>
  <c r="JD785" i="94"/>
  <c r="LC781" i="94"/>
  <c r="G968" i="94"/>
  <c r="D1028" i="94"/>
  <c r="LF800" i="94"/>
  <c r="ER800" i="94"/>
  <c r="MD792" i="94"/>
  <c r="LJ792" i="94"/>
  <c r="HM792" i="94"/>
  <c r="GP792" i="94"/>
  <c r="DM792" i="94"/>
  <c r="FQ792" i="94"/>
  <c r="CP792" i="94"/>
  <c r="DP784" i="94"/>
  <c r="BU784" i="94"/>
  <c r="GZ784" i="94"/>
  <c r="FM784" i="94"/>
  <c r="GR784" i="94"/>
  <c r="HQ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LX788" i="94"/>
  <c r="GE788" i="94"/>
  <c r="FZ786" i="94"/>
  <c r="DG786" i="94"/>
  <c r="BZ786" i="94"/>
  <c r="CQ786"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8" i="94"/>
  <c r="JT774" i="94"/>
  <c r="CY776" i="94"/>
  <c r="GI776" i="94"/>
  <c r="LQ776" i="94"/>
  <c r="DT778" i="94"/>
  <c r="DG776" i="94"/>
  <c r="EM776" i="94"/>
  <c r="GQ776" i="94"/>
  <c r="LY776" i="94"/>
  <c r="BP778" i="94"/>
  <c r="EB778" i="94"/>
  <c r="S483" i="94"/>
  <c r="MK774" i="94"/>
  <c r="DO776" i="94"/>
  <c r="EU776" i="94"/>
  <c r="GY776" i="94"/>
  <c r="MK776" i="94"/>
  <c r="BX778" i="94"/>
  <c r="IB778" i="94"/>
  <c r="ET792" i="94"/>
  <c r="J749" i="94"/>
  <c r="BK776" i="94"/>
  <c r="DW776" i="94"/>
  <c r="FC776" i="94"/>
  <c r="HG776" i="94"/>
  <c r="CF778" i="94"/>
  <c r="BS776" i="94"/>
  <c r="FK776" i="94"/>
  <c r="HO776" i="94"/>
  <c r="BV792" i="94"/>
  <c r="CP786" i="94"/>
  <c r="A535" i="94"/>
  <c r="DD778" i="94"/>
  <c r="DV786" i="94"/>
  <c r="P563" i="94"/>
  <c r="P575" i="94"/>
  <c r="I749" i="94"/>
  <c r="GV794" i="94"/>
  <c r="HD794" i="94"/>
  <c r="HL794" i="94"/>
  <c r="HT794" i="94"/>
  <c r="LQ794" i="94"/>
  <c r="LY794" i="94"/>
  <c r="HZ795" i="94"/>
  <c r="GM802" i="94"/>
  <c r="HS802" i="94"/>
  <c r="EM803" i="94"/>
  <c r="L950" i="94"/>
  <c r="H954" i="94"/>
  <c r="P954" i="94"/>
  <c r="L959" i="94"/>
  <c r="FZ804" i="94"/>
  <c r="DJ798" i="94"/>
  <c r="CK796" i="94"/>
  <c r="FT790" i="94"/>
  <c r="FB801" i="94"/>
  <c r="GU802" i="94"/>
  <c r="K749" i="94"/>
  <c r="HG794" i="94"/>
  <c r="HO794" i="94"/>
  <c r="HW794" i="94"/>
  <c r="LT794" i="94"/>
  <c r="MB794" i="94"/>
  <c r="IC795" i="94"/>
  <c r="FV798" i="94"/>
  <c r="GV802" i="94"/>
  <c r="L749" i="94"/>
  <c r="GF790" i="94"/>
  <c r="EN795" i="94"/>
  <c r="LM795" i="94"/>
  <c r="LK801" i="94"/>
  <c r="HC802" i="94"/>
  <c r="LS802" i="94"/>
  <c r="N945" i="94"/>
  <c r="J950" i="94"/>
  <c r="N954" i="94"/>
  <c r="J959" i="94"/>
  <c r="V509" i="94"/>
  <c r="HD802" i="94"/>
  <c r="KS779" i="94"/>
  <c r="KF781" i="94"/>
  <c r="BT782" i="94"/>
  <c r="CB782" i="94"/>
  <c r="DB782" i="94"/>
  <c r="FE782" i="94"/>
  <c r="FN782" i="94"/>
  <c r="HZ782" i="94"/>
  <c r="IV785" i="94"/>
  <c r="IO787" i="94"/>
  <c r="LA787" i="94"/>
  <c r="JC789" i="94"/>
  <c r="FJ790" i="94"/>
  <c r="JY781" i="94"/>
  <c r="LE781" i="94"/>
  <c r="CK782" i="94"/>
  <c r="DL782" i="94"/>
  <c r="DV782" i="94"/>
  <c r="FO782" i="94"/>
  <c r="GQ782" i="94"/>
  <c r="LF782" i="94"/>
  <c r="LJ798" i="94"/>
  <c r="LI798" i="94"/>
  <c r="LH798" i="94"/>
  <c r="LF798" i="94"/>
  <c r="LG798" i="94"/>
  <c r="LH790" i="94"/>
  <c r="LG790" i="94"/>
  <c r="LF790" i="94"/>
  <c r="LJ790" i="94"/>
  <c r="LI790" i="94"/>
  <c r="GQ806" i="94"/>
  <c r="GA806" i="94"/>
  <c r="DO806" i="94"/>
  <c r="BS806" i="94"/>
  <c r="FK806" i="94"/>
  <c r="MB798" i="94"/>
  <c r="LT798" i="94"/>
  <c r="LL798" i="94"/>
  <c r="HW798" i="94"/>
  <c r="HO798" i="94"/>
  <c r="HG798" i="94"/>
  <c r="GY798" i="94"/>
  <c r="GQ798" i="94"/>
  <c r="GI798" i="94"/>
  <c r="GA798" i="94"/>
  <c r="FS798" i="94"/>
  <c r="FK798" i="94"/>
  <c r="FC798" i="94"/>
  <c r="EU798" i="94"/>
  <c r="EM798" i="94"/>
  <c r="DW798" i="94"/>
  <c r="DO798" i="94"/>
  <c r="DG798" i="94"/>
  <c r="CY798" i="94"/>
  <c r="CQ798" i="94"/>
  <c r="CI798" i="94"/>
  <c r="CA798" i="94"/>
  <c r="BS798" i="94"/>
  <c r="BK798" i="94"/>
  <c r="MA798" i="94"/>
  <c r="LS798" i="94"/>
  <c r="LK798" i="94"/>
  <c r="HV798" i="94"/>
  <c r="HN798" i="94"/>
  <c r="HF798" i="94"/>
  <c r="GX798" i="94"/>
  <c r="GP798" i="94"/>
  <c r="GH798" i="94"/>
  <c r="FZ798" i="94"/>
  <c r="FR798" i="94"/>
  <c r="FJ798" i="94"/>
  <c r="FB798" i="94"/>
  <c r="ET798" i="94"/>
  <c r="EL798" i="94"/>
  <c r="DV798" i="94"/>
  <c r="DN798" i="94"/>
  <c r="DF798" i="94"/>
  <c r="CX798" i="94"/>
  <c r="CP798" i="94"/>
  <c r="CH798" i="94"/>
  <c r="BZ798" i="94"/>
  <c r="BR798" i="94"/>
  <c r="LZ798" i="94"/>
  <c r="LR798" i="94"/>
  <c r="HU798" i="94"/>
  <c r="HM798" i="94"/>
  <c r="HE798" i="94"/>
  <c r="GW798" i="94"/>
  <c r="GO798" i="94"/>
  <c r="GG798" i="94"/>
  <c r="FY798" i="94"/>
  <c r="FQ798" i="94"/>
  <c r="FI798" i="94"/>
  <c r="FA798" i="94"/>
  <c r="ES798" i="94"/>
  <c r="EK798" i="94"/>
  <c r="DU798" i="94"/>
  <c r="DM798" i="94"/>
  <c r="DE798" i="94"/>
  <c r="CW798" i="94"/>
  <c r="CO798" i="94"/>
  <c r="CG798" i="94"/>
  <c r="BY798" i="94"/>
  <c r="BQ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MD798" i="94"/>
  <c r="LV798" i="94"/>
  <c r="LN798" i="94"/>
  <c r="HQ798" i="94"/>
  <c r="HI798" i="94"/>
  <c r="HA798" i="94"/>
  <c r="GS798" i="94"/>
  <c r="GK798" i="94"/>
  <c r="GC798" i="94"/>
  <c r="FU798" i="94"/>
  <c r="FM798" i="94"/>
  <c r="FE798" i="94"/>
  <c r="EW798" i="94"/>
  <c r="EO798" i="94"/>
  <c r="DY798" i="94"/>
  <c r="DQ798" i="94"/>
  <c r="DI798" i="94"/>
  <c r="DA798" i="94"/>
  <c r="CS798" i="94"/>
  <c r="CK798" i="94"/>
  <c r="CC798" i="94"/>
  <c r="BU798" i="94"/>
  <c r="BM798" i="94"/>
  <c r="MC798" i="94"/>
  <c r="LU798" i="94"/>
  <c r="LM798" i="94"/>
  <c r="HX798" i="94"/>
  <c r="HP798" i="94"/>
  <c r="HH798" i="94"/>
  <c r="GZ798" i="94"/>
  <c r="GR798" i="94"/>
  <c r="GJ798" i="94"/>
  <c r="GB798" i="94"/>
  <c r="FT798" i="94"/>
  <c r="FL798" i="94"/>
  <c r="FD798" i="94"/>
  <c r="EV798" i="94"/>
  <c r="EN798" i="94"/>
  <c r="DX798" i="94"/>
  <c r="DP798" i="94"/>
  <c r="DH798" i="94"/>
  <c r="CZ798" i="94"/>
  <c r="CR798" i="94"/>
  <c r="CJ798" i="94"/>
  <c r="CB798" i="94"/>
  <c r="BT798" i="94"/>
  <c r="BL798" i="94"/>
  <c r="HJ798" i="94"/>
  <c r="EX798" i="94"/>
  <c r="CL798" i="94"/>
  <c r="HB798" i="94"/>
  <c r="EP798" i="94"/>
  <c r="CD798" i="94"/>
  <c r="GT798" i="94"/>
  <c r="EH798" i="94"/>
  <c r="BV798" i="94"/>
  <c r="GL798" i="94"/>
  <c r="DZ798" i="94"/>
  <c r="BN798" i="94"/>
  <c r="LW798" i="94"/>
  <c r="GD798" i="94"/>
  <c r="DR798" i="94"/>
  <c r="FN798" i="94"/>
  <c r="DB798" i="94"/>
  <c r="HR798" i="94"/>
  <c r="FF798" i="94"/>
  <c r="CT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N790" i="94"/>
  <c r="FF790" i="94"/>
  <c r="EX790" i="94"/>
  <c r="EP790" i="94"/>
  <c r="EH790" i="94"/>
  <c r="DZ790" i="94"/>
  <c r="DB790" i="94"/>
  <c r="CT790" i="94"/>
  <c r="MB790" i="94"/>
  <c r="LT790" i="94"/>
  <c r="LL790" i="94"/>
  <c r="HW790" i="94"/>
  <c r="HO790" i="94"/>
  <c r="HG790" i="94"/>
  <c r="GY790" i="94"/>
  <c r="GQ790" i="94"/>
  <c r="GI790" i="94"/>
  <c r="LS790" i="94"/>
  <c r="HM790" i="94"/>
  <c r="GZ790" i="94"/>
  <c r="GN790" i="94"/>
  <c r="GA790" i="94"/>
  <c r="FQ790" i="94"/>
  <c r="FE790" i="94"/>
  <c r="EU790" i="94"/>
  <c r="EL790" i="94"/>
  <c r="DK790" i="94"/>
  <c r="CJ790" i="94"/>
  <c r="CB790" i="94"/>
  <c r="BT790" i="94"/>
  <c r="MD790" i="94"/>
  <c r="LR790" i="94"/>
  <c r="HX790" i="94"/>
  <c r="HL790" i="94"/>
  <c r="GX790" i="94"/>
  <c r="GK790" i="94"/>
  <c r="FZ790" i="94"/>
  <c r="FP790" i="94"/>
  <c r="FD790" i="94"/>
  <c r="ET790" i="94"/>
  <c r="EK790" i="94"/>
  <c r="DS790" i="94"/>
  <c r="DI790" i="94"/>
  <c r="CZ790" i="94"/>
  <c r="CA790" i="94"/>
  <c r="MC790" i="94"/>
  <c r="LQ790" i="94"/>
  <c r="HV790" i="94"/>
  <c r="HI790" i="94"/>
  <c r="GW790" i="94"/>
  <c r="GJ790" i="94"/>
  <c r="FM790" i="94"/>
  <c r="FC790" i="94"/>
  <c r="ES790" i="94"/>
  <c r="EJ790" i="94"/>
  <c r="DH790" i="94"/>
  <c r="CH790" i="94"/>
  <c r="BZ790" i="94"/>
  <c r="BR790" i="94"/>
  <c r="MA790" i="94"/>
  <c r="LN790" i="94"/>
  <c r="HU790" i="94"/>
  <c r="HH790" i="94"/>
  <c r="GV790" i="94"/>
  <c r="GH790" i="94"/>
  <c r="FX790" i="94"/>
  <c r="FL790" i="94"/>
  <c r="FB790" i="94"/>
  <c r="ER790" i="94"/>
  <c r="EI790" i="94"/>
  <c r="DG790" i="94"/>
  <c r="CX790" i="94"/>
  <c r="CO790" i="94"/>
  <c r="BQ790" i="94"/>
  <c r="LZ790" i="94"/>
  <c r="LM790" i="94"/>
  <c r="HT790" i="94"/>
  <c r="HF790" i="94"/>
  <c r="GS790" i="94"/>
  <c r="GG790" i="94"/>
  <c r="FU790" i="94"/>
  <c r="FK790" i="94"/>
  <c r="FA790" i="94"/>
  <c r="EQ790" i="94"/>
  <c r="DX790" i="94"/>
  <c r="DO790" i="94"/>
  <c r="DF790" i="94"/>
  <c r="CF790" i="94"/>
  <c r="LV790" i="94"/>
  <c r="HP790" i="94"/>
  <c r="HD790" i="94"/>
  <c r="GP790" i="94"/>
  <c r="GC790" i="94"/>
  <c r="FS790" i="94"/>
  <c r="FI790" i="94"/>
  <c r="EW790" i="94"/>
  <c r="EN790" i="94"/>
  <c r="DV790" i="94"/>
  <c r="DM790" i="94"/>
  <c r="CL790" i="94"/>
  <c r="BN790" i="94"/>
  <c r="LU790" i="94"/>
  <c r="HN790" i="94"/>
  <c r="HA790" i="94"/>
  <c r="GO790" i="94"/>
  <c r="GB790" i="94"/>
  <c r="FR790" i="94"/>
  <c r="FH790" i="94"/>
  <c r="EV790" i="94"/>
  <c r="EM790" i="94"/>
  <c r="DU790" i="94"/>
  <c r="CS790" i="94"/>
  <c r="BU790" i="94"/>
  <c r="BM790" i="94"/>
  <c r="FW788" i="94"/>
  <c r="CB788" i="94"/>
  <c r="HU782" i="94"/>
  <c r="FA782" i="94"/>
  <c r="DU782" i="94"/>
  <c r="DM782" i="94"/>
  <c r="KO803" i="94"/>
  <c r="KC803" i="94"/>
  <c r="JN803" i="94"/>
  <c r="IO803" i="94"/>
  <c r="KS803" i="94"/>
  <c r="KE803" i="94"/>
  <c r="KT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KZ797" i="94"/>
  <c r="KR797" i="94"/>
  <c r="KJ797" i="94"/>
  <c r="KB797" i="94"/>
  <c r="JT797" i="94"/>
  <c r="JL797" i="94"/>
  <c r="JD797" i="94"/>
  <c r="IV797" i="94"/>
  <c r="IN797" i="94"/>
  <c r="IF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KV779" i="94"/>
  <c r="KQ781" i="94"/>
  <c r="BO782" i="94"/>
  <c r="BW782" i="94"/>
  <c r="CV782" i="94"/>
  <c r="EP782" i="94"/>
  <c r="EY782" i="94"/>
  <c r="GA782" i="94"/>
  <c r="JT785" i="94"/>
  <c r="JM787" i="94"/>
  <c r="MP787" i="94"/>
  <c r="KA789" i="94"/>
  <c r="DN790" i="94"/>
  <c r="GR790" i="94"/>
  <c r="LO798" i="94"/>
  <c r="JA779" i="94"/>
  <c r="KR781" i="94"/>
  <c r="CF782" i="94"/>
  <c r="CN782" i="94"/>
  <c r="DY782" i="94"/>
  <c r="EZ782" i="94"/>
  <c r="FJ782" i="94"/>
  <c r="LJ782" i="94"/>
  <c r="KB785" i="94"/>
  <c r="JU787" i="94"/>
  <c r="KI789" i="94"/>
  <c r="DW790" i="94"/>
  <c r="HE790" i="94"/>
  <c r="KP779" i="94"/>
  <c r="JM781" i="94"/>
  <c r="KS781" i="94"/>
  <c r="CG782" i="94"/>
  <c r="CP782" i="94"/>
  <c r="DZ782" i="94"/>
  <c r="FB782" i="94"/>
  <c r="FK782" i="94"/>
  <c r="LK782" i="94"/>
  <c r="KJ785" i="94"/>
  <c r="KC787" i="94"/>
  <c r="IE789" i="94"/>
  <c r="KQ789" i="94"/>
  <c r="HQ790" i="94"/>
  <c r="JK779" i="94"/>
  <c r="BZ782" i="94"/>
  <c r="CZ782" i="94"/>
  <c r="DI782" i="94"/>
  <c r="ET782" i="94"/>
  <c r="FU782" i="94"/>
  <c r="GD782" i="94"/>
  <c r="IF785" i="94"/>
  <c r="KR785" i="94"/>
  <c r="KK787" i="94"/>
  <c r="IM789" i="94"/>
  <c r="KY789" i="94"/>
  <c r="BW790" i="94"/>
  <c r="EO790" i="94"/>
  <c r="LK790" i="94"/>
  <c r="BK782" i="94"/>
  <c r="BS782" i="94"/>
  <c r="CR782" i="94"/>
  <c r="EB782" i="94"/>
  <c r="EL782" i="94"/>
  <c r="FM782" i="94"/>
  <c r="LM782" i="94"/>
  <c r="IN785" i="94"/>
  <c r="KZ785" i="94"/>
  <c r="IG787" i="94"/>
  <c r="KS787" i="94"/>
  <c r="IU789" i="94"/>
  <c r="MP789" i="94"/>
  <c r="EZ790" i="94"/>
  <c r="LY790" i="94"/>
  <c r="KH795" i="94"/>
  <c r="JZ797" i="94"/>
  <c r="IC786" i="94"/>
  <c r="I945" i="94"/>
  <c r="KE801" i="94"/>
  <c r="LE793" i="94"/>
  <c r="GB803" i="94"/>
  <c r="J968" i="94"/>
  <c r="FC808" i="94"/>
  <c r="BP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LX800" i="94"/>
  <c r="LN800" i="94"/>
  <c r="HT800" i="94"/>
  <c r="HH800" i="94"/>
  <c r="GX800" i="94"/>
  <c r="GN800" i="94"/>
  <c r="FR800" i="94"/>
  <c r="FH800" i="94"/>
  <c r="EY800" i="94"/>
  <c r="EP800" i="94"/>
  <c r="EH800" i="94"/>
  <c r="DZ800" i="94"/>
  <c r="DR800" i="94"/>
  <c r="DJ800" i="94"/>
  <c r="DB800" i="94"/>
  <c r="CT800" i="94"/>
  <c r="CL800" i="94"/>
  <c r="CD800" i="94"/>
  <c r="BV800" i="94"/>
  <c r="BN800" i="94"/>
  <c r="LW800" i="94"/>
  <c r="LM800" i="94"/>
  <c r="HR800" i="94"/>
  <c r="HG800" i="94"/>
  <c r="GW800" i="94"/>
  <c r="GL800" i="94"/>
  <c r="FQ800" i="94"/>
  <c r="FG800" i="94"/>
  <c r="EX800" i="94"/>
  <c r="EO800" i="94"/>
  <c r="DY800" i="94"/>
  <c r="DQ800" i="94"/>
  <c r="DI800" i="94"/>
  <c r="DA800" i="94"/>
  <c r="CS800" i="94"/>
  <c r="CK800" i="94"/>
  <c r="CC800" i="94"/>
  <c r="BU800" i="94"/>
  <c r="BM800" i="94"/>
  <c r="LV800" i="94"/>
  <c r="LL800" i="94"/>
  <c r="HP800" i="94"/>
  <c r="HF800" i="94"/>
  <c r="GV800" i="94"/>
  <c r="GJ800" i="94"/>
  <c r="FP800" i="94"/>
  <c r="FF800" i="94"/>
  <c r="EV800" i="94"/>
  <c r="EN800" i="94"/>
  <c r="DX800" i="94"/>
  <c r="DP800" i="94"/>
  <c r="DH800" i="94"/>
  <c r="CZ800" i="94"/>
  <c r="CR800" i="94"/>
  <c r="CJ800" i="94"/>
  <c r="CB800" i="94"/>
  <c r="BT800" i="94"/>
  <c r="BL800" i="94"/>
  <c r="LU800" i="94"/>
  <c r="LJ800" i="94"/>
  <c r="HO800" i="94"/>
  <c r="HE800" i="94"/>
  <c r="GT800" i="94"/>
  <c r="GI800" i="94"/>
  <c r="FN800" i="94"/>
  <c r="FD800" i="94"/>
  <c r="EU800" i="94"/>
  <c r="EM800" i="94"/>
  <c r="DW800" i="94"/>
  <c r="DO800" i="94"/>
  <c r="DG800" i="94"/>
  <c r="CY800" i="94"/>
  <c r="CQ800" i="94"/>
  <c r="CI800" i="94"/>
  <c r="CA800" i="94"/>
  <c r="BS800" i="94"/>
  <c r="BK800" i="94"/>
  <c r="LT800" i="94"/>
  <c r="LH800" i="94"/>
  <c r="HX800" i="94"/>
  <c r="HN800" i="94"/>
  <c r="HD800" i="94"/>
  <c r="GR800" i="94"/>
  <c r="GH800" i="94"/>
  <c r="FL800" i="94"/>
  <c r="FC800" i="94"/>
  <c r="ET800" i="94"/>
  <c r="EL800" i="94"/>
  <c r="DV800" i="94"/>
  <c r="DN800" i="94"/>
  <c r="DF800" i="94"/>
  <c r="CX800" i="94"/>
  <c r="CP800" i="94"/>
  <c r="CH800" i="94"/>
  <c r="BZ800" i="94"/>
  <c r="BR800" i="94"/>
  <c r="MC800" i="94"/>
  <c r="LR800" i="94"/>
  <c r="LG800" i="94"/>
  <c r="HW800" i="94"/>
  <c r="HM800" i="94"/>
  <c r="HB800" i="94"/>
  <c r="GQ800" i="94"/>
  <c r="GG800" i="94"/>
  <c r="FK800" i="94"/>
  <c r="FB800" i="94"/>
  <c r="ES800" i="94"/>
  <c r="EK800" i="94"/>
  <c r="DU800" i="94"/>
  <c r="DM800" i="94"/>
  <c r="DE800" i="94"/>
  <c r="CW800" i="94"/>
  <c r="CO800" i="94"/>
  <c r="CG800" i="94"/>
  <c r="BY800" i="94"/>
  <c r="BQ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L796" i="94"/>
  <c r="GE796" i="94"/>
  <c r="FW796" i="94"/>
  <c r="MK796" i="94"/>
  <c r="GD796" i="94"/>
  <c r="FV796" i="94"/>
  <c r="MJ796" i="94"/>
  <c r="GC796" i="94"/>
  <c r="IC796" i="94"/>
  <c r="GB796" i="94"/>
  <c r="IB796" i="94"/>
  <c r="GA796" i="94"/>
  <c r="IA796" i="94"/>
  <c r="FZ796" i="94"/>
  <c r="MN796" i="94"/>
  <c r="HZ796" i="94"/>
  <c r="FY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IB798" i="94"/>
  <c r="IA794" i="94"/>
  <c r="HZ794" i="94"/>
  <c r="HY794" i="94"/>
  <c r="IC794" i="94"/>
  <c r="IB792" i="94"/>
  <c r="MN792" i="94"/>
  <c r="IA792" i="94"/>
  <c r="ML792" i="94"/>
  <c r="HY792" i="94"/>
  <c r="MK792" i="94"/>
  <c r="MJ792" i="94"/>
  <c r="HY790" i="94"/>
  <c r="IB790" i="94"/>
  <c r="FX788" i="94"/>
  <c r="HX788" i="94"/>
  <c r="MJ788" i="94"/>
  <c r="MM790" i="94"/>
  <c r="BY792" i="94"/>
  <c r="CT792" i="94"/>
  <c r="DN792" i="94"/>
  <c r="EX792" i="94"/>
  <c r="FR792" i="94"/>
  <c r="GT792" i="94"/>
  <c r="HN792" i="94"/>
  <c r="LM792" i="94"/>
  <c r="MM792" i="94"/>
  <c r="CN794" i="94"/>
  <c r="FX796" i="94"/>
  <c r="BP800" i="94"/>
  <c r="EB800" i="94"/>
  <c r="FA800" i="94"/>
  <c r="LP800" i="94"/>
  <c r="ML804" i="94"/>
  <c r="HJ784" i="94"/>
  <c r="BL786" i="94"/>
  <c r="BT786" i="94"/>
  <c r="CB786" i="94"/>
  <c r="CJ786" i="94"/>
  <c r="CR786" i="94"/>
  <c r="CZ786" i="94"/>
  <c r="DH786" i="94"/>
  <c r="DP786" i="94"/>
  <c r="DX786" i="94"/>
  <c r="MJ786" i="94"/>
  <c r="FY788" i="94"/>
  <c r="HY788" i="94"/>
  <c r="MK788" i="94"/>
  <c r="MN790" i="94"/>
  <c r="BZ792" i="94"/>
  <c r="CW792" i="94"/>
  <c r="DR792" i="94"/>
  <c r="FA792" i="94"/>
  <c r="GW792" i="94"/>
  <c r="HR792" i="94"/>
  <c r="LN792" i="94"/>
  <c r="CV794" i="94"/>
  <c r="HY796" i="94"/>
  <c r="BX800" i="94"/>
  <c r="FJ800" i="94"/>
  <c r="MB800" i="94"/>
  <c r="DS784" i="94"/>
  <c r="GU784" i="94"/>
  <c r="MM784" i="94"/>
  <c r="BM786" i="94"/>
  <c r="BU786" i="94"/>
  <c r="CC786" i="94"/>
  <c r="CK786" i="94"/>
  <c r="CS786" i="94"/>
  <c r="DA786" i="94"/>
  <c r="DI786" i="94"/>
  <c r="DQ786" i="94"/>
  <c r="DY786" i="94"/>
  <c r="HY786" i="94"/>
  <c r="MK786" i="94"/>
  <c r="FZ788" i="94"/>
  <c r="HZ788" i="94"/>
  <c r="ML788" i="94"/>
  <c r="CD792" i="94"/>
  <c r="CX792" i="94"/>
  <c r="DU792" i="94"/>
  <c r="EH792" i="94"/>
  <c r="FB792" i="94"/>
  <c r="GX792" i="94"/>
  <c r="HU792" i="94"/>
  <c r="LR792" i="94"/>
  <c r="DD794" i="94"/>
  <c r="MM796" i="94"/>
  <c r="ML798" i="94"/>
  <c r="CF800" i="94"/>
  <c r="FT800" i="94"/>
  <c r="GF800" i="94"/>
  <c r="IC806" i="94"/>
  <c r="IB782" i="94"/>
  <c r="BX784" i="94"/>
  <c r="EJ784" i="94"/>
  <c r="HD784" i="94"/>
  <c r="BN786" i="94"/>
  <c r="BV786" i="94"/>
  <c r="CD786" i="94"/>
  <c r="CL786" i="94"/>
  <c r="CT786" i="94"/>
  <c r="DB786" i="94"/>
  <c r="DJ786" i="94"/>
  <c r="DR786" i="94"/>
  <c r="DZ786" i="94"/>
  <c r="FV786" i="94"/>
  <c r="HZ786" i="94"/>
  <c r="ML786" i="94"/>
  <c r="GA788" i="94"/>
  <c r="IA788" i="94"/>
  <c r="MM788" i="94"/>
  <c r="HZ790" i="94"/>
  <c r="CG792" i="94"/>
  <c r="DB792" i="94"/>
  <c r="DV792" i="94"/>
  <c r="EK792" i="94"/>
  <c r="FF792" i="94"/>
  <c r="GG792" i="94"/>
  <c r="HB792" i="94"/>
  <c r="HV792" i="94"/>
  <c r="LU792" i="94"/>
  <c r="DL794" i="94"/>
  <c r="FX794" i="94"/>
  <c r="CN800" i="94"/>
  <c r="GP800" i="94"/>
  <c r="ML802" i="94"/>
  <c r="CL808" i="94"/>
  <c r="IC782" i="94"/>
  <c r="BQ784" i="94"/>
  <c r="EK784" i="94"/>
  <c r="HE784" i="94"/>
  <c r="BO786" i="94"/>
  <c r="BW786" i="94"/>
  <c r="CE786" i="94"/>
  <c r="CM786" i="94"/>
  <c r="CU786" i="94"/>
  <c r="DC786" i="94"/>
  <c r="DK786" i="94"/>
  <c r="DS786" i="94"/>
  <c r="EA786" i="94"/>
  <c r="FW786" i="94"/>
  <c r="IA786" i="94"/>
  <c r="MM786" i="94"/>
  <c r="GB788" i="94"/>
  <c r="IB788" i="94"/>
  <c r="MN788" i="94"/>
  <c r="IA790" i="94"/>
  <c r="BN792" i="94"/>
  <c r="CH792" i="94"/>
  <c r="DE792" i="94"/>
  <c r="DZ792" i="94"/>
  <c r="EL792" i="94"/>
  <c r="FI792" i="94"/>
  <c r="GH792" i="94"/>
  <c r="HE792" i="94"/>
  <c r="HZ792" i="94"/>
  <c r="LV792" i="94"/>
  <c r="DT794" i="94"/>
  <c r="CV800" i="94"/>
  <c r="GZ800" i="94"/>
  <c r="BR784" i="94"/>
  <c r="EL784" i="94"/>
  <c r="HF784" i="94"/>
  <c r="BP786" i="94"/>
  <c r="BX786" i="94"/>
  <c r="CF786" i="94"/>
  <c r="CN786" i="94"/>
  <c r="CV786" i="94"/>
  <c r="DD786" i="94"/>
  <c r="DL786" i="94"/>
  <c r="DT786" i="94"/>
  <c r="EB786" i="94"/>
  <c r="FX786" i="94"/>
  <c r="IB786" i="94"/>
  <c r="MN786" i="94"/>
  <c r="FT788" i="94"/>
  <c r="GC788" i="94"/>
  <c r="IC788" i="94"/>
  <c r="IC790" i="94"/>
  <c r="BQ792" i="94"/>
  <c r="CL792" i="94"/>
  <c r="DF792" i="94"/>
  <c r="EP792" i="94"/>
  <c r="FJ792" i="94"/>
  <c r="GL792" i="94"/>
  <c r="HF792" i="94"/>
  <c r="IC792" i="94"/>
  <c r="LZ792" i="94"/>
  <c r="BP794" i="94"/>
  <c r="EB794" i="94"/>
  <c r="DD800" i="94"/>
  <c r="HL800" i="94"/>
  <c r="CM802" i="94"/>
  <c r="IC802" i="94"/>
  <c r="DG784" i="94"/>
  <c r="GI784" i="94"/>
  <c r="LV784" i="94"/>
  <c r="BQ786" i="94"/>
  <c r="BY786" i="94"/>
  <c r="CG786" i="94"/>
  <c r="CO786" i="94"/>
  <c r="CW786" i="94"/>
  <c r="DE786" i="94"/>
  <c r="DM786" i="94"/>
  <c r="DU786" i="94"/>
  <c r="FV788" i="94"/>
  <c r="GD788" i="94"/>
  <c r="BR792" i="94"/>
  <c r="CO792" i="94"/>
  <c r="DJ792" i="94"/>
  <c r="ES792" i="94"/>
  <c r="FN792" i="94"/>
  <c r="GO792" i="94"/>
  <c r="HJ792" i="94"/>
  <c r="LF792" i="94"/>
  <c r="MC792" i="94"/>
  <c r="BX794" i="94"/>
  <c r="IB794" i="94"/>
  <c r="DL800" i="94"/>
  <c r="EJ800" i="94"/>
  <c r="HV800" i="94"/>
  <c r="DS802" i="94"/>
  <c r="GC806" i="94"/>
  <c r="CY806" i="94"/>
  <c r="K972" i="94"/>
  <c r="GB805" i="94"/>
  <c r="GB795" i="94"/>
  <c r="EV803" i="94"/>
  <c r="KG805" i="94"/>
  <c r="DQ806"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DP795" i="94"/>
  <c r="CX801" i="94"/>
  <c r="FJ801" i="94"/>
  <c r="JO801" i="94"/>
  <c r="FE803" i="94"/>
  <c r="BQ793" i="94"/>
  <c r="BY793" i="94"/>
  <c r="CG793" i="94"/>
  <c r="CO793" i="94"/>
  <c r="CW793" i="94"/>
  <c r="DE793" i="94"/>
  <c r="DM793" i="94"/>
  <c r="DU793" i="94"/>
  <c r="EK793" i="94"/>
  <c r="ES793" i="94"/>
  <c r="FA793" i="94"/>
  <c r="FI793" i="94"/>
  <c r="FQ793" i="94"/>
  <c r="FY793" i="94"/>
  <c r="IA793" i="94"/>
  <c r="IJ793" i="94"/>
  <c r="IS793" i="94"/>
  <c r="JB793" i="94"/>
  <c r="JL793" i="94"/>
  <c r="JV793" i="94"/>
  <c r="KG793" i="94"/>
  <c r="KR793" i="94"/>
  <c r="BL795" i="94"/>
  <c r="DX795" i="94"/>
  <c r="DF801" i="94"/>
  <c r="FR801" i="94"/>
  <c r="JW801" i="94"/>
  <c r="FN803" i="94"/>
  <c r="DN801" i="94"/>
  <c r="FZ801" i="94"/>
  <c r="LN803" i="94"/>
  <c r="FQ803" i="94"/>
  <c r="FG803" i="94"/>
  <c r="EX803" i="94"/>
  <c r="EO803" i="94"/>
  <c r="CT803" i="94"/>
  <c r="LM803" i="94"/>
  <c r="FO803" i="94"/>
  <c r="FF803" i="94"/>
  <c r="EW803" i="94"/>
  <c r="EN803" i="94"/>
  <c r="CJ803" i="94"/>
  <c r="LH803" i="94"/>
  <c r="FM803" i="94"/>
  <c r="FD803" i="94"/>
  <c r="EU803" i="94"/>
  <c r="EL803" i="94"/>
  <c r="CA803" i="94"/>
  <c r="LG803" i="94"/>
  <c r="FU803" i="94"/>
  <c r="FL803" i="94"/>
  <c r="FC803" i="94"/>
  <c r="ET803" i="94"/>
  <c r="EK803" i="94"/>
  <c r="DU803" i="94"/>
  <c r="BR803" i="94"/>
  <c r="LF803" i="94"/>
  <c r="FT803" i="94"/>
  <c r="FK803" i="94"/>
  <c r="FB803" i="94"/>
  <c r="ES803" i="94"/>
  <c r="EI803" i="94"/>
  <c r="DM803" i="94"/>
  <c r="BK803" i="94"/>
  <c r="FS803" i="94"/>
  <c r="FJ803" i="94"/>
  <c r="FA803" i="94"/>
  <c r="EQ803" i="94"/>
  <c r="EH803" i="94"/>
  <c r="DK803" i="94"/>
  <c r="LO803" i="94"/>
  <c r="FR803" i="94"/>
  <c r="FI803" i="94"/>
  <c r="EY803" i="94"/>
  <c r="EP803" i="94"/>
  <c r="DB803" i="94"/>
  <c r="LO795" i="94"/>
  <c r="LG795" i="94"/>
  <c r="FN795" i="94"/>
  <c r="FF795" i="94"/>
  <c r="EX795" i="94"/>
  <c r="EP795" i="94"/>
  <c r="EH795" i="94"/>
  <c r="DZ795" i="94"/>
  <c r="DR795" i="94"/>
  <c r="DJ795" i="94"/>
  <c r="DB795" i="94"/>
  <c r="CT795" i="94"/>
  <c r="CL795" i="94"/>
  <c r="CD795" i="94"/>
  <c r="BV795" i="94"/>
  <c r="BN795" i="94"/>
  <c r="LN795" i="94"/>
  <c r="LF795" i="94"/>
  <c r="FU795" i="94"/>
  <c r="FM795" i="94"/>
  <c r="FE795" i="94"/>
  <c r="EW795" i="94"/>
  <c r="EO795" i="94"/>
  <c r="DY795" i="94"/>
  <c r="DQ795" i="94"/>
  <c r="DI795" i="94"/>
  <c r="DA795" i="94"/>
  <c r="CS795" i="94"/>
  <c r="CK795" i="94"/>
  <c r="CC795" i="94"/>
  <c r="BU795" i="94"/>
  <c r="BM795" i="94"/>
  <c r="LL795" i="94"/>
  <c r="FS795" i="94"/>
  <c r="FK795" i="94"/>
  <c r="FC795" i="94"/>
  <c r="EU795" i="94"/>
  <c r="EM795" i="94"/>
  <c r="DW795" i="94"/>
  <c r="DO795" i="94"/>
  <c r="DG795" i="94"/>
  <c r="CY795" i="94"/>
  <c r="CQ795" i="94"/>
  <c r="CI795" i="94"/>
  <c r="CA795" i="94"/>
  <c r="BS795" i="94"/>
  <c r="BK795" i="94"/>
  <c r="LK795" i="94"/>
  <c r="FR795" i="94"/>
  <c r="FJ795" i="94"/>
  <c r="FB795" i="94"/>
  <c r="ET795" i="94"/>
  <c r="EL795" i="94"/>
  <c r="DV795" i="94"/>
  <c r="DN795" i="94"/>
  <c r="DF795" i="94"/>
  <c r="CX795" i="94"/>
  <c r="CP795" i="94"/>
  <c r="CH795" i="94"/>
  <c r="BZ795" i="94"/>
  <c r="BR795" i="94"/>
  <c r="LJ795" i="94"/>
  <c r="FQ795" i="94"/>
  <c r="FI795" i="94"/>
  <c r="FA795" i="94"/>
  <c r="ES795" i="94"/>
  <c r="EK795" i="94"/>
  <c r="DU795" i="94"/>
  <c r="DM795" i="94"/>
  <c r="DE795" i="94"/>
  <c r="CW795" i="94"/>
  <c r="CO795" i="94"/>
  <c r="CG795" i="94"/>
  <c r="BY795" i="94"/>
  <c r="BQ795" i="94"/>
  <c r="LI795" i="94"/>
  <c r="FP795" i="94"/>
  <c r="FH795" i="94"/>
  <c r="EZ795" i="94"/>
  <c r="ER795" i="94"/>
  <c r="EJ795" i="94"/>
  <c r="EB795" i="94"/>
  <c r="DT795" i="94"/>
  <c r="DL795" i="94"/>
  <c r="DD795" i="94"/>
  <c r="CV795" i="94"/>
  <c r="CN795" i="94"/>
  <c r="CF795" i="94"/>
  <c r="BX795" i="94"/>
  <c r="BP795" i="94"/>
  <c r="LH795" i="94"/>
  <c r="FO795" i="94"/>
  <c r="FG795" i="94"/>
  <c r="EY795" i="94"/>
  <c r="EQ795" i="94"/>
  <c r="EI795" i="94"/>
  <c r="EA795" i="94"/>
  <c r="DS795" i="94"/>
  <c r="DK795" i="94"/>
  <c r="DC795" i="94"/>
  <c r="CU795" i="94"/>
  <c r="CM795" i="94"/>
  <c r="CE795" i="94"/>
  <c r="BW795" i="94"/>
  <c r="BO795" i="94"/>
  <c r="DT809" i="94"/>
  <c r="DD809" i="94"/>
  <c r="LK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DX801" i="94"/>
  <c r="DP801" i="94"/>
  <c r="DH801" i="94"/>
  <c r="CZ801" i="94"/>
  <c r="CR801" i="94"/>
  <c r="CJ801" i="94"/>
  <c r="CB801" i="94"/>
  <c r="BT801" i="94"/>
  <c r="BL801" i="94"/>
  <c r="LL801" i="94"/>
  <c r="LD801" i="94"/>
  <c r="KV801" i="94"/>
  <c r="KN801" i="94"/>
  <c r="KF801" i="94"/>
  <c r="JX801" i="94"/>
  <c r="JP801" i="94"/>
  <c r="JH801" i="94"/>
  <c r="IZ801" i="94"/>
  <c r="IR801" i="94"/>
  <c r="IJ801" i="94"/>
  <c r="IB801" i="94"/>
  <c r="GA801" i="94"/>
  <c r="FS801" i="94"/>
  <c r="FK801" i="94"/>
  <c r="FC801" i="94"/>
  <c r="EU801" i="94"/>
  <c r="EM801" i="94"/>
  <c r="DW801" i="94"/>
  <c r="DO801" i="94"/>
  <c r="DG801" i="94"/>
  <c r="CY801" i="94"/>
  <c r="CQ801" i="94"/>
  <c r="CI801" i="94"/>
  <c r="CA801" i="94"/>
  <c r="BS801" i="94"/>
  <c r="BK801" i="94"/>
  <c r="LJ801" i="94"/>
  <c r="LB801" i="94"/>
  <c r="KT801" i="94"/>
  <c r="KL801" i="94"/>
  <c r="KD801" i="94"/>
  <c r="JV801" i="94"/>
  <c r="JN801" i="94"/>
  <c r="JF801" i="94"/>
  <c r="IX801" i="94"/>
  <c r="IP801" i="94"/>
  <c r="IH801" i="94"/>
  <c r="HZ801" i="94"/>
  <c r="FY801" i="94"/>
  <c r="FQ801" i="94"/>
  <c r="FI801" i="94"/>
  <c r="FA801" i="94"/>
  <c r="ES801" i="94"/>
  <c r="EK801" i="94"/>
  <c r="DU801" i="94"/>
  <c r="DM801" i="94"/>
  <c r="DE801" i="94"/>
  <c r="CW801" i="94"/>
  <c r="CO801" i="94"/>
  <c r="CG801" i="94"/>
  <c r="BY801" i="94"/>
  <c r="BQ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LN801" i="94"/>
  <c r="LF801" i="94"/>
  <c r="KX801" i="94"/>
  <c r="KP801" i="94"/>
  <c r="KH801" i="94"/>
  <c r="JZ801" i="94"/>
  <c r="JR801" i="94"/>
  <c r="JJ801" i="94"/>
  <c r="JB801" i="94"/>
  <c r="IT801" i="94"/>
  <c r="IL801" i="94"/>
  <c r="ID801" i="94"/>
  <c r="GC801" i="94"/>
  <c r="FU801" i="94"/>
  <c r="FM801" i="94"/>
  <c r="FE801" i="94"/>
  <c r="EW801" i="94"/>
  <c r="EO801" i="94"/>
  <c r="DY801" i="94"/>
  <c r="DQ801" i="94"/>
  <c r="DI801" i="94"/>
  <c r="DA801" i="94"/>
  <c r="CS801" i="94"/>
  <c r="CK801" i="94"/>
  <c r="CC801" i="94"/>
  <c r="BU801" i="94"/>
  <c r="BM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GC803" i="94"/>
  <c r="GA803" i="94"/>
  <c r="GE803" i="94"/>
  <c r="GC797" i="94"/>
  <c r="GB797" i="94"/>
  <c r="GE797" i="94"/>
  <c r="GD797" i="94"/>
  <c r="GD795" i="94"/>
  <c r="FV795" i="94"/>
  <c r="GC795" i="94"/>
  <c r="GA795" i="94"/>
  <c r="FZ795" i="94"/>
  <c r="FY795" i="94"/>
  <c r="FX795" i="94"/>
  <c r="GE795" i="94"/>
  <c r="FW795" i="94"/>
  <c r="BL793" i="94"/>
  <c r="BT793" i="94"/>
  <c r="CB793" i="94"/>
  <c r="CJ793" i="94"/>
  <c r="CR793" i="94"/>
  <c r="CZ793" i="94"/>
  <c r="DH793" i="94"/>
  <c r="DP793" i="94"/>
  <c r="DX793" i="94"/>
  <c r="EN793" i="94"/>
  <c r="EV793" i="94"/>
  <c r="FD793" i="94"/>
  <c r="FL793" i="94"/>
  <c r="FT793" i="94"/>
  <c r="GB793" i="94"/>
  <c r="ID793" i="94"/>
  <c r="IN793" i="94"/>
  <c r="IW793" i="94"/>
  <c r="JF793" i="94"/>
  <c r="JP793" i="94"/>
  <c r="JZ793" i="94"/>
  <c r="KK793" i="94"/>
  <c r="KW793" i="94"/>
  <c r="LI793" i="94"/>
  <c r="CJ795" i="94"/>
  <c r="EV795" i="94"/>
  <c r="BR801" i="94"/>
  <c r="II801" i="94"/>
  <c r="KU801" i="94"/>
  <c r="CB803" i="94"/>
  <c r="LJ803" i="94"/>
  <c r="CR795" i="94"/>
  <c r="FD795" i="94"/>
  <c r="BZ801" i="94"/>
  <c r="EL801" i="94"/>
  <c r="IQ801" i="94"/>
  <c r="LC801" i="94"/>
  <c r="K941" i="94"/>
  <c r="H963" i="94"/>
  <c r="P963" i="94"/>
  <c r="HP777" i="94"/>
  <c r="J941" i="94"/>
  <c r="L945" i="94"/>
  <c r="H950" i="94"/>
  <c r="P950" i="94"/>
  <c r="L963" i="94"/>
  <c r="JD809" i="94"/>
  <c r="H941" i="94"/>
  <c r="G950" i="94"/>
  <c r="O950" i="94"/>
  <c r="K954" i="94"/>
  <c r="MS805" i="94"/>
  <c r="KT805" i="94"/>
  <c r="JV805" i="94"/>
  <c r="IX805" i="94"/>
  <c r="IH805" i="94"/>
  <c r="HZ805" i="94"/>
  <c r="LA805" i="94"/>
  <c r="KC805" i="94"/>
  <c r="JM805" i="94"/>
  <c r="IO805" i="94"/>
  <c r="HY805" i="94"/>
  <c r="MQ805" i="94"/>
  <c r="KR805" i="94"/>
  <c r="JT805" i="94"/>
  <c r="IV805" i="94"/>
  <c r="IF805" i="94"/>
  <c r="GE805" i="94"/>
  <c r="KV805" i="94"/>
  <c r="JX805" i="94"/>
  <c r="JH805" i="94"/>
  <c r="IJ805" i="94"/>
  <c r="IB805" i="94"/>
  <c r="GA805" i="94"/>
  <c r="MP805" i="94"/>
  <c r="KA805" i="94"/>
  <c r="IE805" i="94"/>
  <c r="JZ805" i="94"/>
  <c r="IT805" i="94"/>
  <c r="KO805" i="94"/>
  <c r="IS805" i="94"/>
  <c r="IC805" i="94"/>
  <c r="LC805" i="94"/>
  <c r="JG805" i="94"/>
  <c r="IA805" i="94"/>
  <c r="KY805" i="94"/>
  <c r="JS805" i="94"/>
  <c r="GD805" i="94"/>
  <c r="JR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GM808" i="94"/>
  <c r="FM808" i="94"/>
  <c r="EK808" i="94"/>
  <c r="DM808" i="94"/>
  <c r="CT808" i="94"/>
  <c r="BX808" i="94"/>
  <c r="FG808" i="94"/>
  <c r="EI808" i="94"/>
  <c r="DL808" i="94"/>
  <c r="CO808" i="94"/>
  <c r="BV808" i="94"/>
  <c r="MD806" i="94"/>
  <c r="LV806" i="94"/>
  <c r="LN806" i="94"/>
  <c r="LF806" i="94"/>
  <c r="HV806" i="94"/>
  <c r="HN806" i="94"/>
  <c r="HF806" i="94"/>
  <c r="GX806" i="94"/>
  <c r="GP806" i="94"/>
  <c r="GH806" i="94"/>
  <c r="FR806" i="94"/>
  <c r="FJ806" i="94"/>
  <c r="FB806" i="94"/>
  <c r="ET806" i="94"/>
  <c r="EL806" i="94"/>
  <c r="MC806" i="94"/>
  <c r="LU806" i="94"/>
  <c r="LM806" i="94"/>
  <c r="HU806" i="94"/>
  <c r="HM806" i="94"/>
  <c r="HE806" i="94"/>
  <c r="GW806" i="94"/>
  <c r="GO806" i="94"/>
  <c r="GG806" i="94"/>
  <c r="FQ806" i="94"/>
  <c r="FI806" i="94"/>
  <c r="FA806" i="94"/>
  <c r="ES806" i="94"/>
  <c r="EK806" i="94"/>
  <c r="MB806" i="94"/>
  <c r="LT806" i="94"/>
  <c r="LL806" i="94"/>
  <c r="HT806" i="94"/>
  <c r="HL806" i="94"/>
  <c r="HD806" i="94"/>
  <c r="GV806" i="94"/>
  <c r="GN806" i="94"/>
  <c r="GF806" i="94"/>
  <c r="FP806" i="94"/>
  <c r="FH806" i="94"/>
  <c r="EZ806" i="94"/>
  <c r="ER806" i="94"/>
  <c r="EJ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LQ806" i="94"/>
  <c r="HG806" i="94"/>
  <c r="GM806" i="94"/>
  <c r="FG806" i="94"/>
  <c r="EQ806" i="94"/>
  <c r="LO806" i="94"/>
  <c r="HB806" i="94"/>
  <c r="GL806" i="94"/>
  <c r="FF806" i="94"/>
  <c r="EP806" i="94"/>
  <c r="LJ806" i="94"/>
  <c r="HW806" i="94"/>
  <c r="HA806" i="94"/>
  <c r="GK806" i="94"/>
  <c r="FU806" i="94"/>
  <c r="FE806" i="94"/>
  <c r="EO806" i="94"/>
  <c r="LI806" i="94"/>
  <c r="HR806" i="94"/>
  <c r="GY806" i="94"/>
  <c r="GI806" i="94"/>
  <c r="FS806" i="94"/>
  <c r="FC806" i="94"/>
  <c r="EM806" i="94"/>
  <c r="DW806" i="94"/>
  <c r="DG806" i="94"/>
  <c r="CQ806" i="94"/>
  <c r="CA806" i="94"/>
  <c r="BK806" i="94"/>
  <c r="LZ806" i="94"/>
  <c r="LG806" i="94"/>
  <c r="HQ806" i="94"/>
  <c r="GU806" i="94"/>
  <c r="GE806" i="94"/>
  <c r="FO806" i="94"/>
  <c r="EY806" i="94"/>
  <c r="EI806" i="94"/>
  <c r="DS806" i="94"/>
  <c r="DC806" i="94"/>
  <c r="CM806" i="94"/>
  <c r="BW806" i="94"/>
  <c r="LY806" i="94"/>
  <c r="HO806" i="94"/>
  <c r="GT806" i="94"/>
  <c r="GD806" i="94"/>
  <c r="FN806" i="94"/>
  <c r="EX806" i="94"/>
  <c r="EH806" i="94"/>
  <c r="GE804" i="94"/>
  <c r="FW804" i="94"/>
  <c r="GD804" i="94"/>
  <c r="FV804" i="94"/>
  <c r="GC804" i="94"/>
  <c r="FX804" i="94"/>
  <c r="HD804" i="94"/>
  <c r="GB804" i="94"/>
  <c r="GA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LY802" i="94"/>
  <c r="LQ802" i="94"/>
  <c r="LI802" i="94"/>
  <c r="HQ802" i="94"/>
  <c r="HI802" i="94"/>
  <c r="HA802" i="94"/>
  <c r="GS802" i="94"/>
  <c r="GK802" i="94"/>
  <c r="GC802" i="94"/>
  <c r="FU802" i="94"/>
  <c r="FM802" i="94"/>
  <c r="FE802" i="94"/>
  <c r="EW802" i="94"/>
  <c r="EO802" i="94"/>
  <c r="DY802" i="94"/>
  <c r="DQ802" i="94"/>
  <c r="DI802" i="94"/>
  <c r="DA802" i="94"/>
  <c r="CS802" i="94"/>
  <c r="CK802" i="94"/>
  <c r="CC802" i="94"/>
  <c r="BU802" i="94"/>
  <c r="BM802" i="94"/>
  <c r="LX802" i="94"/>
  <c r="LP802" i="94"/>
  <c r="LH802" i="94"/>
  <c r="HX802" i="94"/>
  <c r="HP802" i="94"/>
  <c r="HH802" i="94"/>
  <c r="GZ802" i="94"/>
  <c r="GR802" i="94"/>
  <c r="GJ802" i="94"/>
  <c r="GB802" i="94"/>
  <c r="FT802" i="94"/>
  <c r="FL802" i="94"/>
  <c r="FD802" i="94"/>
  <c r="EV802" i="94"/>
  <c r="EN802" i="94"/>
  <c r="DX802" i="94"/>
  <c r="DP802" i="94"/>
  <c r="DH802" i="94"/>
  <c r="CZ802" i="94"/>
  <c r="CR802" i="94"/>
  <c r="CJ802" i="94"/>
  <c r="CB802" i="94"/>
  <c r="BT802" i="94"/>
  <c r="BL802" i="94"/>
  <c r="LW802" i="94"/>
  <c r="LO802" i="94"/>
  <c r="LG802" i="94"/>
  <c r="HW802" i="94"/>
  <c r="HO802" i="94"/>
  <c r="HG802" i="94"/>
  <c r="GY802" i="94"/>
  <c r="GQ802" i="94"/>
  <c r="GI802" i="94"/>
  <c r="GA802" i="94"/>
  <c r="FS802" i="94"/>
  <c r="FK802" i="94"/>
  <c r="FC802" i="94"/>
  <c r="EU802" i="94"/>
  <c r="EM802" i="94"/>
  <c r="DW802" i="94"/>
  <c r="DO802" i="94"/>
  <c r="DG802" i="94"/>
  <c r="CY802" i="94"/>
  <c r="CQ802" i="94"/>
  <c r="CI802" i="94"/>
  <c r="CA802" i="94"/>
  <c r="BS802" i="94"/>
  <c r="BK802" i="94"/>
  <c r="MD802" i="94"/>
  <c r="LV802" i="94"/>
  <c r="LN802" i="94"/>
  <c r="LF802" i="94"/>
  <c r="HV802" i="94"/>
  <c r="HN802" i="94"/>
  <c r="HF802" i="94"/>
  <c r="GX802" i="94"/>
  <c r="GP802" i="94"/>
  <c r="GH802" i="94"/>
  <c r="FZ802" i="94"/>
  <c r="FR802" i="94"/>
  <c r="FJ802" i="94"/>
  <c r="FB802" i="94"/>
  <c r="ET802" i="94"/>
  <c r="EL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DU802" i="94"/>
  <c r="DM802" i="94"/>
  <c r="DE802" i="94"/>
  <c r="CW802" i="94"/>
  <c r="CO802" i="94"/>
  <c r="CG802" i="94"/>
  <c r="BY802" i="94"/>
  <c r="BQ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KW805" i="94"/>
  <c r="BU806" i="94"/>
  <c r="GS806" i="94"/>
  <c r="LR806" i="94"/>
  <c r="DZ808" i="94"/>
  <c r="CS803" i="94"/>
  <c r="FW803" i="94"/>
  <c r="FY804" i="94"/>
  <c r="IY805" i="94"/>
  <c r="CI806" i="94"/>
  <c r="EU806" i="94"/>
  <c r="HI806" i="94"/>
  <c r="LW806" i="94"/>
  <c r="EB808" i="94"/>
  <c r="FX803" i="94"/>
  <c r="CK806" i="94"/>
  <c r="EW806" i="94"/>
  <c r="HJ806" i="94"/>
  <c r="BN808" i="94"/>
  <c r="EV808" i="94"/>
  <c r="HU808" i="94"/>
  <c r="DR806" i="94"/>
  <c r="MB802" i="94"/>
  <c r="BS803" i="94"/>
  <c r="DC803" i="94"/>
  <c r="JQ805" i="94"/>
  <c r="DA806" i="94"/>
  <c r="FM806" i="94"/>
  <c r="CG808" i="94"/>
  <c r="GA808" i="94"/>
  <c r="IJ803" i="94"/>
  <c r="JF803" i="94"/>
  <c r="JZ803" i="94"/>
  <c r="KL803" i="94"/>
  <c r="BV806" i="94"/>
  <c r="CL806" i="94"/>
  <c r="DB806" i="94"/>
  <c r="BQ808" i="94"/>
  <c r="CN808" i="94"/>
  <c r="DJ808" i="94"/>
  <c r="FE808" i="94"/>
  <c r="GI808" i="94"/>
  <c r="FJ781" i="94"/>
  <c r="MA772" i="94"/>
  <c r="DZ789" i="94"/>
  <c r="MB775" i="94"/>
  <c r="FX773" i="94"/>
  <c r="LU773" i="94"/>
  <c r="I941" i="94"/>
  <c r="J954" i="94"/>
  <c r="EB804" i="94"/>
  <c r="LL804" i="94"/>
  <c r="BP804" i="94"/>
  <c r="EZ804" i="94"/>
  <c r="LM808" i="94"/>
  <c r="HH808" i="94"/>
  <c r="GS808" i="94"/>
  <c r="FW808" i="94"/>
  <c r="FL808" i="94"/>
  <c r="FA808" i="94"/>
  <c r="EQ808" i="94"/>
  <c r="DY808" i="94"/>
  <c r="DQ808" i="94"/>
  <c r="DI808" i="94"/>
  <c r="DA808" i="94"/>
  <c r="CS808" i="94"/>
  <c r="CK808" i="94"/>
  <c r="CC808" i="94"/>
  <c r="BU808" i="94"/>
  <c r="BM808" i="94"/>
  <c r="IC808" i="94"/>
  <c r="HG808" i="94"/>
  <c r="FU808" i="94"/>
  <c r="FK808" i="94"/>
  <c r="EZ808" i="94"/>
  <c r="EO808" i="94"/>
  <c r="DX808" i="94"/>
  <c r="DP808" i="94"/>
  <c r="DH808" i="94"/>
  <c r="CZ808" i="94"/>
  <c r="CR808" i="94"/>
  <c r="CJ808" i="94"/>
  <c r="CB808" i="94"/>
  <c r="BT808" i="94"/>
  <c r="BL808" i="94"/>
  <c r="IA808" i="94"/>
  <c r="GE808" i="94"/>
  <c r="FT808" i="94"/>
  <c r="FI808" i="94"/>
  <c r="EY808" i="94"/>
  <c r="EN808" i="94"/>
  <c r="DW808" i="94"/>
  <c r="DO808" i="94"/>
  <c r="DG808" i="94"/>
  <c r="CY808" i="94"/>
  <c r="CQ808" i="94"/>
  <c r="CI808" i="94"/>
  <c r="CA808" i="94"/>
  <c r="BS808" i="94"/>
  <c r="BK808" i="94"/>
  <c r="GO808" i="94"/>
  <c r="GC808" i="94"/>
  <c r="FS808" i="94"/>
  <c r="FH808" i="94"/>
  <c r="EW808" i="94"/>
  <c r="EM808" i="94"/>
  <c r="DV808" i="94"/>
  <c r="DN808" i="94"/>
  <c r="DF808" i="94"/>
  <c r="CX808" i="94"/>
  <c r="CP808" i="94"/>
  <c r="CH808" i="94"/>
  <c r="BZ808" i="94"/>
  <c r="BR808" i="94"/>
  <c r="GY808" i="94"/>
  <c r="GJ808" i="94"/>
  <c r="FY808" i="94"/>
  <c r="FO808" i="94"/>
  <c r="FD808" i="94"/>
  <c r="ES808" i="94"/>
  <c r="EJ808" i="94"/>
  <c r="EA808" i="94"/>
  <c r="DS808" i="94"/>
  <c r="DK808" i="94"/>
  <c r="DC808" i="94"/>
  <c r="CU808" i="94"/>
  <c r="CM808" i="94"/>
  <c r="CE808" i="94"/>
  <c r="BW808" i="94"/>
  <c r="BO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B803" i="94"/>
  <c r="JT803" i="94"/>
  <c r="JL803" i="94"/>
  <c r="IV803" i="94"/>
  <c r="IN803" i="94"/>
  <c r="KQ803" i="94"/>
  <c r="KI803" i="94"/>
  <c r="KA803" i="94"/>
  <c r="JK803" i="94"/>
  <c r="JC803" i="94"/>
  <c r="IE803" i="94"/>
  <c r="MS803" i="94"/>
  <c r="BM806" i="94"/>
  <c r="CC806" i="94"/>
  <c r="CS806" i="94"/>
  <c r="DI806" i="94"/>
  <c r="DY806" i="94"/>
  <c r="BY808" i="94"/>
  <c r="CV808" i="94"/>
  <c r="DR808" i="94"/>
  <c r="EL808" i="94"/>
  <c r="FP808" i="94"/>
  <c r="GU808" i="94"/>
  <c r="IY809" i="94"/>
  <c r="KU809" i="94"/>
  <c r="P941" i="94"/>
  <c r="BN806" i="94"/>
  <c r="CD806" i="94"/>
  <c r="CT806" i="94"/>
  <c r="DJ806" i="94"/>
  <c r="DZ806" i="94"/>
  <c r="FV806" i="94"/>
  <c r="CD808" i="94"/>
  <c r="CW808" i="94"/>
  <c r="DT808" i="94"/>
  <c r="ER808" i="94"/>
  <c r="FQ808" i="94"/>
  <c r="BO806" i="94"/>
  <c r="CE806" i="94"/>
  <c r="CU806" i="94"/>
  <c r="DK806" i="94"/>
  <c r="EA806" i="94"/>
  <c r="FW806" i="94"/>
  <c r="CF808" i="94"/>
  <c r="DB808" i="94"/>
  <c r="DU808" i="94"/>
  <c r="EU808" i="94"/>
  <c r="FX808" i="94"/>
  <c r="CI809" i="94"/>
  <c r="IC809" i="94"/>
  <c r="EO809" i="94"/>
  <c r="JT809" i="94"/>
  <c r="O941" i="94"/>
  <c r="EU809" i="94"/>
  <c r="JY809" i="94"/>
  <c r="BM809" i="94"/>
  <c r="FK809" i="94"/>
  <c r="M950" i="94"/>
  <c r="M959" i="94"/>
  <c r="LI773" i="94"/>
  <c r="FU773" i="94"/>
  <c r="FM773" i="94"/>
  <c r="FE773" i="94"/>
  <c r="EW773" i="94"/>
  <c r="EO773" i="94"/>
  <c r="FT773" i="94"/>
  <c r="LF773" i="94"/>
  <c r="EL773" i="94"/>
  <c r="LH773" i="94"/>
  <c r="FL773" i="94"/>
  <c r="FD773" i="94"/>
  <c r="EV773" i="94"/>
  <c r="EN773" i="94"/>
  <c r="FB773" i="94"/>
  <c r="LO773" i="94"/>
  <c r="LG773" i="94"/>
  <c r="FS773" i="94"/>
  <c r="FK773" i="94"/>
  <c r="FC773" i="94"/>
  <c r="EU773" i="94"/>
  <c r="EM773" i="94"/>
  <c r="FJ773" i="94"/>
  <c r="LN773" i="94"/>
  <c r="FR773" i="94"/>
  <c r="ET773" i="94"/>
  <c r="LK773" i="94"/>
  <c r="FO773" i="94"/>
  <c r="FG773" i="94"/>
  <c r="EY773" i="94"/>
  <c r="EQ773" i="94"/>
  <c r="EI773" i="94"/>
  <c r="LJ773" i="94"/>
  <c r="FF773" i="94"/>
  <c r="EP773" i="94"/>
  <c r="FN773" i="94"/>
  <c r="EX773" i="94"/>
  <c r="EH773" i="94"/>
  <c r="MM793" i="94"/>
  <c r="MS793" i="94"/>
  <c r="MI793" i="94"/>
  <c r="MR793" i="94"/>
  <c r="MG793" i="94"/>
  <c r="MN793" i="94"/>
  <c r="ML793" i="94"/>
  <c r="MK793" i="94"/>
  <c r="MJ793" i="94"/>
  <c r="MF793" i="94"/>
  <c r="MQ793" i="94"/>
  <c r="MO793" i="94"/>
  <c r="MH795" i="94"/>
  <c r="HR795" i="94"/>
  <c r="HJ795" i="94"/>
  <c r="HB795" i="94"/>
  <c r="GL795" i="94"/>
  <c r="MG795" i="94"/>
  <c r="HQ795" i="94"/>
  <c r="HI795" i="94"/>
  <c r="HA795" i="94"/>
  <c r="GK795" i="94"/>
  <c r="MN795" i="94"/>
  <c r="LP795" i="94"/>
  <c r="HX795" i="94"/>
  <c r="HP795" i="94"/>
  <c r="GZ795" i="94"/>
  <c r="GR795" i="94"/>
  <c r="ME795" i="94"/>
  <c r="LW795" i="94"/>
  <c r="HW795" i="94"/>
  <c r="HG795" i="94"/>
  <c r="GY795" i="94"/>
  <c r="MK795" i="94"/>
  <c r="MC795" i="94"/>
  <c r="LU795" i="94"/>
  <c r="HM795" i="94"/>
  <c r="HE795" i="94"/>
  <c r="GG795" i="94"/>
  <c r="MJ795" i="94"/>
  <c r="MB795" i="94"/>
  <c r="HT795" i="94"/>
  <c r="HL795" i="94"/>
  <c r="GN795" i="94"/>
  <c r="GF795" i="94"/>
  <c r="LV795" i="94"/>
  <c r="LS795" i="94"/>
  <c r="HV795" i="94"/>
  <c r="GM795" i="94"/>
  <c r="HN795" i="94"/>
  <c r="GH795" i="94"/>
  <c r="HC795" i="94"/>
  <c r="MA795" i="94"/>
  <c r="MI795" i="94"/>
  <c r="HK795" i="94"/>
  <c r="HF795" i="94"/>
  <c r="LS781" i="94"/>
  <c r="GU781" i="94"/>
  <c r="LR781" i="94"/>
  <c r="GT781" i="94"/>
  <c r="LQ781" i="94"/>
  <c r="GS781" i="94"/>
  <c r="LX781" i="94"/>
  <c r="HH781" i="94"/>
  <c r="HM781" i="94"/>
  <c r="GG781" i="94"/>
  <c r="MJ781" i="94"/>
  <c r="HT781" i="94"/>
  <c r="GN781" i="94"/>
  <c r="GP781" i="94"/>
  <c r="HG781" i="94"/>
  <c r="FX772" i="94"/>
  <c r="HD772" i="94"/>
  <c r="CO773" i="94"/>
  <c r="DU773" i="94"/>
  <c r="EK773" i="94"/>
  <c r="FQ773" i="94"/>
  <c r="GF773" i="94"/>
  <c r="MK773" i="94"/>
  <c r="CO775" i="94"/>
  <c r="FA775" i="94"/>
  <c r="GG775" i="94"/>
  <c r="HM775" i="94"/>
  <c r="IS775" i="94"/>
  <c r="JY775" i="94"/>
  <c r="LE775" i="94"/>
  <c r="MK775" i="94"/>
  <c r="HA777" i="94"/>
  <c r="BZ789" i="94"/>
  <c r="LJ789" i="94"/>
  <c r="LI789" i="94"/>
  <c r="FU789" i="94"/>
  <c r="FM789" i="94"/>
  <c r="FE789" i="94"/>
  <c r="EW789" i="94"/>
  <c r="EO789" i="94"/>
  <c r="LH789" i="94"/>
  <c r="FT789" i="94"/>
  <c r="FL789" i="94"/>
  <c r="FD789" i="94"/>
  <c r="EV789" i="94"/>
  <c r="EN789" i="94"/>
  <c r="LO789" i="94"/>
  <c r="LG789" i="94"/>
  <c r="FS789" i="94"/>
  <c r="FK789" i="94"/>
  <c r="FC789" i="94"/>
  <c r="EU789" i="94"/>
  <c r="EM789" i="94"/>
  <c r="LL789" i="94"/>
  <c r="FP789" i="94"/>
  <c r="FH789" i="94"/>
  <c r="EZ789" i="94"/>
  <c r="ER789" i="94"/>
  <c r="EJ789" i="94"/>
  <c r="FG789" i="94"/>
  <c r="EQ789" i="94"/>
  <c r="FF789" i="94"/>
  <c r="EP789" i="94"/>
  <c r="LN789" i="94"/>
  <c r="FR789" i="94"/>
  <c r="FB789" i="94"/>
  <c r="EL789" i="94"/>
  <c r="LM789" i="94"/>
  <c r="FQ789" i="94"/>
  <c r="FA789" i="94"/>
  <c r="EK789" i="94"/>
  <c r="FJ789" i="94"/>
  <c r="ET789" i="94"/>
  <c r="FI789" i="94"/>
  <c r="ES789" i="94"/>
  <c r="LK789" i="94"/>
  <c r="LF789" i="94"/>
  <c r="FO789" i="94"/>
  <c r="FN789" i="94"/>
  <c r="EI789" i="94"/>
  <c r="EH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LY779" i="94"/>
  <c r="LQ779" i="94"/>
  <c r="LX779" i="94"/>
  <c r="LP779" i="94"/>
  <c r="HH779" i="94"/>
  <c r="GZ779" i="94"/>
  <c r="HO779" i="94"/>
  <c r="HG779" i="94"/>
  <c r="GI779" i="94"/>
  <c r="HV779" i="94"/>
  <c r="HN779" i="94"/>
  <c r="GP779" i="94"/>
  <c r="GH779" i="94"/>
  <c r="LS779" i="94"/>
  <c r="HS779" i="94"/>
  <c r="GU779" i="94"/>
  <c r="GM779" i="94"/>
  <c r="LR779" i="94"/>
  <c r="HR779" i="94"/>
  <c r="GT779" i="94"/>
  <c r="GL779" i="94"/>
  <c r="GO779" i="94"/>
  <c r="MC779" i="94"/>
  <c r="MB779" i="94"/>
  <c r="HE779" i="94"/>
  <c r="HD779" i="94"/>
  <c r="GG779" i="94"/>
  <c r="HM779" i="94"/>
  <c r="ER772" i="94"/>
  <c r="HL773" i="94"/>
  <c r="EY772" i="94"/>
  <c r="GE772" i="94"/>
  <c r="BP773" i="94"/>
  <c r="CV773" i="94"/>
  <c r="EB773" i="94"/>
  <c r="ER773" i="94"/>
  <c r="GG773" i="94"/>
  <c r="HM773" i="94"/>
  <c r="LL773" i="94"/>
  <c r="BP775" i="94"/>
  <c r="CV775" i="94"/>
  <c r="EB775" i="94"/>
  <c r="FH775" i="94"/>
  <c r="GN775" i="94"/>
  <c r="HT775" i="94"/>
  <c r="IZ775" i="94"/>
  <c r="KF775" i="94"/>
  <c r="LL775" i="94"/>
  <c r="MR775" i="94"/>
  <c r="LK781" i="94"/>
  <c r="EQ781" i="94"/>
  <c r="FF781" i="94"/>
  <c r="LI781" i="94"/>
  <c r="EW781" i="94"/>
  <c r="FL781" i="94"/>
  <c r="LM781" i="94"/>
  <c r="FH781" i="94"/>
  <c r="LG781" i="94"/>
  <c r="EM781" i="94"/>
  <c r="LO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CY799" i="94"/>
  <c r="BS799" i="94"/>
  <c r="MS799" i="94"/>
  <c r="LM799" i="94"/>
  <c r="KG799" i="94"/>
  <c r="JA799" i="94"/>
  <c r="HU799" i="94"/>
  <c r="GO799" i="94"/>
  <c r="FI799" i="94"/>
  <c r="CW799" i="94"/>
  <c r="BQ799" i="94"/>
  <c r="MM799" i="94"/>
  <c r="LG799" i="94"/>
  <c r="KA799" i="94"/>
  <c r="IU799" i="94"/>
  <c r="HO799" i="94"/>
  <c r="GI799" i="94"/>
  <c r="FC799" i="94"/>
  <c r="DW799" i="94"/>
  <c r="CQ799" i="94"/>
  <c r="BK799" i="94"/>
  <c r="MK799" i="94"/>
  <c r="LE799" i="94"/>
  <c r="JY799" i="94"/>
  <c r="IS799" i="94"/>
  <c r="HM799" i="94"/>
  <c r="GG799" i="94"/>
  <c r="FA799" i="94"/>
  <c r="DU799" i="94"/>
  <c r="CO799" i="94"/>
  <c r="ME799" i="94"/>
  <c r="KY799" i="94"/>
  <c r="JS799" i="94"/>
  <c r="IM799" i="94"/>
  <c r="HG799" i="94"/>
  <c r="GA799" i="94"/>
  <c r="EU799" i="94"/>
  <c r="DO799" i="94"/>
  <c r="CI799" i="94"/>
  <c r="LW799" i="94"/>
  <c r="KQ799" i="94"/>
  <c r="JK799" i="94"/>
  <c r="IE799" i="94"/>
  <c r="GY799" i="94"/>
  <c r="FS799" i="94"/>
  <c r="EM799" i="94"/>
  <c r="DG799" i="94"/>
  <c r="CA799" i="94"/>
  <c r="LU799" i="94"/>
  <c r="KO799" i="94"/>
  <c r="JI799" i="94"/>
  <c r="IC799" i="94"/>
  <c r="GW799" i="94"/>
  <c r="FQ799" i="94"/>
  <c r="EK799" i="94"/>
  <c r="DE799" i="94"/>
  <c r="BY799" i="94"/>
  <c r="IK799" i="94"/>
  <c r="HE799" i="94"/>
  <c r="FY799" i="94"/>
  <c r="ES799" i="94"/>
  <c r="DM799" i="94"/>
  <c r="KW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DY791" i="94"/>
  <c r="DQ791" i="94"/>
  <c r="DI791" i="94"/>
  <c r="DA791" i="94"/>
  <c r="CS791" i="94"/>
  <c r="CK791" i="94"/>
  <c r="CC791" i="94"/>
  <c r="BU791" i="94"/>
  <c r="BM791" i="94"/>
  <c r="MI791" i="94"/>
  <c r="LX791" i="94"/>
  <c r="LN791" i="94"/>
  <c r="LC791" i="94"/>
  <c r="KR791" i="94"/>
  <c r="KH791" i="94"/>
  <c r="JW791" i="94"/>
  <c r="JL791" i="94"/>
  <c r="JB791" i="94"/>
  <c r="IQ791" i="94"/>
  <c r="IF791" i="94"/>
  <c r="HV791" i="94"/>
  <c r="HK791" i="94"/>
  <c r="GZ791" i="94"/>
  <c r="GP791" i="94"/>
  <c r="GE791" i="94"/>
  <c r="FT791" i="94"/>
  <c r="FJ791" i="94"/>
  <c r="EY791" i="94"/>
  <c r="EN791" i="94"/>
  <c r="DS791" i="94"/>
  <c r="DH791" i="94"/>
  <c r="CX791" i="94"/>
  <c r="CM791" i="94"/>
  <c r="CB791" i="94"/>
  <c r="BR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DR791" i="94"/>
  <c r="DG791" i="94"/>
  <c r="CW791" i="94"/>
  <c r="CL791" i="94"/>
  <c r="CA791" i="94"/>
  <c r="BQ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ML791" i="94"/>
  <c r="MA791" i="94"/>
  <c r="LP791" i="94"/>
  <c r="LF791" i="94"/>
  <c r="KU791" i="94"/>
  <c r="KJ791" i="94"/>
  <c r="JZ791" i="94"/>
  <c r="JO791" i="94"/>
  <c r="JD791" i="94"/>
  <c r="IT791" i="94"/>
  <c r="II791" i="94"/>
  <c r="HX791" i="94"/>
  <c r="HN791" i="94"/>
  <c r="HC791" i="94"/>
  <c r="GR791" i="94"/>
  <c r="GH791" i="94"/>
  <c r="FW791" i="94"/>
  <c r="FL791" i="94"/>
  <c r="FB791" i="94"/>
  <c r="EQ791" i="94"/>
  <c r="DV791" i="94"/>
  <c r="DK791" i="94"/>
  <c r="CZ791" i="94"/>
  <c r="CP791" i="94"/>
  <c r="CE791" i="94"/>
  <c r="BT791" i="94"/>
  <c r="MM791" i="94"/>
  <c r="LH791" i="94"/>
  <c r="KI791" i="94"/>
  <c r="JF791" i="94"/>
  <c r="IA791" i="94"/>
  <c r="HB791" i="94"/>
  <c r="FY791" i="94"/>
  <c r="ET791" i="94"/>
  <c r="DU791" i="94"/>
  <c r="CQ791" i="94"/>
  <c r="BL791" i="94"/>
  <c r="MK791" i="94"/>
  <c r="LG791" i="94"/>
  <c r="KB791" i="94"/>
  <c r="JC791" i="94"/>
  <c r="HZ791" i="94"/>
  <c r="GU791" i="94"/>
  <c r="FV791" i="94"/>
  <c r="ES791" i="94"/>
  <c r="DN791" i="94"/>
  <c r="CO791" i="94"/>
  <c r="BK791" i="94"/>
  <c r="MD791" i="94"/>
  <c r="LE791" i="94"/>
  <c r="KA791" i="94"/>
  <c r="IV791" i="94"/>
  <c r="HW791" i="94"/>
  <c r="GT791" i="94"/>
  <c r="FO791" i="94"/>
  <c r="EP791" i="94"/>
  <c r="DM791" i="94"/>
  <c r="CH791" i="94"/>
  <c r="MC791" i="94"/>
  <c r="KX791" i="94"/>
  <c r="JY791" i="94"/>
  <c r="IU791" i="94"/>
  <c r="HP791" i="94"/>
  <c r="GQ791" i="94"/>
  <c r="FN791" i="94"/>
  <c r="EI791" i="94"/>
  <c r="DJ791" i="94"/>
  <c r="CG791" i="94"/>
  <c r="LR791" i="94"/>
  <c r="KM791" i="94"/>
  <c r="JN791" i="94"/>
  <c r="IK791" i="94"/>
  <c r="HF791" i="94"/>
  <c r="GG791" i="94"/>
  <c r="FC791" i="94"/>
  <c r="DX791" i="94"/>
  <c r="CY791" i="94"/>
  <c r="BV791" i="94"/>
  <c r="MN791" i="94"/>
  <c r="LO791" i="94"/>
  <c r="KL791" i="94"/>
  <c r="JG791" i="94"/>
  <c r="IH791" i="94"/>
  <c r="HE791" i="94"/>
  <c r="FZ791" i="94"/>
  <c r="FA791" i="94"/>
  <c r="DW791" i="94"/>
  <c r="CR791" i="94"/>
  <c r="BS791" i="94"/>
  <c r="JR791" i="94"/>
  <c r="FK791" i="94"/>
  <c r="JQ791" i="94"/>
  <c r="FD791" i="94"/>
  <c r="IS791" i="94"/>
  <c r="EH791" i="94"/>
  <c r="IL791" i="94"/>
  <c r="KW791" i="94"/>
  <c r="GJ791" i="94"/>
  <c r="CD791" i="94"/>
  <c r="KT791" i="94"/>
  <c r="GI791" i="94"/>
  <c r="BW791" i="94"/>
  <c r="LZ791" i="94"/>
  <c r="LS791" i="94"/>
  <c r="DC791" i="94"/>
  <c r="DB791" i="94"/>
  <c r="MR783" i="94"/>
  <c r="LT783" i="94"/>
  <c r="LD783" i="94"/>
  <c r="KV783" i="94"/>
  <c r="KN783" i="94"/>
  <c r="KF783" i="94"/>
  <c r="JX783" i="94"/>
  <c r="JP783" i="94"/>
  <c r="JH783" i="94"/>
  <c r="IZ783" i="94"/>
  <c r="IR783" i="94"/>
  <c r="IJ783" i="94"/>
  <c r="GV783" i="94"/>
  <c r="FX783" i="94"/>
  <c r="DD783" i="94"/>
  <c r="BX783" i="94"/>
  <c r="MQ783" i="94"/>
  <c r="LC783" i="94"/>
  <c r="KU783" i="94"/>
  <c r="KM783" i="94"/>
  <c r="KE783" i="94"/>
  <c r="JW783" i="94"/>
  <c r="JO783" i="94"/>
  <c r="JG783" i="94"/>
  <c r="IY783" i="94"/>
  <c r="IQ783" i="94"/>
  <c r="II783" i="94"/>
  <c r="IA783" i="94"/>
  <c r="GE783" i="94"/>
  <c r="FW783" i="94"/>
  <c r="CE783" i="94"/>
  <c r="MN783" i="94"/>
  <c r="KX783" i="94"/>
  <c r="KL783" i="94"/>
  <c r="KB783" i="94"/>
  <c r="JR783" i="94"/>
  <c r="JF783" i="94"/>
  <c r="IV783" i="94"/>
  <c r="IL783" i="94"/>
  <c r="HZ783" i="94"/>
  <c r="FZ783" i="94"/>
  <c r="FN783" i="94"/>
  <c r="MM783" i="94"/>
  <c r="MC783" i="94"/>
  <c r="KW783" i="94"/>
  <c r="KK783" i="94"/>
  <c r="KA783" i="94"/>
  <c r="JQ783" i="94"/>
  <c r="JE783" i="94"/>
  <c r="IU783" i="94"/>
  <c r="IK783" i="94"/>
  <c r="HY783" i="94"/>
  <c r="FM783" i="94"/>
  <c r="DM783" i="94"/>
  <c r="KT783" i="94"/>
  <c r="KJ783" i="94"/>
  <c r="JZ783" i="94"/>
  <c r="JN783" i="94"/>
  <c r="JD783" i="94"/>
  <c r="IT783" i="94"/>
  <c r="IH783" i="94"/>
  <c r="FV783" i="94"/>
  <c r="FB783" i="94"/>
  <c r="MK783" i="94"/>
  <c r="LE783" i="94"/>
  <c r="KS783" i="94"/>
  <c r="KI783" i="94"/>
  <c r="JY783" i="94"/>
  <c r="JM783" i="94"/>
  <c r="JC783" i="94"/>
  <c r="IS783" i="94"/>
  <c r="IG783" i="94"/>
  <c r="HM783" i="94"/>
  <c r="FU783" i="94"/>
  <c r="MP783" i="94"/>
  <c r="LV783" i="94"/>
  <c r="KZ783" i="94"/>
  <c r="KP783" i="94"/>
  <c r="KD783" i="94"/>
  <c r="JT783" i="94"/>
  <c r="JJ783" i="94"/>
  <c r="IX783" i="94"/>
  <c r="IN783" i="94"/>
  <c r="ID783" i="94"/>
  <c r="FF783" i="94"/>
  <c r="DP783" i="94"/>
  <c r="BZ783" i="94"/>
  <c r="MO783" i="94"/>
  <c r="LU783" i="94"/>
  <c r="KY783" i="94"/>
  <c r="KO783" i="94"/>
  <c r="KC783" i="94"/>
  <c r="JS783" i="94"/>
  <c r="JI783" i="94"/>
  <c r="IW783" i="94"/>
  <c r="IM783" i="94"/>
  <c r="IC783" i="94"/>
  <c r="GW783" i="94"/>
  <c r="GA783" i="94"/>
  <c r="DO783" i="94"/>
  <c r="BY783" i="94"/>
  <c r="MG783" i="94"/>
  <c r="KQ783" i="94"/>
  <c r="JA783" i="94"/>
  <c r="LX783" i="94"/>
  <c r="KH783" i="94"/>
  <c r="IP783" i="94"/>
  <c r="FJ783" i="94"/>
  <c r="KG783" i="94"/>
  <c r="IO783" i="94"/>
  <c r="JV783" i="94"/>
  <c r="IF783" i="94"/>
  <c r="BR783" i="94"/>
  <c r="LA783" i="94"/>
  <c r="JK783" i="94"/>
  <c r="HU783" i="94"/>
  <c r="GC783" i="94"/>
  <c r="KR783" i="94"/>
  <c r="JB783" i="94"/>
  <c r="FT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HV783" i="94"/>
  <c r="BP772" i="94"/>
  <c r="CV772" i="94"/>
  <c r="GN772" i="94"/>
  <c r="HT772" i="94"/>
  <c r="BY773" i="94"/>
  <c r="DE773" i="94"/>
  <c r="FA773" i="94"/>
  <c r="GV773" i="94"/>
  <c r="BY775" i="94"/>
  <c r="DE775" i="94"/>
  <c r="EK775" i="94"/>
  <c r="FQ775" i="94"/>
  <c r="GW775" i="94"/>
  <c r="IC775" i="94"/>
  <c r="JI775" i="94"/>
  <c r="KO775" i="94"/>
  <c r="LU775" i="94"/>
  <c r="GW779"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FO797" i="94"/>
  <c r="EY797" i="94"/>
  <c r="EI797" i="94"/>
  <c r="FN797" i="94"/>
  <c r="EX797" i="94"/>
  <c r="EH797" i="94"/>
  <c r="FK797" i="94"/>
  <c r="EU797" i="94"/>
  <c r="FG797" i="94"/>
  <c r="EQ797" i="94"/>
  <c r="FF797" i="94"/>
  <c r="EP797" i="94"/>
  <c r="EM797" i="94"/>
  <c r="LK797" i="94"/>
  <c r="FC797" i="94"/>
  <c r="ES797" i="94"/>
  <c r="FS797" i="94"/>
  <c r="FI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DD773" i="94"/>
  <c r="EJ775" i="94"/>
  <c r="IB775" i="94"/>
  <c r="DL773" i="94"/>
  <c r="FH773" i="94"/>
  <c r="CF775" i="94"/>
  <c r="DL775" i="94"/>
  <c r="ER775" i="94"/>
  <c r="FX775" i="94"/>
  <c r="HD775" i="94"/>
  <c r="IJ775" i="94"/>
  <c r="JP775" i="94"/>
  <c r="KV775" i="94"/>
  <c r="GM777" i="94"/>
  <c r="MO777" i="94"/>
  <c r="HA779" i="94"/>
  <c r="JL783" i="94"/>
  <c r="HO791" i="94"/>
  <c r="LK805" i="94"/>
  <c r="FO805" i="94"/>
  <c r="FG805" i="94"/>
  <c r="EY805" i="94"/>
  <c r="EQ805" i="94"/>
  <c r="EI805" i="94"/>
  <c r="LJ805" i="94"/>
  <c r="FN805" i="94"/>
  <c r="FF805" i="94"/>
  <c r="EX805" i="94"/>
  <c r="EP805" i="94"/>
  <c r="EH805" i="94"/>
  <c r="LI805" i="94"/>
  <c r="FU805" i="94"/>
  <c r="FM805" i="94"/>
  <c r="FE805" i="94"/>
  <c r="EW805" i="94"/>
  <c r="EO805" i="94"/>
  <c r="LH805" i="94"/>
  <c r="FT805" i="94"/>
  <c r="FL805" i="94"/>
  <c r="FD805" i="94"/>
  <c r="EV805" i="94"/>
  <c r="EN805" i="94"/>
  <c r="LO805" i="94"/>
  <c r="LG805" i="94"/>
  <c r="FS805" i="94"/>
  <c r="FK805" i="94"/>
  <c r="FC805" i="94"/>
  <c r="EU805" i="94"/>
  <c r="EM805" i="94"/>
  <c r="LM805" i="94"/>
  <c r="FQ805" i="94"/>
  <c r="FI805" i="94"/>
  <c r="FA805" i="94"/>
  <c r="ES805" i="94"/>
  <c r="EK805" i="94"/>
  <c r="LL805" i="94"/>
  <c r="FP805" i="94"/>
  <c r="FH805" i="94"/>
  <c r="EZ805" i="94"/>
  <c r="ER805" i="94"/>
  <c r="EJ805" i="94"/>
  <c r="FB805" i="94"/>
  <c r="ET805" i="94"/>
  <c r="EL805" i="94"/>
  <c r="LN805" i="94"/>
  <c r="LF805" i="94"/>
  <c r="FR805" i="94"/>
  <c r="FJ805" i="94"/>
  <c r="LO807" i="94"/>
  <c r="KC807" i="94"/>
  <c r="FE807" i="94"/>
  <c r="JE807" i="94"/>
  <c r="IW807" i="94"/>
  <c r="DY807" i="94"/>
  <c r="HY807" i="94"/>
  <c r="DA807" i="94"/>
  <c r="MO807" i="94"/>
  <c r="HQ807" i="94"/>
  <c r="CS807" i="94"/>
  <c r="LI807" i="94"/>
  <c r="GK807" i="94"/>
  <c r="BM807" i="94"/>
  <c r="KK807" i="94"/>
  <c r="FM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CU781" i="94"/>
  <c r="BO781" i="94"/>
  <c r="FV781" i="94"/>
  <c r="DJ781" i="94"/>
  <c r="CD781" i="94"/>
  <c r="DQ781" i="94"/>
  <c r="CK781" i="94"/>
  <c r="DX781" i="94"/>
  <c r="CR781" i="94"/>
  <c r="BL781" i="94"/>
  <c r="FY781" i="94"/>
  <c r="DE781" i="94"/>
  <c r="BY781" i="94"/>
  <c r="FX781" i="94"/>
  <c r="DT781" i="94"/>
  <c r="CN781" i="94"/>
  <c r="FZ781" i="94"/>
  <c r="DV781" i="94"/>
  <c r="DN781" i="94"/>
  <c r="CX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DY775" i="94"/>
  <c r="DQ775" i="94"/>
  <c r="DI775" i="94"/>
  <c r="DA775" i="94"/>
  <c r="CS775" i="94"/>
  <c r="CK775" i="94"/>
  <c r="CC775" i="94"/>
  <c r="BU775" i="94"/>
  <c r="BM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DX775" i="94"/>
  <c r="DP775" i="94"/>
  <c r="DH775" i="94"/>
  <c r="CZ775" i="94"/>
  <c r="CR775" i="94"/>
  <c r="CJ775" i="94"/>
  <c r="CB775" i="94"/>
  <c r="BT775" i="94"/>
  <c r="BL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DW775" i="94"/>
  <c r="DO775" i="94"/>
  <c r="DG775" i="94"/>
  <c r="CY775" i="94"/>
  <c r="CQ775" i="94"/>
  <c r="CI775" i="94"/>
  <c r="CA775" i="94"/>
  <c r="BS775" i="94"/>
  <c r="BK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LF775" i="94"/>
  <c r="JZ775" i="94"/>
  <c r="JB775" i="94"/>
  <c r="IL775" i="94"/>
  <c r="HN775" i="94"/>
  <c r="GH775" i="94"/>
  <c r="FB775" i="94"/>
  <c r="DF775" i="94"/>
  <c r="CP775" i="94"/>
  <c r="BZ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FV775" i="94"/>
  <c r="DR775" i="94"/>
  <c r="CT775" i="94"/>
  <c r="CD775" i="94"/>
  <c r="BN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BX773" i="94"/>
  <c r="HU773" i="94"/>
  <c r="FP775" i="94"/>
  <c r="JH775" i="94"/>
  <c r="LY777" i="94"/>
  <c r="BW772" i="94"/>
  <c r="LT772" i="94"/>
  <c r="CF773" i="94"/>
  <c r="GW773" i="94"/>
  <c r="MB773" i="94"/>
  <c r="BX772" i="94"/>
  <c r="DD772" i="94"/>
  <c r="GV772" i="94"/>
  <c r="CG773" i="94"/>
  <c r="DM773" i="94"/>
  <c r="FI773" i="94"/>
  <c r="HD773" i="94"/>
  <c r="MC773" i="94"/>
  <c r="CG775" i="94"/>
  <c r="DM775" i="94"/>
  <c r="ES775" i="94"/>
  <c r="FY775" i="94"/>
  <c r="HE775" i="94"/>
  <c r="IK775" i="94"/>
  <c r="JQ775" i="94"/>
  <c r="KW775" i="94"/>
  <c r="MC775" i="94"/>
  <c r="GN777" i="94"/>
  <c r="HT779" i="94"/>
  <c r="DG783" i="94"/>
  <c r="JU783" i="94"/>
  <c r="LX772" i="94"/>
  <c r="LP772" i="94"/>
  <c r="LH772" i="94"/>
  <c r="HP772" i="94"/>
  <c r="HH772" i="94"/>
  <c r="GZ772" i="94"/>
  <c r="GJ772" i="94"/>
  <c r="GB772" i="94"/>
  <c r="FT772" i="94"/>
  <c r="FD772" i="94"/>
  <c r="EV772" i="94"/>
  <c r="EN772" i="94"/>
  <c r="DP772" i="94"/>
  <c r="DH772" i="94"/>
  <c r="CZ772" i="94"/>
  <c r="CJ772" i="94"/>
  <c r="CB772" i="94"/>
  <c r="BT772" i="94"/>
  <c r="LO772" i="94"/>
  <c r="HO772" i="94"/>
  <c r="GQ772" i="94"/>
  <c r="EM772" i="94"/>
  <c r="DO772" i="94"/>
  <c r="CQ772" i="94"/>
  <c r="BK772" i="94"/>
  <c r="LU772" i="94"/>
  <c r="HU772" i="94"/>
  <c r="EK772" i="94"/>
  <c r="DE772" i="94"/>
  <c r="BQ772" i="94"/>
  <c r="LG772" i="94"/>
  <c r="HW772" i="94"/>
  <c r="HG772" i="94"/>
  <c r="GA772" i="94"/>
  <c r="FS772" i="94"/>
  <c r="FK772" i="94"/>
  <c r="EU772" i="94"/>
  <c r="DW772" i="94"/>
  <c r="DG772" i="94"/>
  <c r="CI772" i="94"/>
  <c r="BS772" i="94"/>
  <c r="LM772" i="94"/>
  <c r="FY772" i="94"/>
  <c r="FI772" i="94"/>
  <c r="ES772" i="94"/>
  <c r="CG772" i="94"/>
  <c r="MD772" i="94"/>
  <c r="LV772" i="94"/>
  <c r="LF772" i="94"/>
  <c r="HV772" i="94"/>
  <c r="HN772" i="94"/>
  <c r="GX772" i="94"/>
  <c r="GP772" i="94"/>
  <c r="GH772" i="94"/>
  <c r="FR772" i="94"/>
  <c r="FJ772" i="94"/>
  <c r="FB772" i="94"/>
  <c r="EL772" i="94"/>
  <c r="DV772" i="94"/>
  <c r="DN772" i="94"/>
  <c r="CX772" i="94"/>
  <c r="CP772" i="94"/>
  <c r="CH772" i="94"/>
  <c r="BR772" i="94"/>
  <c r="GG772" i="94"/>
  <c r="BY772" i="94"/>
  <c r="MC772" i="94"/>
  <c r="HE772" i="94"/>
  <c r="FQ772" i="94"/>
  <c r="FA772" i="94"/>
  <c r="DU772" i="94"/>
  <c r="LZ772" i="94"/>
  <c r="LR772" i="94"/>
  <c r="LJ772" i="94"/>
  <c r="HJ772" i="94"/>
  <c r="HB772" i="94"/>
  <c r="GT772" i="94"/>
  <c r="GD772" i="94"/>
  <c r="FV772" i="94"/>
  <c r="FN772" i="94"/>
  <c r="EX772" i="94"/>
  <c r="EP772" i="94"/>
  <c r="EH772" i="94"/>
  <c r="DR772" i="94"/>
  <c r="DJ772" i="94"/>
  <c r="DB772" i="94"/>
  <c r="CL772" i="94"/>
  <c r="CD772" i="94"/>
  <c r="BV772" i="94"/>
  <c r="LY772" i="94"/>
  <c r="LI772" i="94"/>
  <c r="HI772" i="94"/>
  <c r="GC772" i="94"/>
  <c r="FU772" i="94"/>
  <c r="FE772" i="94"/>
  <c r="DQ772" i="94"/>
  <c r="DA772" i="94"/>
  <c r="CK772" i="94"/>
  <c r="LQ772" i="94"/>
  <c r="HQ772" i="94"/>
  <c r="HA772" i="94"/>
  <c r="FM772" i="94"/>
  <c r="EW772" i="94"/>
  <c r="DY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GO773" i="94"/>
  <c r="DD775" i="94"/>
  <c r="KN775" i="94"/>
  <c r="CE772" i="94"/>
  <c r="DK772" i="94"/>
  <c r="EQ772" i="94"/>
  <c r="HC772" i="94"/>
  <c r="MB772" i="94"/>
  <c r="CN773" i="94"/>
  <c r="DT773" i="94"/>
  <c r="EJ773" i="94"/>
  <c r="FP773" i="94"/>
  <c r="HE773" i="94"/>
  <c r="MJ773" i="94"/>
  <c r="CN775" i="94"/>
  <c r="DT775" i="94"/>
  <c r="EZ775" i="94"/>
  <c r="GF775" i="94"/>
  <c r="HL775" i="94"/>
  <c r="IR775" i="94"/>
  <c r="JX775" i="94"/>
  <c r="LD775" i="94"/>
  <c r="MJ775" i="94"/>
  <c r="GZ777" i="94"/>
  <c r="HU779" i="94"/>
  <c r="LT779" i="94"/>
  <c r="HF781" i="94"/>
  <c r="LB783" i="94"/>
  <c r="EY789" i="94"/>
  <c r="O873" i="94"/>
  <c r="A873" i="94" s="1"/>
  <c r="J945" i="94"/>
  <c r="J963" i="94"/>
  <c r="MM808" i="94"/>
  <c r="K945" i="94"/>
  <c r="K963" i="94"/>
  <c r="I968" i="94"/>
  <c r="H972" i="94"/>
  <c r="L954" i="94"/>
  <c r="M954" i="94"/>
  <c r="I959" i="94"/>
  <c r="K968" i="94"/>
  <c r="O872" i="94"/>
  <c r="H945" i="94"/>
  <c r="P945" i="94"/>
  <c r="L941" i="94"/>
  <c r="G954" i="94"/>
  <c r="O954" i="94"/>
  <c r="H968" i="94"/>
  <c r="G972" i="94"/>
  <c r="K998" i="94"/>
  <c r="MH793" i="94"/>
  <c r="MP793" i="94"/>
  <c r="BR799" i="94"/>
  <c r="BZ799" i="94"/>
  <c r="CH799" i="94"/>
  <c r="CP799" i="94"/>
  <c r="CX799" i="94"/>
  <c r="DF799" i="94"/>
  <c r="DN799" i="94"/>
  <c r="DV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BS807" i="94"/>
  <c r="CY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DV807" i="94"/>
  <c r="DN807" i="94"/>
  <c r="DF807" i="94"/>
  <c r="CX807" i="94"/>
  <c r="CP807" i="94"/>
  <c r="CH807" i="94"/>
  <c r="BZ807" i="94"/>
  <c r="BR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DU807" i="94"/>
  <c r="DM807" i="94"/>
  <c r="DE807" i="94"/>
  <c r="CW807" i="94"/>
  <c r="CO807" i="94"/>
  <c r="CG807" i="94"/>
  <c r="BY807" i="94"/>
  <c r="BQ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DX807" i="94"/>
  <c r="DP807" i="94"/>
  <c r="DH807" i="94"/>
  <c r="CZ807" i="94"/>
  <c r="CR807" i="94"/>
  <c r="CJ807" i="94"/>
  <c r="CB807" i="94"/>
  <c r="BT807" i="94"/>
  <c r="BL807" i="94"/>
  <c r="BL799" i="94"/>
  <c r="BT799" i="94"/>
  <c r="CB799" i="94"/>
  <c r="CJ799" i="94"/>
  <c r="CR799" i="94"/>
  <c r="CZ799" i="94"/>
  <c r="DH799" i="94"/>
  <c r="DP799" i="94"/>
  <c r="DX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CA807" i="94"/>
  <c r="DG807" i="94"/>
  <c r="EM807" i="94"/>
  <c r="FS807" i="94"/>
  <c r="GY807" i="94"/>
  <c r="IE807" i="94"/>
  <c r="JK807" i="94"/>
  <c r="KQ807" i="94"/>
  <c r="LW807" i="94"/>
  <c r="BM799" i="94"/>
  <c r="BU799" i="94"/>
  <c r="CC799" i="94"/>
  <c r="CK799" i="94"/>
  <c r="CS799" i="94"/>
  <c r="DA799" i="94"/>
  <c r="DI799" i="94"/>
  <c r="DQ799" i="94"/>
  <c r="DY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DX809" i="94"/>
  <c r="DP809" i="94"/>
  <c r="DH809" i="94"/>
  <c r="CZ809" i="94"/>
  <c r="CR809" i="94"/>
  <c r="CJ809" i="94"/>
  <c r="CB809" i="94"/>
  <c r="BT809" i="94"/>
  <c r="BL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DV809" i="94"/>
  <c r="DN809" i="94"/>
  <c r="DF809" i="94"/>
  <c r="CX809" i="94"/>
  <c r="CP809" i="94"/>
  <c r="CH809" i="94"/>
  <c r="BZ809" i="94"/>
  <c r="BR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DU809" i="94"/>
  <c r="DM809" i="94"/>
  <c r="DE809" i="94"/>
  <c r="CW809" i="94"/>
  <c r="CO809" i="94"/>
  <c r="CG809" i="94"/>
  <c r="BY809" i="94"/>
  <c r="BQ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MS809" i="94"/>
  <c r="LH809" i="94"/>
  <c r="KM809" i="94"/>
  <c r="JQ809" i="94"/>
  <c r="IV809" i="94"/>
  <c r="IA809" i="94"/>
  <c r="GC809" i="94"/>
  <c r="FH809" i="94"/>
  <c r="EM809" i="94"/>
  <c r="DQ809" i="94"/>
  <c r="CV809" i="94"/>
  <c r="CA809" i="94"/>
  <c r="MQ809" i="94"/>
  <c r="LE809" i="94"/>
  <c r="KJ809" i="94"/>
  <c r="JO809" i="94"/>
  <c r="IS809" i="94"/>
  <c r="HW809" i="94"/>
  <c r="GA809" i="94"/>
  <c r="FE809" i="94"/>
  <c r="EJ809" i="94"/>
  <c r="DO809" i="94"/>
  <c r="CS809" i="94"/>
  <c r="BX809" i="94"/>
  <c r="MM809" i="94"/>
  <c r="LC809" i="94"/>
  <c r="KG809" i="94"/>
  <c r="JL809" i="94"/>
  <c r="IQ809" i="94"/>
  <c r="HO809" i="94"/>
  <c r="FX809" i="94"/>
  <c r="FC809" i="94"/>
  <c r="DL809" i="94"/>
  <c r="CQ809" i="94"/>
  <c r="BU809" i="94"/>
  <c r="ME809" i="94"/>
  <c r="KZ809" i="94"/>
  <c r="KE809" i="94"/>
  <c r="JI809" i="94"/>
  <c r="IN809" i="94"/>
  <c r="HK809" i="94"/>
  <c r="FU809" i="94"/>
  <c r="EZ809" i="94"/>
  <c r="DI809" i="94"/>
  <c r="CN809" i="94"/>
  <c r="BS809" i="94"/>
  <c r="MA809" i="94"/>
  <c r="KW809" i="94"/>
  <c r="KB809" i="94"/>
  <c r="JG809" i="94"/>
  <c r="IK809" i="94"/>
  <c r="HC809" i="94"/>
  <c r="FS809" i="94"/>
  <c r="EW809" i="94"/>
  <c r="EB809" i="94"/>
  <c r="DG809" i="94"/>
  <c r="CK809" i="94"/>
  <c r="BP809" i="94"/>
  <c r="LM809" i="94"/>
  <c r="KR809" i="94"/>
  <c r="JW809" i="94"/>
  <c r="JA809" i="94"/>
  <c r="IF809" i="94"/>
  <c r="GP809" i="94"/>
  <c r="FM809" i="94"/>
  <c r="ER809" i="94"/>
  <c r="DW809" i="94"/>
  <c r="DA809" i="94"/>
  <c r="CF809" i="94"/>
  <c r="BK809" i="94"/>
  <c r="MR803" i="94"/>
  <c r="MJ803" i="94"/>
  <c r="MQ803" i="94"/>
  <c r="MI803" i="94"/>
  <c r="MO803" i="94"/>
  <c r="MG803"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CI807" i="94"/>
  <c r="DO807" i="94"/>
  <c r="EU807" i="94"/>
  <c r="GA807" i="94"/>
  <c r="HG807" i="94"/>
  <c r="IM807" i="94"/>
  <c r="JS807" i="94"/>
  <c r="KY807" i="94"/>
  <c r="ME807" i="94"/>
  <c r="ME793"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CK807" i="94"/>
  <c r="DQ807" i="94"/>
  <c r="EW807" i="94"/>
  <c r="GC807" i="94"/>
  <c r="HI807" i="94"/>
  <c r="IO807" i="94"/>
  <c r="JU807" i="94"/>
  <c r="LA807" i="94"/>
  <c r="MG807" i="94"/>
  <c r="CY809" i="94"/>
  <c r="GH809" i="94"/>
  <c r="KO80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N950" i="94"/>
  <c r="H959" i="94"/>
  <c r="P959" i="94"/>
  <c r="N959" i="94"/>
  <c r="J972" i="94"/>
  <c r="M945" i="94"/>
  <c r="I950" i="94"/>
  <c r="G959" i="94"/>
  <c r="O959" i="94"/>
  <c r="LT804" i="94"/>
  <c r="LQ796" i="94"/>
  <c r="LH788" i="94"/>
  <c r="KU796" i="94"/>
  <c r="MO790" i="94"/>
  <c r="KX786" i="94"/>
  <c r="MG778" i="94"/>
  <c r="LD776" i="94"/>
  <c r="MF774" i="94"/>
  <c r="I972" i="94"/>
  <c r="K950" i="94"/>
  <c r="K959" i="94"/>
  <c r="G963" i="94"/>
  <c r="O963" i="94"/>
  <c r="N941" i="94"/>
  <c r="F1001"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KU782" i="94"/>
  <c r="KM782" i="94"/>
  <c r="JO782" i="94"/>
  <c r="JG782" i="94"/>
  <c r="II782" i="94"/>
  <c r="KT782" i="94"/>
  <c r="KL782" i="94"/>
  <c r="JN782" i="94"/>
  <c r="JF782" i="94"/>
  <c r="IH782" i="94"/>
  <c r="MO782" i="94"/>
  <c r="KS782" i="94"/>
  <c r="KK782" i="94"/>
  <c r="JM782" i="94"/>
  <c r="JE782" i="94"/>
  <c r="IG782" i="94"/>
  <c r="KZ782" i="94"/>
  <c r="KB782" i="94"/>
  <c r="JT782" i="94"/>
  <c r="IV782" i="94"/>
  <c r="IN782" i="94"/>
  <c r="KQ782" i="94"/>
  <c r="KI782" i="94"/>
  <c r="JK782" i="94"/>
  <c r="JC782" i="94"/>
  <c r="IE782" i="94"/>
  <c r="KX782" i="94"/>
  <c r="JZ782" i="94"/>
  <c r="JR782" i="94"/>
  <c r="IT782" i="94"/>
  <c r="IL782" i="94"/>
  <c r="LE782" i="94"/>
  <c r="KW782" i="94"/>
  <c r="JY782" i="94"/>
  <c r="JQ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KN784" i="94"/>
  <c r="MS784" i="94"/>
  <c r="JI784" i="94"/>
  <c r="MH784" i="94"/>
  <c r="JO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IJ782" i="94"/>
  <c r="KV782"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JT788" i="94"/>
  <c r="IJ774" i="94"/>
  <c r="IR774" i="94"/>
  <c r="IZ774" i="94"/>
  <c r="JH774" i="94"/>
  <c r="JP774" i="94"/>
  <c r="JX774" i="94"/>
  <c r="KF774" i="94"/>
  <c r="KN774" i="94"/>
  <c r="KV774" i="94"/>
  <c r="LD774" i="94"/>
  <c r="MS774" i="94"/>
  <c r="ID776" i="94"/>
  <c r="IR776" i="94"/>
  <c r="JD776" i="94"/>
  <c r="JQ776" i="94"/>
  <c r="KE776" i="94"/>
  <c r="KP776" i="94"/>
  <c r="IT778" i="94"/>
  <c r="JZ778" i="94"/>
  <c r="LD782"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K774" i="94"/>
  <c r="ID774" i="94"/>
  <c r="IL774" i="94"/>
  <c r="IT774" i="94"/>
  <c r="JB774" i="94"/>
  <c r="JJ774" i="94"/>
  <c r="JR774" i="94"/>
  <c r="JZ774" i="94"/>
  <c r="KH774" i="94"/>
  <c r="KP774" i="94"/>
  <c r="KX774" i="94"/>
  <c r="II776" i="94"/>
  <c r="IT776" i="94"/>
  <c r="JH776" i="94"/>
  <c r="JT776" i="94"/>
  <c r="KG776" i="94"/>
  <c r="KU776" i="94"/>
  <c r="MQ776" i="94"/>
  <c r="JB778" i="94"/>
  <c r="KH778"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LU808" i="94"/>
  <c r="MC808" i="94"/>
  <c r="GG809" i="94"/>
  <c r="GO809" i="94"/>
  <c r="GW809" i="94"/>
  <c r="HE809" i="94"/>
  <c r="HM809" i="94"/>
  <c r="HU809" i="94"/>
  <c r="LU809" i="94"/>
  <c r="MC809" i="94"/>
  <c r="A773" i="94"/>
  <c r="A778" i="94"/>
  <c r="A791" i="94"/>
  <c r="A776" i="94"/>
  <c r="A786" i="94"/>
  <c r="A797" i="94"/>
  <c r="A802" i="94"/>
  <c r="A809" i="94"/>
  <c r="A774" i="94"/>
  <c r="A779" i="94"/>
  <c r="A792" i="94"/>
  <c r="A805" i="94"/>
  <c r="A807" i="94"/>
  <c r="A777" i="94"/>
  <c r="A787" i="94"/>
  <c r="A798" i="94"/>
  <c r="A785" i="94"/>
  <c r="A790" i="94"/>
  <c r="A795" i="94"/>
  <c r="A803" i="94"/>
  <c r="A775" i="94"/>
  <c r="A793" i="94"/>
  <c r="A801" i="94"/>
  <c r="A808" i="94"/>
  <c r="CJ788"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CR788" i="94"/>
  <c r="A796" i="94"/>
  <c r="DA796" i="94"/>
  <c r="GK796" i="94"/>
  <c r="CF804" i="94"/>
  <c r="FP804" i="94"/>
  <c r="HT804" i="94"/>
  <c r="MB804" i="94"/>
  <c r="CZ788" i="94"/>
  <c r="GJ788" i="94"/>
  <c r="DI796" i="94"/>
  <c r="EO796" i="94"/>
  <c r="GS796" i="94"/>
  <c r="CN804" i="94"/>
  <c r="DH788" i="94"/>
  <c r="EN788" i="94"/>
  <c r="GR788" i="94"/>
  <c r="DQ796" i="94"/>
  <c r="EW796" i="94"/>
  <c r="HA796" i="94"/>
  <c r="LI796" i="94"/>
  <c r="CV804" i="94"/>
  <c r="DP788" i="94"/>
  <c r="EV788" i="94"/>
  <c r="GZ788" i="94"/>
  <c r="BM796" i="94"/>
  <c r="DY796" i="94"/>
  <c r="FE796" i="94"/>
  <c r="HI796"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L788" i="94"/>
  <c r="DX788" i="94"/>
  <c r="FD788" i="94"/>
  <c r="HH788" i="94"/>
  <c r="BU796" i="94"/>
  <c r="FM796" i="94"/>
  <c r="HQ796" i="94"/>
  <c r="LY796"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A788" i="94"/>
  <c r="BT788" i="94"/>
  <c r="FL788" i="94"/>
  <c r="HP788" i="94"/>
  <c r="LP788" i="94"/>
  <c r="CC796" i="94"/>
  <c r="FU796" i="94"/>
  <c r="DT804" i="94"/>
  <c r="ER804" i="94"/>
  <c r="GV804" i="94"/>
  <c r="V528" i="94"/>
  <c r="V522" i="94"/>
  <c r="V478" i="94"/>
  <c r="V563" i="94"/>
  <c r="V571" i="94"/>
  <c r="V462" i="94"/>
  <c r="V577" i="94" s="1"/>
  <c r="U574" i="94"/>
  <c r="F513" i="94"/>
  <c r="U521" i="94"/>
  <c r="S509" i="94"/>
  <c r="P509" i="94"/>
  <c r="M509" i="94"/>
  <c r="U508" i="94"/>
  <c r="A574" i="94"/>
  <c r="A555" i="94"/>
  <c r="A548" i="94"/>
  <c r="U535" i="94"/>
  <c r="A521" i="94"/>
  <c r="U460" i="94"/>
  <c r="U45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N420" i="94"/>
  <c r="M420" i="94"/>
  <c r="L420" i="94"/>
  <c r="K420" i="94"/>
  <c r="P416" i="94"/>
  <c r="Q416" i="94"/>
  <c r="P417"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L370" i="94" s="1"/>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P201" i="94" s="1"/>
  <c r="I199" i="94"/>
  <c r="I197" i="94"/>
  <c r="P195" i="94"/>
  <c r="L195" i="94"/>
  <c r="I195" i="94"/>
  <c r="H191" i="94"/>
  <c r="G191" i="94"/>
  <c r="F191" i="94"/>
  <c r="E191" i="94"/>
  <c r="D191" i="94"/>
  <c r="N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M108" i="94"/>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L61" i="94" s="1"/>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9" i="66"/>
  <c r="O32" i="94"/>
  <c r="J32" i="94"/>
  <c r="P39" i="94"/>
  <c r="O39" i="94"/>
  <c r="N39" i="94"/>
  <c r="P38" i="94"/>
  <c r="O38" i="94"/>
  <c r="P37" i="94"/>
  <c r="O37" i="94"/>
  <c r="N37" i="94"/>
  <c r="K38" i="94"/>
  <c r="J38" i="94"/>
  <c r="I38" i="94"/>
  <c r="H38" i="94"/>
  <c r="G38" i="94"/>
  <c r="F38" i="94"/>
  <c r="F39" i="94"/>
  <c r="F37" i="94"/>
  <c r="O35" i="94"/>
  <c r="O34" i="94"/>
  <c r="O29" i="94"/>
  <c r="J168" i="78"/>
  <c r="E1028" i="94"/>
  <c r="K895" i="94"/>
  <c r="K852" i="94"/>
  <c r="F34" i="94"/>
  <c r="A24" i="94"/>
  <c r="P113" i="94"/>
  <c r="H113" i="94"/>
  <c r="P111" i="94"/>
  <c r="H111" i="94"/>
  <c r="P110" i="94"/>
  <c r="H110" i="94"/>
  <c r="N111" i="94"/>
  <c r="A5" i="94"/>
  <c r="A2" i="94"/>
  <c r="F1028" i="94"/>
  <c r="I47" i="75"/>
  <c r="I809" i="94" s="1"/>
  <c r="K809" i="94" s="1"/>
  <c r="L809" i="94" s="1"/>
  <c r="I46" i="75"/>
  <c r="I803" i="93"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85" i="93" s="1"/>
  <c r="K785" i="93"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22" i="75"/>
  <c r="I784" i="94" s="1"/>
  <c r="K784" i="94" s="1"/>
  <c r="L784" i="94" s="1"/>
  <c r="I21" i="75"/>
  <c r="I783" i="94" s="1"/>
  <c r="K783"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G1028" i="94"/>
  <c r="H1028" i="94" s="1"/>
  <c r="I1028" i="94" s="1"/>
  <c r="J1028" i="94" s="1"/>
  <c r="K1028" i="94" s="1"/>
  <c r="B1060" i="94" s="1"/>
  <c r="B1070" i="94" s="1"/>
  <c r="F19" i="78"/>
  <c r="F98" i="72"/>
  <c r="H88" i="72"/>
  <c r="K49" i="72"/>
  <c r="H167" i="73"/>
  <c r="I167" i="73"/>
  <c r="L167" i="73"/>
  <c r="K167" i="73"/>
  <c r="F167" i="73"/>
  <c r="N241" i="73"/>
  <c r="P243" i="75"/>
  <c r="P1005" i="94"/>
  <c r="R133" i="75"/>
  <c r="R90" i="75"/>
  <c r="R1" i="73"/>
  <c r="C8" i="74"/>
  <c r="Q53" i="72"/>
  <c r="Q52" i="72"/>
  <c r="L52" i="72"/>
  <c r="C1060" i="94"/>
  <c r="B3" i="76"/>
  <c r="C3" i="74"/>
  <c r="B6" i="72"/>
  <c r="K5" i="75"/>
  <c r="D5" i="78"/>
  <c r="L3" i="68"/>
  <c r="O3" i="67"/>
  <c r="Q12" i="72"/>
  <c r="P369" i="72"/>
  <c r="P1901" i="93" s="1"/>
  <c r="E18" i="72"/>
  <c r="P107" i="72"/>
  <c r="M448" i="72"/>
  <c r="P330" i="72"/>
  <c r="P334" i="72"/>
  <c r="J279" i="72"/>
  <c r="P288" i="72"/>
  <c r="Q281" i="72"/>
  <c r="P205" i="72"/>
  <c r="L168" i="72"/>
  <c r="L167" i="72"/>
  <c r="L166" i="72"/>
  <c r="P51" i="72"/>
  <c r="Q64" i="72"/>
  <c r="F20" i="72"/>
  <c r="F19" i="72"/>
  <c r="F18" i="72"/>
  <c r="F16" i="72"/>
  <c r="F17" i="72"/>
  <c r="E17" i="72"/>
  <c r="F15" i="72"/>
  <c r="F14" i="72"/>
  <c r="F13" i="72"/>
  <c r="F12" i="72"/>
  <c r="F11" i="72"/>
  <c r="P10" i="72"/>
  <c r="P8" i="72" s="1"/>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DC47" i="75"/>
  <c r="DB47" i="75"/>
  <c r="DA47" i="75"/>
  <c r="CZ47" i="75"/>
  <c r="CY47" i="75"/>
  <c r="DC46" i="75"/>
  <c r="DB46" i="75"/>
  <c r="DA46" i="75"/>
  <c r="CZ46" i="75"/>
  <c r="CY46" i="75"/>
  <c r="DC45" i="75"/>
  <c r="DB45" i="75"/>
  <c r="DA45" i="75"/>
  <c r="CZ45" i="75"/>
  <c r="CY45" i="75"/>
  <c r="DC44" i="75"/>
  <c r="DB44" i="75"/>
  <c r="DA44" i="75"/>
  <c r="CZ44" i="75"/>
  <c r="CY44" i="75"/>
  <c r="DC43" i="75"/>
  <c r="DB43" i="75"/>
  <c r="DA43" i="75"/>
  <c r="CZ43" i="75"/>
  <c r="CY43" i="75"/>
  <c r="DC42" i="75"/>
  <c r="DB42" i="75"/>
  <c r="DA42" i="75"/>
  <c r="CZ42" i="75"/>
  <c r="CY42" i="75"/>
  <c r="DC41" i="75"/>
  <c r="DB41" i="75"/>
  <c r="DA41" i="75"/>
  <c r="CZ41" i="75"/>
  <c r="CY41" i="75"/>
  <c r="DC40" i="75"/>
  <c r="DB40" i="75"/>
  <c r="DA40" i="75"/>
  <c r="CZ40" i="75"/>
  <c r="CY40" i="75"/>
  <c r="DC39" i="75"/>
  <c r="DB39" i="75"/>
  <c r="DA39" i="75"/>
  <c r="CZ39" i="75"/>
  <c r="CY39" i="75"/>
  <c r="DC38" i="75"/>
  <c r="DB38" i="75"/>
  <c r="DA38" i="75"/>
  <c r="CZ38" i="75"/>
  <c r="CY38" i="75"/>
  <c r="DC37" i="75"/>
  <c r="DB37" i="75"/>
  <c r="DA37" i="75"/>
  <c r="CZ37" i="75"/>
  <c r="CY37" i="75"/>
  <c r="DC36" i="75"/>
  <c r="DB36" i="75"/>
  <c r="DA36" i="75"/>
  <c r="CZ36" i="75"/>
  <c r="CY36" i="75"/>
  <c r="DC35" i="75"/>
  <c r="DB35" i="75"/>
  <c r="DA35" i="75"/>
  <c r="CZ35" i="75"/>
  <c r="CY35" i="75"/>
  <c r="DC34" i="75"/>
  <c r="DB34" i="75"/>
  <c r="DA34" i="75"/>
  <c r="CZ34" i="75"/>
  <c r="CY34" i="75"/>
  <c r="DC33" i="75"/>
  <c r="DB33" i="75"/>
  <c r="DA33" i="75"/>
  <c r="CZ33" i="75"/>
  <c r="CY33" i="75"/>
  <c r="DC32" i="75"/>
  <c r="DB32" i="75"/>
  <c r="DA32" i="75"/>
  <c r="CZ32" i="75"/>
  <c r="CY32" i="75"/>
  <c r="DC31" i="75"/>
  <c r="DB31" i="75"/>
  <c r="DA31" i="75"/>
  <c r="CZ31" i="75"/>
  <c r="CY31" i="75"/>
  <c r="DC30" i="75"/>
  <c r="DB30" i="75"/>
  <c r="DA30" i="75"/>
  <c r="CZ30" i="75"/>
  <c r="CY30" i="75"/>
  <c r="DC29" i="75"/>
  <c r="DB29" i="75"/>
  <c r="DA29" i="75"/>
  <c r="CZ29" i="75"/>
  <c r="CY29" i="75"/>
  <c r="DC28" i="75"/>
  <c r="DB28" i="75"/>
  <c r="DA28" i="75"/>
  <c r="CZ28" i="75"/>
  <c r="CY28" i="75"/>
  <c r="DC27" i="75"/>
  <c r="DB27" i="75"/>
  <c r="DA27" i="75"/>
  <c r="CZ27" i="75"/>
  <c r="CY27" i="75"/>
  <c r="DC26" i="75"/>
  <c r="DB26" i="75"/>
  <c r="DA26" i="75"/>
  <c r="CZ26" i="75"/>
  <c r="CY26" i="75"/>
  <c r="DC25" i="75"/>
  <c r="DB25" i="75"/>
  <c r="DA25" i="75"/>
  <c r="CZ25" i="75"/>
  <c r="CY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A17" i="75"/>
  <c r="CZ17" i="75"/>
  <c r="CY17" i="75"/>
  <c r="DC16" i="75"/>
  <c r="DB16" i="75"/>
  <c r="DA16" i="75"/>
  <c r="CZ16" i="75"/>
  <c r="CY16" i="75"/>
  <c r="DC15" i="75"/>
  <c r="DB15" i="75"/>
  <c r="DA15" i="75"/>
  <c r="CZ15" i="75"/>
  <c r="CY15" i="75"/>
  <c r="DC14" i="75"/>
  <c r="DB14" i="75"/>
  <c r="DA14" i="75"/>
  <c r="CZ14" i="75"/>
  <c r="CY14" i="75"/>
  <c r="DC13" i="75"/>
  <c r="DB13" i="75"/>
  <c r="DA13" i="75"/>
  <c r="CZ13" i="75"/>
  <c r="CY13" i="75"/>
  <c r="DC12" i="75"/>
  <c r="DB12" i="75"/>
  <c r="DA12" i="75"/>
  <c r="CZ12" i="75"/>
  <c r="CY12" i="75"/>
  <c r="DC11" i="75"/>
  <c r="DB11" i="75"/>
  <c r="DA11" i="75"/>
  <c r="CZ11" i="75"/>
  <c r="CY11" i="75"/>
  <c r="DC10" i="75"/>
  <c r="DB10" i="75"/>
  <c r="DA10" i="75"/>
  <c r="CZ10" i="75"/>
  <c r="CY10" i="75"/>
  <c r="DR47" i="75"/>
  <c r="DQ47" i="75"/>
  <c r="DP47" i="75"/>
  <c r="DO47" i="75"/>
  <c r="DN47" i="75"/>
  <c r="DR46" i="75"/>
  <c r="DQ46" i="75"/>
  <c r="DP46" i="75"/>
  <c r="DO46" i="75"/>
  <c r="DN46" i="75"/>
  <c r="DR45" i="75"/>
  <c r="DQ45" i="75"/>
  <c r="DP45" i="75"/>
  <c r="DO45" i="75"/>
  <c r="DN45" i="75"/>
  <c r="DR44" i="75"/>
  <c r="DQ44" i="75"/>
  <c r="DP44" i="75"/>
  <c r="DO44" i="75"/>
  <c r="DN44" i="75"/>
  <c r="DR43" i="75"/>
  <c r="DQ43" i="75"/>
  <c r="DP43" i="75"/>
  <c r="DO43" i="75"/>
  <c r="DN43" i="75"/>
  <c r="DR42" i="75"/>
  <c r="DQ42" i="75"/>
  <c r="DP42" i="75"/>
  <c r="DO42" i="75"/>
  <c r="DN42" i="75"/>
  <c r="DR41" i="75"/>
  <c r="DQ41" i="75"/>
  <c r="DP41" i="75"/>
  <c r="DO41" i="75"/>
  <c r="DN41" i="75"/>
  <c r="DR40" i="75"/>
  <c r="DQ40" i="75"/>
  <c r="DP40" i="75"/>
  <c r="DO40" i="75"/>
  <c r="DN40" i="75"/>
  <c r="DR39" i="75"/>
  <c r="DQ39" i="75"/>
  <c r="DP39" i="75"/>
  <c r="DO39" i="75"/>
  <c r="DN39" i="75"/>
  <c r="DR38" i="75"/>
  <c r="DQ38" i="75"/>
  <c r="DP38" i="75"/>
  <c r="DO38" i="75"/>
  <c r="DN38" i="75"/>
  <c r="DR37" i="75"/>
  <c r="DQ37" i="75"/>
  <c r="DP37" i="75"/>
  <c r="DO37" i="75"/>
  <c r="DN37" i="75"/>
  <c r="DR36" i="75"/>
  <c r="DQ36" i="75"/>
  <c r="DP36" i="75"/>
  <c r="DO36" i="75"/>
  <c r="DN36" i="75"/>
  <c r="DR35" i="75"/>
  <c r="DQ35" i="75"/>
  <c r="DP35" i="75"/>
  <c r="DO35" i="75"/>
  <c r="DN35" i="75"/>
  <c r="DR34" i="75"/>
  <c r="DQ34" i="75"/>
  <c r="DP34" i="75"/>
  <c r="DO34" i="75"/>
  <c r="DN34" i="75"/>
  <c r="DR33" i="75"/>
  <c r="DQ33" i="75"/>
  <c r="DP33" i="75"/>
  <c r="DO33" i="75"/>
  <c r="DN33" i="75"/>
  <c r="DR32" i="75"/>
  <c r="DQ32" i="75"/>
  <c r="DP32" i="75"/>
  <c r="DO32" i="75"/>
  <c r="DN32" i="75"/>
  <c r="DR31" i="75"/>
  <c r="DQ31" i="75"/>
  <c r="DP31" i="75"/>
  <c r="DO31" i="75"/>
  <c r="DN31" i="75"/>
  <c r="DR30" i="75"/>
  <c r="DQ30" i="75"/>
  <c r="DP30" i="75"/>
  <c r="DO30" i="75"/>
  <c r="DN30" i="75"/>
  <c r="DR29" i="75"/>
  <c r="DQ29" i="75"/>
  <c r="DP29" i="75"/>
  <c r="DO29" i="75"/>
  <c r="DN29" i="75"/>
  <c r="DR28" i="75"/>
  <c r="DQ28" i="75"/>
  <c r="DP28" i="75"/>
  <c r="DO28" i="75"/>
  <c r="DN28" i="75"/>
  <c r="DR27" i="75"/>
  <c r="DQ27" i="75"/>
  <c r="DP27" i="75"/>
  <c r="DO27" i="75"/>
  <c r="DN27" i="75"/>
  <c r="DR26" i="75"/>
  <c r="DQ26" i="75"/>
  <c r="DP26" i="75"/>
  <c r="DO26" i="75"/>
  <c r="DN26" i="75"/>
  <c r="DR25" i="75"/>
  <c r="DQ25" i="75"/>
  <c r="DP25" i="75"/>
  <c r="DO25" i="75"/>
  <c r="DN25" i="75"/>
  <c r="DR24" i="75"/>
  <c r="DQ24" i="75"/>
  <c r="DP24" i="75"/>
  <c r="DO24" i="75"/>
  <c r="DN24" i="75"/>
  <c r="DR23" i="75"/>
  <c r="DQ23" i="75"/>
  <c r="DP23" i="75"/>
  <c r="DO23" i="75"/>
  <c r="DN23" i="75"/>
  <c r="DR22" i="75"/>
  <c r="DQ22" i="75"/>
  <c r="DP22" i="75"/>
  <c r="DO22" i="75"/>
  <c r="DN22" i="75"/>
  <c r="DR21" i="75"/>
  <c r="DQ21" i="75"/>
  <c r="DP21" i="75"/>
  <c r="DO21" i="75"/>
  <c r="DN21" i="75"/>
  <c r="DR20" i="75"/>
  <c r="DQ20" i="75"/>
  <c r="DP20" i="75"/>
  <c r="DO20" i="75"/>
  <c r="DN20" i="75"/>
  <c r="DR19" i="75"/>
  <c r="DQ19" i="75"/>
  <c r="DP19" i="75"/>
  <c r="DO19" i="75"/>
  <c r="DN19" i="75"/>
  <c r="DR18" i="75"/>
  <c r="DQ18" i="75"/>
  <c r="DP18" i="75"/>
  <c r="DO18" i="75"/>
  <c r="DN18" i="75"/>
  <c r="DR17" i="75"/>
  <c r="DQ17" i="75"/>
  <c r="DP17" i="75"/>
  <c r="DO17" i="75"/>
  <c r="DN17" i="75"/>
  <c r="DR16" i="75"/>
  <c r="DQ16" i="75"/>
  <c r="DP16" i="75"/>
  <c r="DO16" i="75"/>
  <c r="DN16" i="75"/>
  <c r="DR15" i="75"/>
  <c r="DQ15" i="75"/>
  <c r="DP15" i="75"/>
  <c r="DO15" i="75"/>
  <c r="DN15" i="75"/>
  <c r="DR14" i="75"/>
  <c r="DQ14" i="75"/>
  <c r="DP14" i="75"/>
  <c r="DO14" i="75"/>
  <c r="DN14" i="75"/>
  <c r="DR13" i="75"/>
  <c r="DQ13" i="75"/>
  <c r="DP13" i="75"/>
  <c r="DO13" i="75"/>
  <c r="DN13" i="75"/>
  <c r="DR12" i="75"/>
  <c r="DQ12" i="75"/>
  <c r="DP12" i="75"/>
  <c r="DO12" i="75"/>
  <c r="DN12" i="75"/>
  <c r="DR11" i="75"/>
  <c r="DQ11" i="75"/>
  <c r="DP11" i="75"/>
  <c r="DO11" i="75"/>
  <c r="DN11" i="75"/>
  <c r="DR10" i="75"/>
  <c r="DQ10" i="75"/>
  <c r="DP10" i="75"/>
  <c r="DO10" i="75"/>
  <c r="DN10" i="75"/>
  <c r="DM47" i="75"/>
  <c r="DL47" i="75"/>
  <c r="DK47" i="75"/>
  <c r="DJ47" i="75"/>
  <c r="DI47" i="75"/>
  <c r="DM46" i="75"/>
  <c r="DL46" i="75"/>
  <c r="DK46" i="75"/>
  <c r="DJ46" i="75"/>
  <c r="DI46" i="75"/>
  <c r="DM45" i="75"/>
  <c r="DL45" i="75"/>
  <c r="DK45" i="75"/>
  <c r="DJ45" i="75"/>
  <c r="DI45" i="75"/>
  <c r="DM44" i="75"/>
  <c r="DL44" i="75"/>
  <c r="DK44" i="75"/>
  <c r="DJ44" i="75"/>
  <c r="DI44" i="75"/>
  <c r="DM43" i="75"/>
  <c r="DL43" i="75"/>
  <c r="DK43" i="75"/>
  <c r="DJ43" i="75"/>
  <c r="DI43" i="75"/>
  <c r="DM42" i="75"/>
  <c r="DL42" i="75"/>
  <c r="DK42" i="75"/>
  <c r="DJ42" i="75"/>
  <c r="DI42" i="75"/>
  <c r="DM41" i="75"/>
  <c r="DL41" i="75"/>
  <c r="DK41" i="75"/>
  <c r="DJ41" i="75"/>
  <c r="DI41" i="75"/>
  <c r="DM40" i="75"/>
  <c r="DL40" i="75"/>
  <c r="DK40" i="75"/>
  <c r="DJ40" i="75"/>
  <c r="DI40" i="75"/>
  <c r="DM39" i="75"/>
  <c r="DL39" i="75"/>
  <c r="DK39" i="75"/>
  <c r="DJ39" i="75"/>
  <c r="DI39" i="75"/>
  <c r="DM38" i="75"/>
  <c r="DL38" i="75"/>
  <c r="DK38" i="75"/>
  <c r="DJ38" i="75"/>
  <c r="DI38" i="75"/>
  <c r="DM37" i="75"/>
  <c r="DL37" i="75"/>
  <c r="DK37" i="75"/>
  <c r="DJ37" i="75"/>
  <c r="DI37" i="75"/>
  <c r="DM36" i="75"/>
  <c r="DL36" i="75"/>
  <c r="DK36" i="75"/>
  <c r="DJ36" i="75"/>
  <c r="DI36" i="75"/>
  <c r="DM35" i="75"/>
  <c r="DL35" i="75"/>
  <c r="DK35" i="75"/>
  <c r="DJ35" i="75"/>
  <c r="DI35" i="75"/>
  <c r="DM34" i="75"/>
  <c r="DL34" i="75"/>
  <c r="DK34" i="75"/>
  <c r="DJ34" i="75"/>
  <c r="DI34" i="75"/>
  <c r="DM33" i="75"/>
  <c r="DL33" i="75"/>
  <c r="DK33" i="75"/>
  <c r="DJ33" i="75"/>
  <c r="DI33" i="75"/>
  <c r="DM32" i="75"/>
  <c r="DL32" i="75"/>
  <c r="DK32" i="75"/>
  <c r="DJ32" i="75"/>
  <c r="DI32" i="75"/>
  <c r="DM31" i="75"/>
  <c r="DL31" i="75"/>
  <c r="DK31" i="75"/>
  <c r="DJ31" i="75"/>
  <c r="DI31" i="75"/>
  <c r="DM30" i="75"/>
  <c r="DL30" i="75"/>
  <c r="DK30" i="75"/>
  <c r="DJ30" i="75"/>
  <c r="DI30" i="75"/>
  <c r="DM29" i="75"/>
  <c r="DL29" i="75"/>
  <c r="DK29" i="75"/>
  <c r="DJ29" i="75"/>
  <c r="DI29" i="75"/>
  <c r="DM28" i="75"/>
  <c r="DL28" i="75"/>
  <c r="DK28" i="75"/>
  <c r="DJ28" i="75"/>
  <c r="DI28" i="75"/>
  <c r="DM27" i="75"/>
  <c r="DL27" i="75"/>
  <c r="DK27" i="75"/>
  <c r="DJ27" i="75"/>
  <c r="DI27" i="75"/>
  <c r="DM26" i="75"/>
  <c r="DL26" i="75"/>
  <c r="DK26" i="75"/>
  <c r="DJ26" i="75"/>
  <c r="DI26" i="75"/>
  <c r="DM25" i="75"/>
  <c r="DL25" i="75"/>
  <c r="DK25" i="75"/>
  <c r="DJ25" i="75"/>
  <c r="DI25" i="75"/>
  <c r="DM24" i="75"/>
  <c r="DL24" i="75"/>
  <c r="DK24" i="75"/>
  <c r="DJ24" i="75"/>
  <c r="DI24" i="75"/>
  <c r="DM23" i="75"/>
  <c r="DL23" i="75"/>
  <c r="DK23" i="75"/>
  <c r="DJ23" i="75"/>
  <c r="DI23" i="75"/>
  <c r="DM22" i="75"/>
  <c r="DL22" i="75"/>
  <c r="DK22" i="75"/>
  <c r="DJ22" i="75"/>
  <c r="DI22" i="75"/>
  <c r="DM21" i="75"/>
  <c r="DL21" i="75"/>
  <c r="DK21" i="75"/>
  <c r="DJ21" i="75"/>
  <c r="DI21" i="75"/>
  <c r="DM20" i="75"/>
  <c r="DL20" i="75"/>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DM15" i="75"/>
  <c r="DL15" i="75"/>
  <c r="DK15" i="75"/>
  <c r="DJ15" i="75"/>
  <c r="DI15" i="75"/>
  <c r="DM14" i="75"/>
  <c r="DL14" i="75"/>
  <c r="DK14" i="75"/>
  <c r="DJ14" i="75"/>
  <c r="DI14" i="75"/>
  <c r="DM13" i="75"/>
  <c r="DL13" i="75"/>
  <c r="DK13" i="75"/>
  <c r="DJ13" i="75"/>
  <c r="DI13" i="75"/>
  <c r="DM12" i="75"/>
  <c r="DL12" i="75"/>
  <c r="DK12" i="75"/>
  <c r="DJ12" i="75"/>
  <c r="DI12" i="75"/>
  <c r="DM11" i="75"/>
  <c r="DL11" i="75"/>
  <c r="DK11" i="75"/>
  <c r="DJ11" i="75"/>
  <c r="DI11" i="75"/>
  <c r="DM10" i="75"/>
  <c r="DL10" i="75"/>
  <c r="DK10" i="75"/>
  <c r="DJ10" i="75"/>
  <c r="DI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K234" i="72"/>
  <c r="P298" i="72"/>
  <c r="E15"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M1841" i="93" s="1"/>
  <c r="U1841" i="93"/>
  <c r="T1726" i="93"/>
  <c r="A2013" i="93"/>
  <c r="A2010" i="93"/>
  <c r="P1991" i="93"/>
  <c r="O1991" i="93"/>
  <c r="P1990" i="93"/>
  <c r="O1990" i="93"/>
  <c r="P1979" i="93"/>
  <c r="O1979" i="93"/>
  <c r="Q1979" i="93"/>
  <c r="P1972" i="93"/>
  <c r="O1972"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P1943" i="93"/>
  <c r="O1943" i="93"/>
  <c r="P1942" i="93"/>
  <c r="O1942" i="93"/>
  <c r="P1941" i="93"/>
  <c r="O1941" i="93"/>
  <c r="L1941" i="93" s="1"/>
  <c r="P1920" i="93"/>
  <c r="O1920" i="93"/>
  <c r="P1919" i="93"/>
  <c r="R1918" i="93" s="1"/>
  <c r="O1919" i="93"/>
  <c r="L1918" i="93" s="1"/>
  <c r="P1918" i="93"/>
  <c r="O1918" i="93"/>
  <c r="J1902" i="93"/>
  <c r="I1902" i="93"/>
  <c r="H1902" i="93"/>
  <c r="P1909" i="93"/>
  <c r="O1909" i="93"/>
  <c r="P1908" i="93"/>
  <c r="O1908" i="93"/>
  <c r="Q1908" i="93"/>
  <c r="O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c r="P1872" i="93"/>
  <c r="O1872" i="93"/>
  <c r="P1871" i="93"/>
  <c r="O1871" i="93"/>
  <c r="Q1871" i="93"/>
  <c r="P1864" i="93"/>
  <c r="O1864" i="93"/>
  <c r="Q1864" i="93"/>
  <c r="P1863" i="93"/>
  <c r="O1863" i="93"/>
  <c r="Q1863" i="93"/>
  <c r="P1862" i="93"/>
  <c r="O1862" i="93"/>
  <c r="K1862" i="93" s="1"/>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Q1858" i="93"/>
  <c r="P1850" i="93"/>
  <c r="O1850" i="93"/>
  <c r="P1849" i="93"/>
  <c r="O1849" i="93"/>
  <c r="Q1849" i="93"/>
  <c r="P1842" i="93"/>
  <c r="O1842" i="93"/>
  <c r="P1841" i="93"/>
  <c r="O1841" i="93"/>
  <c r="K1833" i="93"/>
  <c r="J1833" i="93"/>
  <c r="P1818" i="93"/>
  <c r="O1818" i="93"/>
  <c r="P1817" i="93"/>
  <c r="O1817" i="93"/>
  <c r="P1831" i="93"/>
  <c r="O1831" i="93"/>
  <c r="P1830" i="93"/>
  <c r="O1830" i="93"/>
  <c r="P1829" i="93"/>
  <c r="O1829" i="93"/>
  <c r="P1828" i="93"/>
  <c r="O1828" i="93"/>
  <c r="Q1828" i="93" s="1"/>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Q1766" i="93" s="1"/>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P1762" i="93"/>
  <c r="O1762" i="93"/>
  <c r="Q1762" i="93"/>
  <c r="L1752" i="93"/>
  <c r="K1752" i="93"/>
  <c r="L1751" i="93"/>
  <c r="K1751" i="93"/>
  <c r="L1750" i="93"/>
  <c r="K1750" i="93"/>
  <c r="G1756" i="93"/>
  <c r="F1756" i="93"/>
  <c r="L1749" i="93"/>
  <c r="K1749" i="93"/>
  <c r="L1747" i="93"/>
  <c r="K1747" i="93"/>
  <c r="J1732" i="93"/>
  <c r="I1732" i="93"/>
  <c r="H1732" i="93" s="1"/>
  <c r="J1731" i="93"/>
  <c r="I1731" i="93"/>
  <c r="D1718" i="93"/>
  <c r="E1718" i="93"/>
  <c r="F1718" i="93"/>
  <c r="D1719" i="93"/>
  <c r="E1719" i="93"/>
  <c r="F1719" i="93"/>
  <c r="L1723" i="93"/>
  <c r="K1723" i="93"/>
  <c r="L1722" i="93"/>
  <c r="K1722" i="93"/>
  <c r="L1721" i="93"/>
  <c r="K1721" i="93"/>
  <c r="J1723" i="93"/>
  <c r="I1723" i="93"/>
  <c r="M1723" i="93" s="1"/>
  <c r="J1722" i="93"/>
  <c r="I1722" i="93"/>
  <c r="J1721" i="93"/>
  <c r="M1721" i="93" s="1"/>
  <c r="P1721" i="93" s="1"/>
  <c r="I1721" i="93"/>
  <c r="L1719" i="93"/>
  <c r="K1719" i="93"/>
  <c r="L1718" i="93"/>
  <c r="K1718" i="93"/>
  <c r="L1717" i="93"/>
  <c r="K1717" i="93"/>
  <c r="J1719" i="93"/>
  <c r="I1719" i="93"/>
  <c r="J1718" i="93"/>
  <c r="I1718" i="93"/>
  <c r="M1718" i="93" s="1"/>
  <c r="O1718" i="93" s="1"/>
  <c r="J1717" i="93"/>
  <c r="I1717" i="93"/>
  <c r="M1717" i="93" s="1"/>
  <c r="O1717" i="93" s="1"/>
  <c r="H1719" i="93"/>
  <c r="G1719" i="93"/>
  <c r="H1718" i="93"/>
  <c r="H1722" i="93" s="1"/>
  <c r="G1718" i="93"/>
  <c r="H1717" i="93"/>
  <c r="G1717" i="93"/>
  <c r="G1721" i="93" s="1"/>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L1667" i="93" s="1"/>
  <c r="P1698" i="93"/>
  <c r="O1698" i="93"/>
  <c r="P1697" i="93"/>
  <c r="O1697" i="93"/>
  <c r="P1696" i="93"/>
  <c r="O1696" i="93"/>
  <c r="P1695" i="93"/>
  <c r="O1695" i="93"/>
  <c r="P1694" i="93"/>
  <c r="O1694" i="93"/>
  <c r="P1693" i="93"/>
  <c r="O1693" i="93"/>
  <c r="P1692" i="93"/>
  <c r="O1692" i="93"/>
  <c r="P1691" i="93"/>
  <c r="O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58" i="93"/>
  <c r="Q1658" i="93"/>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L1891" i="93" s="1"/>
  <c r="P1835" i="93"/>
  <c r="O1835" i="93"/>
  <c r="P182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c r="P1636" i="93"/>
  <c r="O1636" i="93"/>
  <c r="Q1636" i="93"/>
  <c r="P1635" i="93"/>
  <c r="O1635" i="93"/>
  <c r="Q1635" i="93"/>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J1916" i="93"/>
  <c r="L1910" i="93"/>
  <c r="I1910" i="93"/>
  <c r="C1910" i="93"/>
  <c r="N1901" i="93"/>
  <c r="L1901" i="93"/>
  <c r="I1891" i="93"/>
  <c r="O1879" i="93"/>
  <c r="L1873" i="93"/>
  <c r="L1871" i="93"/>
  <c r="L1859" i="93"/>
  <c r="L1858" i="93"/>
  <c r="L1849" i="93"/>
  <c r="J1849" i="93"/>
  <c r="L1848" i="93"/>
  <c r="M1829" i="93"/>
  <c r="H1827" i="93"/>
  <c r="I1769" i="93"/>
  <c r="J1767" i="93"/>
  <c r="M1764" i="93"/>
  <c r="I1764" i="93"/>
  <c r="E1764" i="93"/>
  <c r="L1762" i="93"/>
  <c r="K1732" i="93"/>
  <c r="P1723" i="93"/>
  <c r="H1723" i="93"/>
  <c r="G1723" i="93"/>
  <c r="D1723" i="93"/>
  <c r="G1722" i="93"/>
  <c r="D1722" i="93"/>
  <c r="H1721" i="93"/>
  <c r="D1721" i="93"/>
  <c r="M1719" i="93"/>
  <c r="O1719" i="93" s="1"/>
  <c r="F1714"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O1477" i="93" s="1"/>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s="1"/>
  <c r="A1012" i="93"/>
  <c r="A1042" i="93"/>
  <c r="A1070" i="93"/>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K942" i="93" s="1"/>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J916" i="93" s="1"/>
  <c r="I914" i="93"/>
  <c r="H914" i="93"/>
  <c r="H916" i="93" s="1"/>
  <c r="G914" i="93"/>
  <c r="H910" i="93"/>
  <c r="I910" i="93"/>
  <c r="J910" i="93"/>
  <c r="K910" i="93"/>
  <c r="H911" i="93"/>
  <c r="H912" i="93" s="1"/>
  <c r="I911" i="93"/>
  <c r="J911" i="93"/>
  <c r="J912" i="93" s="1"/>
  <c r="K911" i="93"/>
  <c r="G911" i="93"/>
  <c r="P906" i="93"/>
  <c r="O906" i="93"/>
  <c r="N906" i="93"/>
  <c r="M906" i="93"/>
  <c r="L906" i="93"/>
  <c r="K906" i="93"/>
  <c r="K907" i="93" s="1"/>
  <c r="J906" i="93"/>
  <c r="I906" i="93"/>
  <c r="H906" i="93"/>
  <c r="G906" i="93"/>
  <c r="P905" i="93"/>
  <c r="O905" i="93"/>
  <c r="O907" i="93" s="1"/>
  <c r="N905" i="93"/>
  <c r="M905" i="93"/>
  <c r="L905" i="93"/>
  <c r="K905" i="93"/>
  <c r="J905" i="93"/>
  <c r="I905" i="93"/>
  <c r="H905" i="93"/>
  <c r="G905" i="93"/>
  <c r="G907" i="93" s="1"/>
  <c r="P902" i="93"/>
  <c r="O902" i="93"/>
  <c r="N902" i="93"/>
  <c r="M902" i="93"/>
  <c r="L902" i="93"/>
  <c r="K902" i="93"/>
  <c r="J902" i="93"/>
  <c r="J903" i="93" s="1"/>
  <c r="I902" i="93"/>
  <c r="H902" i="93"/>
  <c r="G902" i="93"/>
  <c r="P901" i="93"/>
  <c r="O901" i="93"/>
  <c r="N901" i="93"/>
  <c r="M901" i="93"/>
  <c r="L901" i="93"/>
  <c r="K901" i="93"/>
  <c r="J901" i="93"/>
  <c r="I901" i="93"/>
  <c r="I903" i="93" s="1"/>
  <c r="H901" i="93"/>
  <c r="G901" i="93"/>
  <c r="P897" i="93"/>
  <c r="O897" i="93"/>
  <c r="N897" i="93"/>
  <c r="M897" i="93"/>
  <c r="L897" i="93"/>
  <c r="K897" i="93"/>
  <c r="K898" i="93" s="1"/>
  <c r="J897" i="93"/>
  <c r="I897" i="93"/>
  <c r="H897" i="93"/>
  <c r="G897" i="93"/>
  <c r="P896" i="93"/>
  <c r="O896" i="93"/>
  <c r="N896" i="93"/>
  <c r="M896" i="93"/>
  <c r="L896" i="93"/>
  <c r="K896" i="93"/>
  <c r="J896" i="93"/>
  <c r="I896" i="93"/>
  <c r="H896" i="93"/>
  <c r="G896" i="93"/>
  <c r="G898" i="93" s="1"/>
  <c r="P893" i="93"/>
  <c r="O893" i="93"/>
  <c r="O894" i="93" s="1"/>
  <c r="N893" i="93"/>
  <c r="M893" i="93"/>
  <c r="L893" i="93"/>
  <c r="K893" i="93"/>
  <c r="J893" i="93"/>
  <c r="I893" i="93"/>
  <c r="H893" i="93"/>
  <c r="G893" i="93"/>
  <c r="G894" i="93" s="1"/>
  <c r="P892" i="93"/>
  <c r="O892" i="93"/>
  <c r="N892" i="93"/>
  <c r="M892" i="93"/>
  <c r="L892" i="93"/>
  <c r="K892" i="93"/>
  <c r="J892" i="93"/>
  <c r="I892" i="93"/>
  <c r="H892" i="93"/>
  <c r="G892" i="93"/>
  <c r="P888" i="93"/>
  <c r="O888" i="93"/>
  <c r="N888" i="93"/>
  <c r="M888" i="93"/>
  <c r="L888" i="93"/>
  <c r="K888" i="93"/>
  <c r="K889" i="93" s="1"/>
  <c r="J888" i="93"/>
  <c r="I888" i="93"/>
  <c r="H888" i="93"/>
  <c r="G888" i="93"/>
  <c r="P887" i="93"/>
  <c r="O887" i="93"/>
  <c r="N887" i="93"/>
  <c r="M887" i="93"/>
  <c r="M889" i="93" s="1"/>
  <c r="L887" i="93"/>
  <c r="K887" i="93"/>
  <c r="J887" i="93"/>
  <c r="J889" i="93" s="1"/>
  <c r="I887" i="93"/>
  <c r="H887" i="93"/>
  <c r="G887" i="93"/>
  <c r="H883" i="93"/>
  <c r="I883" i="93"/>
  <c r="I885" i="93" s="1"/>
  <c r="J883" i="93"/>
  <c r="K883" i="93"/>
  <c r="L883" i="93"/>
  <c r="M883" i="93"/>
  <c r="N883" i="93"/>
  <c r="O883" i="93"/>
  <c r="P883" i="93"/>
  <c r="H884" i="93"/>
  <c r="H885" i="93" s="1"/>
  <c r="I884" i="93"/>
  <c r="J884" i="93"/>
  <c r="K884" i="93"/>
  <c r="L884" i="93"/>
  <c r="M884" i="93"/>
  <c r="N884" i="93"/>
  <c r="O884" i="93"/>
  <c r="P884" i="93"/>
  <c r="G884" i="93"/>
  <c r="K838" i="93"/>
  <c r="L838" i="93"/>
  <c r="M838" i="93"/>
  <c r="N838" i="93"/>
  <c r="K839" i="93"/>
  <c r="L839" i="93"/>
  <c r="M839" i="93"/>
  <c r="N839" i="93"/>
  <c r="J839" i="93"/>
  <c r="P804" i="93"/>
  <c r="HU804" i="93" s="1"/>
  <c r="P803" i="93"/>
  <c r="P802" i="93"/>
  <c r="P801" i="93"/>
  <c r="P800" i="93"/>
  <c r="P799" i="93"/>
  <c r="P798" i="93"/>
  <c r="P797" i="93"/>
  <c r="P796" i="93"/>
  <c r="P795" i="93"/>
  <c r="P794" i="93"/>
  <c r="P793" i="93"/>
  <c r="P792" i="93"/>
  <c r="P791" i="93"/>
  <c r="P790" i="93"/>
  <c r="P789" i="93"/>
  <c r="P788" i="93"/>
  <c r="P787" i="93"/>
  <c r="P786" i="93"/>
  <c r="P785" i="93"/>
  <c r="P784" i="93"/>
  <c r="P783" i="93"/>
  <c r="HA783" i="93" s="1"/>
  <c r="P782" i="93"/>
  <c r="P781" i="93"/>
  <c r="P780" i="93"/>
  <c r="P779" i="93"/>
  <c r="P778" i="93"/>
  <c r="GJ778" i="93" s="1"/>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JC781" i="93" s="1"/>
  <c r="O780" i="93"/>
  <c r="O779" i="93"/>
  <c r="O778" i="93"/>
  <c r="O777" i="93"/>
  <c r="O776" i="93"/>
  <c r="O775" i="93"/>
  <c r="O774" i="93"/>
  <c r="O773" i="93"/>
  <c r="DP773" i="93" s="1"/>
  <c r="O772" i="93"/>
  <c r="O771" i="93"/>
  <c r="O770" i="93"/>
  <c r="ES770" i="93" s="1"/>
  <c r="O769" i="93"/>
  <c r="O768" i="93"/>
  <c r="O767" i="93"/>
  <c r="N804" i="93"/>
  <c r="N803" i="93"/>
  <c r="N802" i="93"/>
  <c r="N801" i="93"/>
  <c r="N800" i="93"/>
  <c r="N799" i="93"/>
  <c r="N798" i="93"/>
  <c r="N797" i="93"/>
  <c r="EZ797" i="93" s="1"/>
  <c r="N796" i="93"/>
  <c r="N795" i="93"/>
  <c r="HR795" i="93" s="1"/>
  <c r="N794" i="93"/>
  <c r="N793" i="93"/>
  <c r="N792" i="93"/>
  <c r="N791" i="93"/>
  <c r="N790" i="93"/>
  <c r="N789" i="93"/>
  <c r="N788" i="93"/>
  <c r="N787" i="93"/>
  <c r="EZ787" i="93" s="1"/>
  <c r="N786" i="93"/>
  <c r="N785" i="93"/>
  <c r="N784" i="93"/>
  <c r="N783" i="93"/>
  <c r="N782" i="93"/>
  <c r="N781" i="93"/>
  <c r="N780" i="93"/>
  <c r="N779" i="93"/>
  <c r="EY779" i="93" s="1"/>
  <c r="N778" i="93"/>
  <c r="N777" i="93"/>
  <c r="N776" i="93"/>
  <c r="N775" i="93"/>
  <c r="N774" i="93"/>
  <c r="N773" i="93"/>
  <c r="N772" i="93"/>
  <c r="N771" i="93"/>
  <c r="GZ771" i="93" s="1"/>
  <c r="N770" i="93"/>
  <c r="N769" i="93"/>
  <c r="N768" i="93"/>
  <c r="N767" i="93"/>
  <c r="M804" i="93"/>
  <c r="DC804" i="93" s="1"/>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DC779" i="93" s="1"/>
  <c r="M778" i="93"/>
  <c r="M777" i="93"/>
  <c r="M776" i="93"/>
  <c r="M775" i="93"/>
  <c r="M774" i="93"/>
  <c r="M773" i="93"/>
  <c r="M772" i="93"/>
  <c r="M771" i="93"/>
  <c r="M770" i="93"/>
  <c r="M769" i="93"/>
  <c r="CZ769" i="93" s="1"/>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BI783" i="93" s="1"/>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JD783" i="93" s="1"/>
  <c r="E782" i="93"/>
  <c r="E781" i="93"/>
  <c r="E780" i="93"/>
  <c r="E779" i="93"/>
  <c r="JG779" i="93" s="1"/>
  <c r="E778" i="93"/>
  <c r="E777" i="93"/>
  <c r="JO777" i="93" s="1"/>
  <c r="E776" i="93"/>
  <c r="E775" i="93"/>
  <c r="E774" i="93"/>
  <c r="DE774" i="93" s="1"/>
  <c r="E773" i="93"/>
  <c r="E772" i="93"/>
  <c r="E771" i="93"/>
  <c r="E770" i="93"/>
  <c r="JM770" i="93" s="1"/>
  <c r="E769" i="93"/>
  <c r="E768" i="93"/>
  <c r="E767" i="93"/>
  <c r="JL767" i="93" s="1"/>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X803" i="93" s="1"/>
  <c r="C802" i="93"/>
  <c r="C801" i="93"/>
  <c r="C800" i="93"/>
  <c r="C799" i="93"/>
  <c r="C798" i="93"/>
  <c r="C797" i="93"/>
  <c r="EY797" i="93"/>
  <c r="C796" i="93"/>
  <c r="C795" i="93"/>
  <c r="C794" i="93"/>
  <c r="EW794" i="93"/>
  <c r="C793" i="93"/>
  <c r="C792" i="93"/>
  <c r="C791" i="93"/>
  <c r="C790" i="93"/>
  <c r="HS790" i="93" s="1"/>
  <c r="C789" i="93"/>
  <c r="C788" i="93"/>
  <c r="EZ788" i="93"/>
  <c r="C787" i="93"/>
  <c r="C786" i="93"/>
  <c r="C785" i="93"/>
  <c r="C784" i="93"/>
  <c r="GN784" i="93" s="1"/>
  <c r="C783" i="93"/>
  <c r="C782" i="93"/>
  <c r="C781" i="93"/>
  <c r="C780" i="93"/>
  <c r="C779" i="93"/>
  <c r="C778" i="93"/>
  <c r="C777" i="93"/>
  <c r="AC777" i="93" s="1"/>
  <c r="C776" i="93"/>
  <c r="GE776" i="93" s="1"/>
  <c r="C775" i="93"/>
  <c r="C774" i="93"/>
  <c r="C773" i="93"/>
  <c r="C772" i="93"/>
  <c r="C771" i="93"/>
  <c r="FA771" i="93"/>
  <c r="C770" i="93"/>
  <c r="C769" i="93"/>
  <c r="C768" i="93"/>
  <c r="C767" i="93"/>
  <c r="B768" i="93"/>
  <c r="B769" i="93"/>
  <c r="B770" i="93"/>
  <c r="B771" i="93"/>
  <c r="IG771" i="93" s="1"/>
  <c r="B772" i="93"/>
  <c r="B773" i="93"/>
  <c r="B774" i="93"/>
  <c r="B775" i="93"/>
  <c r="B776" i="93"/>
  <c r="B777" i="93"/>
  <c r="B778" i="93"/>
  <c r="AK778" i="93" s="1"/>
  <c r="B779" i="93"/>
  <c r="B780" i="93"/>
  <c r="B781" i="93"/>
  <c r="B782" i="93"/>
  <c r="B783" i="93"/>
  <c r="B784" i="93"/>
  <c r="ID784" i="93" s="1"/>
  <c r="B785" i="93"/>
  <c r="B786" i="93"/>
  <c r="B787" i="93"/>
  <c r="BZ787" i="93" s="1"/>
  <c r="B788" i="93"/>
  <c r="B789" i="93"/>
  <c r="B790" i="93"/>
  <c r="B791" i="93"/>
  <c r="B792" i="93"/>
  <c r="B793" i="93"/>
  <c r="B794" i="93"/>
  <c r="B795" i="93"/>
  <c r="B796" i="93"/>
  <c r="B797" i="93"/>
  <c r="B798" i="93"/>
  <c r="B799" i="93"/>
  <c r="B800" i="93"/>
  <c r="DZ800" i="93" s="1"/>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K932" i="93" s="1"/>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IK767" i="93" s="1"/>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DA780" i="93"/>
  <c r="HF770" i="93"/>
  <c r="BV780" i="93"/>
  <c r="CZ804" i="93"/>
  <c r="EZ796" i="93"/>
  <c r="DC780" i="93"/>
  <c r="BW771" i="93"/>
  <c r="K894" i="93"/>
  <c r="O898" i="93"/>
  <c r="EX781" i="93"/>
  <c r="EW789" i="93"/>
  <c r="FA773" i="93"/>
  <c r="EZ781" i="93"/>
  <c r="EZ789" i="93"/>
  <c r="DB771" i="93"/>
  <c r="EY780" i="93"/>
  <c r="CY796" i="93"/>
  <c r="BW788" i="93"/>
  <c r="DB796" i="93"/>
  <c r="DC788" i="93"/>
  <c r="BW787" i="93"/>
  <c r="EW781" i="93"/>
  <c r="CY787" i="93"/>
  <c r="DC787" i="93"/>
  <c r="DB795" i="93"/>
  <c r="EZ771" i="93"/>
  <c r="CL787" i="93"/>
  <c r="GS786" i="93"/>
  <c r="DC772" i="93"/>
  <c r="CZ780" i="93"/>
  <c r="FA781" i="93"/>
  <c r="M885" i="93"/>
  <c r="FO782" i="93"/>
  <c r="FZ770" i="93"/>
  <c r="HY786" i="93"/>
  <c r="IA770" i="93"/>
  <c r="BU773" i="93"/>
  <c r="EX797" i="93"/>
  <c r="AO782" i="93"/>
  <c r="FA788" i="93"/>
  <c r="BW796" i="93"/>
  <c r="EX773" i="93"/>
  <c r="EY773" i="93"/>
  <c r="N889" i="93"/>
  <c r="J894" i="93"/>
  <c r="FY773" i="93"/>
  <c r="HK770" i="93"/>
  <c r="IH799" i="93"/>
  <c r="CT781" i="93"/>
  <c r="FE770" i="93"/>
  <c r="GR778" i="93"/>
  <c r="FO770" i="93"/>
  <c r="BV778" i="93"/>
  <c r="GJ782" i="93"/>
  <c r="FL778" i="93"/>
  <c r="HF782" i="93"/>
  <c r="CI770" i="93"/>
  <c r="FM769" i="93"/>
  <c r="GJ769" i="93"/>
  <c r="AM770" i="93"/>
  <c r="GU770" i="93"/>
  <c r="HP782" i="93"/>
  <c r="EY770" i="93"/>
  <c r="FU769" i="93"/>
  <c r="FP773" i="93"/>
  <c r="FO772" i="93"/>
  <c r="BH769" i="93"/>
  <c r="GL769" i="93"/>
  <c r="HA769" i="93"/>
  <c r="GV773" i="93"/>
  <c r="BF769" i="93"/>
  <c r="P885" i="93"/>
  <c r="CZ778" i="93"/>
  <c r="EW769" i="93"/>
  <c r="HX769" i="93"/>
  <c r="EY769" i="93"/>
  <c r="HZ769" i="93"/>
  <c r="CB769" i="93"/>
  <c r="DC771" i="93"/>
  <c r="AE787" i="93"/>
  <c r="BX787" i="93"/>
  <c r="BY795" i="93"/>
  <c r="CZ795" i="93"/>
  <c r="CL785" i="93"/>
  <c r="JG781" i="93"/>
  <c r="HL773" i="93"/>
  <c r="HK789" i="93"/>
  <c r="G903" i="93"/>
  <c r="O903" i="93"/>
  <c r="BY771" i="93"/>
  <c r="BY787" i="93"/>
  <c r="CQ787" i="93"/>
  <c r="DA795" i="93"/>
  <c r="AN769" i="93"/>
  <c r="CZ787" i="93"/>
  <c r="FA787" i="93"/>
  <c r="DC795" i="93"/>
  <c r="IA768" i="93"/>
  <c r="CS771" i="93"/>
  <c r="IK771" i="93"/>
  <c r="CY771" i="93"/>
  <c r="FA779" i="93"/>
  <c r="DA787" i="93"/>
  <c r="BU795" i="93"/>
  <c r="I894" i="93"/>
  <c r="M898" i="93"/>
  <c r="CZ771" i="93"/>
  <c r="BU787" i="93"/>
  <c r="CG787" i="93"/>
  <c r="CQ795" i="93"/>
  <c r="CN769" i="93"/>
  <c r="EX769" i="93"/>
  <c r="GK769" i="93"/>
  <c r="HH769" i="93"/>
  <c r="DZ771" i="93"/>
  <c r="GS773" i="93"/>
  <c r="HU773" i="93"/>
  <c r="BU780" i="93"/>
  <c r="DB780" i="93"/>
  <c r="BV788" i="93"/>
  <c r="BV796" i="93"/>
  <c r="DC796" i="93"/>
  <c r="JM772" i="93"/>
  <c r="CX780" i="93"/>
  <c r="CT804" i="93"/>
  <c r="BX790" i="93"/>
  <c r="HS772" i="93"/>
  <c r="GL780" i="93"/>
  <c r="N894" i="93"/>
  <c r="L894" i="93"/>
  <c r="J898" i="93"/>
  <c r="H898" i="93"/>
  <c r="N903" i="93"/>
  <c r="I912" i="93"/>
  <c r="JB771" i="93"/>
  <c r="FZ773" i="93"/>
  <c r="HY773" i="93"/>
  <c r="BW780" i="93"/>
  <c r="EW780" i="93"/>
  <c r="BX788" i="93"/>
  <c r="DL788" i="93"/>
  <c r="EX796" i="93"/>
  <c r="EU796" i="93"/>
  <c r="EL780" i="93"/>
  <c r="H903" i="93"/>
  <c r="FK767" i="93"/>
  <c r="AV769" i="93"/>
  <c r="EZ769" i="93"/>
  <c r="FV769" i="93"/>
  <c r="GM769" i="93"/>
  <c r="AD769" i="93"/>
  <c r="BO769" i="93"/>
  <c r="FB769" i="93"/>
  <c r="GT769" i="93"/>
  <c r="HK769" i="93"/>
  <c r="BU772" i="93"/>
  <c r="DB772" i="93"/>
  <c r="HE773" i="93"/>
  <c r="IB773" i="93"/>
  <c r="BX780" i="93"/>
  <c r="EX780" i="93"/>
  <c r="BY788" i="93"/>
  <c r="EW788" i="93"/>
  <c r="EY796" i="93"/>
  <c r="BW804" i="93"/>
  <c r="FG769" i="93"/>
  <c r="HF773" i="93"/>
  <c r="AI769" i="93"/>
  <c r="CX769" i="93"/>
  <c r="FZ769" i="93"/>
  <c r="HN769" i="93"/>
  <c r="FI773" i="93"/>
  <c r="IC773" i="93"/>
  <c r="HL781" i="93"/>
  <c r="HJ768" i="93"/>
  <c r="FJ769" i="93"/>
  <c r="GB769" i="93"/>
  <c r="GX769" i="93"/>
  <c r="HS769" i="93"/>
  <c r="DJ771" i="93"/>
  <c r="FJ773" i="93"/>
  <c r="GG773" i="93"/>
  <c r="HI773" i="93"/>
  <c r="FA780" i="93"/>
  <c r="CY788" i="93"/>
  <c r="EY788" i="93"/>
  <c r="FA796" i="93"/>
  <c r="DB804" i="93"/>
  <c r="CE769" i="93"/>
  <c r="GU769" i="93"/>
  <c r="CL769" i="93"/>
  <c r="FL769" i="93"/>
  <c r="GH769" i="93"/>
  <c r="HV769" i="93"/>
  <c r="FM773" i="93"/>
  <c r="GO773" i="93"/>
  <c r="Y788" i="93"/>
  <c r="CZ788" i="93"/>
  <c r="IB768" i="93"/>
  <c r="JM768" i="93"/>
  <c r="BP773" i="93"/>
  <c r="HM767" i="93"/>
  <c r="GC768" i="93"/>
  <c r="JN768" i="93"/>
  <c r="GP768" i="93"/>
  <c r="CY767" i="93"/>
  <c r="EG769" i="93"/>
  <c r="BK781" i="93"/>
  <c r="EZ767" i="93"/>
  <c r="HD779" i="93"/>
  <c r="JG783" i="93"/>
  <c r="IR783" i="93"/>
  <c r="GZ783" i="93"/>
  <c r="FT783" i="93"/>
  <c r="JO783" i="93"/>
  <c r="IK783" i="93"/>
  <c r="HK783" i="93"/>
  <c r="FZ783" i="93"/>
  <c r="FQ783" i="93"/>
  <c r="FA783" i="93"/>
  <c r="EO783" i="93"/>
  <c r="DB783" i="93"/>
  <c r="CN783" i="93"/>
  <c r="BW783" i="93"/>
  <c r="JC783" i="93"/>
  <c r="HT783" i="93"/>
  <c r="FY783" i="93"/>
  <c r="EZ783" i="93"/>
  <c r="DP783" i="93"/>
  <c r="DA783" i="93"/>
  <c r="CL783" i="93"/>
  <c r="BV783" i="93"/>
  <c r="AN783" i="93"/>
  <c r="JL783" i="93"/>
  <c r="JB783" i="93"/>
  <c r="GY783" i="93"/>
  <c r="GP783" i="93"/>
  <c r="EY783" i="93"/>
  <c r="EJ783" i="93"/>
  <c r="DN783" i="93"/>
  <c r="CZ783" i="93"/>
  <c r="CH783" i="93"/>
  <c r="JA783" i="93"/>
  <c r="GX783" i="93"/>
  <c r="FN783" i="93"/>
  <c r="FF783" i="93"/>
  <c r="EX783" i="93"/>
  <c r="EF783" i="93"/>
  <c r="DJ783" i="93"/>
  <c r="CY783" i="93"/>
  <c r="CG783" i="93"/>
  <c r="AH783" i="93"/>
  <c r="JJ783" i="93"/>
  <c r="IB783" i="93"/>
  <c r="GE783" i="93"/>
  <c r="EW783" i="93"/>
  <c r="ED783" i="93"/>
  <c r="DI783" i="93"/>
  <c r="CC783" i="93"/>
  <c r="AG783" i="93"/>
  <c r="GT783" i="93"/>
  <c r="FS783" i="93"/>
  <c r="DC783" i="93"/>
  <c r="HM783" i="93"/>
  <c r="ET783" i="93"/>
  <c r="BH783" i="93"/>
  <c r="IV783" i="93"/>
  <c r="FL783" i="93"/>
  <c r="EP783" i="93"/>
  <c r="CS783" i="93"/>
  <c r="AX783" i="93"/>
  <c r="IP783" i="93"/>
  <c r="DZ783" i="93"/>
  <c r="CR783" i="93"/>
  <c r="AL783" i="93"/>
  <c r="IL783" i="93"/>
  <c r="HD783" i="93"/>
  <c r="DY783" i="93"/>
  <c r="CB783" i="93"/>
  <c r="AC783" i="93"/>
  <c r="DU783" i="93"/>
  <c r="GU783" i="93"/>
  <c r="DE783" i="93"/>
  <c r="DD783" i="93"/>
  <c r="JI783" i="93"/>
  <c r="BY783" i="93"/>
  <c r="HY783" i="93"/>
  <c r="FU783" i="93"/>
  <c r="BX783" i="93"/>
  <c r="FB783" i="93"/>
  <c r="AB783" i="93"/>
  <c r="HP771" i="93"/>
  <c r="HH771" i="93"/>
  <c r="GB771" i="93"/>
  <c r="FD771" i="93"/>
  <c r="HW771" i="93"/>
  <c r="GQ771" i="93"/>
  <c r="FS771" i="93"/>
  <c r="FK771" i="93"/>
  <c r="HM771" i="93"/>
  <c r="GO771" i="93"/>
  <c r="GG771" i="93"/>
  <c r="IB771" i="93"/>
  <c r="HD771" i="93"/>
  <c r="GV771" i="93"/>
  <c r="FP771" i="93"/>
  <c r="HF771" i="93"/>
  <c r="GP771" i="93"/>
  <c r="HC771" i="93"/>
  <c r="FG771" i="93"/>
  <c r="HR771" i="93"/>
  <c r="FF771" i="93"/>
  <c r="FN795" i="93"/>
  <c r="HY795" i="93"/>
  <c r="GL795" i="93"/>
  <c r="GK795" i="93"/>
  <c r="FE795" i="93"/>
  <c r="HA795" i="93"/>
  <c r="JJ768" i="93"/>
  <c r="HW768" i="93"/>
  <c r="HO768" i="93"/>
  <c r="HG768" i="93"/>
  <c r="GY768" i="93"/>
  <c r="GQ768" i="93"/>
  <c r="GI768" i="93"/>
  <c r="GA768" i="93"/>
  <c r="FS768" i="93"/>
  <c r="FK768" i="93"/>
  <c r="FC768" i="93"/>
  <c r="CW768" i="93"/>
  <c r="BV768" i="93"/>
  <c r="JP768" i="93"/>
  <c r="JH768" i="93"/>
  <c r="IC768" i="93"/>
  <c r="HU768" i="93"/>
  <c r="HM768" i="93"/>
  <c r="HE768" i="93"/>
  <c r="GW768" i="93"/>
  <c r="GO768" i="93"/>
  <c r="GG768" i="93"/>
  <c r="FY768" i="93"/>
  <c r="FQ768" i="93"/>
  <c r="FI768" i="93"/>
  <c r="FA768" i="93"/>
  <c r="DC768" i="93"/>
  <c r="CU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O784" i="93"/>
  <c r="HT784" i="93"/>
  <c r="HL784" i="93"/>
  <c r="GF784" i="93"/>
  <c r="FH784" i="93"/>
  <c r="EZ784" i="93"/>
  <c r="JF784" i="93"/>
  <c r="HK784" i="93"/>
  <c r="HC784" i="93"/>
  <c r="FW784" i="93"/>
  <c r="EY784" i="93"/>
  <c r="JI784" i="93"/>
  <c r="GT784" i="93"/>
  <c r="FN784" i="93"/>
  <c r="FD784" i="93"/>
  <c r="HY784" i="93"/>
  <c r="GS784" i="93"/>
  <c r="GI784" i="93"/>
  <c r="DB784" i="93"/>
  <c r="JE784" i="93"/>
  <c r="HX784" i="93"/>
  <c r="GH784" i="93"/>
  <c r="FB784" i="93"/>
  <c r="CZ784" i="93"/>
  <c r="HW784" i="93"/>
  <c r="GQ784" i="93"/>
  <c r="GG784" i="93"/>
  <c r="CY784" i="93"/>
  <c r="JC784" i="93"/>
  <c r="HV784" i="93"/>
  <c r="GD784" i="93"/>
  <c r="EX784" i="93"/>
  <c r="CX784" i="93"/>
  <c r="FS784" i="93"/>
  <c r="GW784" i="93"/>
  <c r="FR784" i="93"/>
  <c r="FQ784" i="93"/>
  <c r="HQ784" i="93"/>
  <c r="GL784" i="93"/>
  <c r="HI784" i="93"/>
  <c r="BU784" i="93"/>
  <c r="HH784" i="93"/>
  <c r="GY784" i="93"/>
  <c r="GB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B800" i="93"/>
  <c r="HH800" i="93"/>
  <c r="HQ800" i="93"/>
  <c r="HF800" i="93"/>
  <c r="DA800" i="93"/>
  <c r="JD772" i="93"/>
  <c r="JJ780" i="93"/>
  <c r="JK780" i="93"/>
  <c r="JF780" i="93"/>
  <c r="JD780" i="93"/>
  <c r="JC780" i="93"/>
  <c r="JN780" i="93"/>
  <c r="EZ780" i="93"/>
  <c r="JQ788" i="93"/>
  <c r="JD788" i="93"/>
  <c r="JN788" i="93"/>
  <c r="JC788" i="93"/>
  <c r="JM788" i="93"/>
  <c r="JL788" i="93"/>
  <c r="JK788" i="93"/>
  <c r="JI788" i="93"/>
  <c r="JF788" i="93"/>
  <c r="JG788" i="93"/>
  <c r="CW772" i="93"/>
  <c r="CU772" i="93"/>
  <c r="CV780" i="93"/>
  <c r="BI780" i="93"/>
  <c r="CU780" i="93"/>
  <c r="CT780" i="93"/>
  <c r="CW788" i="93"/>
  <c r="CU788" i="93"/>
  <c r="BP788" i="93"/>
  <c r="CX788" i="93"/>
  <c r="CT788" i="93"/>
  <c r="CV796" i="93"/>
  <c r="CT796" i="93"/>
  <c r="HZ772" i="93"/>
  <c r="HR772" i="93"/>
  <c r="GL772" i="93"/>
  <c r="FN772" i="93"/>
  <c r="FF772" i="93"/>
  <c r="HA772" i="93"/>
  <c r="GC772" i="93"/>
  <c r="FU772" i="93"/>
  <c r="HO772" i="93"/>
  <c r="GQ772" i="93"/>
  <c r="GI772" i="93"/>
  <c r="FC772" i="93"/>
  <c r="HF772" i="93"/>
  <c r="GX772" i="93"/>
  <c r="FR772" i="93"/>
  <c r="HP772" i="93"/>
  <c r="GZ772" i="93"/>
  <c r="IC772" i="93"/>
  <c r="GG772" i="93"/>
  <c r="FQ772" i="93"/>
  <c r="GF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HR767" i="93"/>
  <c r="HJ767" i="93"/>
  <c r="HP767" i="93"/>
  <c r="HK767" i="93"/>
  <c r="HB767" i="93"/>
  <c r="GT767" i="93"/>
  <c r="GD767" i="93"/>
  <c r="FV767" i="93"/>
  <c r="FN767" i="93"/>
  <c r="DC767" i="93"/>
  <c r="HT767" i="93"/>
  <c r="HI767" i="93"/>
  <c r="HA767" i="93"/>
  <c r="GC767" i="93"/>
  <c r="FU767" i="93"/>
  <c r="FE767" i="93"/>
  <c r="BY767" i="93"/>
  <c r="HH767" i="93"/>
  <c r="GJ767" i="93"/>
  <c r="FL767" i="93"/>
  <c r="FD767" i="93"/>
  <c r="GK767" i="93"/>
  <c r="FM767" i="93"/>
  <c r="IC767" i="93"/>
  <c r="GR767" i="93"/>
  <c r="FT767" i="93"/>
  <c r="HS767" i="93"/>
  <c r="GB767" i="93"/>
  <c r="FU791" i="93"/>
  <c r="FE791" i="93"/>
  <c r="DR791" i="93"/>
  <c r="CY791" i="93"/>
  <c r="HA791" i="93"/>
  <c r="GJ791" i="93"/>
  <c r="FD791" i="93"/>
  <c r="EN791" i="93"/>
  <c r="AV791" i="93"/>
  <c r="JG791" i="93"/>
  <c r="GW791" i="93"/>
  <c r="GG791" i="93"/>
  <c r="DK791" i="93"/>
  <c r="CV791" i="93"/>
  <c r="AP791" i="93"/>
  <c r="JB791" i="93"/>
  <c r="FP791" i="93"/>
  <c r="EZ791" i="93"/>
  <c r="DF791" i="93"/>
  <c r="CP791" i="93"/>
  <c r="HT791" i="93"/>
  <c r="GS791" i="93"/>
  <c r="FM791" i="93"/>
  <c r="EY791" i="93"/>
  <c r="BV791" i="93"/>
  <c r="AI791" i="93"/>
  <c r="FL791" i="93"/>
  <c r="DS791" i="93"/>
  <c r="JL791" i="93"/>
  <c r="HI791" i="93"/>
  <c r="FI791" i="93"/>
  <c r="DB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IX769" i="93"/>
  <c r="HZ771" i="93"/>
  <c r="CS775" i="93"/>
  <c r="FB771"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GE767" i="93"/>
  <c r="GP767" i="93"/>
  <c r="HD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Q779" i="93"/>
  <c r="GK779" i="93"/>
  <c r="GC779" i="93"/>
  <c r="FE779" i="93"/>
  <c r="GZ779" i="93"/>
  <c r="GR779" i="93"/>
  <c r="FT779" i="93"/>
  <c r="HO779" i="93"/>
  <c r="HG779" i="93"/>
  <c r="GI779" i="93"/>
  <c r="FC779" i="93"/>
  <c r="HV779" i="93"/>
  <c r="GX779" i="93"/>
  <c r="FR779" i="93"/>
  <c r="FJ779" i="93"/>
  <c r="HU779" i="93"/>
  <c r="GO779" i="93"/>
  <c r="GG779" i="93"/>
  <c r="FI779" i="93"/>
  <c r="FG779" i="93"/>
  <c r="HR779" i="93"/>
  <c r="FF779" i="93"/>
  <c r="IB779" i="93"/>
  <c r="HJ779" i="93"/>
  <c r="HC779" i="93"/>
  <c r="GT779" i="93"/>
  <c r="HZ779" i="93"/>
  <c r="GI803" i="93"/>
  <c r="FC803" i="93"/>
  <c r="GZ803" i="93"/>
  <c r="DS769" i="93"/>
  <c r="X783" i="93"/>
  <c r="GA767" i="93"/>
  <c r="HO767" i="93"/>
  <c r="EW768" i="93"/>
  <c r="GV768" i="93"/>
  <c r="IE768" i="93"/>
  <c r="HA771" i="93"/>
  <c r="CJ773" i="93"/>
  <c r="DU767" i="93"/>
  <c r="FG767" i="93"/>
  <c r="FR767" i="93"/>
  <c r="GQ767" i="93"/>
  <c r="HE767" i="93"/>
  <c r="HV767" i="93"/>
  <c r="CT768" i="93"/>
  <c r="EY768" i="93"/>
  <c r="FR768" i="93"/>
  <c r="GK768" i="93"/>
  <c r="GZ768" i="93"/>
  <c r="HR768" i="93"/>
  <c r="JD768" i="93"/>
  <c r="DI769" i="93"/>
  <c r="EA769" i="93"/>
  <c r="EP769" i="93"/>
  <c r="FM771" i="93"/>
  <c r="GH771" i="93"/>
  <c r="HJ771" i="93"/>
  <c r="JC771" i="93"/>
  <c r="FX772" i="93"/>
  <c r="GU772" i="93"/>
  <c r="HU772" i="93"/>
  <c r="AF773" i="93"/>
  <c r="CT773" i="93"/>
  <c r="GN780" i="93"/>
  <c r="HW783" i="93"/>
  <c r="HP788" i="93"/>
  <c r="GN767" i="93"/>
  <c r="HN767" i="93"/>
  <c r="GC771" i="93"/>
  <c r="DT773" i="93"/>
  <c r="BV767" i="93"/>
  <c r="FP767" i="93"/>
  <c r="FO768" i="93"/>
  <c r="IY769" i="93"/>
  <c r="CV772" i="93"/>
  <c r="DU773" i="93"/>
  <c r="BU783" i="93"/>
  <c r="GU767" i="93"/>
  <c r="EB769" i="93"/>
  <c r="FN771" i="93"/>
  <c r="HK771" i="93"/>
  <c r="HC772" i="93"/>
  <c r="HX772" i="93"/>
  <c r="CU773" i="93"/>
  <c r="BJ775" i="93"/>
  <c r="HX783" i="93"/>
  <c r="IG783" i="93"/>
  <c r="IF783" i="93"/>
  <c r="AH775" i="93"/>
  <c r="DG775" i="93"/>
  <c r="AC775" i="93"/>
  <c r="DF775" i="93"/>
  <c r="DC775" i="93"/>
  <c r="BV775" i="93"/>
  <c r="IQ799" i="93"/>
  <c r="HA799" i="93"/>
  <c r="DB799" i="93"/>
  <c r="GH799" i="93"/>
  <c r="CR799" i="93"/>
  <c r="FZ799" i="93"/>
  <c r="CP799" i="93"/>
  <c r="EQ799" i="93"/>
  <c r="CI799" i="93"/>
  <c r="EI799" i="93"/>
  <c r="BU799" i="93"/>
  <c r="EH799" i="93"/>
  <c r="DF799" i="93"/>
  <c r="BT799" i="93"/>
  <c r="IY799" i="93"/>
  <c r="HF799" i="93"/>
  <c r="DC799" i="93"/>
  <c r="BD79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EL769" i="93"/>
  <c r="GX771" i="93"/>
  <c r="GC795" i="93"/>
  <c r="FB767" i="93"/>
  <c r="GO767" i="93"/>
  <c r="BU768" i="93"/>
  <c r="GD768" i="93"/>
  <c r="HK768" i="93"/>
  <c r="DF769" i="93"/>
  <c r="DT769" i="93"/>
  <c r="EN769" i="93"/>
  <c r="GD771" i="93"/>
  <c r="IA771" i="93"/>
  <c r="JO772" i="93"/>
  <c r="IZ773" i="93"/>
  <c r="CL767" i="93"/>
  <c r="EC767" i="93"/>
  <c r="FH767" i="93"/>
  <c r="GG767" i="93"/>
  <c r="HF767" i="93"/>
  <c r="HW767" i="93"/>
  <c r="CV768" i="93"/>
  <c r="FE768" i="93"/>
  <c r="FT768" i="93"/>
  <c r="GL768" i="93"/>
  <c r="HA768" i="93"/>
  <c r="HS768" i="93"/>
  <c r="JI768" i="93"/>
  <c r="DJ769" i="93"/>
  <c r="EQ769" i="93"/>
  <c r="IN769" i="93"/>
  <c r="GK771" i="93"/>
  <c r="FY772" i="93"/>
  <c r="BA773" i="93"/>
  <c r="DT777" i="93"/>
  <c r="CV767" i="93"/>
  <c r="FI767" i="93"/>
  <c r="FW767" i="93"/>
  <c r="GH767" i="93"/>
  <c r="HG767" i="93"/>
  <c r="HY767" i="93"/>
  <c r="CX768" i="93"/>
  <c r="FF768" i="93"/>
  <c r="FU768" i="93"/>
  <c r="GM768" i="93"/>
  <c r="HF768" i="93"/>
  <c r="HT768" i="93"/>
  <c r="JK768" i="93"/>
  <c r="DK769" i="93"/>
  <c r="ED769" i="93"/>
  <c r="IT769" i="93"/>
  <c r="AS771" i="93"/>
  <c r="FO771" i="93"/>
  <c r="GS771" i="93"/>
  <c r="HN771" i="93"/>
  <c r="FG772" i="93"/>
  <c r="GB772" i="93"/>
  <c r="HD772" i="93"/>
  <c r="IA772" i="93"/>
  <c r="BI773" i="93"/>
  <c r="CX773" i="93"/>
  <c r="DW775" i="93"/>
  <c r="JG775" i="93"/>
  <c r="JL780" i="93"/>
  <c r="FE784" i="93"/>
  <c r="HJ780" i="93"/>
  <c r="CW767" i="93"/>
  <c r="FJ767" i="93"/>
  <c r="FX767" i="93"/>
  <c r="GI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O777" i="93"/>
  <c r="DG777" i="93"/>
  <c r="BS777" i="93"/>
  <c r="HE777" i="93"/>
  <c r="ER777" i="93"/>
  <c r="DC777" i="93"/>
  <c r="CM777" i="93"/>
  <c r="IM777" i="93"/>
  <c r="GV777" i="93"/>
  <c r="DE777" i="93"/>
  <c r="CT777" i="93"/>
  <c r="BF777" i="93"/>
  <c r="AX777" i="93"/>
  <c r="IY777" i="93"/>
  <c r="HP777" i="93"/>
  <c r="DP777" i="93"/>
  <c r="CS777" i="93"/>
  <c r="BE777" i="93"/>
  <c r="AW777" i="93"/>
  <c r="IV777" i="93"/>
  <c r="II777" i="93"/>
  <c r="DA777" i="93"/>
  <c r="CF777" i="93"/>
  <c r="AU777" i="93"/>
  <c r="AM777" i="93"/>
  <c r="IH777" i="93"/>
  <c r="EN777" i="93"/>
  <c r="CO777" i="93"/>
  <c r="B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G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CK777" i="93"/>
  <c r="EI777" i="93"/>
  <c r="GB781" i="93"/>
  <c r="FT785" i="93"/>
  <c r="AG769" i="93"/>
  <c r="EI769" i="93"/>
  <c r="AR773" i="93"/>
  <c r="EN773" i="93"/>
  <c r="FE773" i="93"/>
  <c r="FU773" i="93"/>
  <c r="GK773" i="93"/>
  <c r="HA773" i="93"/>
  <c r="HQ773" i="93"/>
  <c r="IN773" i="93"/>
  <c r="BQ777" i="93"/>
  <c r="CL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DI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JG776" i="93"/>
  <c r="GM776" i="93"/>
  <c r="BY776" i="93"/>
  <c r="CZ776" i="93"/>
  <c r="HC776" i="93"/>
  <c r="FG776" i="93"/>
  <c r="HS776" i="93"/>
  <c r="DA776" i="93"/>
  <c r="FH776" i="93"/>
  <c r="FP776" i="93"/>
  <c r="GN776" i="93"/>
  <c r="GV776" i="93"/>
  <c r="HT776" i="93"/>
  <c r="IB776" i="93"/>
  <c r="CT776" i="93"/>
  <c r="DB776" i="93"/>
  <c r="FQ776" i="93"/>
  <c r="FY776" i="93"/>
  <c r="GW776" i="93"/>
  <c r="HE776" i="93"/>
  <c r="IC776" i="93"/>
  <c r="JI776" i="93"/>
  <c r="CU776" i="93"/>
  <c r="DC776" i="93"/>
  <c r="FB776" i="93"/>
  <c r="FZ776" i="93"/>
  <c r="GH776" i="93"/>
  <c r="HF776" i="93"/>
  <c r="HN776" i="93"/>
  <c r="BU776" i="93"/>
  <c r="CV776" i="93"/>
  <c r="FS776" i="93"/>
  <c r="GA776" i="93"/>
  <c r="GY776" i="93"/>
  <c r="HG776" i="93"/>
  <c r="JC776" i="93"/>
  <c r="JK776" i="93"/>
  <c r="BV776" i="93"/>
  <c r="CW776" i="93"/>
  <c r="FD776" i="93"/>
  <c r="FL776" i="93"/>
  <c r="GJ776" i="93"/>
  <c r="GR776" i="93"/>
  <c r="HP776" i="93"/>
  <c r="HX776" i="93"/>
  <c r="BW776" i="93"/>
  <c r="CX776" i="93"/>
  <c r="FM776" i="93"/>
  <c r="FU776" i="93"/>
  <c r="GS776" i="93"/>
  <c r="HA776" i="93"/>
  <c r="HY776" i="93"/>
  <c r="JE776" i="93"/>
  <c r="BX776" i="93"/>
  <c r="CY776" i="93"/>
  <c r="EX776" i="93"/>
  <c r="FV776" i="93"/>
  <c r="GD776" i="93"/>
  <c r="HB776" i="93"/>
  <c r="HJ776" i="93"/>
  <c r="JF776" i="93"/>
  <c r="JL771" i="93"/>
  <c r="JE771" i="93"/>
  <c r="JM771" i="93"/>
  <c r="JF772" i="93"/>
  <c r="JN772" i="93"/>
  <c r="JE780" i="93"/>
  <c r="JM780" i="93"/>
  <c r="JN771" i="93"/>
  <c r="JG771" i="93"/>
  <c r="JO771" i="93"/>
  <c r="JH772" i="93"/>
  <c r="JP772" i="93"/>
  <c r="JG780" i="93"/>
  <c r="JO780" i="93"/>
  <c r="JD771" i="93"/>
  <c r="JF771" i="93"/>
  <c r="JH771" i="93"/>
  <c r="JP771" i="93"/>
  <c r="JI772" i="93"/>
  <c r="JQ772" i="93"/>
  <c r="JD779" i="93"/>
  <c r="JH780" i="93"/>
  <c r="JP780" i="93"/>
  <c r="JI771" i="93"/>
  <c r="JQ771" i="93"/>
  <c r="JJ772" i="93"/>
  <c r="JI780" i="93"/>
  <c r="JQ780" i="93"/>
  <c r="JC772"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HL801" i="93"/>
  <c r="O838" i="93"/>
  <c r="K885" i="93"/>
  <c r="M894" i="93"/>
  <c r="I898" i="93"/>
  <c r="I916" i="93"/>
  <c r="GU782" i="93"/>
  <c r="G885" i="93"/>
  <c r="L889" i="93"/>
  <c r="P903" i="93"/>
  <c r="L907" i="93"/>
  <c r="J907" i="93"/>
  <c r="CU767" i="93"/>
  <c r="CW783" i="93"/>
  <c r="CX791" i="93"/>
  <c r="CX799" i="93"/>
  <c r="M907" i="93"/>
  <c r="K923" i="93"/>
  <c r="P924" i="93"/>
  <c r="CU792" i="93"/>
  <c r="CW800" i="93"/>
  <c r="DB770" i="93"/>
  <c r="IM786" i="93"/>
  <c r="AB794" i="93"/>
  <c r="JP804" i="93"/>
  <c r="DL782" i="93"/>
  <c r="IP790" i="93"/>
  <c r="G889" i="93"/>
  <c r="O889" i="93"/>
  <c r="K903" i="93"/>
  <c r="HV770" i="93"/>
  <c r="HP778" i="93"/>
  <c r="FP802" i="93"/>
  <c r="H889" i="93"/>
  <c r="P889" i="93"/>
  <c r="L903" i="93"/>
  <c r="H907" i="93"/>
  <c r="P907" i="93"/>
  <c r="N907" i="93"/>
  <c r="K916" i="93"/>
  <c r="O1583" i="93"/>
  <c r="P1567" i="93" s="1"/>
  <c r="F1569" i="93"/>
  <c r="P1564" i="93" s="1"/>
  <c r="O1569" i="93"/>
  <c r="P1566" i="93"/>
  <c r="J1569" i="93"/>
  <c r="P1565" i="93" s="1"/>
  <c r="D969" i="93"/>
  <c r="C975" i="93"/>
  <c r="C977" i="93"/>
  <c r="G912" i="93"/>
  <c r="HC786" i="93"/>
  <c r="FM786" i="93"/>
  <c r="HN786" i="93"/>
  <c r="FW786" i="93"/>
  <c r="GM790" i="93"/>
  <c r="HC790" i="93"/>
  <c r="GC794" i="93"/>
  <c r="HI794" i="93"/>
  <c r="GC798" i="93"/>
  <c r="HT798" i="93"/>
  <c r="FJ770" i="93"/>
  <c r="GE770" i="93"/>
  <c r="HA770" i="93"/>
  <c r="FD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P786" i="93"/>
  <c r="JN790" i="93"/>
  <c r="JC794" i="93"/>
  <c r="JE786" i="93"/>
  <c r="DR798" i="93"/>
  <c r="JG782" i="93"/>
  <c r="IX777" i="93"/>
  <c r="EP777" i="93"/>
  <c r="EL777" i="93"/>
  <c r="DV777" i="93"/>
  <c r="DR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N781" i="93"/>
  <c r="JO785" i="93"/>
  <c r="JO789" i="93"/>
  <c r="JN793" i="93"/>
  <c r="JL797" i="93"/>
  <c r="JG801" i="93"/>
  <c r="A801" i="93"/>
  <c r="DW770" i="93"/>
  <c r="DS774" i="93"/>
  <c r="IK774" i="93"/>
  <c r="DY782" i="93"/>
  <c r="EL786" i="93"/>
  <c r="CZ790" i="93"/>
  <c r="AK798" i="93"/>
  <c r="BV770" i="93"/>
  <c r="ED770" i="93"/>
  <c r="IO770" i="93"/>
  <c r="BY774" i="93"/>
  <c r="DY774" i="93"/>
  <c r="AE770" i="93"/>
  <c r="CC770" i="93"/>
  <c r="DI770" i="93"/>
  <c r="EL770" i="93"/>
  <c r="IU770" i="93"/>
  <c r="AJ774" i="93"/>
  <c r="CF774" i="93"/>
  <c r="EI774" i="93"/>
  <c r="CU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B782" i="93"/>
  <c r="BY786" i="93"/>
  <c r="Y770" i="93"/>
  <c r="AB774" i="93"/>
  <c r="CQ782" i="93"/>
  <c r="CP786" i="93"/>
  <c r="CR794" i="93"/>
  <c r="BO770" i="93"/>
  <c r="BE774"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E781" i="93"/>
  <c r="JI781" i="93"/>
  <c r="JM781" i="93"/>
  <c r="JQ781" i="93"/>
  <c r="JF785" i="93"/>
  <c r="JJ785" i="93"/>
  <c r="JN785" i="93"/>
  <c r="A789" i="93"/>
  <c r="JF789" i="93"/>
  <c r="JJ789" i="93"/>
  <c r="JN789" i="93"/>
  <c r="JE793" i="93"/>
  <c r="JI793" i="93"/>
  <c r="JM793" i="93"/>
  <c r="JQ793" i="93"/>
  <c r="A797" i="93"/>
  <c r="JF797" i="93"/>
  <c r="JK797" i="93"/>
  <c r="JP797" i="93"/>
  <c r="JD801" i="93"/>
  <c r="JF769" i="93"/>
  <c r="JJ769" i="93"/>
  <c r="JN769" i="93"/>
  <c r="JC773" i="93"/>
  <c r="JD781" i="93"/>
  <c r="JL781" i="93"/>
  <c r="JP781" i="93"/>
  <c r="JE785" i="93"/>
  <c r="JI785" i="93"/>
  <c r="JM785" i="93"/>
  <c r="JE789" i="93"/>
  <c r="JI789" i="93"/>
  <c r="JM789" i="93"/>
  <c r="JD793" i="93"/>
  <c r="JH793" i="93"/>
  <c r="JL793" i="93"/>
  <c r="JP793" i="93"/>
  <c r="JJ797" i="93"/>
  <c r="A769" i="93"/>
  <c r="JC769" i="93"/>
  <c r="JG769" i="93"/>
  <c r="JK769" i="93"/>
  <c r="JO769" i="93"/>
  <c r="JC770" i="93"/>
  <c r="JH773" i="93"/>
  <c r="JL773" i="93"/>
  <c r="JD769" i="93"/>
  <c r="JH769" i="93"/>
  <c r="JL769" i="93"/>
  <c r="JE773" i="93"/>
  <c r="JI773" i="93"/>
  <c r="JM773"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IX774" i="93"/>
  <c r="IP774" i="93"/>
  <c r="EW774" i="93"/>
  <c r="EO774" i="93"/>
  <c r="EA774" i="93"/>
  <c r="DU774" i="93"/>
  <c r="DP774" i="93"/>
  <c r="DA774" i="93"/>
  <c r="CW774" i="93"/>
  <c r="CN774" i="93"/>
  <c r="CI774" i="93"/>
  <c r="CC774" i="93"/>
  <c r="BT774" i="93"/>
  <c r="BO774" i="93"/>
  <c r="BI774" i="93"/>
  <c r="AY774" i="93"/>
  <c r="AS774" i="93"/>
  <c r="AN774" i="93"/>
  <c r="AC774" i="93"/>
  <c r="X774" i="93"/>
  <c r="IX778" i="93"/>
  <c r="GO778" i="93"/>
  <c r="JM778" i="93"/>
  <c r="JI778" i="93"/>
  <c r="HV778" i="93"/>
  <c r="HF778" i="93"/>
  <c r="GP778" i="93"/>
  <c r="FZ778" i="93"/>
  <c r="FJ778" i="93"/>
  <c r="EX778" i="93"/>
  <c r="EI778" i="93"/>
  <c r="DA778" i="93"/>
  <c r="CW778" i="93"/>
  <c r="BX778" i="93"/>
  <c r="JP778" i="93"/>
  <c r="JL778" i="93"/>
  <c r="JH778" i="93"/>
  <c r="IC778" i="93"/>
  <c r="HI778" i="93"/>
  <c r="GK778" i="93"/>
  <c r="FQ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K774" i="93"/>
  <c r="AZ774" i="93"/>
  <c r="BG774" i="93"/>
  <c r="CA774" i="93"/>
  <c r="CG774" i="93"/>
  <c r="CU774" i="93"/>
  <c r="CZ774" i="93"/>
  <c r="DM774" i="93"/>
  <c r="DT774" i="93"/>
  <c r="EL774" i="93"/>
  <c r="ET774" i="93"/>
  <c r="ID774" i="93"/>
  <c r="IU774" i="93"/>
  <c r="BW778" i="93"/>
  <c r="CO778" i="93"/>
  <c r="CV778" i="93"/>
  <c r="FO778" i="93"/>
  <c r="HK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IE774" i="93"/>
  <c r="IO774" i="93"/>
  <c r="IY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IH774" i="93"/>
  <c r="IS774" i="93"/>
  <c r="JA774" i="93"/>
  <c r="BJ778" i="93"/>
  <c r="BU778" i="93"/>
  <c r="CT778" i="93"/>
  <c r="CY778" i="93"/>
  <c r="DY778" i="93"/>
  <c r="FS778" i="93"/>
  <c r="GY778" i="93"/>
  <c r="IE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IM774" i="93"/>
  <c r="BF778" i="93"/>
  <c r="DB778" i="93"/>
  <c r="EY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W778" i="93"/>
  <c r="BI778" i="93"/>
  <c r="BY778" i="93"/>
  <c r="CP778" i="93"/>
  <c r="CX778" i="93"/>
  <c r="DC778" i="93"/>
  <c r="DW778" i="93"/>
  <c r="EZ778" i="93"/>
  <c r="FH778" i="93"/>
  <c r="GN778" i="93"/>
  <c r="HT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V776" i="93"/>
  <c r="IF776" i="93"/>
  <c r="EJ776" i="93"/>
  <c r="DT776" i="93"/>
  <c r="DD776" i="93"/>
  <c r="CF776" i="93"/>
  <c r="BL776" i="93"/>
  <c r="AV776" i="93"/>
  <c r="AF776" i="93"/>
  <c r="IW776" i="93"/>
  <c r="EU776" i="93"/>
  <c r="DZ776" i="93"/>
  <c r="DE776" i="93"/>
  <c r="CA776" i="93"/>
  <c r="BB776" i="93"/>
  <c r="AG776" i="93"/>
  <c r="IU776" i="93"/>
  <c r="ET776" i="93"/>
  <c r="DY776" i="93"/>
  <c r="CP776" i="93"/>
  <c r="BQ776" i="93"/>
  <c r="AU776" i="93"/>
  <c r="Z776" i="93"/>
  <c r="II776" i="93"/>
  <c r="EH776" i="93"/>
  <c r="DM776" i="93"/>
  <c r="CD776" i="93"/>
  <c r="AY776" i="93"/>
  <c r="AD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DQ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AS776" i="93"/>
  <c r="EQ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BS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J779" i="93"/>
  <c r="EF779" i="93"/>
  <c r="CR779" i="93"/>
  <c r="BL779" i="93"/>
  <c r="AR779" i="93"/>
  <c r="ER775" i="93"/>
  <c r="EB775" i="93"/>
  <c r="BT775" i="93"/>
  <c r="BD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AU775" i="93"/>
  <c r="BQ775" i="93"/>
  <c r="ET775" i="93"/>
  <c r="IU775" i="93"/>
  <c r="AK779" i="93"/>
  <c r="BK779" i="93"/>
  <c r="DI779" i="93"/>
  <c r="EI779" i="93"/>
  <c r="IP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J778" i="93"/>
  <c r="EN778" i="93"/>
  <c r="DX778" i="93"/>
  <c r="DH778" i="93"/>
  <c r="CJ778" i="93"/>
  <c r="BP778" i="93"/>
  <c r="AZ778" i="93"/>
  <c r="AJ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W775" i="93"/>
  <c r="BM775" i="93"/>
  <c r="CQ775" i="93"/>
  <c r="DO775" i="93"/>
  <c r="EK775" i="93"/>
  <c r="EP775" i="93"/>
  <c r="IL775" i="93"/>
  <c r="IQ775" i="93"/>
  <c r="AG778" i="93"/>
  <c r="BB778" i="93"/>
  <c r="CA778" i="93"/>
  <c r="DE778" i="93"/>
  <c r="DZ778" i="93"/>
  <c r="EU778" i="93"/>
  <c r="IW778" i="93"/>
  <c r="AA779" i="93"/>
  <c r="BB779" i="93"/>
  <c r="CG779" i="93"/>
  <c r="DU779" i="93"/>
  <c r="EU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D977" i="93"/>
  <c r="D975" i="93"/>
  <c r="D971" i="93"/>
  <c r="E969" i="93"/>
  <c r="D970" i="93"/>
  <c r="D972" i="93" s="1"/>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L746" i="93" s="1"/>
  <c r="K743" i="93"/>
  <c r="J743" i="93"/>
  <c r="I743" i="93"/>
  <c r="M742" i="93"/>
  <c r="L742" i="93"/>
  <c r="K742" i="93"/>
  <c r="J742" i="93"/>
  <c r="I742" i="93"/>
  <c r="I746" i="93" s="1"/>
  <c r="M741" i="93"/>
  <c r="L741" i="93"/>
  <c r="K741" i="93"/>
  <c r="J741" i="93"/>
  <c r="I741" i="93"/>
  <c r="M740" i="93"/>
  <c r="L740" i="93"/>
  <c r="K740" i="93"/>
  <c r="J740" i="93"/>
  <c r="I740" i="93"/>
  <c r="M739" i="93"/>
  <c r="L739" i="93"/>
  <c r="K739" i="93"/>
  <c r="J739" i="93"/>
  <c r="I739" i="93"/>
  <c r="M738" i="93"/>
  <c r="L738" i="93"/>
  <c r="K738" i="93"/>
  <c r="K746" i="93" s="1"/>
  <c r="J738" i="93"/>
  <c r="I738" i="93"/>
  <c r="M737" i="93"/>
  <c r="M746" i="93" s="1"/>
  <c r="L737" i="93"/>
  <c r="K737" i="93"/>
  <c r="J737" i="93"/>
  <c r="I737" i="93"/>
  <c r="M729" i="93"/>
  <c r="M728" i="93"/>
  <c r="M727" i="93"/>
  <c r="M726" i="93"/>
  <c r="M725" i="93"/>
  <c r="M724" i="93"/>
  <c r="M723" i="93"/>
  <c r="M722" i="93"/>
  <c r="M721" i="93"/>
  <c r="M730" i="93" s="1"/>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82" i="93" s="1"/>
  <c r="P586" i="93" s="1"/>
  <c r="P576" i="93"/>
  <c r="K576" i="93"/>
  <c r="J582" i="93" s="1"/>
  <c r="J586" i="93" s="1"/>
  <c r="J576" i="93"/>
  <c r="T565" i="93"/>
  <c r="S565" i="93"/>
  <c r="T564" i="93"/>
  <c r="S564" i="93"/>
  <c r="Q565" i="93"/>
  <c r="P565" i="93"/>
  <c r="Q564" i="93"/>
  <c r="P566" i="93" s="1"/>
  <c r="P564" i="93"/>
  <c r="N565" i="93"/>
  <c r="M565" i="93"/>
  <c r="N564" i="93"/>
  <c r="M564" i="93"/>
  <c r="M566" i="93" s="1"/>
  <c r="K565" i="93"/>
  <c r="J565" i="93"/>
  <c r="K564" i="93"/>
  <c r="J566" i="93" s="1"/>
  <c r="J564" i="93"/>
  <c r="H565" i="93"/>
  <c r="G565" i="93"/>
  <c r="C565" i="93"/>
  <c r="A565" i="93"/>
  <c r="H564" i="93"/>
  <c r="G566" i="93" s="1"/>
  <c r="G564" i="93"/>
  <c r="Q561" i="93"/>
  <c r="P562" i="93" s="1"/>
  <c r="P561" i="93"/>
  <c r="Q560" i="93"/>
  <c r="P560" i="93"/>
  <c r="N561" i="93"/>
  <c r="M561" i="93"/>
  <c r="N560" i="93"/>
  <c r="M560" i="93"/>
  <c r="J561" i="93"/>
  <c r="K561" i="93"/>
  <c r="T561" i="93"/>
  <c r="S561" i="93"/>
  <c r="T560" i="93"/>
  <c r="S560" i="93"/>
  <c r="T559" i="93"/>
  <c r="S559" i="93"/>
  <c r="T558" i="93"/>
  <c r="S558" i="93"/>
  <c r="T557" i="93"/>
  <c r="S562" i="93" s="1"/>
  <c r="S557" i="93"/>
  <c r="T556" i="93"/>
  <c r="S556" i="93"/>
  <c r="G557" i="93"/>
  <c r="J557" i="93" s="1"/>
  <c r="H557" i="93"/>
  <c r="G558" i="93"/>
  <c r="J558" i="93" s="1"/>
  <c r="H558" i="93"/>
  <c r="G559" i="93"/>
  <c r="H559" i="93"/>
  <c r="G560" i="93"/>
  <c r="H560" i="93"/>
  <c r="G561" i="93"/>
  <c r="A561" i="93" s="1"/>
  <c r="H561" i="93"/>
  <c r="K560" i="93"/>
  <c r="J560" i="93"/>
  <c r="T553" i="93"/>
  <c r="S553" i="93"/>
  <c r="T552" i="93"/>
  <c r="S552" i="93"/>
  <c r="T551" i="93"/>
  <c r="S551" i="93"/>
  <c r="Q553" i="93"/>
  <c r="P553" i="93"/>
  <c r="Q552" i="93"/>
  <c r="P552" i="93"/>
  <c r="Q551" i="93"/>
  <c r="P551" i="93"/>
  <c r="P549" i="93"/>
  <c r="Q549" i="93"/>
  <c r="P554" i="93"/>
  <c r="N553" i="93"/>
  <c r="M553" i="93"/>
  <c r="N552" i="93"/>
  <c r="M552" i="93"/>
  <c r="N551" i="93"/>
  <c r="M551" i="93"/>
  <c r="M554" i="93" s="1"/>
  <c r="K553" i="93"/>
  <c r="J553" i="93"/>
  <c r="K552" i="93"/>
  <c r="J552" i="93"/>
  <c r="K551" i="93"/>
  <c r="J551" i="93"/>
  <c r="G552" i="93"/>
  <c r="H552" i="93"/>
  <c r="G553" i="93"/>
  <c r="H553" i="93"/>
  <c r="T549" i="93"/>
  <c r="S549" i="93"/>
  <c r="N549" i="93"/>
  <c r="M549" i="93"/>
  <c r="K549" i="93"/>
  <c r="J549" i="93"/>
  <c r="T546" i="93"/>
  <c r="S546" i="93"/>
  <c r="T545" i="93"/>
  <c r="S545" i="93"/>
  <c r="T544" i="93"/>
  <c r="S544" i="93"/>
  <c r="T543" i="93"/>
  <c r="S543" i="93"/>
  <c r="S547" i="93" s="1"/>
  <c r="G544" i="93"/>
  <c r="H544" i="93"/>
  <c r="G545" i="93"/>
  <c r="H545" i="93"/>
  <c r="G546" i="93"/>
  <c r="H546" i="93"/>
  <c r="F565" i="93"/>
  <c r="E565" i="93"/>
  <c r="D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A539" i="93" s="1"/>
  <c r="H539" i="93"/>
  <c r="G540" i="93"/>
  <c r="A540" i="93" s="1"/>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U526" i="93" s="1"/>
  <c r="H526" i="93"/>
  <c r="T518" i="93"/>
  <c r="S518" i="93"/>
  <c r="T517" i="93"/>
  <c r="S517" i="93"/>
  <c r="T516" i="93"/>
  <c r="S516" i="93"/>
  <c r="T515" i="93"/>
  <c r="S519" i="93" s="1"/>
  <c r="S515" i="93"/>
  <c r="Q518" i="93"/>
  <c r="P518" i="93"/>
  <c r="Q517" i="93"/>
  <c r="P517" i="93"/>
  <c r="Q516" i="93"/>
  <c r="P516" i="93"/>
  <c r="Q515" i="93"/>
  <c r="P519" i="93" s="1"/>
  <c r="P515" i="93"/>
  <c r="N518" i="93"/>
  <c r="M518" i="93"/>
  <c r="N517" i="93"/>
  <c r="M517" i="93"/>
  <c r="N516" i="93"/>
  <c r="M516" i="93"/>
  <c r="N515" i="93"/>
  <c r="M519" i="93" s="1"/>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13" i="93" s="1"/>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13" i="93" s="1"/>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13" i="93" s="1"/>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C512" i="93"/>
  <c r="A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500" i="93" s="1"/>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500" i="93" s="1"/>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500" i="93" s="1"/>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U498" i="93" s="1"/>
  <c r="H498" i="93"/>
  <c r="G499" i="93"/>
  <c r="H499" i="93"/>
  <c r="H556" i="93"/>
  <c r="G556" i="93"/>
  <c r="H551" i="93"/>
  <c r="G551" i="93"/>
  <c r="H549" i="93"/>
  <c r="G549" i="93"/>
  <c r="H543" i="93"/>
  <c r="G543" i="93"/>
  <c r="F561" i="93"/>
  <c r="E561" i="93"/>
  <c r="D561" i="93"/>
  <c r="C561" i="93"/>
  <c r="F546" i="93"/>
  <c r="E546" i="93"/>
  <c r="D546" i="93"/>
  <c r="C546" i="93"/>
  <c r="U546" i="93" s="1"/>
  <c r="F539" i="93"/>
  <c r="E539" i="93"/>
  <c r="D539" i="93"/>
  <c r="C539" i="93"/>
  <c r="F526" i="93"/>
  <c r="E526" i="93"/>
  <c r="D526" i="93"/>
  <c r="C526" i="93"/>
  <c r="H532" i="93"/>
  <c r="G541" i="93" s="1"/>
  <c r="G532" i="93"/>
  <c r="H521" i="93"/>
  <c r="G521" i="93"/>
  <c r="F499" i="93"/>
  <c r="E499" i="93"/>
  <c r="D499" i="93"/>
  <c r="C499" i="93"/>
  <c r="U499" i="93" s="1"/>
  <c r="F498" i="93"/>
  <c r="E498" i="93"/>
  <c r="D498" i="93"/>
  <c r="C498" i="93"/>
  <c r="F512" i="93"/>
  <c r="E512" i="93"/>
  <c r="D512" i="93"/>
  <c r="E518" i="93"/>
  <c r="H515" i="93"/>
  <c r="G515" i="93"/>
  <c r="H502" i="93"/>
  <c r="G502" i="93"/>
  <c r="H488" i="93"/>
  <c r="G488" i="93"/>
  <c r="T483" i="93"/>
  <c r="S483" i="93"/>
  <c r="Q483" i="93"/>
  <c r="P483" i="93"/>
  <c r="N483" i="93"/>
  <c r="M483" i="93"/>
  <c r="K483" i="93"/>
  <c r="J483" i="93"/>
  <c r="T473" i="93"/>
  <c r="S473" i="93"/>
  <c r="T472" i="93"/>
  <c r="S472" i="93"/>
  <c r="T471" i="93"/>
  <c r="S474" i="93" s="1"/>
  <c r="S471" i="93"/>
  <c r="Q473" i="93"/>
  <c r="P473" i="93"/>
  <c r="Q472" i="93"/>
  <c r="P472" i="93"/>
  <c r="Q471" i="93"/>
  <c r="P474" i="93" s="1"/>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9" i="93" s="1"/>
  <c r="S465" i="93"/>
  <c r="Q468" i="93"/>
  <c r="P469" i="93" s="1"/>
  <c r="P468" i="93"/>
  <c r="Q467" i="93"/>
  <c r="P467" i="93"/>
  <c r="Q466" i="93"/>
  <c r="P466" i="93"/>
  <c r="Q465" i="93"/>
  <c r="P465" i="93"/>
  <c r="N468" i="93"/>
  <c r="M468" i="93"/>
  <c r="N467" i="93"/>
  <c r="M467" i="93"/>
  <c r="N466" i="93"/>
  <c r="M466" i="93"/>
  <c r="N465" i="93"/>
  <c r="M469" i="93" s="1"/>
  <c r="M465" i="93"/>
  <c r="K468" i="93"/>
  <c r="J468" i="93"/>
  <c r="K467" i="93"/>
  <c r="J467" i="93"/>
  <c r="K466" i="93"/>
  <c r="J466" i="93"/>
  <c r="K465" i="93"/>
  <c r="J469" i="93" s="1"/>
  <c r="J465" i="93"/>
  <c r="G466" i="93"/>
  <c r="H466" i="93"/>
  <c r="G467" i="93"/>
  <c r="H467" i="93"/>
  <c r="G468" i="93"/>
  <c r="H468" i="93"/>
  <c r="T462" i="93"/>
  <c r="S462" i="93"/>
  <c r="T461" i="93"/>
  <c r="S461" i="93"/>
  <c r="K462" i="93"/>
  <c r="J462" i="93"/>
  <c r="K461" i="93"/>
  <c r="J461" i="93"/>
  <c r="J463" i="93" s="1"/>
  <c r="G462" i="93"/>
  <c r="H462" i="93"/>
  <c r="M458" i="93"/>
  <c r="M459" i="93" s="1"/>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53" i="93" s="1"/>
  <c r="P444" i="93"/>
  <c r="N452" i="93"/>
  <c r="M452" i="93"/>
  <c r="N451" i="93"/>
  <c r="M451" i="93"/>
  <c r="N450" i="93"/>
  <c r="M450" i="93"/>
  <c r="N449" i="93"/>
  <c r="M449" i="93"/>
  <c r="N448" i="93"/>
  <c r="M448" i="93"/>
  <c r="N447" i="93"/>
  <c r="M447" i="93"/>
  <c r="N446" i="93"/>
  <c r="M446" i="93"/>
  <c r="N445" i="93"/>
  <c r="M445" i="93"/>
  <c r="N444" i="93"/>
  <c r="M444" i="93"/>
  <c r="M453" i="93" s="1"/>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A452" i="93" s="1"/>
  <c r="H452" i="93"/>
  <c r="C451" i="93"/>
  <c r="U451" i="93" s="1"/>
  <c r="D451" i="93"/>
  <c r="E451" i="93"/>
  <c r="F451" i="93"/>
  <c r="C452" i="93"/>
  <c r="D452" i="93"/>
  <c r="E452" i="93"/>
  <c r="F452" i="93"/>
  <c r="H483" i="93"/>
  <c r="G483" i="93"/>
  <c r="Q461" i="93"/>
  <c r="P461" i="93"/>
  <c r="P463" i="93"/>
  <c r="T477" i="93"/>
  <c r="S477" i="93"/>
  <c r="Q477" i="93"/>
  <c r="P477" i="93"/>
  <c r="N477" i="93"/>
  <c r="M477" i="93"/>
  <c r="K477" i="93"/>
  <c r="J477" i="93"/>
  <c r="H477" i="93"/>
  <c r="G477" i="93"/>
  <c r="F477" i="93"/>
  <c r="E477" i="93"/>
  <c r="D477" i="93"/>
  <c r="C477" i="93"/>
  <c r="H471" i="93"/>
  <c r="G471" i="93"/>
  <c r="H465" i="93"/>
  <c r="G465" i="93"/>
  <c r="N461" i="93"/>
  <c r="M461" i="93"/>
  <c r="M463" i="93" s="1"/>
  <c r="H461" i="93"/>
  <c r="G463" i="93" s="1"/>
  <c r="G461" i="93"/>
  <c r="N457" i="93"/>
  <c r="M457" i="93"/>
  <c r="F450" i="93"/>
  <c r="E450" i="93"/>
  <c r="D450" i="93"/>
  <c r="C450" i="93"/>
  <c r="U450" i="93"/>
  <c r="H455" i="93"/>
  <c r="G455" i="93"/>
  <c r="H444" i="93"/>
  <c r="G444" i="93"/>
  <c r="E517" i="93"/>
  <c r="J602" i="93"/>
  <c r="W597" i="93"/>
  <c r="W584" i="93"/>
  <c r="V582" i="93"/>
  <c r="W574" i="93"/>
  <c r="W573" i="93"/>
  <c r="V566" i="93"/>
  <c r="W563" i="93"/>
  <c r="O563" i="93"/>
  <c r="V562" i="93"/>
  <c r="W555" i="93"/>
  <c r="O555" i="93"/>
  <c r="V554" i="93"/>
  <c r="W548" i="93"/>
  <c r="O548" i="93"/>
  <c r="V547" i="93"/>
  <c r="V568" i="93" s="1"/>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D474" i="93" s="1"/>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561" i="93"/>
  <c r="F504" i="93"/>
  <c r="J746" i="93"/>
  <c r="A546" i="93"/>
  <c r="U565" i="93"/>
  <c r="A450" i="93"/>
  <c r="S463" i="93"/>
  <c r="M562" i="93"/>
  <c r="S566" i="93"/>
  <c r="U452" i="93"/>
  <c r="M474" i="93"/>
  <c r="E977" i="93"/>
  <c r="E975" i="93"/>
  <c r="E971" i="93"/>
  <c r="E970" i="93"/>
  <c r="E972" i="93" s="1"/>
  <c r="F969" i="93"/>
  <c r="S554"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F971" i="93"/>
  <c r="G969" i="93"/>
  <c r="G975" i="93" s="1"/>
  <c r="F977" i="93"/>
  <c r="F975" i="93"/>
  <c r="F970"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82" i="93" s="1"/>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3" i="93" s="1"/>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472" i="93"/>
  <c r="F471" i="93"/>
  <c r="F470" i="93" s="1"/>
  <c r="F473" i="93"/>
  <c r="F553" i="93"/>
  <c r="F552" i="93"/>
  <c r="F551" i="93"/>
  <c r="F549" i="93"/>
  <c r="H969" i="93"/>
  <c r="H977" i="93" s="1"/>
  <c r="G977" i="93"/>
  <c r="F972" i="93"/>
  <c r="A206" i="85"/>
  <c r="A11" i="83"/>
  <c r="I9" i="92"/>
  <c r="G11" i="91"/>
  <c r="F197" i="90"/>
  <c r="D101" i="90"/>
  <c r="E163" i="90"/>
  <c r="C16" i="90"/>
  <c r="A206" i="90"/>
  <c r="A200" i="90"/>
  <c r="C5" i="90"/>
  <c r="C8" i="84"/>
  <c r="A2" i="90" s="1"/>
  <c r="E8" i="84"/>
  <c r="H2" i="91"/>
  <c r="E9" i="89"/>
  <c r="H7" i="92"/>
  <c r="E50" i="89"/>
  <c r="G49" i="89"/>
  <c r="E49" i="89"/>
  <c r="F30" i="89"/>
  <c r="D62" i="90"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D56" i="86" s="1"/>
  <c r="G49" i="86"/>
  <c r="F49" i="86"/>
  <c r="E49" i="86"/>
  <c r="D49" i="86"/>
  <c r="O61" i="85"/>
  <c r="F75" i="89"/>
  <c r="E183" i="90" s="1"/>
  <c r="F73" i="89"/>
  <c r="E171" i="90" s="1"/>
  <c r="F71" i="89"/>
  <c r="E166" i="90" s="1"/>
  <c r="K24" i="88"/>
  <c r="Q61" i="85"/>
  <c r="N61" i="85"/>
  <c r="L61" i="85"/>
  <c r="F103" i="92"/>
  <c r="E96" i="90"/>
  <c r="E92" i="90"/>
  <c r="F39" i="89"/>
  <c r="D79" i="90" s="1"/>
  <c r="H4" i="86"/>
  <c r="E170" i="90"/>
  <c r="E28" i="89"/>
  <c r="O6" i="86"/>
  <c r="F13" i="85"/>
  <c r="P1840" i="93"/>
  <c r="O1840" i="93"/>
  <c r="C30" i="84"/>
  <c r="C32" i="84"/>
  <c r="B32" i="84"/>
  <c r="C31" i="84"/>
  <c r="B31" i="84"/>
  <c r="C25" i="84"/>
  <c r="K36" i="88" s="1"/>
  <c r="D39" i="88" s="1"/>
  <c r="B25" i="84"/>
  <c r="M11" i="84"/>
  <c r="G130" i="90"/>
  <c r="E16" i="84"/>
  <c r="F19" i="85" s="1"/>
  <c r="C16" i="84"/>
  <c r="C14" i="84"/>
  <c r="F17" i="85" s="1"/>
  <c r="E11" i="84"/>
  <c r="E57" i="90"/>
  <c r="C11" i="84"/>
  <c r="C57" i="90"/>
  <c r="H12" i="84"/>
  <c r="C12" i="84"/>
  <c r="K11" i="84"/>
  <c r="D130" i="90" s="1"/>
  <c r="H11" i="84"/>
  <c r="C130" i="90"/>
  <c r="K10" i="84"/>
  <c r="C146" i="90" s="1"/>
  <c r="H10" i="84"/>
  <c r="C144" i="90" s="1"/>
  <c r="C10" i="84"/>
  <c r="C55" i="90" s="1"/>
  <c r="H9" i="84"/>
  <c r="E65" i="89" s="1"/>
  <c r="D14" i="84"/>
  <c r="G6" i="74"/>
  <c r="O12" i="86"/>
  <c r="F56" i="86"/>
  <c r="O22" i="86"/>
  <c r="F101" i="92"/>
  <c r="F95" i="92"/>
  <c r="I65" i="92"/>
  <c r="E184" i="90"/>
  <c r="E81" i="90"/>
  <c r="C34" i="84"/>
  <c r="B18" i="82"/>
  <c r="B38" i="82"/>
  <c r="B24" i="82"/>
  <c r="B48" i="82"/>
  <c r="C48" i="82" s="1"/>
  <c r="D48" i="82" s="1"/>
  <c r="E48" i="82" s="1"/>
  <c r="F48" i="82" s="1"/>
  <c r="G48" i="82" s="1"/>
  <c r="H48" i="82" s="1"/>
  <c r="I48" i="82" s="1"/>
  <c r="J48" i="82" s="1"/>
  <c r="K48" i="82" s="1"/>
  <c r="B68" i="82" s="1"/>
  <c r="C68" i="82" s="1"/>
  <c r="D68" i="82" s="1"/>
  <c r="E68" i="82" s="1"/>
  <c r="F68" i="82" s="1"/>
  <c r="G68" i="82"/>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E19" i="72"/>
  <c r="L384" i="72"/>
  <c r="O1916" i="93"/>
  <c r="L1916" i="93"/>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P342" i="72"/>
  <c r="P1878" i="93" s="1"/>
  <c r="P1997" i="93" s="1"/>
  <c r="G351" i="72"/>
  <c r="G1884" i="93"/>
  <c r="O343" i="72"/>
  <c r="K321" i="72"/>
  <c r="E1589" i="93"/>
  <c r="E1592" i="93"/>
  <c r="O1900" i="93"/>
  <c r="O1761" i="93"/>
  <c r="J180" i="72"/>
  <c r="P171" i="72" s="1"/>
  <c r="J1734" i="93"/>
  <c r="J181" i="72"/>
  <c r="J1735" i="93"/>
  <c r="I1735" i="93"/>
  <c r="I1734" i="93"/>
  <c r="P1761" i="93"/>
  <c r="O1725" i="93"/>
  <c r="E1587" i="93"/>
  <c r="P1648" i="93"/>
  <c r="E1585" i="93"/>
  <c r="O1648" i="93"/>
  <c r="P61" i="72"/>
  <c r="M286" i="72" s="1"/>
  <c r="E11" i="72"/>
  <c r="E1584" i="93"/>
  <c r="O1611" i="93"/>
  <c r="M1833" i="93"/>
  <c r="P1611" i="93"/>
  <c r="L286" i="72"/>
  <c r="L1833" i="93" s="1"/>
  <c r="B96" i="78"/>
  <c r="F384" i="73"/>
  <c r="J384" i="73" s="1"/>
  <c r="J182" i="72"/>
  <c r="J1736" i="93" s="1"/>
  <c r="I1736" i="93"/>
  <c r="R34" i="81"/>
  <c r="Q34" i="81"/>
  <c r="P34" i="81"/>
  <c r="O34" i="81"/>
  <c r="N34" i="81"/>
  <c r="R33" i="81"/>
  <c r="Q33" i="81"/>
  <c r="P33" i="81"/>
  <c r="O33" i="81"/>
  <c r="N33" i="81"/>
  <c r="R32" i="81"/>
  <c r="Q32" i="81"/>
  <c r="P32" i="81"/>
  <c r="O32" i="81"/>
  <c r="N32" i="81"/>
  <c r="R31" i="81"/>
  <c r="Q31" i="81"/>
  <c r="P31" i="81"/>
  <c r="O31" i="81"/>
  <c r="N31" i="81"/>
  <c r="V17" i="78"/>
  <c r="I213" i="72"/>
  <c r="E68" i="78"/>
  <c r="F68" i="78"/>
  <c r="U3" i="75"/>
  <c r="G343" i="72"/>
  <c r="G1879" i="93" s="1"/>
  <c r="P1669" i="93"/>
  <c r="O1669" i="93"/>
  <c r="L1669" i="93"/>
  <c r="I802" i="93"/>
  <c r="K802" i="93" s="1"/>
  <c r="L802" i="93" s="1"/>
  <c r="I795" i="93"/>
  <c r="K795" i="93" s="1"/>
  <c r="L795" i="93" s="1"/>
  <c r="K232" i="72"/>
  <c r="K1784" i="93"/>
  <c r="O1665" i="93"/>
  <c r="L232" i="72"/>
  <c r="L1784" i="93"/>
  <c r="P1665" i="93"/>
  <c r="H90" i="66"/>
  <c r="H88" i="66"/>
  <c r="N88" i="66" s="1"/>
  <c r="H87" i="66"/>
  <c r="K34" i="75"/>
  <c r="L34" i="75" s="1"/>
  <c r="K26" i="75"/>
  <c r="L2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46" i="75"/>
  <c r="R808" i="94" s="1"/>
  <c r="R45" i="75"/>
  <c r="R807" i="94"/>
  <c r="R44" i="75"/>
  <c r="R806" i="94" s="1"/>
  <c r="R43" i="75"/>
  <c r="R805" i="94" s="1"/>
  <c r="R42" i="75"/>
  <c r="R804" i="94" s="1"/>
  <c r="R41" i="75"/>
  <c r="R803" i="94"/>
  <c r="R40" i="75"/>
  <c r="R802" i="94" s="1"/>
  <c r="R39" i="75"/>
  <c r="R801" i="94"/>
  <c r="R38" i="75"/>
  <c r="R795" i="93" s="1"/>
  <c r="R37" i="75"/>
  <c r="R799" i="94"/>
  <c r="R36" i="75"/>
  <c r="R798" i="94" s="1"/>
  <c r="R35" i="75"/>
  <c r="R797" i="94" s="1"/>
  <c r="R34" i="75"/>
  <c r="R796" i="94" s="1"/>
  <c r="R33" i="75"/>
  <c r="R795" i="94"/>
  <c r="R32" i="75"/>
  <c r="R794" i="94" s="1"/>
  <c r="R31" i="75"/>
  <c r="R793" i="94" s="1"/>
  <c r="R30" i="75"/>
  <c r="R792" i="94" s="1"/>
  <c r="R29" i="75"/>
  <c r="R791" i="94"/>
  <c r="R28" i="75"/>
  <c r="R790" i="94" s="1"/>
  <c r="R27" i="75"/>
  <c r="R789" i="94" s="1"/>
  <c r="R26" i="75"/>
  <c r="R783" i="93" s="1"/>
  <c r="R25" i="75"/>
  <c r="R787" i="94"/>
  <c r="R24" i="75"/>
  <c r="R786" i="94" s="1"/>
  <c r="R23" i="75"/>
  <c r="R785" i="94"/>
  <c r="R16" i="75"/>
  <c r="R778" i="94" s="1"/>
  <c r="R15" i="75"/>
  <c r="R777" i="94" s="1"/>
  <c r="R14" i="75"/>
  <c r="R776" i="94"/>
  <c r="R11" i="75"/>
  <c r="R773" i="94" s="1"/>
  <c r="N309" i="73"/>
  <c r="N307" i="73"/>
  <c r="N306" i="73"/>
  <c r="R50" i="81"/>
  <c r="Q50" i="81"/>
  <c r="P50" i="81"/>
  <c r="O50" i="81"/>
  <c r="N50" i="81"/>
  <c r="R49" i="81"/>
  <c r="Q49" i="81"/>
  <c r="P49" i="81"/>
  <c r="O49" i="81"/>
  <c r="N49"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L66" i="73" s="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A2" i="79"/>
  <c r="F25" i="78"/>
  <c r="J73" i="73"/>
  <c r="J1167" i="93" s="1"/>
  <c r="T172" i="72"/>
  <c r="F160" i="72"/>
  <c r="J384" i="72"/>
  <c r="I359" i="72"/>
  <c r="L307" i="72"/>
  <c r="J307" i="72"/>
  <c r="J211" i="72"/>
  <c r="L208" i="72"/>
  <c r="L207" i="72"/>
  <c r="A2" i="71"/>
  <c r="P450" i="72"/>
  <c r="M6" i="72"/>
  <c r="P440" i="72"/>
  <c r="P1987" i="93" s="1"/>
  <c r="O1987" i="93"/>
  <c r="L1987" i="93" s="1"/>
  <c r="H178" i="72"/>
  <c r="K178" i="72"/>
  <c r="M168" i="72"/>
  <c r="T168" i="72" s="1"/>
  <c r="M167" i="72"/>
  <c r="T167" i="72" s="1"/>
  <c r="M166" i="72"/>
  <c r="T166" i="72" s="1"/>
  <c r="U166" i="72" s="1"/>
  <c r="R420" i="72"/>
  <c r="P420" i="72"/>
  <c r="P1968" i="93"/>
  <c r="E20" i="72"/>
  <c r="P1951" i="93"/>
  <c r="S386" i="72"/>
  <c r="P1900" i="93"/>
  <c r="U300" i="72"/>
  <c r="U299" i="72"/>
  <c r="L222" i="72"/>
  <c r="L1776" i="93" s="1"/>
  <c r="P1834" i="93"/>
  <c r="O1834" i="93"/>
  <c r="M282" i="72"/>
  <c r="O33" i="72"/>
  <c r="P30" i="72" s="1"/>
  <c r="P22" i="72" s="1"/>
  <c r="P1562" i="93" s="1"/>
  <c r="J33" i="72"/>
  <c r="F33" i="72"/>
  <c r="P25" i="72"/>
  <c r="AG311" i="73"/>
  <c r="AF311" i="73"/>
  <c r="AE311" i="73" s="1"/>
  <c r="AD311" i="73" s="1"/>
  <c r="AC311" i="73" s="1"/>
  <c r="AB311" i="73" s="1"/>
  <c r="AA311" i="73" s="1"/>
  <c r="Z311" i="73" s="1"/>
  <c r="AG308" i="73"/>
  <c r="AF308" i="73"/>
  <c r="AE308" i="73" s="1"/>
  <c r="AD308" i="73" s="1"/>
  <c r="AC308" i="73" s="1"/>
  <c r="AB308" i="73" s="1"/>
  <c r="AA308" i="73" s="1"/>
  <c r="Z308" i="73" s="1"/>
  <c r="AG306" i="73"/>
  <c r="AF306" i="73"/>
  <c r="AE306" i="73" s="1"/>
  <c r="AD306" i="73" s="1"/>
  <c r="AC306" i="73" s="1"/>
  <c r="AB306" i="73" s="1"/>
  <c r="AA306" i="73" s="1"/>
  <c r="Z306" i="73" s="1"/>
  <c r="A68" i="74"/>
  <c r="A99" i="74"/>
  <c r="A129" i="74" s="1"/>
  <c r="A60" i="74"/>
  <c r="A92" i="74" s="1"/>
  <c r="A122" i="74" s="1"/>
  <c r="A59" i="74"/>
  <c r="A91" i="74"/>
  <c r="A121" i="74" s="1"/>
  <c r="A58" i="74"/>
  <c r="A90" i="74" s="1"/>
  <c r="A120" i="74" s="1"/>
  <c r="A57" i="74"/>
  <c r="A89" i="74"/>
  <c r="A119" i="74"/>
  <c r="N11" i="74"/>
  <c r="N3" i="74"/>
  <c r="F239" i="75"/>
  <c r="C59" i="84" s="1"/>
  <c r="K236" i="75"/>
  <c r="C60" i="84" s="1"/>
  <c r="F228" i="75"/>
  <c r="K226" i="75"/>
  <c r="F219" i="75"/>
  <c r="P218" i="75"/>
  <c r="C61" i="84" s="1"/>
  <c r="K217" i="75"/>
  <c r="R212" i="75"/>
  <c r="R207" i="75"/>
  <c r="S203" i="75"/>
  <c r="R198" i="75"/>
  <c r="S194" i="75"/>
  <c r="R189" i="75"/>
  <c r="S185" i="75"/>
  <c r="R180" i="75"/>
  <c r="C55" i="84"/>
  <c r="R176" i="75"/>
  <c r="R175" i="75"/>
  <c r="R173" i="75"/>
  <c r="R144" i="75"/>
  <c r="R134" i="75"/>
  <c r="R114" i="75"/>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U47" i="75"/>
  <c r="KT47" i="75"/>
  <c r="KS47" i="75"/>
  <c r="KR47" i="75"/>
  <c r="KQ47" i="75"/>
  <c r="KK47" i="75"/>
  <c r="KJ47" i="75"/>
  <c r="KI47" i="75"/>
  <c r="KH47" i="75"/>
  <c r="KG47" i="75"/>
  <c r="KA47" i="75"/>
  <c r="JZ47" i="75"/>
  <c r="JY47" i="75"/>
  <c r="JX47" i="75"/>
  <c r="JW47" i="75"/>
  <c r="JQ47" i="75"/>
  <c r="JP47" i="75"/>
  <c r="JO47" i="75"/>
  <c r="JN47" i="75"/>
  <c r="JM47" i="75"/>
  <c r="JG47" i="75"/>
  <c r="JF47" i="75"/>
  <c r="JE47" i="75"/>
  <c r="JD47" i="75"/>
  <c r="JC47" i="75"/>
  <c r="IW47" i="75"/>
  <c r="IV47" i="75"/>
  <c r="IU47" i="75"/>
  <c r="IT47" i="75"/>
  <c r="IS47" i="75"/>
  <c r="IM47" i="75"/>
  <c r="IL47" i="75"/>
  <c r="IK47" i="75"/>
  <c r="IJ47" i="75"/>
  <c r="II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Q804" i="93"/>
  <c r="A47" i="75"/>
  <c r="MS46" i="75"/>
  <c r="MR46" i="75"/>
  <c r="MQ46" i="75"/>
  <c r="MP46" i="75"/>
  <c r="MO46" i="75"/>
  <c r="MN46" i="75"/>
  <c r="MM46" i="75"/>
  <c r="ML46" i="75"/>
  <c r="MK46" i="75"/>
  <c r="MJ46" i="75"/>
  <c r="MI46" i="75"/>
  <c r="MH46" i="75"/>
  <c r="MG46" i="75"/>
  <c r="MF46" i="75"/>
  <c r="ME46" i="75"/>
  <c r="LE46" i="75"/>
  <c r="LD46" i="75"/>
  <c r="LC46" i="75"/>
  <c r="LB46" i="75"/>
  <c r="LA46" i="75"/>
  <c r="KU46" i="75"/>
  <c r="KT46" i="75"/>
  <c r="KS46" i="75"/>
  <c r="KR46" i="75"/>
  <c r="KQ46" i="75"/>
  <c r="KK46" i="75"/>
  <c r="KJ46" i="75"/>
  <c r="KI46" i="75"/>
  <c r="KH46" i="75"/>
  <c r="KG46" i="75"/>
  <c r="KA46" i="75"/>
  <c r="JZ46" i="75"/>
  <c r="JY46" i="75"/>
  <c r="JX46" i="75"/>
  <c r="JW46" i="75"/>
  <c r="JQ46" i="75"/>
  <c r="JP46" i="75"/>
  <c r="JO46" i="75"/>
  <c r="JN46" i="75"/>
  <c r="JM46" i="75"/>
  <c r="JG46" i="75"/>
  <c r="JF46" i="75"/>
  <c r="JE46" i="75"/>
  <c r="JD46" i="75"/>
  <c r="JC46" i="75"/>
  <c r="IW46" i="75"/>
  <c r="IV46" i="75"/>
  <c r="IU46" i="75"/>
  <c r="IT46" i="75"/>
  <c r="IS46" i="75"/>
  <c r="IM46" i="75"/>
  <c r="IL46" i="75"/>
  <c r="IK46" i="75"/>
  <c r="IJ46" i="75"/>
  <c r="II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Q803" i="93"/>
  <c r="A46" i="75"/>
  <c r="MS45" i="75"/>
  <c r="MR45" i="75"/>
  <c r="MQ45" i="75"/>
  <c r="MP45" i="75"/>
  <c r="MO45" i="75"/>
  <c r="MN45" i="75"/>
  <c r="MM45" i="75"/>
  <c r="ML45" i="75"/>
  <c r="MK45" i="75"/>
  <c r="MJ45" i="75"/>
  <c r="MI45" i="75"/>
  <c r="MH45" i="75"/>
  <c r="MG45" i="75"/>
  <c r="MF45" i="75"/>
  <c r="ME45" i="75"/>
  <c r="LE45" i="75"/>
  <c r="LD45" i="75"/>
  <c r="LC45" i="75"/>
  <c r="LB45" i="75"/>
  <c r="LA45" i="75"/>
  <c r="KU45" i="75"/>
  <c r="KT45" i="75"/>
  <c r="KS45" i="75"/>
  <c r="KR45" i="75"/>
  <c r="KQ45" i="75"/>
  <c r="KK45" i="75"/>
  <c r="KJ45" i="75"/>
  <c r="KI45" i="75"/>
  <c r="KH45" i="75"/>
  <c r="KG45" i="75"/>
  <c r="KA45" i="75"/>
  <c r="JZ45" i="75"/>
  <c r="JY45" i="75"/>
  <c r="JX45" i="75"/>
  <c r="JW45" i="75"/>
  <c r="JQ45" i="75"/>
  <c r="JP45" i="75"/>
  <c r="JO45" i="75"/>
  <c r="JN45" i="75"/>
  <c r="JM45" i="75"/>
  <c r="JG45" i="75"/>
  <c r="JF45" i="75"/>
  <c r="JE45" i="75"/>
  <c r="JD45" i="75"/>
  <c r="JC45" i="75"/>
  <c r="IW45" i="75"/>
  <c r="IV45" i="75"/>
  <c r="IU45" i="75"/>
  <c r="IT45" i="75"/>
  <c r="IS45" i="75"/>
  <c r="IM45" i="75"/>
  <c r="IL45" i="75"/>
  <c r="IK45" i="75"/>
  <c r="IJ45" i="75"/>
  <c r="II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Q802" i="93"/>
  <c r="A45" i="75"/>
  <c r="MS44" i="75"/>
  <c r="MR44" i="75"/>
  <c r="MQ44" i="75"/>
  <c r="MP44" i="75"/>
  <c r="MO44" i="75"/>
  <c r="MN44" i="75"/>
  <c r="MM44" i="75"/>
  <c r="ML44" i="75"/>
  <c r="MK44" i="75"/>
  <c r="MJ44" i="75"/>
  <c r="MI44" i="75"/>
  <c r="MH44" i="75"/>
  <c r="MG44" i="75"/>
  <c r="MF44" i="75"/>
  <c r="ME44" i="75"/>
  <c r="LE44" i="75"/>
  <c r="LD44" i="75"/>
  <c r="LC44" i="75"/>
  <c r="LB44" i="75"/>
  <c r="LA44" i="75"/>
  <c r="KU44" i="75"/>
  <c r="KT44" i="75"/>
  <c r="KS44" i="75"/>
  <c r="KR44" i="75"/>
  <c r="KQ44" i="75"/>
  <c r="KK44" i="75"/>
  <c r="KJ44" i="75"/>
  <c r="KI44" i="75"/>
  <c r="KH44" i="75"/>
  <c r="KG44" i="75"/>
  <c r="KA44" i="75"/>
  <c r="JZ44" i="75"/>
  <c r="JY44" i="75"/>
  <c r="JX44" i="75"/>
  <c r="JW44" i="75"/>
  <c r="JQ44" i="75"/>
  <c r="JP44" i="75"/>
  <c r="JO44" i="75"/>
  <c r="JN44" i="75"/>
  <c r="JM44" i="75"/>
  <c r="JG44" i="75"/>
  <c r="JF44" i="75"/>
  <c r="JE44" i="75"/>
  <c r="JD44" i="75"/>
  <c r="JC44" i="75"/>
  <c r="IW44" i="75"/>
  <c r="IV44" i="75"/>
  <c r="IU44" i="75"/>
  <c r="IT44" i="75"/>
  <c r="IS44" i="75"/>
  <c r="IM44" i="75"/>
  <c r="IL44" i="75"/>
  <c r="IK44" i="75"/>
  <c r="IJ44" i="75"/>
  <c r="II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Q801" i="93"/>
  <c r="A44" i="75"/>
  <c r="MS43" i="75"/>
  <c r="MR43" i="75"/>
  <c r="MQ43" i="75"/>
  <c r="MP43" i="75"/>
  <c r="MO43" i="75"/>
  <c r="MN43" i="75"/>
  <c r="MM43" i="75"/>
  <c r="ML43" i="75"/>
  <c r="MK43" i="75"/>
  <c r="MJ43" i="75"/>
  <c r="MI43" i="75"/>
  <c r="MH43" i="75"/>
  <c r="MG43" i="75"/>
  <c r="MF43" i="75"/>
  <c r="ME43" i="75"/>
  <c r="LE43" i="75"/>
  <c r="LD43" i="75"/>
  <c r="LC43" i="75"/>
  <c r="LB43" i="75"/>
  <c r="LA43" i="75"/>
  <c r="KU43" i="75"/>
  <c r="KT43" i="75"/>
  <c r="KS43" i="75"/>
  <c r="KR43" i="75"/>
  <c r="KQ43" i="75"/>
  <c r="KK43" i="75"/>
  <c r="KJ43" i="75"/>
  <c r="KI43" i="75"/>
  <c r="KH43" i="75"/>
  <c r="KG43" i="75"/>
  <c r="KA43" i="75"/>
  <c r="JZ43" i="75"/>
  <c r="JY43" i="75"/>
  <c r="JX43" i="75"/>
  <c r="JW43" i="75"/>
  <c r="JQ43" i="75"/>
  <c r="JP43" i="75"/>
  <c r="JO43" i="75"/>
  <c r="JN43" i="75"/>
  <c r="JM43" i="75"/>
  <c r="JG43" i="75"/>
  <c r="JF43" i="75"/>
  <c r="JE43" i="75"/>
  <c r="JD43" i="75"/>
  <c r="JC43" i="75"/>
  <c r="IW43" i="75"/>
  <c r="IV43" i="75"/>
  <c r="IU43" i="75"/>
  <c r="IT43" i="75"/>
  <c r="IS43" i="75"/>
  <c r="IM43" i="75"/>
  <c r="IL43" i="75"/>
  <c r="IK43" i="75"/>
  <c r="IJ43" i="75"/>
  <c r="II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Q800" i="93"/>
  <c r="A43" i="75"/>
  <c r="MS42" i="75"/>
  <c r="MR42" i="75"/>
  <c r="MQ42" i="75"/>
  <c r="MP42" i="75"/>
  <c r="MO42" i="75"/>
  <c r="MN42" i="75"/>
  <c r="MM42" i="75"/>
  <c r="ML42" i="75"/>
  <c r="MK42" i="75"/>
  <c r="MJ42" i="75"/>
  <c r="MI42" i="75"/>
  <c r="MH42" i="75"/>
  <c r="MG42" i="75"/>
  <c r="MF42" i="75"/>
  <c r="ME42" i="75"/>
  <c r="LE42" i="75"/>
  <c r="LD42" i="75"/>
  <c r="LC42" i="75"/>
  <c r="LB42" i="75"/>
  <c r="LA42" i="75"/>
  <c r="KU42" i="75"/>
  <c r="KT42" i="75"/>
  <c r="KS42" i="75"/>
  <c r="KR42" i="75"/>
  <c r="KQ42" i="75"/>
  <c r="KK42" i="75"/>
  <c r="KJ42" i="75"/>
  <c r="KI42" i="75"/>
  <c r="KH42" i="75"/>
  <c r="KG42" i="75"/>
  <c r="KA42" i="75"/>
  <c r="JZ42" i="75"/>
  <c r="JY42" i="75"/>
  <c r="JX42" i="75"/>
  <c r="JW42" i="75"/>
  <c r="JQ42" i="75"/>
  <c r="JP42" i="75"/>
  <c r="JO42" i="75"/>
  <c r="JN42" i="75"/>
  <c r="JM42" i="75"/>
  <c r="JG42" i="75"/>
  <c r="JF42" i="75"/>
  <c r="JE42" i="75"/>
  <c r="JD42" i="75"/>
  <c r="JC42" i="75"/>
  <c r="IW42" i="75"/>
  <c r="IV42" i="75"/>
  <c r="IU42" i="75"/>
  <c r="IT42" i="75"/>
  <c r="IS42" i="75"/>
  <c r="IM42" i="75"/>
  <c r="IL42" i="75"/>
  <c r="IK42" i="75"/>
  <c r="IJ42" i="75"/>
  <c r="II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Q799" i="93"/>
  <c r="A42" i="75"/>
  <c r="MS41" i="75"/>
  <c r="MR41" i="75"/>
  <c r="MQ41" i="75"/>
  <c r="MP41" i="75"/>
  <c r="MO41" i="75"/>
  <c r="MN41" i="75"/>
  <c r="MM41" i="75"/>
  <c r="ML41" i="75"/>
  <c r="MK41" i="75"/>
  <c r="MJ41" i="75"/>
  <c r="MI41" i="75"/>
  <c r="MH41" i="75"/>
  <c r="MG41" i="75"/>
  <c r="MF41" i="75"/>
  <c r="ME41" i="75"/>
  <c r="LE41" i="75"/>
  <c r="LD41" i="75"/>
  <c r="LC41" i="75"/>
  <c r="LB41" i="75"/>
  <c r="LA41" i="75"/>
  <c r="KU41" i="75"/>
  <c r="KT41" i="75"/>
  <c r="KS41" i="75"/>
  <c r="KR41" i="75"/>
  <c r="KQ41" i="75"/>
  <c r="KK41" i="75"/>
  <c r="KJ41" i="75"/>
  <c r="KI41" i="75"/>
  <c r="KH41" i="75"/>
  <c r="KG41" i="75"/>
  <c r="KA41" i="75"/>
  <c r="JZ41" i="75"/>
  <c r="JY41" i="75"/>
  <c r="JX41" i="75"/>
  <c r="JW41" i="75"/>
  <c r="JQ41" i="75"/>
  <c r="JP41" i="75"/>
  <c r="JO41" i="75"/>
  <c r="JN41" i="75"/>
  <c r="JM41" i="75"/>
  <c r="JG41" i="75"/>
  <c r="JF41" i="75"/>
  <c r="JE41" i="75"/>
  <c r="JD41" i="75"/>
  <c r="JC41" i="75"/>
  <c r="IW41" i="75"/>
  <c r="IV41" i="75"/>
  <c r="IU41" i="75"/>
  <c r="IT41" i="75"/>
  <c r="IS41" i="75"/>
  <c r="IM41" i="75"/>
  <c r="IL41" i="75"/>
  <c r="IK41" i="75"/>
  <c r="IJ41" i="75"/>
  <c r="II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Q798" i="93"/>
  <c r="A41" i="75"/>
  <c r="MS40" i="75"/>
  <c r="MR40" i="75"/>
  <c r="MQ40" i="75"/>
  <c r="MP40" i="75"/>
  <c r="MO40" i="75"/>
  <c r="MN40" i="75"/>
  <c r="MM40" i="75"/>
  <c r="ML40" i="75"/>
  <c r="MK40" i="75"/>
  <c r="MJ40" i="75"/>
  <c r="MI40" i="75"/>
  <c r="MH40" i="75"/>
  <c r="MG40" i="75"/>
  <c r="MF40" i="75"/>
  <c r="ME40" i="75"/>
  <c r="LE40" i="75"/>
  <c r="LD40" i="75"/>
  <c r="LC40" i="75"/>
  <c r="LB40" i="75"/>
  <c r="LA40" i="75"/>
  <c r="KU40" i="75"/>
  <c r="KT40" i="75"/>
  <c r="KS40" i="75"/>
  <c r="KR40" i="75"/>
  <c r="KQ40" i="75"/>
  <c r="KK40" i="75"/>
  <c r="KJ40" i="75"/>
  <c r="KI40" i="75"/>
  <c r="KH40" i="75"/>
  <c r="KG40" i="75"/>
  <c r="KA40" i="75"/>
  <c r="JZ40" i="75"/>
  <c r="JY40" i="75"/>
  <c r="JX40" i="75"/>
  <c r="JW40" i="75"/>
  <c r="JQ40" i="75"/>
  <c r="JP40" i="75"/>
  <c r="JO40" i="75"/>
  <c r="JN40" i="75"/>
  <c r="JM40" i="75"/>
  <c r="JG40" i="75"/>
  <c r="JF40" i="75"/>
  <c r="JE40" i="75"/>
  <c r="JD40" i="75"/>
  <c r="JC40" i="75"/>
  <c r="IW40" i="75"/>
  <c r="IV40" i="75"/>
  <c r="IU40" i="75"/>
  <c r="IT40" i="75"/>
  <c r="IS40" i="75"/>
  <c r="IM40" i="75"/>
  <c r="IL40" i="75"/>
  <c r="IK40" i="75"/>
  <c r="IJ40" i="75"/>
  <c r="II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Q797" i="93"/>
  <c r="A40" i="75"/>
  <c r="MS39" i="75"/>
  <c r="MR39" i="75"/>
  <c r="MQ39" i="75"/>
  <c r="MP39" i="75"/>
  <c r="MO39" i="75"/>
  <c r="MN39" i="75"/>
  <c r="MM39" i="75"/>
  <c r="ML39" i="75"/>
  <c r="MK39" i="75"/>
  <c r="MJ39" i="75"/>
  <c r="MI39" i="75"/>
  <c r="MH39" i="75"/>
  <c r="MG39" i="75"/>
  <c r="MF39" i="75"/>
  <c r="ME39" i="75"/>
  <c r="LE39" i="75"/>
  <c r="LD39" i="75"/>
  <c r="LC39" i="75"/>
  <c r="LB39" i="75"/>
  <c r="LA39" i="75"/>
  <c r="KU39" i="75"/>
  <c r="KT39" i="75"/>
  <c r="KS39" i="75"/>
  <c r="KR39" i="75"/>
  <c r="KQ39" i="75"/>
  <c r="KK39" i="75"/>
  <c r="KJ39" i="75"/>
  <c r="KI39" i="75"/>
  <c r="KH39" i="75"/>
  <c r="KG39" i="75"/>
  <c r="KA39" i="75"/>
  <c r="JZ39" i="75"/>
  <c r="JY39" i="75"/>
  <c r="JX39" i="75"/>
  <c r="JW39" i="75"/>
  <c r="JQ39" i="75"/>
  <c r="JP39" i="75"/>
  <c r="JO39" i="75"/>
  <c r="JN39" i="75"/>
  <c r="JM39" i="75"/>
  <c r="JG39" i="75"/>
  <c r="JF39" i="75"/>
  <c r="JE39" i="75"/>
  <c r="JD39" i="75"/>
  <c r="JC39" i="75"/>
  <c r="IW39" i="75"/>
  <c r="IV39" i="75"/>
  <c r="IU39" i="75"/>
  <c r="IT39" i="75"/>
  <c r="IS39" i="75"/>
  <c r="IM39" i="75"/>
  <c r="IL39" i="75"/>
  <c r="IK39" i="75"/>
  <c r="IJ39" i="75"/>
  <c r="II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Q796" i="93"/>
  <c r="A39" i="75"/>
  <c r="MS38" i="75"/>
  <c r="MR38" i="75"/>
  <c r="MQ38" i="75"/>
  <c r="MP38" i="75"/>
  <c r="MO38" i="75"/>
  <c r="MN38" i="75"/>
  <c r="MM38" i="75"/>
  <c r="ML38" i="75"/>
  <c r="MK38" i="75"/>
  <c r="MJ38" i="75"/>
  <c r="MI38" i="75"/>
  <c r="MH38" i="75"/>
  <c r="MG38" i="75"/>
  <c r="MF38" i="75"/>
  <c r="ME38" i="75"/>
  <c r="LE38" i="75"/>
  <c r="LD38" i="75"/>
  <c r="LC38" i="75"/>
  <c r="LB38" i="75"/>
  <c r="LA38" i="75"/>
  <c r="KU38" i="75"/>
  <c r="KT38" i="75"/>
  <c r="KS38" i="75"/>
  <c r="KR38" i="75"/>
  <c r="KQ38" i="75"/>
  <c r="KK38" i="75"/>
  <c r="KJ38" i="75"/>
  <c r="KI38" i="75"/>
  <c r="KH38" i="75"/>
  <c r="KG38" i="75"/>
  <c r="KA38" i="75"/>
  <c r="JZ38" i="75"/>
  <c r="JY38" i="75"/>
  <c r="JX38" i="75"/>
  <c r="JW38" i="75"/>
  <c r="JQ38" i="75"/>
  <c r="JP38" i="75"/>
  <c r="JO38" i="75"/>
  <c r="JN38" i="75"/>
  <c r="JM38" i="75"/>
  <c r="JG38" i="75"/>
  <c r="JF38" i="75"/>
  <c r="JE38" i="75"/>
  <c r="JD38" i="75"/>
  <c r="JC38" i="75"/>
  <c r="IW38" i="75"/>
  <c r="IV38" i="75"/>
  <c r="IU38" i="75"/>
  <c r="IT38" i="75"/>
  <c r="IS38" i="75"/>
  <c r="IM38" i="75"/>
  <c r="IL38" i="75"/>
  <c r="IK38" i="75"/>
  <c r="IJ38" i="75"/>
  <c r="II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Q795" i="93"/>
  <c r="A38" i="75"/>
  <c r="MS37" i="75"/>
  <c r="MR37" i="75"/>
  <c r="MQ37" i="75"/>
  <c r="MP37" i="75"/>
  <c r="MO37" i="75"/>
  <c r="MN37" i="75"/>
  <c r="MM37" i="75"/>
  <c r="ML37" i="75"/>
  <c r="MK37" i="75"/>
  <c r="MJ37" i="75"/>
  <c r="MI37" i="75"/>
  <c r="MH37" i="75"/>
  <c r="MG37" i="75"/>
  <c r="MF37" i="75"/>
  <c r="ME37" i="75"/>
  <c r="LE37" i="75"/>
  <c r="LD37" i="75"/>
  <c r="LC37" i="75"/>
  <c r="LB37" i="75"/>
  <c r="LA37" i="75"/>
  <c r="KU37" i="75"/>
  <c r="KT37" i="75"/>
  <c r="KS37" i="75"/>
  <c r="KR37" i="75"/>
  <c r="KQ37" i="75"/>
  <c r="KK37" i="75"/>
  <c r="KJ37" i="75"/>
  <c r="KI37" i="75"/>
  <c r="KH37" i="75"/>
  <c r="KG37" i="75"/>
  <c r="KA37" i="75"/>
  <c r="JZ37" i="75"/>
  <c r="JY37" i="75"/>
  <c r="JX37" i="75"/>
  <c r="JW37" i="75"/>
  <c r="JQ37" i="75"/>
  <c r="JP37" i="75"/>
  <c r="JO37" i="75"/>
  <c r="JN37" i="75"/>
  <c r="JM37" i="75"/>
  <c r="JG37" i="75"/>
  <c r="JF37" i="75"/>
  <c r="JE37" i="75"/>
  <c r="JD37" i="75"/>
  <c r="JC37" i="75"/>
  <c r="IW37" i="75"/>
  <c r="IV37" i="75"/>
  <c r="IU37" i="75"/>
  <c r="IT37" i="75"/>
  <c r="IS37" i="75"/>
  <c r="IM37" i="75"/>
  <c r="IL37" i="75"/>
  <c r="IK37" i="75"/>
  <c r="IJ37" i="75"/>
  <c r="II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Q794" i="93"/>
  <c r="A37" i="75"/>
  <c r="MS36" i="75"/>
  <c r="MR36" i="75"/>
  <c r="MQ36" i="75"/>
  <c r="MP36" i="75"/>
  <c r="MO36" i="75"/>
  <c r="MN36" i="75"/>
  <c r="MM36" i="75"/>
  <c r="ML36" i="75"/>
  <c r="MK36" i="75"/>
  <c r="MJ36" i="75"/>
  <c r="MI36" i="75"/>
  <c r="MH36" i="75"/>
  <c r="MG36" i="75"/>
  <c r="MF36" i="75"/>
  <c r="ME36" i="75"/>
  <c r="LE36" i="75"/>
  <c r="LD36" i="75"/>
  <c r="LC36" i="75"/>
  <c r="LB36" i="75"/>
  <c r="LA36" i="75"/>
  <c r="KU36" i="75"/>
  <c r="KT36" i="75"/>
  <c r="KS36" i="75"/>
  <c r="KR36" i="75"/>
  <c r="KQ36" i="75"/>
  <c r="KK36" i="75"/>
  <c r="KJ36" i="75"/>
  <c r="KI36" i="75"/>
  <c r="KH36" i="75"/>
  <c r="KG36" i="75"/>
  <c r="KA36" i="75"/>
  <c r="JZ36" i="75"/>
  <c r="JY36" i="75"/>
  <c r="JX36" i="75"/>
  <c r="JW36" i="75"/>
  <c r="JQ36" i="75"/>
  <c r="JP36" i="75"/>
  <c r="JO36" i="75"/>
  <c r="JN36" i="75"/>
  <c r="JM36" i="75"/>
  <c r="JG36" i="75"/>
  <c r="JF36" i="75"/>
  <c r="JE36" i="75"/>
  <c r="JD36" i="75"/>
  <c r="JC36" i="75"/>
  <c r="IW36" i="75"/>
  <c r="IV36" i="75"/>
  <c r="IU36" i="75"/>
  <c r="IT36" i="75"/>
  <c r="IS36" i="75"/>
  <c r="IM36" i="75"/>
  <c r="IL36" i="75"/>
  <c r="IK36" i="75"/>
  <c r="IJ36" i="75"/>
  <c r="II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Q793" i="93"/>
  <c r="A36" i="75"/>
  <c r="MS35" i="75"/>
  <c r="MR35" i="75"/>
  <c r="MQ35" i="75"/>
  <c r="MP35" i="75"/>
  <c r="MO35" i="75"/>
  <c r="MN35" i="75"/>
  <c r="MM35" i="75"/>
  <c r="ML35" i="75"/>
  <c r="MK35" i="75"/>
  <c r="MJ35" i="75"/>
  <c r="MI35" i="75"/>
  <c r="MH35" i="75"/>
  <c r="MG35" i="75"/>
  <c r="MF35" i="75"/>
  <c r="ME35" i="75"/>
  <c r="LE35" i="75"/>
  <c r="LD35" i="75"/>
  <c r="LC35" i="75"/>
  <c r="LB35" i="75"/>
  <c r="LA35" i="75"/>
  <c r="KU35" i="75"/>
  <c r="KT35" i="75"/>
  <c r="KS35" i="75"/>
  <c r="KR35" i="75"/>
  <c r="KQ35" i="75"/>
  <c r="KK35" i="75"/>
  <c r="KJ35" i="75"/>
  <c r="KI35" i="75"/>
  <c r="KH35" i="75"/>
  <c r="KG35" i="75"/>
  <c r="KA35" i="75"/>
  <c r="JZ35" i="75"/>
  <c r="JY35" i="75"/>
  <c r="JX35" i="75"/>
  <c r="JW35" i="75"/>
  <c r="JQ35" i="75"/>
  <c r="JP35" i="75"/>
  <c r="JO35" i="75"/>
  <c r="JN35" i="75"/>
  <c r="JM35" i="75"/>
  <c r="JG35" i="75"/>
  <c r="JF35" i="75"/>
  <c r="JE35" i="75"/>
  <c r="JD35" i="75"/>
  <c r="JC35" i="75"/>
  <c r="IW35" i="75"/>
  <c r="IV35" i="75"/>
  <c r="IU35" i="75"/>
  <c r="IT35" i="75"/>
  <c r="IS35" i="75"/>
  <c r="IM35" i="75"/>
  <c r="IL35" i="75"/>
  <c r="IK35" i="75"/>
  <c r="IJ35" i="75"/>
  <c r="II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Q792" i="93"/>
  <c r="A35" i="75"/>
  <c r="MS34" i="75"/>
  <c r="MR34" i="75"/>
  <c r="MQ34" i="75"/>
  <c r="MP34" i="75"/>
  <c r="MO34" i="75"/>
  <c r="MN34" i="75"/>
  <c r="MM34" i="75"/>
  <c r="ML34" i="75"/>
  <c r="MK34" i="75"/>
  <c r="MJ34" i="75"/>
  <c r="MI34" i="75"/>
  <c r="MH34" i="75"/>
  <c r="MG34" i="75"/>
  <c r="MF34" i="75"/>
  <c r="ME34" i="75"/>
  <c r="LE34" i="75"/>
  <c r="LD34" i="75"/>
  <c r="LC34" i="75"/>
  <c r="LB34" i="75"/>
  <c r="LA34" i="75"/>
  <c r="KU34" i="75"/>
  <c r="KT34" i="75"/>
  <c r="KS34" i="75"/>
  <c r="KR34" i="75"/>
  <c r="KQ34" i="75"/>
  <c r="KK34" i="75"/>
  <c r="KJ34" i="75"/>
  <c r="KI34" i="75"/>
  <c r="KH34" i="75"/>
  <c r="KG34" i="75"/>
  <c r="KA34" i="75"/>
  <c r="JZ34" i="75"/>
  <c r="JY34" i="75"/>
  <c r="JX34" i="75"/>
  <c r="JW34" i="75"/>
  <c r="JQ34" i="75"/>
  <c r="JP34" i="75"/>
  <c r="JO34" i="75"/>
  <c r="JN34" i="75"/>
  <c r="JM34" i="75"/>
  <c r="JG34" i="75"/>
  <c r="JF34" i="75"/>
  <c r="JE34" i="75"/>
  <c r="JD34" i="75"/>
  <c r="JC34" i="75"/>
  <c r="IW34" i="75"/>
  <c r="IV34" i="75"/>
  <c r="IU34" i="75"/>
  <c r="IT34" i="75"/>
  <c r="IS34" i="75"/>
  <c r="IM34" i="75"/>
  <c r="IL34" i="75"/>
  <c r="IK34" i="75"/>
  <c r="IJ34" i="75"/>
  <c r="II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Q791" i="93"/>
  <c r="A34" i="75"/>
  <c r="MS33" i="75"/>
  <c r="MR33" i="75"/>
  <c r="MQ33" i="75"/>
  <c r="MP33" i="75"/>
  <c r="MO33" i="75"/>
  <c r="MN33" i="75"/>
  <c r="MM33" i="75"/>
  <c r="ML33" i="75"/>
  <c r="MK33" i="75"/>
  <c r="MJ33" i="75"/>
  <c r="MI33" i="75"/>
  <c r="MH33" i="75"/>
  <c r="MG33" i="75"/>
  <c r="MF33" i="75"/>
  <c r="ME33" i="75"/>
  <c r="LE33" i="75"/>
  <c r="LD33" i="75"/>
  <c r="LC33" i="75"/>
  <c r="LB33" i="75"/>
  <c r="LA33" i="75"/>
  <c r="KU33" i="75"/>
  <c r="KT33" i="75"/>
  <c r="KS33" i="75"/>
  <c r="KR33" i="75"/>
  <c r="KQ33" i="75"/>
  <c r="KK33" i="75"/>
  <c r="KJ33" i="75"/>
  <c r="KI33" i="75"/>
  <c r="KH33" i="75"/>
  <c r="KG33" i="75"/>
  <c r="KA33" i="75"/>
  <c r="JZ33" i="75"/>
  <c r="JY33" i="75"/>
  <c r="JX33" i="75"/>
  <c r="JW33" i="75"/>
  <c r="JQ33" i="75"/>
  <c r="JP33" i="75"/>
  <c r="JO33" i="75"/>
  <c r="JN33" i="75"/>
  <c r="JM33" i="75"/>
  <c r="JG33" i="75"/>
  <c r="JF33" i="75"/>
  <c r="JE33" i="75"/>
  <c r="JD33" i="75"/>
  <c r="JC33" i="75"/>
  <c r="IW33" i="75"/>
  <c r="IV33" i="75"/>
  <c r="IU33" i="75"/>
  <c r="IT33" i="75"/>
  <c r="IS33" i="75"/>
  <c r="IM33" i="75"/>
  <c r="IL33" i="75"/>
  <c r="IK33" i="75"/>
  <c r="IJ33" i="75"/>
  <c r="II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Q790" i="93"/>
  <c r="A33" i="75"/>
  <c r="MS32" i="75"/>
  <c r="MR32" i="75"/>
  <c r="MQ32" i="75"/>
  <c r="MP32" i="75"/>
  <c r="MO32" i="75"/>
  <c r="MN32" i="75"/>
  <c r="MM32" i="75"/>
  <c r="ML32" i="75"/>
  <c r="MK32" i="75"/>
  <c r="MJ32" i="75"/>
  <c r="MI32" i="75"/>
  <c r="MH32" i="75"/>
  <c r="MG32" i="75"/>
  <c r="MF32" i="75"/>
  <c r="ME32" i="75"/>
  <c r="LE32" i="75"/>
  <c r="LD32" i="75"/>
  <c r="LC32" i="75"/>
  <c r="LB32" i="75"/>
  <c r="LA32" i="75"/>
  <c r="KU32" i="75"/>
  <c r="KT32" i="75"/>
  <c r="KS32" i="75"/>
  <c r="KR32" i="75"/>
  <c r="KQ32" i="75"/>
  <c r="KK32" i="75"/>
  <c r="KJ32" i="75"/>
  <c r="KI32" i="75"/>
  <c r="KH32" i="75"/>
  <c r="KG32" i="75"/>
  <c r="KA32" i="75"/>
  <c r="JZ32" i="75"/>
  <c r="JY32" i="75"/>
  <c r="JX32" i="75"/>
  <c r="JW32" i="75"/>
  <c r="JQ32" i="75"/>
  <c r="JP32" i="75"/>
  <c r="JO32" i="75"/>
  <c r="JN32" i="75"/>
  <c r="JM32" i="75"/>
  <c r="JG32" i="75"/>
  <c r="JF32" i="75"/>
  <c r="JE32" i="75"/>
  <c r="JD32" i="75"/>
  <c r="JC32" i="75"/>
  <c r="IW32" i="75"/>
  <c r="IV32" i="75"/>
  <c r="IU32" i="75"/>
  <c r="IT32" i="75"/>
  <c r="IS32" i="75"/>
  <c r="IM32" i="75"/>
  <c r="IL32" i="75"/>
  <c r="IK32" i="75"/>
  <c r="IJ32" i="75"/>
  <c r="II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Q789" i="93"/>
  <c r="A32" i="75"/>
  <c r="MS31" i="75"/>
  <c r="MR31" i="75"/>
  <c r="MQ31" i="75"/>
  <c r="MP31" i="75"/>
  <c r="MO31" i="75"/>
  <c r="MN31" i="75"/>
  <c r="MM31" i="75"/>
  <c r="ML31" i="75"/>
  <c r="MK31" i="75"/>
  <c r="MJ31" i="75"/>
  <c r="MI31" i="75"/>
  <c r="MH31" i="75"/>
  <c r="MG31" i="75"/>
  <c r="MF31" i="75"/>
  <c r="ME31" i="75"/>
  <c r="LE31" i="75"/>
  <c r="LD31" i="75"/>
  <c r="LC31" i="75"/>
  <c r="LB31" i="75"/>
  <c r="LA31" i="75"/>
  <c r="KU31" i="75"/>
  <c r="KT31" i="75"/>
  <c r="KS31" i="75"/>
  <c r="KR31" i="75"/>
  <c r="KQ31" i="75"/>
  <c r="KK31" i="75"/>
  <c r="KJ31" i="75"/>
  <c r="KI31" i="75"/>
  <c r="KH31" i="75"/>
  <c r="KG31" i="75"/>
  <c r="KA31" i="75"/>
  <c r="JZ31" i="75"/>
  <c r="JY31" i="75"/>
  <c r="JX31" i="75"/>
  <c r="JW31" i="75"/>
  <c r="JQ31" i="75"/>
  <c r="JP31" i="75"/>
  <c r="JO31" i="75"/>
  <c r="JN31" i="75"/>
  <c r="JM31" i="75"/>
  <c r="JG31" i="75"/>
  <c r="JF31" i="75"/>
  <c r="JE31" i="75"/>
  <c r="JD31" i="75"/>
  <c r="JC31" i="75"/>
  <c r="IW31" i="75"/>
  <c r="IV31" i="75"/>
  <c r="IU31" i="75"/>
  <c r="IT31" i="75"/>
  <c r="IS31" i="75"/>
  <c r="IM31" i="75"/>
  <c r="IL31" i="75"/>
  <c r="IK31" i="75"/>
  <c r="IJ31" i="75"/>
  <c r="II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Q788" i="93"/>
  <c r="A31" i="75"/>
  <c r="MS30" i="75"/>
  <c r="MR30" i="75"/>
  <c r="MQ30" i="75"/>
  <c r="MP30" i="75"/>
  <c r="MO30" i="75"/>
  <c r="MN30" i="75"/>
  <c r="MM30" i="75"/>
  <c r="ML30" i="75"/>
  <c r="MK30" i="75"/>
  <c r="MJ30" i="75"/>
  <c r="MI30" i="75"/>
  <c r="MH30" i="75"/>
  <c r="MG30" i="75"/>
  <c r="MF30" i="75"/>
  <c r="ME30" i="75"/>
  <c r="LE30" i="75"/>
  <c r="LD30" i="75"/>
  <c r="LC30" i="75"/>
  <c r="LB30" i="75"/>
  <c r="LA30" i="75"/>
  <c r="KU30" i="75"/>
  <c r="KT30" i="75"/>
  <c r="KS30" i="75"/>
  <c r="KR30" i="75"/>
  <c r="KQ30" i="75"/>
  <c r="KK30" i="75"/>
  <c r="KJ30" i="75"/>
  <c r="KI30" i="75"/>
  <c r="KH30" i="75"/>
  <c r="KG30" i="75"/>
  <c r="KA30" i="75"/>
  <c r="JZ30" i="75"/>
  <c r="JY30" i="75"/>
  <c r="JX30" i="75"/>
  <c r="JW30" i="75"/>
  <c r="JQ30" i="75"/>
  <c r="JP30" i="75"/>
  <c r="JO30" i="75"/>
  <c r="JN30" i="75"/>
  <c r="JM30" i="75"/>
  <c r="JG30" i="75"/>
  <c r="JF30" i="75"/>
  <c r="JE30" i="75"/>
  <c r="JD30" i="75"/>
  <c r="JC30" i="75"/>
  <c r="IW30" i="75"/>
  <c r="IV30" i="75"/>
  <c r="IU30" i="75"/>
  <c r="IT30" i="75"/>
  <c r="IS30" i="75"/>
  <c r="IM30" i="75"/>
  <c r="IL30" i="75"/>
  <c r="IK30" i="75"/>
  <c r="IJ30" i="75"/>
  <c r="II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Q787" i="93"/>
  <c r="A30" i="75"/>
  <c r="MS29" i="75"/>
  <c r="MR29" i="75"/>
  <c r="MQ29" i="75"/>
  <c r="MP29" i="75"/>
  <c r="MO29" i="75"/>
  <c r="MN29" i="75"/>
  <c r="MM29" i="75"/>
  <c r="ML29" i="75"/>
  <c r="MK29" i="75"/>
  <c r="MJ29" i="75"/>
  <c r="MI29" i="75"/>
  <c r="MH29" i="75"/>
  <c r="MG29" i="75"/>
  <c r="MF29" i="75"/>
  <c r="ME29" i="75"/>
  <c r="LE29" i="75"/>
  <c r="LD29" i="75"/>
  <c r="LC29" i="75"/>
  <c r="LB29" i="75"/>
  <c r="LA29" i="75"/>
  <c r="KU29" i="75"/>
  <c r="KT29" i="75"/>
  <c r="KS29" i="75"/>
  <c r="KR29" i="75"/>
  <c r="KQ29" i="75"/>
  <c r="KK29" i="75"/>
  <c r="KJ29" i="75"/>
  <c r="KI29" i="75"/>
  <c r="KH29" i="75"/>
  <c r="KG29" i="75"/>
  <c r="KA29" i="75"/>
  <c r="JZ29" i="75"/>
  <c r="JY29" i="75"/>
  <c r="JX29" i="75"/>
  <c r="JW29" i="75"/>
  <c r="JQ29" i="75"/>
  <c r="JP29" i="75"/>
  <c r="JO29" i="75"/>
  <c r="JN29" i="75"/>
  <c r="JM29" i="75"/>
  <c r="JG29" i="75"/>
  <c r="JF29" i="75"/>
  <c r="JE29" i="75"/>
  <c r="JD29" i="75"/>
  <c r="JC29" i="75"/>
  <c r="IW29" i="75"/>
  <c r="IV29" i="75"/>
  <c r="IU29" i="75"/>
  <c r="IT29" i="75"/>
  <c r="IS29" i="75"/>
  <c r="IM29" i="75"/>
  <c r="IL29" i="75"/>
  <c r="IK29" i="75"/>
  <c r="IJ29" i="75"/>
  <c r="II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Q786" i="93"/>
  <c r="A29" i="75"/>
  <c r="MS28" i="75"/>
  <c r="MR28" i="75"/>
  <c r="MQ28" i="75"/>
  <c r="MP28" i="75"/>
  <c r="MO28" i="75"/>
  <c r="MN28" i="75"/>
  <c r="MM28" i="75"/>
  <c r="ML28" i="75"/>
  <c r="MK28" i="75"/>
  <c r="MJ28" i="75"/>
  <c r="MI28" i="75"/>
  <c r="MH28" i="75"/>
  <c r="MG28" i="75"/>
  <c r="MF28" i="75"/>
  <c r="ME28" i="75"/>
  <c r="LE28" i="75"/>
  <c r="LD28" i="75"/>
  <c r="LC28" i="75"/>
  <c r="LB28" i="75"/>
  <c r="LA28" i="75"/>
  <c r="KU28" i="75"/>
  <c r="KT28" i="75"/>
  <c r="KS28" i="75"/>
  <c r="KR28" i="75"/>
  <c r="KQ28" i="75"/>
  <c r="KK28" i="75"/>
  <c r="KJ28" i="75"/>
  <c r="KI28" i="75"/>
  <c r="KH28" i="75"/>
  <c r="KG28" i="75"/>
  <c r="KA28" i="75"/>
  <c r="JZ28" i="75"/>
  <c r="JY28" i="75"/>
  <c r="JX28" i="75"/>
  <c r="JW28" i="75"/>
  <c r="JQ28" i="75"/>
  <c r="JP28" i="75"/>
  <c r="JO28" i="75"/>
  <c r="JN28" i="75"/>
  <c r="JM28" i="75"/>
  <c r="JG28" i="75"/>
  <c r="JF28" i="75"/>
  <c r="JE28" i="75"/>
  <c r="JD28" i="75"/>
  <c r="JC28" i="75"/>
  <c r="IW28" i="75"/>
  <c r="IV28" i="75"/>
  <c r="IU28" i="75"/>
  <c r="IT28" i="75"/>
  <c r="IS28" i="75"/>
  <c r="IM28" i="75"/>
  <c r="IL28" i="75"/>
  <c r="IK28" i="75"/>
  <c r="IJ28" i="75"/>
  <c r="II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Q785" i="93"/>
  <c r="A28" i="75"/>
  <c r="MS27" i="75"/>
  <c r="MR27" i="75"/>
  <c r="MQ27" i="75"/>
  <c r="MP27" i="75"/>
  <c r="MO27" i="75"/>
  <c r="MN27" i="75"/>
  <c r="MM27" i="75"/>
  <c r="ML27" i="75"/>
  <c r="MK27" i="75"/>
  <c r="MJ27" i="75"/>
  <c r="MI27" i="75"/>
  <c r="MH27" i="75"/>
  <c r="MG27" i="75"/>
  <c r="MF27" i="75"/>
  <c r="ME27" i="75"/>
  <c r="LE27" i="75"/>
  <c r="LD27" i="75"/>
  <c r="LC27" i="75"/>
  <c r="LB27" i="75"/>
  <c r="LA27" i="75"/>
  <c r="KU27" i="75"/>
  <c r="KT27" i="75"/>
  <c r="KS27" i="75"/>
  <c r="KR27" i="75"/>
  <c r="KQ27" i="75"/>
  <c r="KK27" i="75"/>
  <c r="KJ27" i="75"/>
  <c r="KI27" i="75"/>
  <c r="KH27" i="75"/>
  <c r="KG27" i="75"/>
  <c r="KA27" i="75"/>
  <c r="JZ27" i="75"/>
  <c r="JY27" i="75"/>
  <c r="JX27" i="75"/>
  <c r="JW27" i="75"/>
  <c r="JQ27" i="75"/>
  <c r="JP27" i="75"/>
  <c r="JO27" i="75"/>
  <c r="JN27" i="75"/>
  <c r="JM27" i="75"/>
  <c r="JG27" i="75"/>
  <c r="JF27" i="75"/>
  <c r="JE27" i="75"/>
  <c r="JD27" i="75"/>
  <c r="JC27" i="75"/>
  <c r="IW27" i="75"/>
  <c r="IV27" i="75"/>
  <c r="IU27" i="75"/>
  <c r="IT27" i="75"/>
  <c r="IS27" i="75"/>
  <c r="IM27" i="75"/>
  <c r="IL27" i="75"/>
  <c r="IK27" i="75"/>
  <c r="IJ27" i="75"/>
  <c r="II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Q784" i="93"/>
  <c r="A27" i="75"/>
  <c r="MS26" i="75"/>
  <c r="MR26" i="75"/>
  <c r="MQ26" i="75"/>
  <c r="MP26" i="75"/>
  <c r="MO26" i="75"/>
  <c r="MN26" i="75"/>
  <c r="MM26" i="75"/>
  <c r="ML26" i="75"/>
  <c r="MK26" i="75"/>
  <c r="MJ26" i="75"/>
  <c r="MI26" i="75"/>
  <c r="MH26" i="75"/>
  <c r="MG26" i="75"/>
  <c r="MF26" i="75"/>
  <c r="ME26" i="75"/>
  <c r="LE26" i="75"/>
  <c r="LD26" i="75"/>
  <c r="LC26" i="75"/>
  <c r="LB26" i="75"/>
  <c r="LA26" i="75"/>
  <c r="KU26" i="75"/>
  <c r="KT26" i="75"/>
  <c r="KS26" i="75"/>
  <c r="KR26" i="75"/>
  <c r="KQ26" i="75"/>
  <c r="KK26" i="75"/>
  <c r="KJ26" i="75"/>
  <c r="KI26" i="75"/>
  <c r="KH26" i="75"/>
  <c r="KG26" i="75"/>
  <c r="KA26" i="75"/>
  <c r="JZ26" i="75"/>
  <c r="JY26" i="75"/>
  <c r="JX26" i="75"/>
  <c r="JW26" i="75"/>
  <c r="JQ26" i="75"/>
  <c r="JP26" i="75"/>
  <c r="JO26" i="75"/>
  <c r="JN26" i="75"/>
  <c r="JM26" i="75"/>
  <c r="JG26" i="75"/>
  <c r="JF26" i="75"/>
  <c r="JE26" i="75"/>
  <c r="JD26" i="75"/>
  <c r="JC26" i="75"/>
  <c r="IW26" i="75"/>
  <c r="IV26" i="75"/>
  <c r="IU26" i="75"/>
  <c r="IT26" i="75"/>
  <c r="IS26" i="75"/>
  <c r="IM26" i="75"/>
  <c r="IL26" i="75"/>
  <c r="IK26" i="75"/>
  <c r="IJ26" i="75"/>
  <c r="II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Q783" i="93"/>
  <c r="A26" i="75"/>
  <c r="MS25" i="75"/>
  <c r="MR25" i="75"/>
  <c r="MQ25" i="75"/>
  <c r="MP25" i="75"/>
  <c r="MO25" i="75"/>
  <c r="MN25" i="75"/>
  <c r="MM25" i="75"/>
  <c r="ML25" i="75"/>
  <c r="MK25" i="75"/>
  <c r="MJ25" i="75"/>
  <c r="MI25" i="75"/>
  <c r="MH25" i="75"/>
  <c r="MG25" i="75"/>
  <c r="MF25" i="75"/>
  <c r="ME25" i="75"/>
  <c r="LE25" i="75"/>
  <c r="LD25" i="75"/>
  <c r="LC25" i="75"/>
  <c r="LB25" i="75"/>
  <c r="LA25" i="75"/>
  <c r="KU25" i="75"/>
  <c r="KT25" i="75"/>
  <c r="KS25" i="75"/>
  <c r="KR25" i="75"/>
  <c r="KQ25" i="75"/>
  <c r="KK25" i="75"/>
  <c r="KJ25" i="75"/>
  <c r="KI25" i="75"/>
  <c r="KH25" i="75"/>
  <c r="KG25" i="75"/>
  <c r="KA25" i="75"/>
  <c r="JZ25" i="75"/>
  <c r="JY25" i="75"/>
  <c r="JX25" i="75"/>
  <c r="JW25" i="75"/>
  <c r="JQ25" i="75"/>
  <c r="JP25" i="75"/>
  <c r="JO25" i="75"/>
  <c r="JN25" i="75"/>
  <c r="JM25" i="75"/>
  <c r="JG25" i="75"/>
  <c r="JF25" i="75"/>
  <c r="JE25" i="75"/>
  <c r="JD25" i="75"/>
  <c r="JC25" i="75"/>
  <c r="IW25" i="75"/>
  <c r="IV25" i="75"/>
  <c r="IU25" i="75"/>
  <c r="IT25" i="75"/>
  <c r="IS25" i="75"/>
  <c r="IM25" i="75"/>
  <c r="IL25" i="75"/>
  <c r="IK25" i="75"/>
  <c r="IJ25" i="75"/>
  <c r="II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Q782" i="93"/>
  <c r="A25" i="75"/>
  <c r="MS24" i="75"/>
  <c r="MR24" i="75"/>
  <c r="MQ24" i="75"/>
  <c r="MP24" i="75"/>
  <c r="MO24" i="75"/>
  <c r="MN24" i="75"/>
  <c r="MM24" i="75"/>
  <c r="ML24" i="75"/>
  <c r="MK24" i="75"/>
  <c r="MJ24" i="75"/>
  <c r="MI24" i="75"/>
  <c r="MH24" i="75"/>
  <c r="MG24" i="75"/>
  <c r="MF24" i="75"/>
  <c r="ME24" i="75"/>
  <c r="LE24" i="75"/>
  <c r="LD24" i="75"/>
  <c r="LC24" i="75"/>
  <c r="LB24" i="75"/>
  <c r="LA24" i="75"/>
  <c r="KU24" i="75"/>
  <c r="KT24" i="75"/>
  <c r="KS24" i="75"/>
  <c r="KR24" i="75"/>
  <c r="KQ24" i="75"/>
  <c r="KK24" i="75"/>
  <c r="KJ24" i="75"/>
  <c r="KI24" i="75"/>
  <c r="KH24" i="75"/>
  <c r="KG24" i="75"/>
  <c r="KA24" i="75"/>
  <c r="JZ24" i="75"/>
  <c r="JY24" i="75"/>
  <c r="JX24" i="75"/>
  <c r="JW24" i="75"/>
  <c r="JQ24" i="75"/>
  <c r="JP24" i="75"/>
  <c r="JO24" i="75"/>
  <c r="JN24" i="75"/>
  <c r="JM24" i="75"/>
  <c r="JG24" i="75"/>
  <c r="JF24" i="75"/>
  <c r="JE24" i="75"/>
  <c r="JD24" i="75"/>
  <c r="JC24" i="75"/>
  <c r="IW24" i="75"/>
  <c r="IV24" i="75"/>
  <c r="IU24" i="75"/>
  <c r="IT24" i="75"/>
  <c r="IS24" i="75"/>
  <c r="IM24" i="75"/>
  <c r="IL24" i="75"/>
  <c r="IK24" i="75"/>
  <c r="IJ24" i="75"/>
  <c r="II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Q781" i="93"/>
  <c r="A24" i="75"/>
  <c r="MS23" i="75"/>
  <c r="MR23" i="75"/>
  <c r="MQ23" i="75"/>
  <c r="MP23" i="75"/>
  <c r="MO23" i="75"/>
  <c r="MN23" i="75"/>
  <c r="MM23" i="75"/>
  <c r="ML23" i="75"/>
  <c r="MK23" i="75"/>
  <c r="MJ23" i="75"/>
  <c r="MI23" i="75"/>
  <c r="MH23" i="75"/>
  <c r="MG23" i="75"/>
  <c r="MF23" i="75"/>
  <c r="ME23" i="75"/>
  <c r="LE23" i="75"/>
  <c r="LD23" i="75"/>
  <c r="LC23" i="75"/>
  <c r="LB23" i="75"/>
  <c r="LA23" i="75"/>
  <c r="KU23" i="75"/>
  <c r="KT23" i="75"/>
  <c r="KS23" i="75"/>
  <c r="KR23" i="75"/>
  <c r="KQ23" i="75"/>
  <c r="KK23" i="75"/>
  <c r="KJ23" i="75"/>
  <c r="KI23" i="75"/>
  <c r="KH23" i="75"/>
  <c r="KG23" i="75"/>
  <c r="KA23" i="75"/>
  <c r="JZ23" i="75"/>
  <c r="JY23" i="75"/>
  <c r="JX23" i="75"/>
  <c r="JW23" i="75"/>
  <c r="JQ23" i="75"/>
  <c r="JP23" i="75"/>
  <c r="JO23" i="75"/>
  <c r="JN23" i="75"/>
  <c r="JM23" i="75"/>
  <c r="JG23" i="75"/>
  <c r="JF23" i="75"/>
  <c r="JE23" i="75"/>
  <c r="JD23" i="75"/>
  <c r="JC23" i="75"/>
  <c r="IW23" i="75"/>
  <c r="IV23" i="75"/>
  <c r="IU23" i="75"/>
  <c r="IT23" i="75"/>
  <c r="IS23" i="75"/>
  <c r="IM23" i="75"/>
  <c r="IL23" i="75"/>
  <c r="IK23" i="75"/>
  <c r="IJ23" i="75"/>
  <c r="II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Q780" i="93"/>
  <c r="A23" i="75"/>
  <c r="MS22" i="75"/>
  <c r="MR22" i="75"/>
  <c r="MQ22" i="75"/>
  <c r="MP22" i="75"/>
  <c r="MO22" i="75"/>
  <c r="MN22" i="75"/>
  <c r="MM22" i="75"/>
  <c r="ML22" i="75"/>
  <c r="MK22" i="75"/>
  <c r="MJ22" i="75"/>
  <c r="MI22" i="75"/>
  <c r="MH22" i="75"/>
  <c r="MG22" i="75"/>
  <c r="MF22" i="75"/>
  <c r="ME22" i="75"/>
  <c r="LE22" i="75"/>
  <c r="LD22" i="75"/>
  <c r="LC22" i="75"/>
  <c r="LB22" i="75"/>
  <c r="LA22" i="75"/>
  <c r="KU22" i="75"/>
  <c r="KT22" i="75"/>
  <c r="KS22" i="75"/>
  <c r="KR22" i="75"/>
  <c r="KQ22" i="75"/>
  <c r="KK22" i="75"/>
  <c r="KJ22" i="75"/>
  <c r="KI22" i="75"/>
  <c r="KH22" i="75"/>
  <c r="KG22" i="75"/>
  <c r="KA22" i="75"/>
  <c r="JZ22" i="75"/>
  <c r="JY22" i="75"/>
  <c r="JX22" i="75"/>
  <c r="JW22" i="75"/>
  <c r="JQ22" i="75"/>
  <c r="JP22" i="75"/>
  <c r="JO22" i="75"/>
  <c r="JN22" i="75"/>
  <c r="JM22" i="75"/>
  <c r="JG22" i="75"/>
  <c r="JF22" i="75"/>
  <c r="JE22" i="75"/>
  <c r="JD22" i="75"/>
  <c r="JC22" i="75"/>
  <c r="IW22" i="75"/>
  <c r="IV22" i="75"/>
  <c r="IU22" i="75"/>
  <c r="IT22" i="75"/>
  <c r="IS22" i="75"/>
  <c r="IM22" i="75"/>
  <c r="IL22" i="75"/>
  <c r="IK22" i="75"/>
  <c r="IJ22" i="75"/>
  <c r="II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Q779" i="93"/>
  <c r="A22" i="75"/>
  <c r="MS21" i="75"/>
  <c r="MR21" i="75"/>
  <c r="MQ21" i="75"/>
  <c r="MP21" i="75"/>
  <c r="MO21" i="75"/>
  <c r="MN21" i="75"/>
  <c r="MM21" i="75"/>
  <c r="ML21" i="75"/>
  <c r="MK21" i="75"/>
  <c r="MJ21" i="75"/>
  <c r="MI21" i="75"/>
  <c r="MH21" i="75"/>
  <c r="MG21" i="75"/>
  <c r="MF21" i="75"/>
  <c r="ME21" i="75"/>
  <c r="LE21" i="75"/>
  <c r="LD21" i="75"/>
  <c r="LC21" i="75"/>
  <c r="LB21" i="75"/>
  <c r="LA21" i="75"/>
  <c r="KU21" i="75"/>
  <c r="KT21" i="75"/>
  <c r="KS21" i="75"/>
  <c r="KR21" i="75"/>
  <c r="KQ21" i="75"/>
  <c r="KK21" i="75"/>
  <c r="KJ21" i="75"/>
  <c r="KI21" i="75"/>
  <c r="KH21" i="75"/>
  <c r="KG21" i="75"/>
  <c r="KA21" i="75"/>
  <c r="JZ21" i="75"/>
  <c r="JY21" i="75"/>
  <c r="JX21" i="75"/>
  <c r="JW21" i="75"/>
  <c r="JQ21" i="75"/>
  <c r="JP21" i="75"/>
  <c r="JO21" i="75"/>
  <c r="JN21" i="75"/>
  <c r="JM21" i="75"/>
  <c r="JG21" i="75"/>
  <c r="JF21" i="75"/>
  <c r="JE21" i="75"/>
  <c r="JD21" i="75"/>
  <c r="JC21" i="75"/>
  <c r="IW21" i="75"/>
  <c r="IV21" i="75"/>
  <c r="IU21" i="75"/>
  <c r="IT21" i="75"/>
  <c r="IS21" i="75"/>
  <c r="IM21" i="75"/>
  <c r="IL21" i="75"/>
  <c r="IK21" i="75"/>
  <c r="IJ21" i="75"/>
  <c r="II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Q778" i="93"/>
  <c r="A21" i="75"/>
  <c r="MS20" i="75"/>
  <c r="MR20" i="75"/>
  <c r="MQ20" i="75"/>
  <c r="MP20" i="75"/>
  <c r="MO20" i="75"/>
  <c r="MN20" i="75"/>
  <c r="MM20" i="75"/>
  <c r="ML20" i="75"/>
  <c r="MK20" i="75"/>
  <c r="MJ20" i="75"/>
  <c r="MI20" i="75"/>
  <c r="MH20" i="75"/>
  <c r="MG20" i="75"/>
  <c r="MF20" i="75"/>
  <c r="ME20" i="75"/>
  <c r="LE20" i="75"/>
  <c r="LD20" i="75"/>
  <c r="LC20" i="75"/>
  <c r="LB20" i="75"/>
  <c r="LA20" i="75"/>
  <c r="KU20" i="75"/>
  <c r="KT20" i="75"/>
  <c r="KS20" i="75"/>
  <c r="KR20" i="75"/>
  <c r="KQ20" i="75"/>
  <c r="KK20" i="75"/>
  <c r="KJ20" i="75"/>
  <c r="KI20" i="75"/>
  <c r="KH20" i="75"/>
  <c r="KG20" i="75"/>
  <c r="KA20" i="75"/>
  <c r="JZ20" i="75"/>
  <c r="JY20" i="75"/>
  <c r="JX20" i="75"/>
  <c r="JW20" i="75"/>
  <c r="JQ20" i="75"/>
  <c r="JP20" i="75"/>
  <c r="JO20" i="75"/>
  <c r="JN20" i="75"/>
  <c r="JM20" i="75"/>
  <c r="JG20" i="75"/>
  <c r="JF20" i="75"/>
  <c r="JE20" i="75"/>
  <c r="JD20" i="75"/>
  <c r="JC20" i="75"/>
  <c r="IW20" i="75"/>
  <c r="IV20" i="75"/>
  <c r="IU20" i="75"/>
  <c r="IT20" i="75"/>
  <c r="IS20" i="75"/>
  <c r="IM20" i="75"/>
  <c r="IL20" i="75"/>
  <c r="IK20" i="75"/>
  <c r="IJ20" i="75"/>
  <c r="II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Q777" i="93"/>
  <c r="A20" i="75"/>
  <c r="MS19" i="75"/>
  <c r="MR19" i="75"/>
  <c r="MQ19" i="75"/>
  <c r="MP19" i="75"/>
  <c r="MO19" i="75"/>
  <c r="MN19" i="75"/>
  <c r="MM19" i="75"/>
  <c r="ML19" i="75"/>
  <c r="MK19" i="75"/>
  <c r="MJ19" i="75"/>
  <c r="MI19" i="75"/>
  <c r="MH19" i="75"/>
  <c r="MG19" i="75"/>
  <c r="MF19" i="75"/>
  <c r="ME19" i="75"/>
  <c r="LE19" i="75"/>
  <c r="LD19" i="75"/>
  <c r="LC19" i="75"/>
  <c r="LB19" i="75"/>
  <c r="LA19" i="75"/>
  <c r="KU19" i="75"/>
  <c r="KT19" i="75"/>
  <c r="KS19" i="75"/>
  <c r="KR19" i="75"/>
  <c r="KQ19" i="75"/>
  <c r="KK19" i="75"/>
  <c r="KJ19" i="75"/>
  <c r="KI19" i="75"/>
  <c r="KH19" i="75"/>
  <c r="KG19" i="75"/>
  <c r="KA19" i="75"/>
  <c r="JZ19" i="75"/>
  <c r="JY19" i="75"/>
  <c r="JX19" i="75"/>
  <c r="JW19" i="75"/>
  <c r="JQ19" i="75"/>
  <c r="JP19" i="75"/>
  <c r="JO19" i="75"/>
  <c r="JN19" i="75"/>
  <c r="JM19" i="75"/>
  <c r="JG19" i="75"/>
  <c r="JF19" i="75"/>
  <c r="JE19" i="75"/>
  <c r="JD19" i="75"/>
  <c r="JC19" i="75"/>
  <c r="IW19" i="75"/>
  <c r="IV19" i="75"/>
  <c r="IU19" i="75"/>
  <c r="IT19" i="75"/>
  <c r="IS19" i="75"/>
  <c r="IM19" i="75"/>
  <c r="IL19" i="75"/>
  <c r="IK19" i="75"/>
  <c r="IJ19" i="75"/>
  <c r="II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Q776" i="93"/>
  <c r="A19" i="75"/>
  <c r="MS18" i="75"/>
  <c r="MR18" i="75"/>
  <c r="MQ18" i="75"/>
  <c r="MP18" i="75"/>
  <c r="MO18" i="75"/>
  <c r="MN18" i="75"/>
  <c r="MM18" i="75"/>
  <c r="ML18" i="75"/>
  <c r="MK18" i="75"/>
  <c r="MJ18" i="75"/>
  <c r="MI18" i="75"/>
  <c r="MH18" i="75"/>
  <c r="MG18" i="75"/>
  <c r="MF18" i="75"/>
  <c r="ME18" i="75"/>
  <c r="LE18" i="75"/>
  <c r="LD18" i="75"/>
  <c r="LC18" i="75"/>
  <c r="LB18" i="75"/>
  <c r="LA18" i="75"/>
  <c r="KU18" i="75"/>
  <c r="KT18" i="75"/>
  <c r="KS18" i="75"/>
  <c r="KR18" i="75"/>
  <c r="KQ18" i="75"/>
  <c r="KK18" i="75"/>
  <c r="KJ18" i="75"/>
  <c r="KI18" i="75"/>
  <c r="KH18" i="75"/>
  <c r="KG18" i="75"/>
  <c r="KA18" i="75"/>
  <c r="JZ18" i="75"/>
  <c r="JY18" i="75"/>
  <c r="JX18" i="75"/>
  <c r="JW18" i="75"/>
  <c r="JQ18" i="75"/>
  <c r="JP18" i="75"/>
  <c r="JO18" i="75"/>
  <c r="JN18" i="75"/>
  <c r="JM18" i="75"/>
  <c r="JG18" i="75"/>
  <c r="JF18" i="75"/>
  <c r="JE18" i="75"/>
  <c r="JD18" i="75"/>
  <c r="JC18" i="75"/>
  <c r="IW18" i="75"/>
  <c r="IV18" i="75"/>
  <c r="IU18" i="75"/>
  <c r="IT18" i="75"/>
  <c r="IS18" i="75"/>
  <c r="IM18" i="75"/>
  <c r="IL18" i="75"/>
  <c r="IK18" i="75"/>
  <c r="IJ18" i="75"/>
  <c r="II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Q775" i="93"/>
  <c r="A18" i="75"/>
  <c r="MS17" i="75"/>
  <c r="MR17" i="75"/>
  <c r="MQ17" i="75"/>
  <c r="MP17" i="75"/>
  <c r="MO17" i="75"/>
  <c r="MN17" i="75"/>
  <c r="MM17" i="75"/>
  <c r="ML17" i="75"/>
  <c r="MK17" i="75"/>
  <c r="MJ17" i="75"/>
  <c r="MI17" i="75"/>
  <c r="MH17" i="75"/>
  <c r="MG17" i="75"/>
  <c r="MF17" i="75"/>
  <c r="ME17" i="75"/>
  <c r="LE17" i="75"/>
  <c r="LD17" i="75"/>
  <c r="LC17" i="75"/>
  <c r="LB17" i="75"/>
  <c r="LA17" i="75"/>
  <c r="KU17" i="75"/>
  <c r="KT17" i="75"/>
  <c r="KS17" i="75"/>
  <c r="KR17" i="75"/>
  <c r="KQ17" i="75"/>
  <c r="KK17" i="75"/>
  <c r="KJ17" i="75"/>
  <c r="KI17" i="75"/>
  <c r="KH17" i="75"/>
  <c r="KG17" i="75"/>
  <c r="KA17" i="75"/>
  <c r="JZ17" i="75"/>
  <c r="JY17" i="75"/>
  <c r="JX17" i="75"/>
  <c r="JW17" i="75"/>
  <c r="JQ17" i="75"/>
  <c r="JP17" i="75"/>
  <c r="JO17" i="75"/>
  <c r="JN17" i="75"/>
  <c r="JM17" i="75"/>
  <c r="JG17" i="75"/>
  <c r="JF17" i="75"/>
  <c r="JE17" i="75"/>
  <c r="JD17" i="75"/>
  <c r="JC17" i="75"/>
  <c r="IW17" i="75"/>
  <c r="IV17" i="75"/>
  <c r="IU17" i="75"/>
  <c r="IT17" i="75"/>
  <c r="IS17" i="75"/>
  <c r="IM17" i="75"/>
  <c r="IL17" i="75"/>
  <c r="IK17" i="75"/>
  <c r="IJ17" i="75"/>
  <c r="II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Q774" i="93"/>
  <c r="A17" i="75"/>
  <c r="MS16" i="75"/>
  <c r="MR16" i="75"/>
  <c r="MQ16" i="75"/>
  <c r="MP16" i="75"/>
  <c r="MO16" i="75"/>
  <c r="MN16" i="75"/>
  <c r="MM16" i="75"/>
  <c r="ML16" i="75"/>
  <c r="MK16" i="75"/>
  <c r="MJ16" i="75"/>
  <c r="MI16" i="75"/>
  <c r="MH16" i="75"/>
  <c r="MG16" i="75"/>
  <c r="MF16" i="75"/>
  <c r="ME16" i="75"/>
  <c r="LE16" i="75"/>
  <c r="LD16" i="75"/>
  <c r="LC16" i="75"/>
  <c r="LB16" i="75"/>
  <c r="LA16" i="75"/>
  <c r="KU16" i="75"/>
  <c r="KT16" i="75"/>
  <c r="KS16" i="75"/>
  <c r="KR16" i="75"/>
  <c r="KQ16" i="75"/>
  <c r="KK16" i="75"/>
  <c r="KJ16" i="75"/>
  <c r="KI16" i="75"/>
  <c r="KH16" i="75"/>
  <c r="KG16" i="75"/>
  <c r="KA16" i="75"/>
  <c r="JZ16" i="75"/>
  <c r="JY16" i="75"/>
  <c r="JX16" i="75"/>
  <c r="JW16" i="75"/>
  <c r="JQ16" i="75"/>
  <c r="JP16" i="75"/>
  <c r="JO16" i="75"/>
  <c r="JN16" i="75"/>
  <c r="JM16" i="75"/>
  <c r="JG16" i="75"/>
  <c r="JF16" i="75"/>
  <c r="JE16" i="75"/>
  <c r="JD16" i="75"/>
  <c r="JC16" i="75"/>
  <c r="IW16" i="75"/>
  <c r="IV16" i="75"/>
  <c r="IU16" i="75"/>
  <c r="IT16" i="75"/>
  <c r="IS16" i="75"/>
  <c r="IM16" i="75"/>
  <c r="IL16" i="75"/>
  <c r="IK16" i="75"/>
  <c r="IJ16" i="75"/>
  <c r="II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Q773" i="93"/>
  <c r="A16" i="75"/>
  <c r="MS15" i="75"/>
  <c r="MR15" i="75"/>
  <c r="MQ15" i="75"/>
  <c r="MP15" i="75"/>
  <c r="MO15" i="75"/>
  <c r="MN15" i="75"/>
  <c r="MM15" i="75"/>
  <c r="ML15" i="75"/>
  <c r="MK15" i="75"/>
  <c r="MJ15" i="75"/>
  <c r="MI15" i="75"/>
  <c r="MH15" i="75"/>
  <c r="MG15" i="75"/>
  <c r="MF15" i="75"/>
  <c r="ME15" i="75"/>
  <c r="LE15" i="75"/>
  <c r="LD15" i="75"/>
  <c r="LC15" i="75"/>
  <c r="LB15" i="75"/>
  <c r="LA15" i="75"/>
  <c r="KU15" i="75"/>
  <c r="KT15" i="75"/>
  <c r="KS15" i="75"/>
  <c r="KR15" i="75"/>
  <c r="KQ15" i="75"/>
  <c r="KK15" i="75"/>
  <c r="KJ15" i="75"/>
  <c r="KI15" i="75"/>
  <c r="KH15" i="75"/>
  <c r="KG15" i="75"/>
  <c r="KA15" i="75"/>
  <c r="JZ15" i="75"/>
  <c r="JY15" i="75"/>
  <c r="JX15" i="75"/>
  <c r="JW15" i="75"/>
  <c r="JQ15" i="75"/>
  <c r="JP15" i="75"/>
  <c r="JO15" i="75"/>
  <c r="JN15" i="75"/>
  <c r="JM15" i="75"/>
  <c r="JG15" i="75"/>
  <c r="JF15" i="75"/>
  <c r="JE15" i="75"/>
  <c r="JD15" i="75"/>
  <c r="JC15" i="75"/>
  <c r="IW15" i="75"/>
  <c r="IV15" i="75"/>
  <c r="IU15" i="75"/>
  <c r="IT15" i="75"/>
  <c r="IS15" i="75"/>
  <c r="IM15" i="75"/>
  <c r="IL15" i="75"/>
  <c r="IK15" i="75"/>
  <c r="IJ15" i="75"/>
  <c r="II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Q772" i="93"/>
  <c r="A15" i="75"/>
  <c r="MS14" i="75"/>
  <c r="MR14" i="75"/>
  <c r="MQ14" i="75"/>
  <c r="MP14" i="75"/>
  <c r="MO14" i="75"/>
  <c r="MN14" i="75"/>
  <c r="MM14" i="75"/>
  <c r="ML14" i="75"/>
  <c r="MK14" i="75"/>
  <c r="MJ14" i="75"/>
  <c r="MI14" i="75"/>
  <c r="MH14" i="75"/>
  <c r="MG14" i="75"/>
  <c r="MF14" i="75"/>
  <c r="ME14" i="75"/>
  <c r="LE14" i="75"/>
  <c r="LD14" i="75"/>
  <c r="LC14" i="75"/>
  <c r="LB14" i="75"/>
  <c r="LA14" i="75"/>
  <c r="KU14" i="75"/>
  <c r="KT14" i="75"/>
  <c r="KS14" i="75"/>
  <c r="KR14" i="75"/>
  <c r="KQ14" i="75"/>
  <c r="KK14" i="75"/>
  <c r="KJ14" i="75"/>
  <c r="KI14" i="75"/>
  <c r="KH14" i="75"/>
  <c r="KG14" i="75"/>
  <c r="KA14" i="75"/>
  <c r="JZ14" i="75"/>
  <c r="JY14" i="75"/>
  <c r="JX14" i="75"/>
  <c r="JW14" i="75"/>
  <c r="JQ14" i="75"/>
  <c r="JP14" i="75"/>
  <c r="JO14" i="75"/>
  <c r="JN14" i="75"/>
  <c r="JM14" i="75"/>
  <c r="JG14" i="75"/>
  <c r="JF14" i="75"/>
  <c r="JE14" i="75"/>
  <c r="JD14" i="75"/>
  <c r="JC14" i="75"/>
  <c r="IW14" i="75"/>
  <c r="IV14" i="75"/>
  <c r="IU14" i="75"/>
  <c r="IT14" i="75"/>
  <c r="IS14" i="75"/>
  <c r="IM14" i="75"/>
  <c r="IL14" i="75"/>
  <c r="IK14" i="75"/>
  <c r="IJ14" i="75"/>
  <c r="II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Q771" i="93"/>
  <c r="A14" i="75"/>
  <c r="MS13" i="75"/>
  <c r="MR13" i="75"/>
  <c r="MQ13" i="75"/>
  <c r="MP13" i="75"/>
  <c r="MO13" i="75"/>
  <c r="MN13" i="75"/>
  <c r="MM13" i="75"/>
  <c r="ML13" i="75"/>
  <c r="MK13" i="75"/>
  <c r="MJ13" i="75"/>
  <c r="MI13" i="75"/>
  <c r="MH13" i="75"/>
  <c r="MG13" i="75"/>
  <c r="MF13" i="75"/>
  <c r="ME13" i="75"/>
  <c r="LE13" i="75"/>
  <c r="LD13" i="75"/>
  <c r="LC13" i="75"/>
  <c r="LB13" i="75"/>
  <c r="LA13" i="75"/>
  <c r="KU13" i="75"/>
  <c r="KT13" i="75"/>
  <c r="KS13" i="75"/>
  <c r="KR13" i="75"/>
  <c r="KQ13" i="75"/>
  <c r="KK13" i="75"/>
  <c r="KJ13" i="75"/>
  <c r="KI13" i="75"/>
  <c r="KH13" i="75"/>
  <c r="KG13" i="75"/>
  <c r="KA13" i="75"/>
  <c r="JZ13" i="75"/>
  <c r="JY13" i="75"/>
  <c r="JX13" i="75"/>
  <c r="JW13" i="75"/>
  <c r="JQ13" i="75"/>
  <c r="JP13" i="75"/>
  <c r="JO13" i="75"/>
  <c r="JN13" i="75"/>
  <c r="JM13" i="75"/>
  <c r="JG13" i="75"/>
  <c r="JF13" i="75"/>
  <c r="JE13" i="75"/>
  <c r="JD13" i="75"/>
  <c r="JC13" i="75"/>
  <c r="IW13" i="75"/>
  <c r="IV13" i="75"/>
  <c r="IU13" i="75"/>
  <c r="IT13" i="75"/>
  <c r="IS13" i="75"/>
  <c r="IM13" i="75"/>
  <c r="IL13" i="75"/>
  <c r="IK13" i="75"/>
  <c r="IJ13" i="75"/>
  <c r="II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A13" i="75"/>
  <c r="MS12" i="75"/>
  <c r="MR12" i="75"/>
  <c r="MQ12" i="75"/>
  <c r="MP12" i="75"/>
  <c r="MO12" i="75"/>
  <c r="MN12" i="75"/>
  <c r="MM12" i="75"/>
  <c r="ML12" i="75"/>
  <c r="MK12" i="75"/>
  <c r="MJ12" i="75"/>
  <c r="MI12" i="75"/>
  <c r="MH12" i="75"/>
  <c r="MG12" i="75"/>
  <c r="MF12" i="75"/>
  <c r="ME12" i="75"/>
  <c r="LE12" i="75"/>
  <c r="LD12" i="75"/>
  <c r="LC12" i="75"/>
  <c r="LB12" i="75"/>
  <c r="LA12" i="75"/>
  <c r="KU12" i="75"/>
  <c r="KT12" i="75"/>
  <c r="KS12" i="75"/>
  <c r="KR12" i="75"/>
  <c r="KQ12" i="75"/>
  <c r="KK12" i="75"/>
  <c r="KJ12" i="75"/>
  <c r="KI12" i="75"/>
  <c r="KH12" i="75"/>
  <c r="KG12" i="75"/>
  <c r="KA12" i="75"/>
  <c r="JZ12" i="75"/>
  <c r="JY12" i="75"/>
  <c r="JX12" i="75"/>
  <c r="JW12" i="75"/>
  <c r="JQ12" i="75"/>
  <c r="JP12" i="75"/>
  <c r="JO12" i="75"/>
  <c r="JN12" i="75"/>
  <c r="JM12" i="75"/>
  <c r="JG12" i="75"/>
  <c r="JF12" i="75"/>
  <c r="JE12" i="75"/>
  <c r="JD12" i="75"/>
  <c r="JC12" i="75"/>
  <c r="IW12" i="75"/>
  <c r="IV12" i="75"/>
  <c r="IU12" i="75"/>
  <c r="IT12" i="75"/>
  <c r="IS12" i="75"/>
  <c r="IM12" i="75"/>
  <c r="IL12" i="75"/>
  <c r="IK12" i="75"/>
  <c r="IJ12" i="75"/>
  <c r="II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A12" i="75"/>
  <c r="MS11" i="75"/>
  <c r="MR11" i="75"/>
  <c r="MQ11" i="75"/>
  <c r="MP11" i="75"/>
  <c r="MO11" i="75"/>
  <c r="MN11" i="75"/>
  <c r="MM11" i="75"/>
  <c r="ML11" i="75"/>
  <c r="MK11" i="75"/>
  <c r="MJ11" i="75"/>
  <c r="MI11" i="75"/>
  <c r="MH11" i="75"/>
  <c r="MG11" i="75"/>
  <c r="MF11" i="75"/>
  <c r="ME11" i="75"/>
  <c r="LE11" i="75"/>
  <c r="LD11" i="75"/>
  <c r="LC11" i="75"/>
  <c r="LB11" i="75"/>
  <c r="LA11" i="75"/>
  <c r="KU11" i="75"/>
  <c r="KT11" i="75"/>
  <c r="KS11" i="75"/>
  <c r="KR11" i="75"/>
  <c r="KQ11" i="75"/>
  <c r="KK11" i="75"/>
  <c r="KJ11" i="75"/>
  <c r="KI11" i="75"/>
  <c r="KH11" i="75"/>
  <c r="KG11" i="75"/>
  <c r="KA11" i="75"/>
  <c r="JZ11" i="75"/>
  <c r="JY11" i="75"/>
  <c r="JX11" i="75"/>
  <c r="JW11" i="75"/>
  <c r="JQ11" i="75"/>
  <c r="JP11" i="75"/>
  <c r="JO11" i="75"/>
  <c r="JN11" i="75"/>
  <c r="JM11" i="75"/>
  <c r="JG11" i="75"/>
  <c r="JF11" i="75"/>
  <c r="JE11" i="75"/>
  <c r="JD11" i="75"/>
  <c r="JC11" i="75"/>
  <c r="IW11" i="75"/>
  <c r="IV11" i="75"/>
  <c r="IU11" i="75"/>
  <c r="IT11" i="75"/>
  <c r="IS11" i="75"/>
  <c r="IM11" i="75"/>
  <c r="IL11" i="75"/>
  <c r="IK11" i="75"/>
  <c r="IJ11" i="75"/>
  <c r="II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Q768" i="93"/>
  <c r="A11" i="75"/>
  <c r="MS10" i="75"/>
  <c r="MR10" i="75"/>
  <c r="MQ10" i="75"/>
  <c r="MP10" i="75"/>
  <c r="MO10" i="75"/>
  <c r="MN10" i="75"/>
  <c r="MM10" i="75"/>
  <c r="ML10" i="75"/>
  <c r="MK10" i="75"/>
  <c r="MJ10" i="75"/>
  <c r="MI10" i="75"/>
  <c r="MH10" i="75"/>
  <c r="MG10" i="75"/>
  <c r="MF10" i="75"/>
  <c r="ME10" i="75"/>
  <c r="LE10" i="75"/>
  <c r="LD10" i="75"/>
  <c r="LC10" i="75"/>
  <c r="LB10" i="75"/>
  <c r="LA10" i="75"/>
  <c r="KU10" i="75"/>
  <c r="KT10" i="75"/>
  <c r="KS10" i="75"/>
  <c r="KR10" i="75"/>
  <c r="KQ10" i="75"/>
  <c r="KK10" i="75"/>
  <c r="KJ10" i="75"/>
  <c r="KI10" i="75"/>
  <c r="KH10" i="75"/>
  <c r="KG10" i="75"/>
  <c r="KA10" i="75"/>
  <c r="JZ10" i="75"/>
  <c r="JY10" i="75"/>
  <c r="JX10" i="75"/>
  <c r="JW10" i="75"/>
  <c r="JQ10" i="75"/>
  <c r="JP10" i="75"/>
  <c r="JO10" i="75"/>
  <c r="JN10" i="75"/>
  <c r="JM10" i="75"/>
  <c r="JG10" i="75"/>
  <c r="JF10" i="75"/>
  <c r="JE10" i="75"/>
  <c r="JD10" i="75"/>
  <c r="JC10" i="75"/>
  <c r="IW10" i="75"/>
  <c r="IV10" i="75"/>
  <c r="IU10" i="75"/>
  <c r="IT10" i="75"/>
  <c r="IS10" i="75"/>
  <c r="IM10" i="75"/>
  <c r="IL10" i="75"/>
  <c r="IK10" i="75"/>
  <c r="IJ10" i="75"/>
  <c r="II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Q10" i="75"/>
  <c r="Q772" i="94" s="1"/>
  <c r="A10" i="75"/>
  <c r="M39" i="76"/>
  <c r="L39" i="76"/>
  <c r="K39" i="76"/>
  <c r="J39" i="76"/>
  <c r="I39" i="76"/>
  <c r="M22" i="76"/>
  <c r="I20" i="75" s="1"/>
  <c r="L22" i="76"/>
  <c r="I19" i="75" s="1"/>
  <c r="K22" i="76"/>
  <c r="I18" i="75" s="1"/>
  <c r="J22" i="76"/>
  <c r="I22" i="76"/>
  <c r="J166" i="78"/>
  <c r="W161" i="78"/>
  <c r="W148" i="78"/>
  <c r="V146" i="78"/>
  <c r="P146" i="78"/>
  <c r="P150" i="78"/>
  <c r="J146" i="78"/>
  <c r="J150" i="78" s="1"/>
  <c r="W138" i="78"/>
  <c r="W137" i="78"/>
  <c r="V130" i="78"/>
  <c r="S130" i="78"/>
  <c r="P130" i="78"/>
  <c r="M130" i="78"/>
  <c r="J130" i="78"/>
  <c r="U129" i="78"/>
  <c r="A129" i="78"/>
  <c r="W127" i="78"/>
  <c r="O127" i="78"/>
  <c r="V126" i="78"/>
  <c r="S126" i="78"/>
  <c r="P126" i="78"/>
  <c r="M126" i="78"/>
  <c r="J126" i="78"/>
  <c r="U125" i="78"/>
  <c r="A125" i="78"/>
  <c r="J122" i="78"/>
  <c r="J121" i="78"/>
  <c r="W119" i="78"/>
  <c r="O119" i="78"/>
  <c r="V118" i="78"/>
  <c r="S118" i="78"/>
  <c r="P118" i="78"/>
  <c r="M118" i="78"/>
  <c r="J118"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P83" i="78"/>
  <c r="M83" i="78"/>
  <c r="J83" i="78"/>
  <c r="W78" i="78"/>
  <c r="O78" i="78"/>
  <c r="V77" i="78"/>
  <c r="S77" i="78"/>
  <c r="P77" i="78"/>
  <c r="M77" i="78"/>
  <c r="J77" i="78"/>
  <c r="U76" i="78"/>
  <c r="A76" i="78"/>
  <c r="W65" i="78"/>
  <c r="O65" i="78"/>
  <c r="V64" i="78"/>
  <c r="S64" i="78"/>
  <c r="P64" i="78"/>
  <c r="M64" i="78"/>
  <c r="J64" i="78"/>
  <c r="U63" i="78"/>
  <c r="A63" i="78"/>
  <c r="U62" i="78"/>
  <c r="A62" i="78"/>
  <c r="W51" i="78"/>
  <c r="O51" i="78"/>
  <c r="W49" i="78"/>
  <c r="W46" i="78"/>
  <c r="O46" i="78"/>
  <c r="W40" i="78"/>
  <c r="O40" i="78"/>
  <c r="V38" i="78"/>
  <c r="S38" i="78"/>
  <c r="P38" i="78"/>
  <c r="M38" i="78"/>
  <c r="J38" i="78"/>
  <c r="W34" i="78"/>
  <c r="O34" i="78"/>
  <c r="V33" i="78"/>
  <c r="S33" i="78"/>
  <c r="P33" i="78"/>
  <c r="M33" i="78"/>
  <c r="J33" i="78"/>
  <c r="W28" i="78"/>
  <c r="O28" i="78"/>
  <c r="V27" i="78"/>
  <c r="S27" i="78"/>
  <c r="P27" i="78"/>
  <c r="P132" i="78" s="1"/>
  <c r="M27" i="78"/>
  <c r="J27" i="78"/>
  <c r="W24" i="78"/>
  <c r="O24" i="78"/>
  <c r="V23" i="78"/>
  <c r="S23" i="78"/>
  <c r="M23" i="78"/>
  <c r="W18" i="78"/>
  <c r="O18" i="78"/>
  <c r="S17" i="78"/>
  <c r="P17" i="78"/>
  <c r="M17" i="78"/>
  <c r="M132" i="78" s="1"/>
  <c r="M149" i="78" s="1"/>
  <c r="M151" i="78" s="1"/>
  <c r="M153" i="78" s="1"/>
  <c r="J17" i="78"/>
  <c r="U16" i="78"/>
  <c r="A16" i="78"/>
  <c r="U15" i="78"/>
  <c r="A15" i="78"/>
  <c r="U14" i="78"/>
  <c r="A14" i="78"/>
  <c r="W7" i="78"/>
  <c r="O7" i="78"/>
  <c r="V5" i="78"/>
  <c r="S35" i="68"/>
  <c r="L31" i="68"/>
  <c r="S17" i="68"/>
  <c r="S3" i="68"/>
  <c r="L152" i="67"/>
  <c r="P178" i="66"/>
  <c r="H76" i="66"/>
  <c r="H13" i="84" s="1"/>
  <c r="L38" i="66"/>
  <c r="Q767" i="93"/>
  <c r="N66" i="93"/>
  <c r="N77" i="94"/>
  <c r="P316" i="72"/>
  <c r="P1857" i="93" s="1"/>
  <c r="R794" i="93"/>
  <c r="R771" i="93"/>
  <c r="R803" i="93"/>
  <c r="R780" i="93"/>
  <c r="R788" i="93"/>
  <c r="R796" i="93"/>
  <c r="R786" i="93"/>
  <c r="R773" i="93"/>
  <c r="R782" i="93"/>
  <c r="R790" i="93"/>
  <c r="R798" i="93"/>
  <c r="R791" i="93"/>
  <c r="R784" i="93"/>
  <c r="R792" i="93"/>
  <c r="R800" i="93"/>
  <c r="R802" i="93"/>
  <c r="R801" i="93"/>
  <c r="D122" i="74"/>
  <c r="D129" i="74" s="1"/>
  <c r="D1144" i="94" s="1"/>
  <c r="N403" i="93"/>
  <c r="R13" i="75"/>
  <c r="Q770" i="93"/>
  <c r="G55" i="84"/>
  <c r="E55" i="84"/>
  <c r="I55" i="84"/>
  <c r="K55" i="84"/>
  <c r="B53" i="82"/>
  <c r="B984" i="93"/>
  <c r="T1727" i="93"/>
  <c r="A2011" i="93"/>
  <c r="T1729" i="93"/>
  <c r="F1910" i="93"/>
  <c r="A364" i="93"/>
  <c r="I712" i="93"/>
  <c r="A623" i="93"/>
  <c r="O1974" i="93"/>
  <c r="P66" i="93"/>
  <c r="F120" i="74"/>
  <c r="N401" i="93"/>
  <c r="J60" i="74"/>
  <c r="N402" i="93"/>
  <c r="R12" i="75"/>
  <c r="R774" i="94"/>
  <c r="Q769" i="93"/>
  <c r="E1595" i="93"/>
  <c r="O1968" i="93"/>
  <c r="A839" i="93"/>
  <c r="A3" i="93"/>
  <c r="J50" i="93"/>
  <c r="C43" i="90"/>
  <c r="H8" i="84"/>
  <c r="F14" i="85" s="1"/>
  <c r="A3" i="83" s="1"/>
  <c r="F92" i="74"/>
  <c r="C58" i="74"/>
  <c r="K58" i="74"/>
  <c r="F58" i="74"/>
  <c r="F1010" i="93" s="1"/>
  <c r="F1018" i="93" s="1"/>
  <c r="D59" i="74"/>
  <c r="B90" i="74"/>
  <c r="B1040" i="93" s="1"/>
  <c r="B1047" i="93" s="1"/>
  <c r="J90" i="74"/>
  <c r="J92" i="74"/>
  <c r="D120" i="74"/>
  <c r="G90" i="74"/>
  <c r="C120" i="74"/>
  <c r="G58" i="74"/>
  <c r="B60" i="74"/>
  <c r="C90" i="74"/>
  <c r="C1040" i="93" s="1"/>
  <c r="K90" i="74"/>
  <c r="E122" i="74"/>
  <c r="B58" i="74"/>
  <c r="J58" i="74"/>
  <c r="J66" i="74" s="1"/>
  <c r="J1081" i="94" s="1"/>
  <c r="F60" i="74"/>
  <c r="F90" i="74"/>
  <c r="F1040" i="93" s="1"/>
  <c r="F1047" i="93" s="1"/>
  <c r="B92" i="74"/>
  <c r="P92" i="72"/>
  <c r="P1638" i="93" s="1"/>
  <c r="F36" i="78"/>
  <c r="N54" i="66"/>
  <c r="Q55" i="73"/>
  <c r="P42" i="73"/>
  <c r="P1136" i="93" s="1"/>
  <c r="O40" i="66"/>
  <c r="P55" i="73"/>
  <c r="L440" i="72"/>
  <c r="A1" i="66"/>
  <c r="N40" i="66"/>
  <c r="N51" i="93" s="1"/>
  <c r="M307" i="73"/>
  <c r="M1397" i="93"/>
  <c r="L1397" i="93" s="1"/>
  <c r="A111" i="75"/>
  <c r="O426" i="72"/>
  <c r="P54" i="66"/>
  <c r="A1" i="72"/>
  <c r="E36" i="78"/>
  <c r="A1" i="74"/>
  <c r="N1" i="74" s="1"/>
  <c r="A3" i="79"/>
  <c r="A1" i="77"/>
  <c r="D38" i="78"/>
  <c r="P26" i="72"/>
  <c r="P86" i="72"/>
  <c r="P1634" i="93" s="1"/>
  <c r="M299" i="72"/>
  <c r="E37" i="78"/>
  <c r="P149" i="78"/>
  <c r="P151" i="78" s="1"/>
  <c r="P153" i="78" s="1"/>
  <c r="E121" i="74"/>
  <c r="K91" i="74"/>
  <c r="G91" i="74"/>
  <c r="C91" i="74"/>
  <c r="K59" i="74"/>
  <c r="K1011" i="93" s="1"/>
  <c r="K1019" i="93" s="1"/>
  <c r="G59" i="74"/>
  <c r="G1011" i="93" s="1"/>
  <c r="C59" i="74"/>
  <c r="C121" i="74"/>
  <c r="C1069" i="93" s="1"/>
  <c r="C1076" i="93" s="1"/>
  <c r="E91" i="74"/>
  <c r="I59" i="74"/>
  <c r="I1011" i="93" s="1"/>
  <c r="I1019" i="93" s="1"/>
  <c r="D121" i="74"/>
  <c r="J91" i="74"/>
  <c r="F91" i="74"/>
  <c r="B91" i="74"/>
  <c r="J59" i="74"/>
  <c r="F59" i="74"/>
  <c r="B59" i="74"/>
  <c r="B1011" i="93" s="1"/>
  <c r="B1019" i="93" s="1"/>
  <c r="I91" i="74"/>
  <c r="E59" i="74"/>
  <c r="F121" i="74"/>
  <c r="B121" i="74"/>
  <c r="H91" i="74"/>
  <c r="H1041" i="93" s="1"/>
  <c r="H1048" i="93" s="1"/>
  <c r="D91" i="74"/>
  <c r="H59" i="74"/>
  <c r="H1011" i="93" s="1"/>
  <c r="H1019" i="93" s="1"/>
  <c r="C60" i="74"/>
  <c r="K60" i="74"/>
  <c r="G92" i="74"/>
  <c r="K92" i="74"/>
  <c r="D58" i="74"/>
  <c r="D1010" i="93" s="1"/>
  <c r="D1018" i="93" s="1"/>
  <c r="H58" i="74"/>
  <c r="H1010" i="93" s="1"/>
  <c r="D60" i="74"/>
  <c r="H60" i="74"/>
  <c r="H68" i="74" s="1"/>
  <c r="H1083" i="94" s="1"/>
  <c r="D90" i="74"/>
  <c r="H90" i="74"/>
  <c r="H97" i="74" s="1"/>
  <c r="H1112" i="94" s="1"/>
  <c r="D92" i="74"/>
  <c r="H92" i="74"/>
  <c r="E120" i="74"/>
  <c r="C122" i="74"/>
  <c r="G60" i="74"/>
  <c r="C92" i="74"/>
  <c r="B122" i="74"/>
  <c r="F122" i="74"/>
  <c r="E58" i="74"/>
  <c r="I58" i="74"/>
  <c r="E60" i="74"/>
  <c r="I60" i="74"/>
  <c r="I68" i="74" s="1"/>
  <c r="I1083" i="94" s="1"/>
  <c r="E90" i="74"/>
  <c r="I90" i="74"/>
  <c r="I97" i="74" s="1"/>
  <c r="I1112" i="94" s="1"/>
  <c r="E92" i="74"/>
  <c r="I92" i="74"/>
  <c r="I99" i="74" s="1"/>
  <c r="I1114" i="94" s="1"/>
  <c r="B120" i="74"/>
  <c r="A1" i="73"/>
  <c r="A1" i="75"/>
  <c r="U1" i="75"/>
  <c r="A1" i="78"/>
  <c r="W1" i="78" s="1"/>
  <c r="A1" i="68"/>
  <c r="S1" i="68" s="1"/>
  <c r="T173" i="72"/>
  <c r="A1" i="67"/>
  <c r="T175" i="72"/>
  <c r="I3" i="76"/>
  <c r="I40" i="66"/>
  <c r="I63" i="94" s="1"/>
  <c r="I51" i="93"/>
  <c r="A3" i="71"/>
  <c r="A1" i="76"/>
  <c r="O1638" i="93"/>
  <c r="P320" i="72"/>
  <c r="O1634" i="93"/>
  <c r="LI48" i="75"/>
  <c r="CY48" i="75"/>
  <c r="J97" i="75" s="1"/>
  <c r="LH48" i="75"/>
  <c r="F35" i="78"/>
  <c r="F37" i="78"/>
  <c r="M768" i="94"/>
  <c r="R23" i="74"/>
  <c r="S23" i="74"/>
  <c r="D982" i="93"/>
  <c r="D990" i="93"/>
  <c r="B982" i="93"/>
  <c r="B990" i="93"/>
  <c r="B996" i="93"/>
  <c r="G1042" i="93"/>
  <c r="G1049" i="93"/>
  <c r="I982" i="93"/>
  <c r="I990" i="93" s="1"/>
  <c r="D1070" i="93"/>
  <c r="D1077" i="93" s="1"/>
  <c r="I1042" i="93"/>
  <c r="I1049" i="93" s="1"/>
  <c r="E1012" i="93"/>
  <c r="E1020" i="93"/>
  <c r="G1012" i="93"/>
  <c r="G1020" i="93" s="1"/>
  <c r="C1070" i="93"/>
  <c r="C1077" i="93" s="1"/>
  <c r="H1042" i="93"/>
  <c r="H1049" i="93" s="1"/>
  <c r="D1012" i="93"/>
  <c r="D1020" i="93"/>
  <c r="C982" i="93"/>
  <c r="C990" i="93" s="1"/>
  <c r="K1012" i="93"/>
  <c r="K1020" i="93" s="1"/>
  <c r="I1012" i="93"/>
  <c r="I1020" i="93" s="1"/>
  <c r="G982" i="93"/>
  <c r="G990" i="93"/>
  <c r="E1042" i="93"/>
  <c r="E1049" i="93" s="1"/>
  <c r="F1070" i="93"/>
  <c r="F1077" i="93" s="1"/>
  <c r="J982" i="93"/>
  <c r="J990" i="93" s="1"/>
  <c r="D1042" i="93"/>
  <c r="D1049" i="93"/>
  <c r="C1012" i="93"/>
  <c r="C1020" i="93" s="1"/>
  <c r="H982" i="93"/>
  <c r="H990" i="93"/>
  <c r="B1070" i="93"/>
  <c r="B1077" i="93" s="1"/>
  <c r="F982" i="93"/>
  <c r="F990" i="93" s="1"/>
  <c r="K982" i="93"/>
  <c r="K990" i="93" s="1"/>
  <c r="K1042" i="93"/>
  <c r="K1049" i="93"/>
  <c r="J1012" i="93"/>
  <c r="J1020" i="93"/>
  <c r="I1041" i="93"/>
  <c r="J1041" i="93"/>
  <c r="E1069" i="93"/>
  <c r="E1076" i="93" s="1"/>
  <c r="B1069" i="93"/>
  <c r="B1076" i="93" s="1"/>
  <c r="J1011" i="93"/>
  <c r="D1069" i="93"/>
  <c r="E1041" i="93"/>
  <c r="C1041" i="93"/>
  <c r="C1048" i="93" s="1"/>
  <c r="F1069" i="93"/>
  <c r="F1076" i="93" s="1"/>
  <c r="C1011" i="93"/>
  <c r="G1041" i="93"/>
  <c r="G1048" i="93" s="1"/>
  <c r="D1041" i="93"/>
  <c r="E1011" i="93"/>
  <c r="E1019" i="93" s="1"/>
  <c r="F1041" i="93"/>
  <c r="K1041" i="93"/>
  <c r="K1048" i="93" s="1"/>
  <c r="I1010" i="93"/>
  <c r="E1068" i="93"/>
  <c r="K980" i="93"/>
  <c r="C11" i="86"/>
  <c r="E1010" i="93"/>
  <c r="E1018" i="93" s="1"/>
  <c r="H1040" i="93"/>
  <c r="H1047" i="93" s="1"/>
  <c r="G980" i="93"/>
  <c r="B994" i="93"/>
  <c r="B1068" i="93"/>
  <c r="B1075" i="93" s="1"/>
  <c r="E1040" i="93"/>
  <c r="D1040" i="93"/>
  <c r="D1047" i="93" s="1"/>
  <c r="C980" i="93"/>
  <c r="F1068" i="93"/>
  <c r="P71" i="72"/>
  <c r="P1621" i="93" s="1"/>
  <c r="J68" i="74"/>
  <c r="J1083" i="94" s="1"/>
  <c r="I36" i="74"/>
  <c r="I1051" i="94" s="1"/>
  <c r="R769" i="93"/>
  <c r="C53" i="82"/>
  <c r="C984" i="93"/>
  <c r="F68" i="74"/>
  <c r="F1083" i="94" s="1"/>
  <c r="F1012" i="93"/>
  <c r="F1020" i="93"/>
  <c r="J980" i="93"/>
  <c r="J1040" i="93"/>
  <c r="J1047" i="93"/>
  <c r="E129" i="74"/>
  <c r="E1144" i="94" s="1"/>
  <c r="E1070" i="93"/>
  <c r="E1077" i="93" s="1"/>
  <c r="F980" i="93"/>
  <c r="F988" i="93" s="1"/>
  <c r="K1010" i="93"/>
  <c r="B1010" i="93"/>
  <c r="B1018" i="93"/>
  <c r="K1040" i="93"/>
  <c r="C1068" i="93"/>
  <c r="C1075" i="93"/>
  <c r="D1011" i="93"/>
  <c r="E36" i="74"/>
  <c r="E1051" i="94" s="1"/>
  <c r="E982" i="93"/>
  <c r="E990" i="93"/>
  <c r="C1047" i="93"/>
  <c r="B99" i="74"/>
  <c r="B1114" i="94" s="1"/>
  <c r="B1042" i="93"/>
  <c r="B1049" i="93" s="1"/>
  <c r="B980" i="93"/>
  <c r="B988" i="93" s="1"/>
  <c r="F99" i="74"/>
  <c r="F1114" i="94" s="1"/>
  <c r="F1042" i="93"/>
  <c r="F1049" i="93"/>
  <c r="B68" i="74"/>
  <c r="B1083" i="94" s="1"/>
  <c r="B1012" i="93"/>
  <c r="B1020" i="93"/>
  <c r="D1068" i="93"/>
  <c r="D1075" i="93"/>
  <c r="J99" i="74"/>
  <c r="J1114" i="94" s="1"/>
  <c r="J1042" i="93"/>
  <c r="J1049" i="93"/>
  <c r="B129" i="74"/>
  <c r="B1144" i="94" s="1"/>
  <c r="K36" i="74"/>
  <c r="K1051" i="94" s="1"/>
  <c r="E68" i="74"/>
  <c r="E1083" i="94" s="1"/>
  <c r="B36" i="74"/>
  <c r="B1051" i="94" s="1"/>
  <c r="G99" i="74"/>
  <c r="G1114" i="94" s="1"/>
  <c r="E99" i="74"/>
  <c r="E1114" i="94" s="1"/>
  <c r="G68" i="74"/>
  <c r="G1083" i="94" s="1"/>
  <c r="C129" i="74"/>
  <c r="C1144" i="94" s="1"/>
  <c r="H99" i="74"/>
  <c r="H1114" i="94" s="1"/>
  <c r="D68" i="74"/>
  <c r="D1083" i="94" s="1"/>
  <c r="C36" i="74"/>
  <c r="C1051" i="94" s="1"/>
  <c r="K68" i="74"/>
  <c r="K1083" i="94" s="1"/>
  <c r="D36" i="74"/>
  <c r="D1051" i="94" s="1"/>
  <c r="F36" i="74"/>
  <c r="F1051" i="94" s="1"/>
  <c r="K99" i="74"/>
  <c r="K1114" i="94" s="1"/>
  <c r="G36" i="74"/>
  <c r="G1051" i="94" s="1"/>
  <c r="H36" i="74"/>
  <c r="H1051" i="94" s="1"/>
  <c r="F129" i="74"/>
  <c r="F1144" i="94" s="1"/>
  <c r="J36" i="74"/>
  <c r="J1051" i="94" s="1"/>
  <c r="D99" i="74"/>
  <c r="D1114" i="94" s="1"/>
  <c r="C68" i="74"/>
  <c r="C1083" i="94" s="1"/>
  <c r="L50" i="73"/>
  <c r="L65" i="73"/>
  <c r="L43" i="73"/>
  <c r="L52" i="73"/>
  <c r="L45" i="73"/>
  <c r="L44" i="73"/>
  <c r="L59" i="73"/>
  <c r="L57" i="73"/>
  <c r="L48" i="73"/>
  <c r="L62" i="73"/>
  <c r="L51" i="73"/>
  <c r="L55" i="73"/>
  <c r="L64" i="73"/>
  <c r="L42" i="73"/>
  <c r="L56" i="73"/>
  <c r="L41" i="73"/>
  <c r="L49" i="73"/>
  <c r="L58" i="73"/>
  <c r="L63" i="73"/>
  <c r="T211" i="72"/>
  <c r="K40" i="66"/>
  <c r="T177" i="72" s="1"/>
  <c r="L307" i="73"/>
  <c r="F1075" i="93"/>
  <c r="D1019" i="93"/>
  <c r="H1018" i="93"/>
  <c r="E1048" i="93"/>
  <c r="K1018" i="93"/>
  <c r="G988" i="93"/>
  <c r="E1075" i="93"/>
  <c r="D1076" i="93"/>
  <c r="F1048" i="93"/>
  <c r="J1019" i="93"/>
  <c r="J1048" i="93"/>
  <c r="I1018" i="93"/>
  <c r="K1047" i="93"/>
  <c r="J988" i="93"/>
  <c r="C988" i="93"/>
  <c r="I1048" i="93"/>
  <c r="D1048" i="93"/>
  <c r="E1047" i="93"/>
  <c r="G1019" i="93"/>
  <c r="K988" i="93"/>
  <c r="C1019" i="93"/>
  <c r="R22" i="75"/>
  <c r="R779" i="93" s="1"/>
  <c r="R21" i="75"/>
  <c r="R778" i="93" s="1"/>
  <c r="C996" i="93"/>
  <c r="B995" i="93"/>
  <c r="C12" i="86"/>
  <c r="C994" i="93"/>
  <c r="D11" i="86"/>
  <c r="T1731" i="93"/>
  <c r="H15" i="84"/>
  <c r="F18" i="85" s="1"/>
  <c r="J381" i="73"/>
  <c r="F1470" i="93" s="1"/>
  <c r="D996" i="93"/>
  <c r="C995" i="93"/>
  <c r="D12" i="86"/>
  <c r="D994" i="93"/>
  <c r="E11" i="86"/>
  <c r="E996" i="93"/>
  <c r="D995" i="93"/>
  <c r="E12" i="86"/>
  <c r="E994" i="93"/>
  <c r="F11" i="86"/>
  <c r="F996" i="93"/>
  <c r="E995" i="93"/>
  <c r="F12" i="86"/>
  <c r="F994" i="93"/>
  <c r="G11" i="86"/>
  <c r="O1951" i="93"/>
  <c r="G996" i="93"/>
  <c r="F995" i="93"/>
  <c r="G12" i="86"/>
  <c r="G994" i="93"/>
  <c r="H11" i="86"/>
  <c r="C34" i="74"/>
  <c r="C1049" i="94" s="1"/>
  <c r="F34" i="74"/>
  <c r="F1049" i="94" s="1"/>
  <c r="G34" i="74"/>
  <c r="G1049" i="94" s="1"/>
  <c r="B34" i="74"/>
  <c r="B1049" i="94" s="1"/>
  <c r="H996" i="93"/>
  <c r="G995" i="93"/>
  <c r="H12" i="86"/>
  <c r="H994" i="93"/>
  <c r="I11" i="86"/>
  <c r="K1602" i="93"/>
  <c r="L1603" i="93"/>
  <c r="P1603" i="93"/>
  <c r="L1602" i="93"/>
  <c r="K1603" i="93"/>
  <c r="O1603" i="93"/>
  <c r="J34" i="74"/>
  <c r="J1049" i="94" s="1"/>
  <c r="I996" i="93"/>
  <c r="H995" i="93"/>
  <c r="I12" i="86"/>
  <c r="I994" i="93"/>
  <c r="C31" i="86"/>
  <c r="P1709" i="93"/>
  <c r="O1602" i="93"/>
  <c r="O1601" i="93"/>
  <c r="P1602" i="93"/>
  <c r="P1601" i="93"/>
  <c r="K34" i="74"/>
  <c r="K1049" i="94" s="1"/>
  <c r="J996" i="93"/>
  <c r="I995" i="93"/>
  <c r="D32" i="86"/>
  <c r="C32" i="86"/>
  <c r="J994" i="93"/>
  <c r="D31" i="86"/>
  <c r="O1959" i="93"/>
  <c r="E1586" i="93"/>
  <c r="P1959" i="93"/>
  <c r="P1950" i="93"/>
  <c r="B66" i="74"/>
  <c r="B1081" i="94" s="1"/>
  <c r="B67" i="74"/>
  <c r="B1082" i="94" s="1"/>
  <c r="J995" i="93"/>
  <c r="K994" i="93"/>
  <c r="E31" i="86"/>
  <c r="O1950" i="93"/>
  <c r="E1594" i="93"/>
  <c r="C67" i="74"/>
  <c r="C1082" i="94" s="1"/>
  <c r="K996" i="93"/>
  <c r="B1026" i="93"/>
  <c r="K995" i="93"/>
  <c r="E32" i="86"/>
  <c r="B1024" i="93"/>
  <c r="F31" i="86"/>
  <c r="D66" i="74"/>
  <c r="D1081" i="94" s="1"/>
  <c r="D67" i="74"/>
  <c r="D1082" i="94" s="1"/>
  <c r="C1026" i="93"/>
  <c r="B1025" i="93"/>
  <c r="F32" i="86"/>
  <c r="C1024" i="93"/>
  <c r="G31" i="86"/>
  <c r="E66" i="74"/>
  <c r="E1081" i="94" s="1"/>
  <c r="E67" i="74"/>
  <c r="E1082" i="94" s="1"/>
  <c r="D1026" i="93"/>
  <c r="C1025" i="93"/>
  <c r="G32" i="86"/>
  <c r="D1024" i="93"/>
  <c r="I31" i="86"/>
  <c r="H31" i="86"/>
  <c r="F66" i="74"/>
  <c r="F1081" i="94" s="1"/>
  <c r="E1026" i="93"/>
  <c r="D1025" i="93"/>
  <c r="H32" i="86"/>
  <c r="E1024" i="93"/>
  <c r="G67" i="74"/>
  <c r="G1082" i="94" s="1"/>
  <c r="F1026" i="93"/>
  <c r="E1025" i="93"/>
  <c r="I32" i="86"/>
  <c r="F1024" i="93"/>
  <c r="C51" i="86"/>
  <c r="H66" i="74"/>
  <c r="H1081" i="94" s="1"/>
  <c r="G1026" i="93"/>
  <c r="F1025" i="93"/>
  <c r="C52" i="86"/>
  <c r="G1024" i="93"/>
  <c r="D51" i="86"/>
  <c r="I66" i="74"/>
  <c r="I1081" i="94" s="1"/>
  <c r="I67" i="74"/>
  <c r="I1082" i="94" s="1"/>
  <c r="H1026" i="93"/>
  <c r="G1025" i="93"/>
  <c r="D52" i="86"/>
  <c r="H1024" i="93"/>
  <c r="E51" i="86"/>
  <c r="B59" i="82"/>
  <c r="J67" i="74"/>
  <c r="J1082" i="94" s="1"/>
  <c r="I1026" i="93"/>
  <c r="H1025" i="93"/>
  <c r="E52" i="86"/>
  <c r="I1024" i="93"/>
  <c r="F51" i="86"/>
  <c r="K66" i="74"/>
  <c r="K1081" i="94" s="1"/>
  <c r="K67" i="74"/>
  <c r="K1082" i="94" s="1"/>
  <c r="J1026" i="93"/>
  <c r="I1025" i="93"/>
  <c r="F52" i="86"/>
  <c r="J1024" i="93"/>
  <c r="G51" i="86"/>
  <c r="B97" i="74"/>
  <c r="B1112" i="94" s="1"/>
  <c r="K1026" i="93"/>
  <c r="J1025" i="93"/>
  <c r="G52" i="86"/>
  <c r="K1024" i="93"/>
  <c r="H51" i="86"/>
  <c r="F408" i="93"/>
  <c r="C97" i="74"/>
  <c r="C1112" i="94" s="1"/>
  <c r="C98" i="74"/>
  <c r="C1113" i="94" s="1"/>
  <c r="B1055" i="93"/>
  <c r="K1025" i="93"/>
  <c r="H52" i="86"/>
  <c r="B1053" i="93"/>
  <c r="D97" i="74"/>
  <c r="D1112" i="94" s="1"/>
  <c r="D98" i="74"/>
  <c r="D1113" i="94" s="1"/>
  <c r="C1055" i="93"/>
  <c r="B1054" i="93"/>
  <c r="C1053" i="93"/>
  <c r="E97" i="74"/>
  <c r="E1112" i="94" s="1"/>
  <c r="E98" i="74"/>
  <c r="E1113" i="94" s="1"/>
  <c r="D1055" i="93"/>
  <c r="C1054" i="93"/>
  <c r="D1053" i="93"/>
  <c r="F97" i="74"/>
  <c r="F1112" i="94" s="1"/>
  <c r="F98" i="74"/>
  <c r="F1113" i="94" s="1"/>
  <c r="E1055" i="93"/>
  <c r="D1054" i="93"/>
  <c r="E1053" i="93"/>
  <c r="G98" i="74"/>
  <c r="G1113" i="94" s="1"/>
  <c r="F1055" i="93"/>
  <c r="E1054" i="93"/>
  <c r="F1053" i="93"/>
  <c r="H98" i="74"/>
  <c r="H1113" i="94" s="1"/>
  <c r="G1055" i="93"/>
  <c r="F1054" i="93"/>
  <c r="G1053" i="93"/>
  <c r="I98" i="74"/>
  <c r="I1113" i="94" s="1"/>
  <c r="H1055" i="93"/>
  <c r="G1054" i="93"/>
  <c r="H1053" i="93"/>
  <c r="J97" i="74"/>
  <c r="J1112" i="94" s="1"/>
  <c r="J98" i="74"/>
  <c r="J1113" i="94" s="1"/>
  <c r="I1055" i="93"/>
  <c r="H1054" i="93"/>
  <c r="I1053" i="93"/>
  <c r="K97" i="74"/>
  <c r="K1112" i="94" s="1"/>
  <c r="K98" i="74"/>
  <c r="K1113" i="94" s="1"/>
  <c r="J1055" i="93"/>
  <c r="I1054" i="93"/>
  <c r="J1053" i="93"/>
  <c r="B127" i="74"/>
  <c r="B1142" i="94" s="1"/>
  <c r="B128" i="74"/>
  <c r="B1143" i="94" s="1"/>
  <c r="K1055" i="93"/>
  <c r="J1054" i="93"/>
  <c r="K1053" i="93"/>
  <c r="C127" i="74"/>
  <c r="C1142" i="94" s="1"/>
  <c r="C128" i="74"/>
  <c r="C1143" i="94" s="1"/>
  <c r="B1083" i="93"/>
  <c r="K1054" i="93"/>
  <c r="B1081" i="93"/>
  <c r="D127" i="74"/>
  <c r="D1142" i="94" s="1"/>
  <c r="D128" i="74"/>
  <c r="D1143" i="94" s="1"/>
  <c r="C1083" i="93"/>
  <c r="B1082" i="93"/>
  <c r="C1081" i="93"/>
  <c r="E127" i="74"/>
  <c r="E1142" i="94" s="1"/>
  <c r="E128" i="74"/>
  <c r="E1143" i="94" s="1"/>
  <c r="D1083" i="93"/>
  <c r="C1082" i="93"/>
  <c r="D1081" i="93"/>
  <c r="F127" i="74"/>
  <c r="F1142" i="94" s="1"/>
  <c r="F128" i="74"/>
  <c r="F1143" i="94" s="1"/>
  <c r="E1083" i="93"/>
  <c r="F1083" i="93"/>
  <c r="D1082" i="93"/>
  <c r="E1081" i="93"/>
  <c r="F1081" i="93"/>
  <c r="D10" i="25"/>
  <c r="D18" i="25" s="1"/>
  <c r="D20" i="25" s="1"/>
  <c r="D5" i="26"/>
  <c r="D11" i="26" s="1"/>
  <c r="D12" i="26"/>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082" i="93"/>
  <c r="A58" i="26"/>
  <c r="G58" i="26"/>
  <c r="A1" i="25"/>
  <c r="A50" i="25"/>
  <c r="A1" i="26"/>
  <c r="Q307" i="72"/>
  <c r="E1591" i="93"/>
  <c r="B32" i="82"/>
  <c r="B35" i="82" s="1"/>
  <c r="B36" i="82" s="1"/>
  <c r="I405" i="93"/>
  <c r="J164" i="78"/>
  <c r="J600" i="93"/>
  <c r="J1027" i="93"/>
  <c r="I779" i="93" l="1"/>
  <c r="K779" i="93" s="1"/>
  <c r="L779" i="93" s="1"/>
  <c r="J613" i="94"/>
  <c r="J604" i="93"/>
  <c r="F15" i="85"/>
  <c r="F16" i="86"/>
  <c r="J562" i="93"/>
  <c r="S528" i="94"/>
  <c r="G474" i="93"/>
  <c r="E35" i="78"/>
  <c r="E38" i="78"/>
  <c r="G34" i="78" s="1"/>
  <c r="S459" i="93"/>
  <c r="J571" i="94"/>
  <c r="F115" i="78"/>
  <c r="F113" i="78"/>
  <c r="G556" i="94"/>
  <c r="U539" i="93"/>
  <c r="A549" i="94"/>
  <c r="S527" i="93"/>
  <c r="S536" i="94"/>
  <c r="A526" i="93"/>
  <c r="G527" i="93"/>
  <c r="U512" i="93"/>
  <c r="U507" i="94"/>
  <c r="F34" i="78"/>
  <c r="G478" i="94"/>
  <c r="G469" i="93"/>
  <c r="B480" i="93" s="1"/>
  <c r="F483" i="93" s="1"/>
  <c r="E480" i="94"/>
  <c r="S132" i="78"/>
  <c r="G468" i="94"/>
  <c r="G459" i="93"/>
  <c r="F925" i="93"/>
  <c r="F981" i="94"/>
  <c r="F945" i="93"/>
  <c r="A772" i="94"/>
  <c r="KG772" i="94"/>
  <c r="KM772" i="94"/>
  <c r="JC767" i="93"/>
  <c r="JQ767" i="93"/>
  <c r="GU48" i="75"/>
  <c r="J104" i="75" s="1"/>
  <c r="JN767" i="93"/>
  <c r="FZ767" i="93"/>
  <c r="AD775" i="93"/>
  <c r="DI48" i="75"/>
  <c r="J95" i="75" s="1"/>
  <c r="LG48" i="75"/>
  <c r="BB780" i="94"/>
  <c r="CA777" i="93"/>
  <c r="DQ777" i="93"/>
  <c r="IZ777" i="93"/>
  <c r="BZ777" i="93"/>
  <c r="DZ777" i="93"/>
  <c r="IP777" i="93"/>
  <c r="CN777" i="93"/>
  <c r="IQ777" i="93"/>
  <c r="AJ777" i="93"/>
  <c r="BP777" i="93"/>
  <c r="BB777" i="93"/>
  <c r="CZ777" i="93"/>
  <c r="IS777" i="93"/>
  <c r="BL777" i="93"/>
  <c r="DM777" i="93"/>
  <c r="Y777" i="93"/>
  <c r="BX777" i="93"/>
  <c r="EE777" i="93"/>
  <c r="Z777" i="93"/>
  <c r="BO777" i="93"/>
  <c r="EF777" i="93"/>
  <c r="BW777" i="93"/>
  <c r="DL777" i="93"/>
  <c r="IK777" i="93"/>
  <c r="CI777" i="93"/>
  <c r="EM777" i="93"/>
  <c r="EQ777" i="93"/>
  <c r="IW777" i="93"/>
  <c r="DJ777" i="93"/>
  <c r="EH777" i="93"/>
  <c r="IT777" i="93"/>
  <c r="BR777" i="93"/>
  <c r="DH777" i="93"/>
  <c r="IN777" i="93"/>
  <c r="AY777" i="93"/>
  <c r="BJ777" i="93"/>
  <c r="DK777" i="93"/>
  <c r="AE777" i="93"/>
  <c r="BU777" i="93"/>
  <c r="EA777" i="93"/>
  <c r="AO777" i="93"/>
  <c r="CH777" i="93"/>
  <c r="ES777" i="93"/>
  <c r="AH777" i="93"/>
  <c r="CJ777" i="93"/>
  <c r="EU777" i="93"/>
  <c r="CE777" i="93"/>
  <c r="DW777" i="93"/>
  <c r="IU777" i="93"/>
  <c r="CY777" i="93"/>
  <c r="IG777" i="93"/>
  <c r="DU777" i="93"/>
  <c r="FV782" i="94"/>
  <c r="DA782" i="94"/>
  <c r="LU782" i="94"/>
  <c r="EJ782" i="94"/>
  <c r="BR782" i="94"/>
  <c r="HW782" i="94"/>
  <c r="DQ782" i="94"/>
  <c r="HV782" i="94"/>
  <c r="DP782" i="94"/>
  <c r="HK782" i="94"/>
  <c r="DF782" i="94"/>
  <c r="CO782" i="94"/>
  <c r="FI782" i="94"/>
  <c r="LO782" i="94"/>
  <c r="FF782" i="94"/>
  <c r="CC782" i="94"/>
  <c r="LN782" i="94"/>
  <c r="DK782" i="94"/>
  <c r="BN782" i="94"/>
  <c r="EO782" i="94"/>
  <c r="HL778" i="93"/>
  <c r="GF778" i="93"/>
  <c r="IA778" i="93"/>
  <c r="HW778" i="93"/>
  <c r="GQ778" i="93"/>
  <c r="FK778" i="93"/>
  <c r="GU778" i="93"/>
  <c r="FG778" i="93"/>
  <c r="FY778" i="93"/>
  <c r="GS778" i="93"/>
  <c r="HM778" i="93"/>
  <c r="JD778" i="93"/>
  <c r="FN778" i="93"/>
  <c r="GD778" i="93"/>
  <c r="GT778" i="93"/>
  <c r="HJ778" i="93"/>
  <c r="HZ778" i="93"/>
  <c r="JQ778" i="93"/>
  <c r="HE778" i="93"/>
  <c r="FT778" i="93"/>
  <c r="JC778" i="93"/>
  <c r="HD778" i="93"/>
  <c r="FX778" i="93"/>
  <c r="HC778" i="93"/>
  <c r="JN778" i="93"/>
  <c r="HO778" i="93"/>
  <c r="GI778" i="93"/>
  <c r="FC778" i="93"/>
  <c r="GM778" i="93"/>
  <c r="FI778" i="93"/>
  <c r="GC778" i="93"/>
  <c r="GW778" i="93"/>
  <c r="HQ778" i="93"/>
  <c r="FB778" i="93"/>
  <c r="FR778" i="93"/>
  <c r="GH778" i="93"/>
  <c r="GX778" i="93"/>
  <c r="HN778" i="93"/>
  <c r="JE778" i="93"/>
  <c r="FE778" i="93"/>
  <c r="HU778" i="93"/>
  <c r="JG778" i="93"/>
  <c r="JO778" i="93"/>
  <c r="HH778" i="93"/>
  <c r="GB778" i="93"/>
  <c r="IB778" i="93"/>
  <c r="GV778" i="93"/>
  <c r="FP778" i="93"/>
  <c r="GE778" i="93"/>
  <c r="JF778" i="93"/>
  <c r="HG778" i="93"/>
  <c r="GA778" i="93"/>
  <c r="HS778" i="93"/>
  <c r="FW778" i="93"/>
  <c r="FM778" i="93"/>
  <c r="GG778" i="93"/>
  <c r="HA778" i="93"/>
  <c r="HY778" i="93"/>
  <c r="FF778" i="93"/>
  <c r="FV778" i="93"/>
  <c r="GL778" i="93"/>
  <c r="HB778" i="93"/>
  <c r="HR778" i="93"/>
  <c r="FU778" i="93"/>
  <c r="DQ783" i="94"/>
  <c r="FE783" i="94"/>
  <c r="GB783" i="94"/>
  <c r="CC783" i="94"/>
  <c r="GR783" i="94"/>
  <c r="LP783" i="94"/>
  <c r="FY783" i="94"/>
  <c r="CH783" i="94"/>
  <c r="HF783" i="94"/>
  <c r="DK783" i="94"/>
  <c r="HC783" i="94"/>
  <c r="MA783" i="94"/>
  <c r="EJ783" i="94"/>
  <c r="AJ783" i="94"/>
  <c r="AP783" i="94"/>
  <c r="GX783" i="94"/>
  <c r="DU783" i="94"/>
  <c r="CZ783" i="94"/>
  <c r="BU783" i="94"/>
  <c r="HE783" i="94"/>
  <c r="DX783" i="94"/>
  <c r="MD783" i="94"/>
  <c r="EQ783" i="94"/>
  <c r="FP783" i="94"/>
  <c r="GD783" i="94"/>
  <c r="Z783" i="94"/>
  <c r="R783" i="94"/>
  <c r="L783" i="94"/>
  <c r="A783" i="94"/>
  <c r="E810" i="94"/>
  <c r="MH783" i="94"/>
  <c r="ML783" i="94"/>
  <c r="MS783" i="94"/>
  <c r="ME783" i="94"/>
  <c r="MF783" i="94"/>
  <c r="MI783" i="94"/>
  <c r="IB783" i="94"/>
  <c r="MJ783" i="94"/>
  <c r="AW783" i="94"/>
  <c r="IQ778" i="93"/>
  <c r="EP778" i="93"/>
  <c r="DU778" i="93"/>
  <c r="CQ778" i="93"/>
  <c r="BR778" i="93"/>
  <c r="AW778" i="93"/>
  <c r="AA778" i="93"/>
  <c r="X778" i="93"/>
  <c r="AN778" i="93"/>
  <c r="BD778" i="93"/>
  <c r="BT778" i="93"/>
  <c r="CN778" i="93"/>
  <c r="DL778" i="93"/>
  <c r="EB778" i="93"/>
  <c r="ER778" i="93"/>
  <c r="IN778" i="93"/>
  <c r="DM778" i="93"/>
  <c r="CH778" i="93"/>
  <c r="AY778" i="93"/>
  <c r="ED778" i="93"/>
  <c r="AD778" i="93"/>
  <c r="AD805" i="93" s="1"/>
  <c r="L814" i="93" s="1"/>
  <c r="DQ778" i="93"/>
  <c r="CI778" i="93"/>
  <c r="BA778" i="93"/>
  <c r="CK778" i="93"/>
  <c r="EL778" i="93"/>
  <c r="IL778" i="93"/>
  <c r="EK778" i="93"/>
  <c r="DO778" i="93"/>
  <c r="CL778" i="93"/>
  <c r="BM778" i="93"/>
  <c r="AQ778" i="93"/>
  <c r="A778" i="93"/>
  <c r="AB778" i="93"/>
  <c r="AR778" i="93"/>
  <c r="BH778" i="93"/>
  <c r="CB778" i="93"/>
  <c r="CR778" i="93"/>
  <c r="DP778" i="93"/>
  <c r="EF778" i="93"/>
  <c r="EV778" i="93"/>
  <c r="IR778" i="93"/>
  <c r="IO778" i="93"/>
  <c r="EO778" i="93"/>
  <c r="AO778" i="93"/>
  <c r="DF778" i="93"/>
  <c r="BZ778" i="93"/>
  <c r="Y778" i="93"/>
  <c r="IM778" i="93"/>
  <c r="EM778" i="93"/>
  <c r="AM778" i="93"/>
  <c r="IK778" i="93"/>
  <c r="JB778" i="93"/>
  <c r="IG778" i="93"/>
  <c r="EE778" i="93"/>
  <c r="DJ778" i="93"/>
  <c r="CG778" i="93"/>
  <c r="BG778" i="93"/>
  <c r="AL778" i="93"/>
  <c r="AF778" i="93"/>
  <c r="AV778" i="93"/>
  <c r="BL778" i="93"/>
  <c r="CF778" i="93"/>
  <c r="DD778" i="93"/>
  <c r="DT778" i="93"/>
  <c r="EJ778" i="93"/>
  <c r="IF778" i="93"/>
  <c r="IV778" i="93"/>
  <c r="EG778" i="93"/>
  <c r="BQ778" i="93"/>
  <c r="AE778" i="93"/>
  <c r="CE778" i="93"/>
  <c r="IT778" i="93"/>
  <c r="ES778" i="93"/>
  <c r="BK778" i="93"/>
  <c r="KY784" i="94"/>
  <c r="IY784" i="94"/>
  <c r="KT784" i="94"/>
  <c r="JK784" i="94"/>
  <c r="IV784" i="94"/>
  <c r="MK784" i="94"/>
  <c r="IO784" i="94"/>
  <c r="KI784" i="94"/>
  <c r="IR784" i="94"/>
  <c r="KV784" i="94"/>
  <c r="KB784" i="94"/>
  <c r="ID784" i="94"/>
  <c r="JY784" i="94"/>
  <c r="MQ784" i="94"/>
  <c r="KC784" i="94"/>
  <c r="JC784" i="94"/>
  <c r="ML784" i="94"/>
  <c r="IW779" i="93"/>
  <c r="EP779" i="93"/>
  <c r="DJ779" i="93"/>
  <c r="CA779" i="93"/>
  <c r="AW779" i="93"/>
  <c r="IK779" i="93"/>
  <c r="ED779" i="93"/>
  <c r="CK779" i="93"/>
  <c r="BF779" i="93"/>
  <c r="AE779" i="93"/>
  <c r="AB779" i="93"/>
  <c r="AV779" i="93"/>
  <c r="BP779" i="93"/>
  <c r="DH779" i="93"/>
  <c r="EJ779" i="93"/>
  <c r="IR779" i="93"/>
  <c r="BC779" i="93"/>
  <c r="DR779" i="93"/>
  <c r="CT779" i="93"/>
  <c r="IQ779" i="93"/>
  <c r="EE779" i="93"/>
  <c r="DE779" i="93"/>
  <c r="BR779" i="93"/>
  <c r="AL779" i="93"/>
  <c r="IE779" i="93"/>
  <c r="DS779" i="93"/>
  <c r="CE779" i="93"/>
  <c r="BA779" i="93"/>
  <c r="AF779" i="93"/>
  <c r="AZ779" i="93"/>
  <c r="CF779" i="93"/>
  <c r="DP779" i="93"/>
  <c r="EN779" i="93"/>
  <c r="IZ779" i="93"/>
  <c r="CO779" i="93"/>
  <c r="IG779" i="93"/>
  <c r="DZ779" i="93"/>
  <c r="CQ779" i="93"/>
  <c r="BG779" i="93"/>
  <c r="AG779" i="93"/>
  <c r="JA779" i="93"/>
  <c r="EO779" i="93"/>
  <c r="DN779" i="93"/>
  <c r="BZ779" i="93"/>
  <c r="AP779" i="93"/>
  <c r="AJ779" i="93"/>
  <c r="BH779" i="93"/>
  <c r="CJ779" i="93"/>
  <c r="DT779" i="93"/>
  <c r="IF779" i="93"/>
  <c r="BY779" i="93"/>
  <c r="Y779" i="93"/>
  <c r="R784" i="94"/>
  <c r="JE779" i="93"/>
  <c r="JJ779" i="93"/>
  <c r="JK779" i="93"/>
  <c r="JP779" i="93"/>
  <c r="JN779" i="93"/>
  <c r="JH779" i="93"/>
  <c r="BW779" i="93"/>
  <c r="HL779" i="93"/>
  <c r="CX779" i="93"/>
  <c r="HT779" i="93"/>
  <c r="HA779" i="93"/>
  <c r="FU779" i="93"/>
  <c r="HP779" i="93"/>
  <c r="GJ779" i="93"/>
  <c r="FD779" i="93"/>
  <c r="GY779" i="93"/>
  <c r="FS779" i="93"/>
  <c r="HN779" i="93"/>
  <c r="GH779" i="93"/>
  <c r="FB779" i="93"/>
  <c r="HE779" i="93"/>
  <c r="FY779" i="93"/>
  <c r="GV779" i="93"/>
  <c r="GU779" i="93"/>
  <c r="GN779" i="93"/>
  <c r="GM779" i="93"/>
  <c r="HB779" i="93"/>
  <c r="GF779" i="93"/>
  <c r="EZ779" i="93"/>
  <c r="JI779" i="93"/>
  <c r="JL779" i="93"/>
  <c r="JM779" i="93"/>
  <c r="JF779" i="93"/>
  <c r="BE779" i="93"/>
  <c r="DB779" i="93"/>
  <c r="CZ779" i="93"/>
  <c r="BU779" i="93"/>
  <c r="AI779" i="93"/>
  <c r="CW779" i="93"/>
  <c r="HY779" i="93"/>
  <c r="GS779" i="93"/>
  <c r="FM779" i="93"/>
  <c r="HH779" i="93"/>
  <c r="GB779" i="93"/>
  <c r="HW779" i="93"/>
  <c r="GQ779" i="93"/>
  <c r="FK779" i="93"/>
  <c r="HF779" i="93"/>
  <c r="FZ779" i="93"/>
  <c r="IC779" i="93"/>
  <c r="GW779" i="93"/>
  <c r="FQ779" i="93"/>
  <c r="GD779" i="93"/>
  <c r="FX779" i="93"/>
  <c r="FV779" i="93"/>
  <c r="FP779" i="93"/>
  <c r="FH779" i="93"/>
  <c r="GE779" i="93"/>
  <c r="DW779" i="93"/>
  <c r="JQ779" i="93"/>
  <c r="JC779" i="93"/>
  <c r="CU779" i="93"/>
  <c r="CV779" i="93"/>
  <c r="AS779" i="93"/>
  <c r="IN779" i="93"/>
  <c r="ER779" i="93"/>
  <c r="EB779" i="93"/>
  <c r="DL779" i="93"/>
  <c r="CN779" i="93"/>
  <c r="BT779" i="93"/>
  <c r="IL779" i="93"/>
  <c r="EK779" i="93"/>
  <c r="DO779" i="93"/>
  <c r="CL779" i="93"/>
  <c r="BM779" i="93"/>
  <c r="AQ779" i="93"/>
  <c r="A779" i="93"/>
  <c r="IU779" i="93"/>
  <c r="ET779" i="93"/>
  <c r="DY779" i="93"/>
  <c r="CP779" i="93"/>
  <c r="BQ779" i="93"/>
  <c r="AU779" i="93"/>
  <c r="Z779" i="93"/>
  <c r="X779" i="93"/>
  <c r="AN779" i="93"/>
  <c r="BD779" i="93"/>
  <c r="CB779" i="93"/>
  <c r="DD779" i="93"/>
  <c r="DX779" i="93"/>
  <c r="EV779" i="93"/>
  <c r="IV779" i="93"/>
  <c r="BN779" i="93"/>
  <c r="JO779" i="93"/>
  <c r="FW779" i="93"/>
  <c r="FO779" i="93"/>
  <c r="FN779" i="93"/>
  <c r="HK779" i="93"/>
  <c r="HS779" i="93"/>
  <c r="HM779" i="93"/>
  <c r="GP779" i="93"/>
  <c r="GA779" i="93"/>
  <c r="FL779" i="93"/>
  <c r="HX779" i="93"/>
  <c r="HI779" i="93"/>
  <c r="AX779" i="93"/>
  <c r="JW784" i="94"/>
  <c r="JE784" i="94"/>
  <c r="IM784" i="94"/>
  <c r="JX784" i="94"/>
  <c r="MG784" i="94"/>
  <c r="IX784" i="94"/>
  <c r="KH784" i="94"/>
  <c r="MP784" i="94"/>
  <c r="JH784" i="94"/>
  <c r="KS784" i="94"/>
  <c r="IH784" i="94"/>
  <c r="JR784" i="94"/>
  <c r="LC784" i="94"/>
  <c r="JA784" i="94"/>
  <c r="KL784" i="94"/>
  <c r="IJ784" i="94"/>
  <c r="JU784" i="94"/>
  <c r="LE784" i="94"/>
  <c r="JM784" i="94"/>
  <c r="KW784" i="94"/>
  <c r="JD784" i="94"/>
  <c r="KJ784" i="94"/>
  <c r="HW784" i="94"/>
  <c r="FC784" i="94"/>
  <c r="CI784" i="94"/>
  <c r="GX784" i="94"/>
  <c r="DV784" i="94"/>
  <c r="GW784" i="94"/>
  <c r="DU784" i="94"/>
  <c r="MN784" i="94"/>
  <c r="GV784" i="94"/>
  <c r="EB784" i="94"/>
  <c r="BP784" i="94"/>
  <c r="LZ784" i="94"/>
  <c r="GM784" i="94"/>
  <c r="DK784" i="94"/>
  <c r="HB784" i="94"/>
  <c r="HP784" i="94"/>
  <c r="HY784" i="94"/>
  <c r="LW784" i="94"/>
  <c r="HX784" i="94"/>
  <c r="GS784" i="94"/>
  <c r="BT784" i="94"/>
  <c r="CR784" i="94"/>
  <c r="EW784" i="94"/>
  <c r="FX784" i="94"/>
  <c r="GB784" i="94"/>
  <c r="BD784" i="94"/>
  <c r="EE784" i="94"/>
  <c r="KF784" i="94"/>
  <c r="ME784" i="94"/>
  <c r="IW784" i="94"/>
  <c r="KG784" i="94"/>
  <c r="MO784" i="94"/>
  <c r="JG784" i="94"/>
  <c r="KQ784" i="94"/>
  <c r="IG784" i="94"/>
  <c r="JQ784" i="94"/>
  <c r="LB784" i="94"/>
  <c r="IQ784" i="94"/>
  <c r="KA784" i="94"/>
  <c r="MR784" i="94"/>
  <c r="JJ784" i="94"/>
  <c r="KU784" i="94"/>
  <c r="IS784" i="94"/>
  <c r="KD784" i="94"/>
  <c r="IK784" i="94"/>
  <c r="JV784" i="94"/>
  <c r="IF784" i="94"/>
  <c r="JL784" i="94"/>
  <c r="KR784" i="94"/>
  <c r="HO784" i="94"/>
  <c r="EU784" i="94"/>
  <c r="CA784" i="94"/>
  <c r="LU784" i="94"/>
  <c r="FR784" i="94"/>
  <c r="CX784" i="94"/>
  <c r="LL784" i="94"/>
  <c r="FQ784" i="94"/>
  <c r="CW784" i="94"/>
  <c r="LK784" i="94"/>
  <c r="FP784" i="94"/>
  <c r="DD784" i="94"/>
  <c r="IA784" i="94"/>
  <c r="EY784" i="94"/>
  <c r="CM784" i="94"/>
  <c r="LY784" i="94"/>
  <c r="FN784" i="94"/>
  <c r="DQ784" i="94"/>
  <c r="CT784" i="94"/>
  <c r="FD784" i="94"/>
  <c r="MJ784" i="94"/>
  <c r="CZ784" i="94"/>
  <c r="DA784" i="94"/>
  <c r="CJ784" i="94"/>
  <c r="DH784" i="94"/>
  <c r="EP784" i="94"/>
  <c r="HH784" i="94"/>
  <c r="MD784" i="94"/>
  <c r="FY784" i="94"/>
  <c r="GC784" i="94"/>
  <c r="EF784" i="94"/>
  <c r="AY784" i="94"/>
  <c r="JN784" i="94"/>
  <c r="KX784" i="94"/>
  <c r="IU784" i="94"/>
  <c r="A784" i="94"/>
  <c r="JF784" i="94"/>
  <c r="KP784" i="94"/>
  <c r="IE784" i="94"/>
  <c r="JP784" i="94"/>
  <c r="LA784" i="94"/>
  <c r="IP784" i="94"/>
  <c r="JZ784" i="94"/>
  <c r="MI784" i="94"/>
  <c r="IZ784" i="94"/>
  <c r="KK784" i="94"/>
  <c r="II784" i="94"/>
  <c r="JS784" i="94"/>
  <c r="LD784" i="94"/>
  <c r="JB784" i="94"/>
  <c r="KM784" i="94"/>
  <c r="IT784" i="94"/>
  <c r="KE784" i="94"/>
  <c r="IN784" i="94"/>
  <c r="JT784" i="94"/>
  <c r="KZ784" i="94"/>
  <c r="IL784" i="94"/>
  <c r="GQ784" i="94"/>
  <c r="DO784" i="94"/>
  <c r="LM784" i="94"/>
  <c r="FJ784" i="94"/>
  <c r="CP784" i="94"/>
  <c r="IC784" i="94"/>
  <c r="FI784" i="94"/>
  <c r="CO784" i="94"/>
  <c r="IB784" i="94"/>
  <c r="FH784" i="94"/>
  <c r="CV784" i="94"/>
  <c r="HS784" i="94"/>
  <c r="EQ784" i="94"/>
  <c r="CE784" i="94"/>
  <c r="LQ784" i="94"/>
  <c r="FF784" i="94"/>
  <c r="KO784" i="94"/>
  <c r="CB784" i="94"/>
  <c r="HZ784" i="94"/>
  <c r="DR784" i="94"/>
  <c r="DX784" i="94"/>
  <c r="DB784" i="94"/>
  <c r="DZ784" i="94"/>
  <c r="FU784" i="94"/>
  <c r="LH784" i="94"/>
  <c r="FV784" i="94"/>
  <c r="FZ784" i="94"/>
  <c r="GD784" i="94"/>
  <c r="BI784" i="94"/>
  <c r="BO779" i="93"/>
  <c r="DK779" i="93"/>
  <c r="DQ779" i="93"/>
  <c r="EM779" i="93"/>
  <c r="ES779" i="93"/>
  <c r="BI779" i="93"/>
  <c r="AY779" i="93"/>
  <c r="CH779" i="93"/>
  <c r="DM779" i="93"/>
  <c r="EL779" i="93"/>
  <c r="IY779" i="93"/>
  <c r="DF779" i="93"/>
  <c r="EH779" i="93"/>
  <c r="AT779" i="93"/>
  <c r="IT779" i="93"/>
  <c r="EC779" i="93"/>
  <c r="IX779" i="93"/>
  <c r="EQ779" i="93"/>
  <c r="EA779" i="93"/>
  <c r="BJ779" i="93"/>
  <c r="BS779" i="93"/>
  <c r="CM779" i="93"/>
  <c r="C8" i="90"/>
  <c r="F12" i="85"/>
  <c r="H1" i="91"/>
  <c r="C1" i="86"/>
  <c r="I1027" i="93"/>
  <c r="H1027" i="93"/>
  <c r="J528" i="94"/>
  <c r="A498" i="93"/>
  <c r="A507" i="94"/>
  <c r="J500" i="93"/>
  <c r="F116" i="78"/>
  <c r="C133" i="90"/>
  <c r="L59" i="85" s="1"/>
  <c r="F117" i="78"/>
  <c r="H67" i="74"/>
  <c r="H1082" i="94" s="1"/>
  <c r="R117" i="74"/>
  <c r="S117" i="74" s="1"/>
  <c r="R55" i="74"/>
  <c r="S55" i="74" s="1"/>
  <c r="I17" i="75"/>
  <c r="I772" i="94"/>
  <c r="K772" i="94" s="1"/>
  <c r="L772" i="94" s="1"/>
  <c r="R809" i="94"/>
  <c r="R804" i="93"/>
  <c r="J1010" i="93"/>
  <c r="J1018" i="93" s="1"/>
  <c r="O768" i="94"/>
  <c r="T174" i="72"/>
  <c r="O51" i="93"/>
  <c r="T1822" i="94"/>
  <c r="T1728" i="93"/>
  <c r="I1040" i="93"/>
  <c r="I1047" i="93" s="1"/>
  <c r="B98" i="74"/>
  <c r="B1113" i="94" s="1"/>
  <c r="B1041" i="93"/>
  <c r="B1048" i="93" s="1"/>
  <c r="R87" i="74"/>
  <c r="S87" i="74" s="1"/>
  <c r="C99" i="74"/>
  <c r="C1114" i="94" s="1"/>
  <c r="H1012" i="93"/>
  <c r="H1020" i="93" s="1"/>
  <c r="G1010" i="93"/>
  <c r="G1018" i="93" s="1"/>
  <c r="G66" i="74"/>
  <c r="G1081" i="94" s="1"/>
  <c r="P153" i="72"/>
  <c r="P1725" i="93"/>
  <c r="M568" i="93"/>
  <c r="M585" i="93" s="1"/>
  <c r="M587" i="93" s="1"/>
  <c r="M589" i="93" s="1"/>
  <c r="C1042" i="93"/>
  <c r="C1049" i="93" s="1"/>
  <c r="F1011" i="93"/>
  <c r="F1019" i="93" s="1"/>
  <c r="F67" i="74"/>
  <c r="F1082" i="94" s="1"/>
  <c r="C66" i="74"/>
  <c r="C1081" i="94" s="1"/>
  <c r="C1010" i="93"/>
  <c r="C1018" i="93" s="1"/>
  <c r="G1040" i="93"/>
  <c r="G1047" i="93" s="1"/>
  <c r="G97" i="74"/>
  <c r="G1112" i="94" s="1"/>
  <c r="M6" i="75"/>
  <c r="P1861" i="93"/>
  <c r="P306" i="72"/>
  <c r="P1848" i="93" s="1"/>
  <c r="R770" i="93"/>
  <c r="R775" i="94"/>
  <c r="V132" i="78"/>
  <c r="P568" i="93"/>
  <c r="P585" i="93" s="1"/>
  <c r="P587" i="93" s="1"/>
  <c r="P589" i="93" s="1"/>
  <c r="A47" i="84"/>
  <c r="A2" i="83"/>
  <c r="C28" i="90"/>
  <c r="G5" i="92" s="1"/>
  <c r="G971" i="93"/>
  <c r="A499" i="93"/>
  <c r="CS779" i="93"/>
  <c r="BV772" i="93"/>
  <c r="BY772" i="93"/>
  <c r="FI772" i="93"/>
  <c r="JE772" i="93"/>
  <c r="DL772" i="93"/>
  <c r="EW772" i="93"/>
  <c r="GN772" i="93"/>
  <c r="HH772" i="93"/>
  <c r="HK772" i="93"/>
  <c r="EY772" i="93"/>
  <c r="JG772" i="93"/>
  <c r="BP772" i="93"/>
  <c r="GT772" i="93"/>
  <c r="HI772" i="93"/>
  <c r="HW772" i="93"/>
  <c r="FK772" i="93"/>
  <c r="FZ772" i="93"/>
  <c r="FD772" i="93"/>
  <c r="GV772" i="93"/>
  <c r="EX772" i="93"/>
  <c r="CF772" i="93"/>
  <c r="GD772" i="93"/>
  <c r="GS772" i="93"/>
  <c r="HG772" i="93"/>
  <c r="HV772" i="93"/>
  <c r="FJ772" i="93"/>
  <c r="HM772" i="93"/>
  <c r="FP772" i="93"/>
  <c r="CX772" i="93"/>
  <c r="FV772" i="93"/>
  <c r="GK772" i="93"/>
  <c r="GY772" i="93"/>
  <c r="HN772" i="93"/>
  <c r="FB772" i="93"/>
  <c r="GW772" i="93"/>
  <c r="EZ772" i="93"/>
  <c r="CZ772" i="93"/>
  <c r="DA772" i="93"/>
  <c r="FL772" i="93"/>
  <c r="BW772" i="93"/>
  <c r="BX772" i="93"/>
  <c r="GM772" i="93"/>
  <c r="JK772" i="93"/>
  <c r="AZ772" i="93"/>
  <c r="HJ772" i="93"/>
  <c r="HY772" i="93"/>
  <c r="FM772" i="93"/>
  <c r="GA772" i="93"/>
  <c r="GP772" i="93"/>
  <c r="GJ772" i="93"/>
  <c r="IB772" i="93"/>
  <c r="CY772" i="93"/>
  <c r="FA772" i="93"/>
  <c r="IJ772" i="93"/>
  <c r="GO772" i="93"/>
  <c r="JL772" i="93"/>
  <c r="CT772" i="93"/>
  <c r="HB772" i="93"/>
  <c r="HQ772" i="93"/>
  <c r="FE772" i="93"/>
  <c r="FS772" i="93"/>
  <c r="GH772" i="93"/>
  <c r="FT772" i="93"/>
  <c r="HL772" i="93"/>
  <c r="DG768" i="93"/>
  <c r="BG768" i="93"/>
  <c r="IU768" i="93"/>
  <c r="G16" i="86"/>
  <c r="H970" i="93"/>
  <c r="G970" i="93"/>
  <c r="F976" i="93"/>
  <c r="F992" i="93" s="1"/>
  <c r="G547" i="93"/>
  <c r="J513" i="93"/>
  <c r="G554" i="93"/>
  <c r="BH767" i="93"/>
  <c r="Q1763" i="93"/>
  <c r="L1763" i="93"/>
  <c r="C29" i="84"/>
  <c r="E56" i="86"/>
  <c r="D16" i="83"/>
  <c r="A2" i="88"/>
  <c r="I969" i="93"/>
  <c r="U540" i="93"/>
  <c r="I730" i="93"/>
  <c r="H56" i="86"/>
  <c r="A2" i="84"/>
  <c r="A1" i="89"/>
  <c r="C56" i="86"/>
  <c r="B1" i="87"/>
  <c r="C21" i="90"/>
  <c r="H971" i="93"/>
  <c r="F978" i="93"/>
  <c r="A451" i="93"/>
  <c r="J474" i="93"/>
  <c r="C976" i="93"/>
  <c r="C992" i="93" s="1"/>
  <c r="CD767" i="93"/>
  <c r="IS767" i="93"/>
  <c r="IZ784" i="93"/>
  <c r="W779" i="93"/>
  <c r="GK791" i="93"/>
  <c r="JH791" i="93"/>
  <c r="BY791" i="93"/>
  <c r="EM791" i="93"/>
  <c r="GF791" i="93"/>
  <c r="IV791" i="93"/>
  <c r="CN791" i="93"/>
  <c r="ET791" i="93"/>
  <c r="FT791" i="93"/>
  <c r="IB791" i="93"/>
  <c r="BX791" i="93"/>
  <c r="EH791" i="93"/>
  <c r="GC791" i="93"/>
  <c r="HL791" i="93"/>
  <c r="BK791" i="93"/>
  <c r="JI791" i="93"/>
  <c r="BZ791" i="93"/>
  <c r="DL791" i="93"/>
  <c r="FQ791" i="93"/>
  <c r="HY791" i="93"/>
  <c r="BW791" i="93"/>
  <c r="EF791" i="93"/>
  <c r="BP791" i="93"/>
  <c r="HD791" i="93"/>
  <c r="BB791" i="93"/>
  <c r="CW791" i="93"/>
  <c r="FA791" i="93"/>
  <c r="GV791" i="93"/>
  <c r="AN791" i="93"/>
  <c r="DC791" i="93"/>
  <c r="G56" i="86"/>
  <c r="E15" i="89"/>
  <c r="H975" i="93"/>
  <c r="E976" i="93"/>
  <c r="E992" i="93" s="1"/>
  <c r="D976" i="93"/>
  <c r="D992" i="93" s="1"/>
  <c r="DW768" i="93"/>
  <c r="FS777" i="93"/>
  <c r="DX777" i="93"/>
  <c r="BH777" i="93"/>
  <c r="AB777" i="93"/>
  <c r="CB777" i="93"/>
  <c r="CG777" i="93"/>
  <c r="AF777" i="93"/>
  <c r="BI777" i="93"/>
  <c r="CX777" i="93"/>
  <c r="AS777" i="93"/>
  <c r="AV777" i="93"/>
  <c r="BV777" i="93"/>
  <c r="BV805" i="93" s="1"/>
  <c r="K818" i="93" s="1"/>
  <c r="DB777" i="93"/>
  <c r="AA777" i="93"/>
  <c r="BG777" i="93"/>
  <c r="ID777" i="93"/>
  <c r="CV777" i="93"/>
  <c r="CC777" i="93"/>
  <c r="EC777" i="93"/>
  <c r="AQ777" i="93"/>
  <c r="FS785" i="93"/>
  <c r="BR785" i="93"/>
  <c r="S453" i="93"/>
  <c r="J519" i="93"/>
  <c r="IF803" i="93"/>
  <c r="AH803" i="93"/>
  <c r="IF795" i="93"/>
  <c r="IE795" i="93"/>
  <c r="AB795" i="93"/>
  <c r="IK795" i="93"/>
  <c r="CK795" i="93"/>
  <c r="W795" i="93"/>
  <c r="CB795" i="93"/>
  <c r="IM795" i="93"/>
  <c r="AK795" i="93"/>
  <c r="CR795" i="93"/>
  <c r="IL787" i="93"/>
  <c r="IG787" i="93"/>
  <c r="IE787" i="93"/>
  <c r="CP787" i="93"/>
  <c r="AL787" i="93"/>
  <c r="IK787" i="93"/>
  <c r="Z787" i="93"/>
  <c r="CA787" i="93"/>
  <c r="AA787" i="93"/>
  <c r="AK787" i="93"/>
  <c r="AP787" i="93"/>
  <c r="CK787" i="93"/>
  <c r="AG787" i="93"/>
  <c r="CE787" i="93"/>
  <c r="ID779" i="93"/>
  <c r="AD779" i="93"/>
  <c r="CC779" i="93"/>
  <c r="II779" i="93"/>
  <c r="CI779" i="93"/>
  <c r="AH779" i="93"/>
  <c r="DV779" i="93"/>
  <c r="IH779" i="93"/>
  <c r="AC779" i="93"/>
  <c r="AO779" i="93"/>
  <c r="IO779" i="93"/>
  <c r="IH771" i="93"/>
  <c r="CP771" i="93"/>
  <c r="AL771" i="93"/>
  <c r="IL771" i="93"/>
  <c r="EP771" i="93"/>
  <c r="CH771" i="93"/>
  <c r="ID771" i="93"/>
  <c r="AK771" i="93"/>
  <c r="Z771" i="93"/>
  <c r="EH771" i="93"/>
  <c r="JA771" i="93"/>
  <c r="CD771" i="93"/>
  <c r="AD771" i="93"/>
  <c r="EG771" i="93"/>
  <c r="CO771" i="93"/>
  <c r="IO771" i="93"/>
  <c r="DU771" i="93"/>
  <c r="AO771" i="93"/>
  <c r="EK771" i="93"/>
  <c r="BZ771" i="93"/>
  <c r="AH771" i="93"/>
  <c r="DQ771" i="93"/>
  <c r="Y771" i="93"/>
  <c r="AC771" i="93"/>
  <c r="IT771" i="93"/>
  <c r="DE771" i="93"/>
  <c r="CL771" i="93"/>
  <c r="CC771" i="93"/>
  <c r="AP771" i="93"/>
  <c r="CG771" i="93"/>
  <c r="GA784" i="93"/>
  <c r="HG784" i="93"/>
  <c r="CU784" i="93"/>
  <c r="HR784" i="93"/>
  <c r="IC784" i="93"/>
  <c r="GZ784" i="93"/>
  <c r="FK784" i="93"/>
  <c r="JP784" i="93"/>
  <c r="HB784" i="93"/>
  <c r="FM784" i="93"/>
  <c r="CT784" i="93"/>
  <c r="HP784" i="93"/>
  <c r="GM784" i="93"/>
  <c r="CP784" i="93"/>
  <c r="GV784" i="93"/>
  <c r="IA776" i="93"/>
  <c r="GD795" i="93"/>
  <c r="FM795" i="93"/>
  <c r="GL771" i="93"/>
  <c r="FJ771" i="93"/>
  <c r="GF771" i="93"/>
  <c r="FQ771" i="93"/>
  <c r="IC771" i="93"/>
  <c r="HG771" i="93"/>
  <c r="GR771" i="93"/>
  <c r="FD783" i="93"/>
  <c r="GC783" i="93"/>
  <c r="FJ783" i="93"/>
  <c r="GK783" i="93"/>
  <c r="HL783" i="93"/>
  <c r="HF783" i="93"/>
  <c r="IC783" i="93"/>
  <c r="FO783" i="93"/>
  <c r="GQ783" i="93"/>
  <c r="IA783" i="93"/>
  <c r="AL769" i="93"/>
  <c r="BR769" i="93"/>
  <c r="CV769" i="93"/>
  <c r="CU769" i="93"/>
  <c r="BG769" i="93"/>
  <c r="Y769" i="93"/>
  <c r="EX787" i="93"/>
  <c r="FW790" i="93"/>
  <c r="HY771" i="93"/>
  <c r="EX779" i="93"/>
  <c r="EM768" i="93"/>
  <c r="GB768" i="93"/>
  <c r="GU768" i="93"/>
  <c r="FH768" i="93"/>
  <c r="HI768" i="93"/>
  <c r="FJ768" i="93"/>
  <c r="CM774" i="93"/>
  <c r="IA782" i="93"/>
  <c r="FZ782" i="93"/>
  <c r="CO788" i="93"/>
  <c r="EX788" i="93"/>
  <c r="DB788" i="93"/>
  <c r="DA788" i="93"/>
  <c r="BU788" i="93"/>
  <c r="EG788" i="93"/>
  <c r="EX795" i="93"/>
  <c r="BX795" i="93"/>
  <c r="BW795" i="93"/>
  <c r="AI795" i="93"/>
  <c r="CC795" i="93"/>
  <c r="FA795" i="93"/>
  <c r="AC795" i="93"/>
  <c r="CI795" i="93"/>
  <c r="BV795" i="93"/>
  <c r="CY795" i="93"/>
  <c r="EY795" i="93"/>
  <c r="EZ795" i="93"/>
  <c r="EW795" i="93"/>
  <c r="EH784" i="93"/>
  <c r="FI784" i="93"/>
  <c r="CW784" i="93"/>
  <c r="BV784" i="93"/>
  <c r="HJ784" i="93"/>
  <c r="FU784" i="93"/>
  <c r="BX784" i="93"/>
  <c r="HN784" i="93"/>
  <c r="FY784" i="93"/>
  <c r="DC784" i="93"/>
  <c r="HZ784" i="93"/>
  <c r="GU784" i="93"/>
  <c r="DA784" i="93"/>
  <c r="HD784" i="93"/>
  <c r="HJ795" i="93"/>
  <c r="GS795" i="93"/>
  <c r="HB771" i="93"/>
  <c r="FZ771" i="93"/>
  <c r="GN771" i="93"/>
  <c r="FY771" i="93"/>
  <c r="FC771" i="93"/>
  <c r="HO771" i="93"/>
  <c r="GD783" i="93"/>
  <c r="HE783" i="93"/>
  <c r="HO783" i="93"/>
  <c r="GG783" i="93"/>
  <c r="IW769" i="93"/>
  <c r="AJ769" i="93"/>
  <c r="CD769" i="93"/>
  <c r="BJ769" i="93"/>
  <c r="Z769" i="93"/>
  <c r="AT769" i="93"/>
  <c r="EW779" i="93"/>
  <c r="IV769" i="93"/>
  <c r="BU796" i="93"/>
  <c r="DA796" i="93"/>
  <c r="BX796" i="93"/>
  <c r="CZ796" i="93"/>
  <c r="EW796" i="93"/>
  <c r="BY796" i="93"/>
  <c r="FA803" i="93"/>
  <c r="JN774" i="93"/>
  <c r="FU770" i="93"/>
  <c r="HQ770" i="93"/>
  <c r="GK770" i="93"/>
  <c r="GP770" i="93"/>
  <c r="JN783" i="93"/>
  <c r="JK783" i="93"/>
  <c r="JP783" i="93"/>
  <c r="BT783" i="93"/>
  <c r="CV783" i="93"/>
  <c r="CU783" i="93"/>
  <c r="IE777" i="93"/>
  <c r="JK771" i="93"/>
  <c r="EW771" i="93"/>
  <c r="GU771" i="93"/>
  <c r="EY771" i="93"/>
  <c r="HH783" i="93"/>
  <c r="FI783" i="93"/>
  <c r="FP783" i="93"/>
  <c r="FX783" i="93"/>
  <c r="FW783" i="93"/>
  <c r="GN783" i="93"/>
  <c r="GJ783" i="93"/>
  <c r="HB783" i="93"/>
  <c r="HJ783" i="93"/>
  <c r="HS783" i="93"/>
  <c r="HQ783" i="93"/>
  <c r="FM783" i="93"/>
  <c r="A1097" i="93"/>
  <c r="H1097" i="93" s="1"/>
  <c r="GC784" i="93"/>
  <c r="FF784" i="93"/>
  <c r="JL784" i="93"/>
  <c r="HU784" i="93"/>
  <c r="FJ784" i="93"/>
  <c r="JM784" i="93"/>
  <c r="HA784" i="93"/>
  <c r="FL784" i="93"/>
  <c r="JQ784" i="93"/>
  <c r="HE784" i="93"/>
  <c r="FZ784" i="93"/>
  <c r="FG784" i="93"/>
  <c r="HS784" i="93"/>
  <c r="FP784" i="93"/>
  <c r="IB784" i="93"/>
  <c r="FV795" i="93"/>
  <c r="HQ795" i="93"/>
  <c r="GT795" i="93"/>
  <c r="FW771" i="93"/>
  <c r="HV771" i="93"/>
  <c r="HL771" i="93"/>
  <c r="GW771" i="93"/>
  <c r="GA771" i="93"/>
  <c r="FL771" i="93"/>
  <c r="HX771" i="93"/>
  <c r="GV783" i="93"/>
  <c r="FR783" i="93"/>
  <c r="HN783" i="93"/>
  <c r="FE783" i="93"/>
  <c r="GF783" i="93"/>
  <c r="HI783" i="93"/>
  <c r="AW783" i="93"/>
  <c r="GI783" i="93"/>
  <c r="GB783" i="93"/>
  <c r="AX769" i="93"/>
  <c r="IG769" i="93"/>
  <c r="JQ777" i="93"/>
  <c r="AY769" i="93"/>
  <c r="AW769" i="93"/>
  <c r="BP769" i="93"/>
  <c r="BT769" i="93"/>
  <c r="BX771" i="93"/>
  <c r="BU771" i="93"/>
  <c r="DB787" i="93"/>
  <c r="BV787" i="93"/>
  <c r="EV783" i="93"/>
  <c r="DT783" i="93"/>
  <c r="EK783" i="93"/>
  <c r="IW783" i="93"/>
  <c r="HI769" i="93"/>
  <c r="FN769" i="93"/>
  <c r="HJ769" i="93"/>
  <c r="FW769" i="93"/>
  <c r="GZ769" i="93"/>
  <c r="HY769" i="93"/>
  <c r="N1477" i="93"/>
  <c r="L1691" i="93"/>
  <c r="Q1691" i="93"/>
  <c r="Q1667" i="93"/>
  <c r="Q1923" i="93"/>
  <c r="L1923" i="93"/>
  <c r="J1935" i="93"/>
  <c r="M1935" i="93"/>
  <c r="AF784" i="93"/>
  <c r="GK784" i="93"/>
  <c r="CV784" i="93"/>
  <c r="DM784" i="93"/>
  <c r="FT784" i="93"/>
  <c r="BW784" i="93"/>
  <c r="HM784" i="93"/>
  <c r="FV784" i="93"/>
  <c r="BY784" i="93"/>
  <c r="HO784" i="93"/>
  <c r="GJ784" i="93"/>
  <c r="FO784" i="93"/>
  <c r="IA784" i="93"/>
  <c r="FX784" i="93"/>
  <c r="JG784" i="93"/>
  <c r="FU795" i="93"/>
  <c r="FF795" i="93"/>
  <c r="HZ795" i="93"/>
  <c r="GM771" i="93"/>
  <c r="FH771" i="93"/>
  <c r="HT771" i="93"/>
  <c r="HE771" i="93"/>
  <c r="GI771" i="93"/>
  <c r="FT771" i="93"/>
  <c r="GA783" i="93"/>
  <c r="GM783" i="93"/>
  <c r="JH783" i="93"/>
  <c r="FV783" i="93"/>
  <c r="GO783" i="93"/>
  <c r="FH783" i="93"/>
  <c r="GS783" i="93"/>
  <c r="GR783" i="93"/>
  <c r="FU771" i="93"/>
  <c r="DA769" i="93"/>
  <c r="II769" i="93"/>
  <c r="EX771" i="93"/>
  <c r="EY787" i="93"/>
  <c r="DQ793" i="93"/>
  <c r="AB769" i="93"/>
  <c r="IL769" i="93"/>
  <c r="AA769" i="93"/>
  <c r="AO769" i="93"/>
  <c r="CC769" i="93"/>
  <c r="IH769" i="93"/>
  <c r="DA779" i="93"/>
  <c r="AM779" i="93"/>
  <c r="CD779" i="93"/>
  <c r="IA779" i="93"/>
  <c r="IM779" i="93"/>
  <c r="BV779" i="93"/>
  <c r="BX779" i="93"/>
  <c r="IS779" i="93"/>
  <c r="CY779" i="93"/>
  <c r="EW787" i="93"/>
  <c r="BY780" i="93"/>
  <c r="CY780" i="93"/>
  <c r="EZ774" i="93"/>
  <c r="N885" i="93"/>
  <c r="P898" i="93"/>
  <c r="EW784" i="93"/>
  <c r="BA784" i="93"/>
  <c r="JK784" i="93"/>
  <c r="GO784" i="93"/>
  <c r="GX784" i="93"/>
  <c r="GP784" i="93"/>
  <c r="FA784" i="93"/>
  <c r="JD784" i="93"/>
  <c r="GR784" i="93"/>
  <c r="FC784" i="93"/>
  <c r="JH784" i="93"/>
  <c r="HF784" i="93"/>
  <c r="GE784" i="93"/>
  <c r="JN784" i="93"/>
  <c r="HI795" i="93"/>
  <c r="FV771" i="93"/>
  <c r="HS771" i="93"/>
  <c r="FX771" i="93"/>
  <c r="FI771" i="93"/>
  <c r="HU771" i="93"/>
  <c r="GY771" i="93"/>
  <c r="GJ771" i="93"/>
  <c r="FC783" i="93"/>
  <c r="FK783" i="93"/>
  <c r="GL783" i="93"/>
  <c r="JF783" i="93"/>
  <c r="BR783" i="93"/>
  <c r="GW783" i="93"/>
  <c r="HG783" i="93"/>
  <c r="FG783" i="93"/>
  <c r="GH783" i="93"/>
  <c r="HU783" i="93"/>
  <c r="HP783" i="93"/>
  <c r="DR769" i="93"/>
  <c r="GM767" i="93"/>
  <c r="BE769" i="93"/>
  <c r="CK769" i="93"/>
  <c r="BZ769" i="93"/>
  <c r="CM769" i="93"/>
  <c r="CP769" i="93"/>
  <c r="BU769" i="93"/>
  <c r="EZ773" i="93"/>
  <c r="FQ773" i="93"/>
  <c r="GW773" i="93"/>
  <c r="GC773" i="93"/>
  <c r="GF773" i="93"/>
  <c r="EW773" i="93"/>
  <c r="HM773" i="93"/>
  <c r="GP773" i="93"/>
  <c r="HV773" i="93"/>
  <c r="JN773" i="93"/>
  <c r="EY781" i="93"/>
  <c r="HM781" i="93"/>
  <c r="FY781" i="93"/>
  <c r="JN776" i="93"/>
  <c r="JQ769" i="93"/>
  <c r="FA789" i="93"/>
  <c r="EX789" i="93"/>
  <c r="EY789" i="93"/>
  <c r="FN777" i="93"/>
  <c r="L1673" i="93"/>
  <c r="R1968" i="93"/>
  <c r="Q1972" i="93"/>
  <c r="C1070" i="94"/>
  <c r="D1060" i="94"/>
  <c r="P336" i="72"/>
  <c r="P329" i="72"/>
  <c r="P1870" i="93" s="1"/>
  <c r="M1722" i="93"/>
  <c r="P1722" i="93" s="1"/>
  <c r="L785" i="93"/>
  <c r="AG771" i="93"/>
  <c r="CK771" i="93"/>
  <c r="BV771" i="93"/>
  <c r="DA771" i="93"/>
  <c r="HX778" i="93"/>
  <c r="GZ778" i="93"/>
  <c r="AP786" i="93"/>
  <c r="FB786" i="93"/>
  <c r="P596" i="94"/>
  <c r="P598" i="94" s="1"/>
  <c r="DY779" i="94"/>
  <c r="DQ779" i="94"/>
  <c r="DI779" i="94"/>
  <c r="DA779" i="94"/>
  <c r="CS779" i="94"/>
  <c r="CK779" i="94"/>
  <c r="CC779" i="94"/>
  <c r="BU779" i="94"/>
  <c r="BM779" i="94"/>
  <c r="FZ779" i="94"/>
  <c r="DX779" i="94"/>
  <c r="DP779" i="94"/>
  <c r="DH779" i="94"/>
  <c r="CZ779" i="94"/>
  <c r="CR779" i="94"/>
  <c r="CJ779" i="94"/>
  <c r="CB779" i="94"/>
  <c r="BT779" i="94"/>
  <c r="BL779" i="94"/>
  <c r="FY779" i="94"/>
  <c r="DW779" i="94"/>
  <c r="DO779" i="94"/>
  <c r="DG779" i="94"/>
  <c r="CY779" i="94"/>
  <c r="CQ779" i="94"/>
  <c r="CI779" i="94"/>
  <c r="CA779" i="94"/>
  <c r="BS779" i="94"/>
  <c r="BK779" i="94"/>
  <c r="FX779" i="94"/>
  <c r="DV779" i="94"/>
  <c r="DN779" i="94"/>
  <c r="DF779" i="94"/>
  <c r="CX779" i="94"/>
  <c r="CP779" i="94"/>
  <c r="CH779" i="94"/>
  <c r="BZ779" i="94"/>
  <c r="BR779" i="94"/>
  <c r="EA779" i="94"/>
  <c r="DS779" i="94"/>
  <c r="DK779" i="94"/>
  <c r="DC779" i="94"/>
  <c r="CU779" i="94"/>
  <c r="CM779" i="94"/>
  <c r="CE779" i="94"/>
  <c r="BW779" i="94"/>
  <c r="BO779" i="94"/>
  <c r="HY803" i="94"/>
  <c r="IC803" i="94"/>
  <c r="E13" i="74"/>
  <c r="D23" i="74"/>
  <c r="D1038" i="94" s="1"/>
  <c r="K27" i="74"/>
  <c r="G27" i="74"/>
  <c r="C27" i="74"/>
  <c r="I1106" i="94"/>
  <c r="E1074" i="94"/>
  <c r="H1106" i="94"/>
  <c r="D1074" i="94"/>
  <c r="J27" i="74"/>
  <c r="F27" i="74"/>
  <c r="B27" i="74"/>
  <c r="F1136" i="94"/>
  <c r="G1106" i="94"/>
  <c r="K1074" i="94"/>
  <c r="C1074" i="94"/>
  <c r="E1136" i="94"/>
  <c r="F1106" i="94"/>
  <c r="J1074" i="94"/>
  <c r="B1074" i="94"/>
  <c r="I27" i="74"/>
  <c r="E27" i="74"/>
  <c r="D1136" i="94"/>
  <c r="E1106" i="94"/>
  <c r="I1074" i="94"/>
  <c r="H27" i="74"/>
  <c r="D27" i="74"/>
  <c r="B1136" i="94"/>
  <c r="K1106" i="94"/>
  <c r="C1106" i="94"/>
  <c r="G1074" i="94"/>
  <c r="IM805" i="94"/>
  <c r="JW805" i="94"/>
  <c r="LE805" i="94"/>
  <c r="IU805" i="94"/>
  <c r="IR805" i="94"/>
  <c r="LD805" i="94"/>
  <c r="KB805" i="94"/>
  <c r="IW805" i="94"/>
  <c r="MR805" i="94"/>
  <c r="KD805" i="94"/>
  <c r="MM794" i="94"/>
  <c r="MP803" i="94"/>
  <c r="LE803" i="94"/>
  <c r="KP803" i="94"/>
  <c r="LD803" i="94"/>
  <c r="IZ803" i="94"/>
  <c r="JY803" i="94"/>
  <c r="KN803" i="94"/>
  <c r="LB803" i="94"/>
  <c r="DC790" i="94"/>
  <c r="CU790" i="94"/>
  <c r="CN790" i="94"/>
  <c r="BY790" i="94"/>
  <c r="DQ790" i="94"/>
  <c r="CI790" i="94"/>
  <c r="DT790" i="94"/>
  <c r="CV790" i="94"/>
  <c r="DF786" i="94"/>
  <c r="JS772" i="94"/>
  <c r="IS772" i="94"/>
  <c r="MO772" i="94"/>
  <c r="BX779" i="94"/>
  <c r="CT779" i="94"/>
  <c r="DM779" i="94"/>
  <c r="ED772" i="94"/>
  <c r="ME772" i="94"/>
  <c r="D1106" i="94"/>
  <c r="K803" i="93"/>
  <c r="L803" i="93" s="1"/>
  <c r="DU775" i="94"/>
  <c r="MD795" i="94"/>
  <c r="GU795" i="94"/>
  <c r="LT795" i="94"/>
  <c r="HU795" i="94"/>
  <c r="HO795" i="94"/>
  <c r="HH795" i="94"/>
  <c r="GS795" i="94"/>
  <c r="GT795" i="94"/>
  <c r="GZ808" i="94"/>
  <c r="JS803" i="94"/>
  <c r="JD803" i="94"/>
  <c r="JP803" i="94"/>
  <c r="JC805" i="94"/>
  <c r="KM805" i="94"/>
  <c r="ID805" i="94"/>
  <c r="JK805" i="94"/>
  <c r="IZ805" i="94"/>
  <c r="KJ805" i="94"/>
  <c r="JE805" i="94"/>
  <c r="KL805" i="94"/>
  <c r="KV803" i="94"/>
  <c r="HZ798" i="94"/>
  <c r="HS808" i="94"/>
  <c r="KU805" i="94"/>
  <c r="CE790" i="94"/>
  <c r="MQ797" i="94"/>
  <c r="IK803" i="94"/>
  <c r="LC803" i="94"/>
  <c r="IL803" i="94"/>
  <c r="JM803" i="94"/>
  <c r="KM803" i="94"/>
  <c r="LA803" i="94"/>
  <c r="II805" i="94"/>
  <c r="DL790" i="94"/>
  <c r="DD790" i="94"/>
  <c r="CW790" i="94"/>
  <c r="CG790" i="94"/>
  <c r="EA790" i="94"/>
  <c r="CQ790" i="94"/>
  <c r="BL790" i="94"/>
  <c r="CA786" i="94"/>
  <c r="IM772" i="94"/>
  <c r="KC772" i="94"/>
  <c r="M478" i="94"/>
  <c r="M577" i="94" s="1"/>
  <c r="M594" i="94" s="1"/>
  <c r="M596" i="94" s="1"/>
  <c r="M598" i="94" s="1"/>
  <c r="G536" i="94"/>
  <c r="BY779" i="94"/>
  <c r="CV779" i="94"/>
  <c r="DR779" i="94"/>
  <c r="ML778" i="94"/>
  <c r="J1106" i="94"/>
  <c r="MN794" i="94"/>
  <c r="MM798" i="94"/>
  <c r="MS781" i="94"/>
  <c r="IX803" i="94"/>
  <c r="II803" i="94"/>
  <c r="IY803" i="94"/>
  <c r="JX803" i="94"/>
  <c r="KX803" i="94"/>
  <c r="IG803" i="94"/>
  <c r="KE805" i="94"/>
  <c r="BQ775" i="94"/>
  <c r="IE772" i="94"/>
  <c r="LD772" i="94"/>
  <c r="G509" i="94"/>
  <c r="J591" i="94"/>
  <c r="J595" i="94" s="1"/>
  <c r="CD779" i="94"/>
  <c r="CW779" i="94"/>
  <c r="DT779" i="94"/>
  <c r="HT773" i="94"/>
  <c r="GN773" i="94"/>
  <c r="D30" i="74"/>
  <c r="C1045" i="94"/>
  <c r="L1766" i="93"/>
  <c r="IT803" i="94"/>
  <c r="JB805" i="94"/>
  <c r="KI805" i="94"/>
  <c r="JJ805" i="94"/>
  <c r="KQ805" i="94"/>
  <c r="JP805" i="94"/>
  <c r="IN805" i="94"/>
  <c r="KZ805" i="94"/>
  <c r="JU805" i="94"/>
  <c r="IP805" i="94"/>
  <c r="LB805" i="94"/>
  <c r="MJ794" i="94"/>
  <c r="IA798" i="94"/>
  <c r="MN798" i="94"/>
  <c r="IH803" i="94"/>
  <c r="IW803" i="94"/>
  <c r="JJ803" i="94"/>
  <c r="KK803" i="94"/>
  <c r="ID803" i="94"/>
  <c r="IR803" i="94"/>
  <c r="IA803" i="94"/>
  <c r="CB795" i="94"/>
  <c r="BK786" i="94"/>
  <c r="KZ772" i="94"/>
  <c r="LA772" i="94"/>
  <c r="JX772" i="94"/>
  <c r="S522" i="94"/>
  <c r="CF779" i="94"/>
  <c r="DB779" i="94"/>
  <c r="DU779" i="94"/>
  <c r="MK794" i="94"/>
  <c r="MJ798" i="94"/>
  <c r="KG803" i="94"/>
  <c r="IS803" i="94"/>
  <c r="JH803" i="94"/>
  <c r="JW803" i="94"/>
  <c r="KW803" i="94"/>
  <c r="IQ803" i="94"/>
  <c r="JE803" i="94"/>
  <c r="IV772" i="94"/>
  <c r="JZ772" i="94"/>
  <c r="IJ772" i="94"/>
  <c r="J478" i="94"/>
  <c r="BN779" i="94"/>
  <c r="CG779" i="94"/>
  <c r="DD779" i="94"/>
  <c r="DZ779" i="94"/>
  <c r="DO786" i="94"/>
  <c r="CY786" i="94"/>
  <c r="CI786" i="94"/>
  <c r="BS786" i="94"/>
  <c r="CH786" i="94"/>
  <c r="BR786" i="94"/>
  <c r="F1074" i="94"/>
  <c r="ML795" i="94"/>
  <c r="HS795" i="94"/>
  <c r="GV795" i="94"/>
  <c r="GO795" i="94"/>
  <c r="GI795" i="94"/>
  <c r="MM795" i="94"/>
  <c r="LX795" i="94"/>
  <c r="LQ795" i="94"/>
  <c r="LR795" i="94"/>
  <c r="HA808" i="94"/>
  <c r="IM803" i="94"/>
  <c r="KY803" i="94"/>
  <c r="KJ803" i="94"/>
  <c r="HP808" i="94"/>
  <c r="HC808" i="94"/>
  <c r="GQ808" i="94"/>
  <c r="GF808" i="94"/>
  <c r="HZ803" i="94"/>
  <c r="JA805" i="94"/>
  <c r="IK805" i="94"/>
  <c r="GK808" i="94"/>
  <c r="MA808" i="94"/>
  <c r="KH805" i="94"/>
  <c r="JI805" i="94"/>
  <c r="KP805" i="94"/>
  <c r="KF805" i="94"/>
  <c r="JD805" i="94"/>
  <c r="KK805" i="94"/>
  <c r="JF805" i="94"/>
  <c r="HM808" i="94"/>
  <c r="JO805" i="94"/>
  <c r="IC798" i="94"/>
  <c r="MK798" i="94"/>
  <c r="JI803" i="94"/>
  <c r="JG803" i="94"/>
  <c r="JU803" i="94"/>
  <c r="KH803" i="94"/>
  <c r="IP803" i="94"/>
  <c r="JB803" i="94"/>
  <c r="JQ803" i="94"/>
  <c r="CC790" i="94"/>
  <c r="BV790" i="94"/>
  <c r="BP790" i="94"/>
  <c r="DP790" i="94"/>
  <c r="CP790" i="94"/>
  <c r="BK790" i="94"/>
  <c r="EB790" i="94"/>
  <c r="CR790" i="94"/>
  <c r="DJ790" i="94"/>
  <c r="FV790" i="94"/>
  <c r="CM790" i="94"/>
  <c r="BT795" i="94"/>
  <c r="IB803" i="94"/>
  <c r="DW786" i="94"/>
  <c r="FY786" i="94"/>
  <c r="IP772" i="94"/>
  <c r="IT772" i="94"/>
  <c r="MR772" i="94"/>
  <c r="BP779" i="94"/>
  <c r="CL779" i="94"/>
  <c r="DE779" i="94"/>
  <c r="EB779" i="94"/>
  <c r="FV779" i="94"/>
  <c r="HY772" i="94"/>
  <c r="IR772" i="94"/>
  <c r="JA772" i="94"/>
  <c r="KX772" i="94"/>
  <c r="KQ772" i="94"/>
  <c r="JT772" i="94"/>
  <c r="IA772" i="94"/>
  <c r="IY772" i="94"/>
  <c r="JP772" i="94"/>
  <c r="JY772" i="94"/>
  <c r="KY772" i="94"/>
  <c r="KB772" i="94"/>
  <c r="KE772" i="94"/>
  <c r="KV772" i="94"/>
  <c r="LE772" i="94"/>
  <c r="JN772" i="94"/>
  <c r="JE772" i="94"/>
  <c r="JF772" i="94"/>
  <c r="IX772" i="94"/>
  <c r="JR772" i="94"/>
  <c r="JK772" i="94"/>
  <c r="IN772" i="94"/>
  <c r="IW788" i="94"/>
  <c r="F990" i="94"/>
  <c r="H1074" i="94"/>
  <c r="C1136" i="94"/>
  <c r="FQ775" i="93"/>
  <c r="GX795" i="94"/>
  <c r="GP795" i="94"/>
  <c r="HD795" i="94"/>
  <c r="GW795" i="94"/>
  <c r="GQ795" i="94"/>
  <c r="GJ795" i="94"/>
  <c r="MF795" i="94"/>
  <c r="LY795" i="94"/>
  <c r="IU803" i="94"/>
  <c r="IF803" i="94"/>
  <c r="KR803" i="94"/>
  <c r="LW808" i="94"/>
  <c r="HX808" i="94"/>
  <c r="HE808" i="94"/>
  <c r="GR808" i="94"/>
  <c r="GG808" i="94"/>
  <c r="KX805" i="94"/>
  <c r="IQ805" i="94"/>
  <c r="JY805" i="94"/>
  <c r="MO805" i="94"/>
  <c r="KN805" i="94"/>
  <c r="JL805" i="94"/>
  <c r="IG805" i="94"/>
  <c r="KS805" i="94"/>
  <c r="BO790" i="94"/>
  <c r="MO797" i="94"/>
  <c r="JV803" i="94"/>
  <c r="JR803" i="94"/>
  <c r="KF803" i="94"/>
  <c r="KU803" i="94"/>
  <c r="JA803" i="94"/>
  <c r="JO803" i="94"/>
  <c r="KD803" i="94"/>
  <c r="CK790" i="94"/>
  <c r="CD790" i="94"/>
  <c r="BX790" i="94"/>
  <c r="DY790" i="94"/>
  <c r="CY790" i="94"/>
  <c r="FY790" i="94"/>
  <c r="BS790" i="94"/>
  <c r="DA790" i="94"/>
  <c r="DR790" i="94"/>
  <c r="CX786" i="94"/>
  <c r="CZ795" i="94"/>
  <c r="MP772" i="94"/>
  <c r="IL772" i="94"/>
  <c r="S556" i="94"/>
  <c r="BQ779" i="94"/>
  <c r="CN779" i="94"/>
  <c r="DJ779" i="94"/>
  <c r="FW779" i="94"/>
  <c r="FV800" i="94"/>
  <c r="DT800" i="94"/>
  <c r="FY800" i="94"/>
  <c r="FZ787" i="94"/>
  <c r="DY787" i="94"/>
  <c r="DQ787" i="94"/>
  <c r="DI787" i="94"/>
  <c r="DA787" i="94"/>
  <c r="CS787" i="94"/>
  <c r="CK787" i="94"/>
  <c r="CC787" i="94"/>
  <c r="BU787" i="94"/>
  <c r="BM787" i="94"/>
  <c r="FY787" i="94"/>
  <c r="DX787" i="94"/>
  <c r="DP787" i="94"/>
  <c r="DH787" i="94"/>
  <c r="CZ787" i="94"/>
  <c r="CR787" i="94"/>
  <c r="CJ787" i="94"/>
  <c r="CB787" i="94"/>
  <c r="BT787" i="94"/>
  <c r="BL787" i="94"/>
  <c r="FX787" i="94"/>
  <c r="DW787" i="94"/>
  <c r="DO787" i="94"/>
  <c r="DG787" i="94"/>
  <c r="CY787" i="94"/>
  <c r="CQ787" i="94"/>
  <c r="CI787" i="94"/>
  <c r="CA787" i="94"/>
  <c r="BS787" i="94"/>
  <c r="BK787" i="94"/>
  <c r="FW787" i="94"/>
  <c r="DV787" i="94"/>
  <c r="DN787" i="94"/>
  <c r="DF787" i="94"/>
  <c r="CX787" i="94"/>
  <c r="CP787" i="94"/>
  <c r="CH787" i="94"/>
  <c r="BZ787" i="94"/>
  <c r="BR787" i="94"/>
  <c r="EA787" i="94"/>
  <c r="DS787" i="94"/>
  <c r="DK787" i="94"/>
  <c r="DC787" i="94"/>
  <c r="CU787" i="94"/>
  <c r="CM787" i="94"/>
  <c r="CE787" i="94"/>
  <c r="BW787" i="94"/>
  <c r="BO787" i="94"/>
  <c r="FY774" i="94"/>
  <c r="DX774" i="94"/>
  <c r="DP774" i="94"/>
  <c r="DH774" i="94"/>
  <c r="CZ774" i="94"/>
  <c r="CR774" i="94"/>
  <c r="CJ774" i="94"/>
  <c r="CB774" i="94"/>
  <c r="BT774" i="94"/>
  <c r="BL774" i="94"/>
  <c r="FX774" i="94"/>
  <c r="DW774" i="94"/>
  <c r="DO774" i="94"/>
  <c r="DG774" i="94"/>
  <c r="CY774" i="94"/>
  <c r="CQ774" i="94"/>
  <c r="CI774" i="94"/>
  <c r="CA774" i="94"/>
  <c r="BS774" i="94"/>
  <c r="BK774" i="94"/>
  <c r="FW774" i="94"/>
  <c r="FV774" i="94"/>
  <c r="DU774" i="94"/>
  <c r="DM774" i="94"/>
  <c r="DE774" i="94"/>
  <c r="CW774" i="94"/>
  <c r="CO774" i="94"/>
  <c r="CG774" i="94"/>
  <c r="BY774" i="94"/>
  <c r="BQ774" i="94"/>
  <c r="DZ774" i="94"/>
  <c r="DR774" i="94"/>
  <c r="DJ774" i="94"/>
  <c r="DB774" i="94"/>
  <c r="CT774" i="94"/>
  <c r="CL774" i="94"/>
  <c r="CD774" i="94"/>
  <c r="BV774" i="94"/>
  <c r="BN774" i="94"/>
  <c r="HY793" i="94"/>
  <c r="IC793" i="94"/>
  <c r="JL785" i="94"/>
  <c r="IC785" i="94"/>
  <c r="IB785" i="94"/>
  <c r="IA785" i="94"/>
  <c r="MA782" i="94"/>
  <c r="GI782" i="94"/>
  <c r="J472" i="94"/>
  <c r="G550" i="94"/>
  <c r="S550" i="94"/>
  <c r="J563" i="94"/>
  <c r="IC787" i="94"/>
  <c r="K979" i="94"/>
  <c r="D1073" i="94"/>
  <c r="E1105" i="94"/>
  <c r="P1925" i="94"/>
  <c r="Q1736" i="94"/>
  <c r="H1736" i="94"/>
  <c r="AN793" i="94"/>
  <c r="EC793" i="94"/>
  <c r="X793" i="94"/>
  <c r="AX793" i="94"/>
  <c r="BC793" i="94"/>
  <c r="Y793" i="94"/>
  <c r="EE793" i="94"/>
  <c r="Z793" i="94"/>
  <c r="AS793" i="94"/>
  <c r="BI793" i="94"/>
  <c r="AO793" i="94"/>
  <c r="AP793" i="94"/>
  <c r="EG793" i="94"/>
  <c r="AW793" i="94"/>
  <c r="ED793" i="94"/>
  <c r="BH793" i="94"/>
  <c r="AJ793" i="94"/>
  <c r="AT793" i="94"/>
  <c r="AU793" i="94"/>
  <c r="AY793" i="94"/>
  <c r="EF793" i="94"/>
  <c r="AV793" i="94"/>
  <c r="BD793" i="94"/>
  <c r="AA793" i="94"/>
  <c r="AF793" i="94"/>
  <c r="BE793" i="94"/>
  <c r="BJ793" i="94"/>
  <c r="AR793" i="94"/>
  <c r="AD793" i="94"/>
  <c r="AI793" i="94"/>
  <c r="AK793" i="94"/>
  <c r="P1837" i="94"/>
  <c r="L1883" i="94"/>
  <c r="Q1971" i="94"/>
  <c r="K1969" i="94"/>
  <c r="BA793" i="94"/>
  <c r="EC798" i="94"/>
  <c r="EF798" i="94"/>
  <c r="AQ798" i="94"/>
  <c r="AD798" i="94"/>
  <c r="AI798" i="94"/>
  <c r="AN798" i="94"/>
  <c r="EE798" i="94"/>
  <c r="BD798" i="94"/>
  <c r="AA798" i="94"/>
  <c r="AF798" i="94"/>
  <c r="BE798" i="94"/>
  <c r="BJ798" i="94"/>
  <c r="AS798" i="94"/>
  <c r="AK798" i="94"/>
  <c r="AJ798" i="94"/>
  <c r="AO798" i="94"/>
  <c r="AP798" i="94"/>
  <c r="EG798" i="94"/>
  <c r="G528" i="94"/>
  <c r="S571" i="94"/>
  <c r="S577" i="94" s="1"/>
  <c r="HZ779" i="94"/>
  <c r="JX782" i="94"/>
  <c r="G1073" i="94"/>
  <c r="H1105" i="94"/>
  <c r="B1135" i="94"/>
  <c r="D26" i="74"/>
  <c r="H26" i="74"/>
  <c r="W803" i="94"/>
  <c r="AC803" i="94"/>
  <c r="AH803" i="94"/>
  <c r="AM803" i="94"/>
  <c r="ED803" i="94"/>
  <c r="AG803" i="94"/>
  <c r="EC803" i="94"/>
  <c r="X803" i="94"/>
  <c r="BB803" i="94"/>
  <c r="BG803" i="94"/>
  <c r="Y803" i="94"/>
  <c r="EE803" i="94"/>
  <c r="Z803" i="94"/>
  <c r="AD803" i="94"/>
  <c r="AI803" i="94"/>
  <c r="AW803" i="94"/>
  <c r="AS803" i="94"/>
  <c r="BD803" i="94"/>
  <c r="AA803" i="94"/>
  <c r="AF803" i="94"/>
  <c r="BE803" i="94"/>
  <c r="BJ803" i="94"/>
  <c r="AV803" i="94"/>
  <c r="BA803" i="94"/>
  <c r="BC803" i="94"/>
  <c r="AK803" i="94"/>
  <c r="BF803" i="94"/>
  <c r="BI803" i="94"/>
  <c r="BH803" i="94"/>
  <c r="AQ803" i="94"/>
  <c r="AJ803" i="94"/>
  <c r="AO803" i="94"/>
  <c r="AP803" i="94"/>
  <c r="EG803" i="94"/>
  <c r="AY803" i="94"/>
  <c r="EF803" i="94"/>
  <c r="AN803" i="94"/>
  <c r="AZ803" i="94"/>
  <c r="W798" i="94"/>
  <c r="H1073" i="94"/>
  <c r="I1105" i="94"/>
  <c r="C1135" i="94"/>
  <c r="L1982" i="94"/>
  <c r="KE779" i="94"/>
  <c r="HZ787" i="94"/>
  <c r="I1073" i="94"/>
  <c r="B1105" i="94"/>
  <c r="J1105" i="94"/>
  <c r="D1135" i="94"/>
  <c r="E26" i="74"/>
  <c r="I26" i="74"/>
  <c r="Q1929" i="94"/>
  <c r="AB803" i="94"/>
  <c r="S468" i="94"/>
  <c r="MM779" i="94"/>
  <c r="KX781" i="94"/>
  <c r="P980" i="94"/>
  <c r="B1073" i="94"/>
  <c r="J1073" i="94"/>
  <c r="C1105" i="94"/>
  <c r="K1105" i="94"/>
  <c r="Q1965" i="94"/>
  <c r="L1965" i="94"/>
  <c r="BF793" i="94"/>
  <c r="F1746" i="94"/>
  <c r="O336" i="72"/>
  <c r="AX808" i="94"/>
  <c r="BC808" i="94"/>
  <c r="AS808" i="94"/>
  <c r="AW808" i="94"/>
  <c r="AD808" i="94"/>
  <c r="AI808" i="94"/>
  <c r="AE808" i="94"/>
  <c r="AL794" i="94"/>
  <c r="AQ794" i="94"/>
  <c r="AW794" i="94"/>
  <c r="AD794" i="94"/>
  <c r="AI794" i="94"/>
  <c r="AE794" i="94"/>
  <c r="BB794" i="94"/>
  <c r="BG794" i="94"/>
  <c r="AN794" i="94"/>
  <c r="AG794" i="94"/>
  <c r="AC794" i="94"/>
  <c r="AH794" i="94"/>
  <c r="AM794" i="94"/>
  <c r="AB794" i="94"/>
  <c r="BF794" i="94"/>
  <c r="AS791" i="94"/>
  <c r="AJ791" i="94"/>
  <c r="BH791" i="94"/>
  <c r="AR791" i="94"/>
  <c r="AN791" i="94"/>
  <c r="W789" i="94"/>
  <c r="ED789" i="94"/>
  <c r="AG789" i="94"/>
  <c r="BA789" i="94"/>
  <c r="AR789" i="94"/>
  <c r="AV789" i="94"/>
  <c r="AC789" i="94"/>
  <c r="AH789" i="94"/>
  <c r="AM789" i="94"/>
  <c r="BB789" i="94"/>
  <c r="BG789" i="94"/>
  <c r="AS789" i="94"/>
  <c r="AJ789" i="94"/>
  <c r="AE786" i="94"/>
  <c r="AR786" i="94"/>
  <c r="BF784" i="94"/>
  <c r="AR784" i="94"/>
  <c r="BG784" i="94"/>
  <c r="AG784" i="94"/>
  <c r="AL784" i="94"/>
  <c r="AN784" i="94"/>
  <c r="AB784" i="94"/>
  <c r="BC784" i="94"/>
  <c r="EC784" i="94"/>
  <c r="EG789" i="94"/>
  <c r="AZ794" i="94"/>
  <c r="AZ786" i="94"/>
  <c r="AU796" i="94"/>
  <c r="AP789" i="94"/>
  <c r="AK808" i="94"/>
  <c r="BI791" i="94"/>
  <c r="BI781" i="94"/>
  <c r="AT796" i="94"/>
  <c r="AO789" i="94"/>
  <c r="AJ796" i="94"/>
  <c r="AJ786" i="94"/>
  <c r="AJ775" i="94"/>
  <c r="Z808" i="94"/>
  <c r="Z798" i="94"/>
  <c r="Z789" i="94"/>
  <c r="Z775" i="94"/>
  <c r="BH808" i="94"/>
  <c r="AX791" i="94"/>
  <c r="AX775" i="94"/>
  <c r="AI791" i="94"/>
  <c r="AD791" i="94"/>
  <c r="ED786" i="94"/>
  <c r="BG796" i="94"/>
  <c r="BG775" i="94"/>
  <c r="BB798" i="94"/>
  <c r="AM808" i="94"/>
  <c r="AM796" i="94"/>
  <c r="AH808" i="94"/>
  <c r="AH796" i="94"/>
  <c r="AC808" i="94"/>
  <c r="AC796" i="94"/>
  <c r="X791" i="94"/>
  <c r="EC808" i="94"/>
  <c r="EC791" i="94"/>
  <c r="BF775" i="94"/>
  <c r="AQ808" i="94"/>
  <c r="AG796" i="94"/>
  <c r="W801" i="94"/>
  <c r="AL801" i="94"/>
  <c r="AQ801" i="94"/>
  <c r="BB801" i="94"/>
  <c r="BG801" i="94"/>
  <c r="AB801" i="94"/>
  <c r="AG801" i="94"/>
  <c r="AC801" i="94"/>
  <c r="AH801" i="94"/>
  <c r="AM801" i="94"/>
  <c r="AN801" i="94"/>
  <c r="AR801" i="94"/>
  <c r="AX801" i="94"/>
  <c r="BC801" i="94"/>
  <c r="AV801" i="94"/>
  <c r="BA801" i="94"/>
  <c r="Y801" i="94"/>
  <c r="EE801" i="94"/>
  <c r="Z801" i="94"/>
  <c r="AW796" i="94"/>
  <c r="AB796" i="94"/>
  <c r="BF796" i="94"/>
  <c r="Y796" i="94"/>
  <c r="W796" i="94"/>
  <c r="AV796" i="94"/>
  <c r="BA796" i="94"/>
  <c r="AR796" i="94"/>
  <c r="BH796" i="94"/>
  <c r="AV794" i="94"/>
  <c r="AJ794" i="94"/>
  <c r="AE791" i="94"/>
  <c r="Z796" i="94"/>
  <c r="BH794" i="94"/>
  <c r="AI789" i="94"/>
  <c r="AD789" i="94"/>
  <c r="ED784" i="94"/>
  <c r="BB796" i="94"/>
  <c r="EC789" i="94"/>
  <c r="BF791" i="94"/>
  <c r="BA791" i="94"/>
  <c r="AL796" i="94"/>
  <c r="AS807" i="94"/>
  <c r="BH807" i="94"/>
  <c r="ED807" i="94"/>
  <c r="AN807" i="94"/>
  <c r="W805" i="94"/>
  <c r="ED805" i="94"/>
  <c r="AQ805" i="94"/>
  <c r="EC805" i="94"/>
  <c r="X805" i="94"/>
  <c r="AG805" i="94"/>
  <c r="AC805" i="94"/>
  <c r="AH805" i="94"/>
  <c r="AM805" i="94"/>
  <c r="AB805" i="94"/>
  <c r="AS805" i="94"/>
  <c r="AJ805" i="94"/>
  <c r="AX800" i="94"/>
  <c r="BC800" i="94"/>
  <c r="ED800" i="94"/>
  <c r="AS800" i="94"/>
  <c r="AL800" i="94"/>
  <c r="EC800" i="94"/>
  <c r="BB800" i="94"/>
  <c r="BG800" i="94"/>
  <c r="AD800" i="94"/>
  <c r="AI800" i="94"/>
  <c r="AE800" i="94"/>
  <c r="AR798" i="94"/>
  <c r="AV798" i="94"/>
  <c r="BA798" i="94"/>
  <c r="BH798" i="94"/>
  <c r="AL798" i="94"/>
  <c r="AW798" i="94"/>
  <c r="AX798" i="94"/>
  <c r="BC798" i="94"/>
  <c r="O279" i="72"/>
  <c r="AO794" i="94"/>
  <c r="EE808" i="94"/>
  <c r="EE789" i="94"/>
  <c r="BC794" i="94"/>
  <c r="AS796" i="94"/>
  <c r="AS784" i="94"/>
  <c r="AN808" i="94"/>
  <c r="Y789" i="94"/>
  <c r="ED808" i="94"/>
  <c r="BB808" i="94"/>
  <c r="AH786" i="94"/>
  <c r="AC786" i="94"/>
  <c r="X784" i="94"/>
  <c r="BF789" i="94"/>
  <c r="AG786" i="94"/>
  <c r="AR790" i="94"/>
  <c r="AQ790" i="94"/>
  <c r="BH790" i="94"/>
  <c r="W790" i="94"/>
  <c r="BA790" i="94"/>
  <c r="X790" i="94"/>
  <c r="AX790" i="94"/>
  <c r="BC790" i="94"/>
  <c r="BA773" i="94"/>
  <c r="AH773" i="94"/>
  <c r="AM773" i="94"/>
  <c r="AR773" i="94"/>
  <c r="AQ773" i="94"/>
  <c r="X773" i="94"/>
  <c r="Y773" i="94"/>
  <c r="AG773" i="94"/>
  <c r="AD773" i="94"/>
  <c r="AI773" i="94"/>
  <c r="AN773" i="94"/>
  <c r="BF773" i="94"/>
  <c r="AW773" i="94"/>
  <c r="EC773" i="94"/>
  <c r="W773" i="94"/>
  <c r="AC773" i="94"/>
  <c r="ED773" i="94"/>
  <c r="BJ805" i="94"/>
  <c r="BJ789" i="94"/>
  <c r="BJ775" i="94"/>
  <c r="BE805" i="94"/>
  <c r="BE789" i="94"/>
  <c r="AZ798" i="94"/>
  <c r="AZ790" i="94"/>
  <c r="AU808" i="94"/>
  <c r="AU800" i="94"/>
  <c r="AP801" i="94"/>
  <c r="AK796" i="94"/>
  <c r="AK775" i="94"/>
  <c r="AF805" i="94"/>
  <c r="AF789" i="94"/>
  <c r="AA805" i="94"/>
  <c r="AA789" i="94"/>
  <c r="EF807" i="94"/>
  <c r="EF791" i="94"/>
  <c r="EF773" i="94"/>
  <c r="BD805" i="94"/>
  <c r="BD789" i="94"/>
  <c r="AY807" i="94"/>
  <c r="AY791" i="94"/>
  <c r="AT808" i="94"/>
  <c r="AT800" i="94"/>
  <c r="AO801" i="94"/>
  <c r="AJ801" i="94"/>
  <c r="AE789" i="94"/>
  <c r="Z794" i="94"/>
  <c r="EE807" i="94"/>
  <c r="BC791" i="94"/>
  <c r="AI807" i="94"/>
  <c r="AD807" i="94"/>
  <c r="Y808" i="94"/>
  <c r="Y798" i="94"/>
  <c r="BB790" i="94"/>
  <c r="BB775" i="94"/>
  <c r="AW791" i="94"/>
  <c r="AM800" i="94"/>
  <c r="AH800" i="94"/>
  <c r="AC800" i="94"/>
  <c r="AL790" i="94"/>
  <c r="AV809" i="94"/>
  <c r="BA809" i="94"/>
  <c r="ED809" i="94"/>
  <c r="AN809" i="94"/>
  <c r="BF809" i="94"/>
  <c r="AX809" i="94"/>
  <c r="BC809" i="94"/>
  <c r="Y809" i="94"/>
  <c r="EE809" i="94"/>
  <c r="Z809" i="94"/>
  <c r="AR807" i="94"/>
  <c r="EC792" i="94"/>
  <c r="X792" i="94"/>
  <c r="BB792" i="94"/>
  <c r="BG792" i="94"/>
  <c r="AX792" i="94"/>
  <c r="BC792" i="94"/>
  <c r="AQ792" i="94"/>
  <c r="AC792" i="94"/>
  <c r="AH792" i="94"/>
  <c r="AM792" i="94"/>
  <c r="AS792" i="94"/>
  <c r="AW792" i="94"/>
  <c r="AD792" i="94"/>
  <c r="AI792" i="94"/>
  <c r="AE792" i="94"/>
  <c r="X775" i="94"/>
  <c r="Y775" i="94"/>
  <c r="AH775" i="94"/>
  <c r="AM775" i="94"/>
  <c r="AR775" i="94"/>
  <c r="ED775" i="94"/>
  <c r="AQ775" i="94"/>
  <c r="AG775" i="94"/>
  <c r="BA775" i="94"/>
  <c r="W775" i="94"/>
  <c r="AB775" i="94"/>
  <c r="AL775" i="94"/>
  <c r="AV775" i="94"/>
  <c r="EE775" i="94"/>
  <c r="EG808" i="94"/>
  <c r="EG800" i="94"/>
  <c r="EG784" i="94"/>
  <c r="BJ796" i="94"/>
  <c r="BE796" i="94"/>
  <c r="AZ805" i="94"/>
  <c r="AZ789" i="94"/>
  <c r="AU807" i="94"/>
  <c r="AU791" i="94"/>
  <c r="AP808" i="94"/>
  <c r="AP800" i="94"/>
  <c r="AP773" i="94"/>
  <c r="AF796" i="94"/>
  <c r="AF775" i="94"/>
  <c r="AA796" i="94"/>
  <c r="BI794" i="94"/>
  <c r="BI786" i="94"/>
  <c r="BI775" i="94"/>
  <c r="BD796" i="94"/>
  <c r="AY798" i="94"/>
  <c r="AY790" i="94"/>
  <c r="AT807" i="94"/>
  <c r="AT791" i="94"/>
  <c r="AO808" i="94"/>
  <c r="AO800" i="94"/>
  <c r="AJ800" i="94"/>
  <c r="AJ790" i="94"/>
  <c r="AE807" i="94"/>
  <c r="AE798" i="94"/>
  <c r="AE775" i="94"/>
  <c r="EE796" i="94"/>
  <c r="EE786" i="94"/>
  <c r="BH801" i="94"/>
  <c r="BH789" i="94"/>
  <c r="BC789" i="94"/>
  <c r="BC773" i="94"/>
  <c r="AX796" i="94"/>
  <c r="AS794" i="94"/>
  <c r="AN805" i="94"/>
  <c r="AN796" i="94"/>
  <c r="AI796" i="94"/>
  <c r="AI784" i="94"/>
  <c r="AD796" i="94"/>
  <c r="AD784" i="94"/>
  <c r="Y807" i="94"/>
  <c r="Y784" i="94"/>
  <c r="ED791" i="94"/>
  <c r="BB805" i="94"/>
  <c r="BB773" i="94"/>
  <c r="AW790" i="94"/>
  <c r="X798" i="94"/>
  <c r="AQ796" i="94"/>
  <c r="AL789" i="94"/>
  <c r="AB791" i="94"/>
  <c r="W794" i="94"/>
  <c r="AB777" i="94"/>
  <c r="AG777" i="94"/>
  <c r="AL777" i="94"/>
  <c r="AV777" i="94"/>
  <c r="EC777" i="94"/>
  <c r="ED777" i="94"/>
  <c r="X777" i="94"/>
  <c r="EE777" i="94"/>
  <c r="AC777" i="94"/>
  <c r="BG777" i="94"/>
  <c r="AH777" i="94"/>
  <c r="AM777" i="94"/>
  <c r="AR777" i="94"/>
  <c r="W777" i="94"/>
  <c r="AS777" i="94"/>
  <c r="BC777" i="94"/>
  <c r="Q1858" i="94"/>
  <c r="EG807" i="94"/>
  <c r="EG791" i="94"/>
  <c r="EG773" i="94"/>
  <c r="BJ773" i="94"/>
  <c r="BE775" i="94"/>
  <c r="AZ796" i="94"/>
  <c r="AU798" i="94"/>
  <c r="AU790" i="94"/>
  <c r="AP807" i="94"/>
  <c r="AP791" i="94"/>
  <c r="AK794" i="94"/>
  <c r="AK786" i="94"/>
  <c r="AK773" i="94"/>
  <c r="AA775" i="94"/>
  <c r="EF805" i="94"/>
  <c r="EF789" i="94"/>
  <c r="BI801" i="94"/>
  <c r="BD775" i="94"/>
  <c r="AY805" i="94"/>
  <c r="AY789" i="94"/>
  <c r="AT798" i="94"/>
  <c r="AT790" i="94"/>
  <c r="AO807" i="94"/>
  <c r="AO791" i="94"/>
  <c r="AJ808" i="94"/>
  <c r="Z800" i="94"/>
  <c r="Z791" i="94"/>
  <c r="EE805" i="94"/>
  <c r="EE773" i="94"/>
  <c r="BH800" i="94"/>
  <c r="AX807" i="94"/>
  <c r="AI805" i="94"/>
  <c r="AD805" i="94"/>
  <c r="BG798" i="94"/>
  <c r="AW789" i="94"/>
  <c r="AR794" i="94"/>
  <c r="AM798" i="94"/>
  <c r="AH798" i="94"/>
  <c r="AC798" i="94"/>
  <c r="BF801" i="94"/>
  <c r="AL808" i="94"/>
  <c r="AB789" i="94"/>
  <c r="AR806" i="94"/>
  <c r="AW806" i="94"/>
  <c r="BH806" i="94"/>
  <c r="W806" i="94"/>
  <c r="AQ806" i="94"/>
  <c r="X806" i="94"/>
  <c r="AL806" i="94"/>
  <c r="AV806" i="94"/>
  <c r="BA806" i="94"/>
  <c r="AX806" i="94"/>
  <c r="BC806" i="94"/>
  <c r="W797" i="94"/>
  <c r="ED797" i="94"/>
  <c r="AL797" i="94"/>
  <c r="AB797" i="94"/>
  <c r="BF797" i="94"/>
  <c r="AW797" i="94"/>
  <c r="AS797" i="94"/>
  <c r="AJ797" i="94"/>
  <c r="AB792" i="94"/>
  <c r="W787" i="94"/>
  <c r="AC787" i="94"/>
  <c r="AH787" i="94"/>
  <c r="AM787" i="94"/>
  <c r="AV787" i="94"/>
  <c r="ED787" i="94"/>
  <c r="Y787" i="94"/>
  <c r="EE787" i="94"/>
  <c r="Z787" i="94"/>
  <c r="AL787" i="94"/>
  <c r="BF787" i="94"/>
  <c r="AD787" i="94"/>
  <c r="AI787" i="94"/>
  <c r="AB787" i="94"/>
  <c r="AW787" i="94"/>
  <c r="AG787" i="94"/>
  <c r="W784" i="94"/>
  <c r="AB779" i="94"/>
  <c r="AG779" i="94"/>
  <c r="AL779" i="94"/>
  <c r="AV779" i="94"/>
  <c r="EC779" i="94"/>
  <c r="ED779" i="94"/>
  <c r="BA779" i="94"/>
  <c r="AM779" i="94"/>
  <c r="AR779" i="94"/>
  <c r="AS779" i="94"/>
  <c r="BC779" i="94"/>
  <c r="BB779" i="94"/>
  <c r="AX779" i="94"/>
  <c r="BH779" i="94"/>
  <c r="X779" i="94"/>
  <c r="W779" i="94"/>
  <c r="BF779" i="94"/>
  <c r="Y779" i="94"/>
  <c r="AD779" i="94"/>
  <c r="AI779" i="94"/>
  <c r="AN779" i="94"/>
  <c r="X800" i="94"/>
  <c r="AL795" i="94"/>
  <c r="AR808" i="94"/>
  <c r="AB806" i="94"/>
  <c r="W799" i="94"/>
  <c r="AL799" i="94"/>
  <c r="AQ799" i="94"/>
  <c r="BB799" i="94"/>
  <c r="BG799" i="94"/>
  <c r="AR792" i="94"/>
  <c r="AB790" i="94"/>
  <c r="AQ785" i="94"/>
  <c r="BB785" i="94"/>
  <c r="X785" i="94"/>
  <c r="AC785" i="94"/>
  <c r="AH785" i="94"/>
  <c r="Y785" i="94"/>
  <c r="W807" i="94"/>
  <c r="AL807" i="94"/>
  <c r="AQ807" i="94"/>
  <c r="BB807" i="94"/>
  <c r="BG807" i="94"/>
  <c r="AR800" i="94"/>
  <c r="AB798" i="94"/>
  <c r="W791" i="94"/>
  <c r="AL791" i="94"/>
  <c r="AQ791" i="94"/>
  <c r="BB791" i="94"/>
  <c r="BG791" i="94"/>
  <c r="W786" i="94"/>
  <c r="AG781" i="94"/>
  <c r="AW807" i="94"/>
  <c r="EC783" i="94"/>
  <c r="AG791" i="94"/>
  <c r="W809" i="94"/>
  <c r="AL809" i="94"/>
  <c r="AQ809" i="94"/>
  <c r="BB809" i="94"/>
  <c r="BG809" i="94"/>
  <c r="AB809" i="94"/>
  <c r="AG809" i="94"/>
  <c r="AC809" i="94"/>
  <c r="AH809" i="94"/>
  <c r="AM809" i="94"/>
  <c r="AL802" i="94"/>
  <c r="AQ802" i="94"/>
  <c r="AW802" i="94"/>
  <c r="AB800" i="94"/>
  <c r="W793" i="94"/>
  <c r="AL793" i="94"/>
  <c r="AQ793" i="94"/>
  <c r="BB793" i="94"/>
  <c r="BG793" i="94"/>
  <c r="AB793" i="94"/>
  <c r="AG793" i="94"/>
  <c r="AC793" i="94"/>
  <c r="AH793" i="94"/>
  <c r="AM793" i="94"/>
  <c r="BA786" i="94"/>
  <c r="AQ786" i="94"/>
  <c r="EC786" i="94"/>
  <c r="AW786" i="94"/>
  <c r="AG783" i="94"/>
  <c r="AB783" i="94"/>
  <c r="AW778" i="94"/>
  <c r="BG778" i="94"/>
  <c r="AC774" i="94"/>
  <c r="BB774" i="94"/>
  <c r="AB772" i="94"/>
  <c r="AV772" i="94"/>
  <c r="AC772" i="94"/>
  <c r="BB772" i="94"/>
  <c r="AM802" i="94"/>
  <c r="AM791" i="94"/>
  <c r="AH802" i="94"/>
  <c r="AH791" i="94"/>
  <c r="AC791" i="94"/>
  <c r="EC781" i="94"/>
  <c r="BF807" i="94"/>
  <c r="BF786" i="94"/>
  <c r="W808" i="94"/>
  <c r="AW804" i="94"/>
  <c r="AV802" i="94"/>
  <c r="W795" i="94"/>
  <c r="AC795" i="94"/>
  <c r="AH795" i="94"/>
  <c r="AM795" i="94"/>
  <c r="AV795" i="94"/>
  <c r="ED795" i="94"/>
  <c r="W792" i="94"/>
  <c r="AW788" i="94"/>
  <c r="AQ778" i="94"/>
  <c r="X802" i="94"/>
  <c r="X794" i="94"/>
  <c r="EC802" i="94"/>
  <c r="EC794" i="94"/>
  <c r="BF806" i="94"/>
  <c r="BF798" i="94"/>
  <c r="BF790" i="94"/>
  <c r="BF778" i="94"/>
  <c r="BA808" i="94"/>
  <c r="BA800" i="94"/>
  <c r="BA792" i="94"/>
  <c r="AV808" i="94"/>
  <c r="AV800" i="94"/>
  <c r="AV792" i="94"/>
  <c r="AG806" i="94"/>
  <c r="AG798" i="94"/>
  <c r="AG790" i="94"/>
  <c r="K90" i="75"/>
  <c r="AG772" i="94"/>
  <c r="X804" i="94"/>
  <c r="X796" i="94"/>
  <c r="X788" i="94"/>
  <c r="BF808" i="94"/>
  <c r="BF800" i="94"/>
  <c r="BF792" i="94"/>
  <c r="BF772" i="94"/>
  <c r="BA802" i="94"/>
  <c r="BA794" i="94"/>
  <c r="AG808" i="94"/>
  <c r="AG800" i="94"/>
  <c r="AG792" i="94"/>
  <c r="AL785" i="94"/>
  <c r="KP780" i="94"/>
  <c r="MN772" i="94"/>
  <c r="DB48" i="75"/>
  <c r="M97" i="75" s="1"/>
  <c r="JE767" i="93"/>
  <c r="EX767" i="93"/>
  <c r="JM767" i="93"/>
  <c r="E805" i="93"/>
  <c r="A767" i="93"/>
  <c r="JF767" i="93"/>
  <c r="JI767" i="93"/>
  <c r="JJ767" i="93"/>
  <c r="MG772" i="94"/>
  <c r="MH772" i="94"/>
  <c r="MI772" i="94"/>
  <c r="KU48" i="75"/>
  <c r="N121" i="75" s="1"/>
  <c r="N140" i="75" s="1"/>
  <c r="K1217" i="94" s="1"/>
  <c r="N1217" i="94" s="1"/>
  <c r="GX767" i="93"/>
  <c r="IB767" i="93"/>
  <c r="FY767" i="93"/>
  <c r="HZ767" i="93"/>
  <c r="JA767" i="93"/>
  <c r="LT48" i="75"/>
  <c r="MB48" i="75"/>
  <c r="GW767" i="93"/>
  <c r="EY767" i="93"/>
  <c r="GV767" i="93"/>
  <c r="EK767" i="93"/>
  <c r="JH767" i="93"/>
  <c r="FS767" i="93"/>
  <c r="GY767" i="93"/>
  <c r="HC767" i="93"/>
  <c r="CZ767" i="93"/>
  <c r="JG767" i="93"/>
  <c r="GF767" i="93"/>
  <c r="BX767" i="93"/>
  <c r="DE767" i="93"/>
  <c r="HQ767" i="93"/>
  <c r="FQ767" i="93"/>
  <c r="FA767" i="93"/>
  <c r="DA767" i="93"/>
  <c r="DB767" i="93"/>
  <c r="ES767" i="93"/>
  <c r="GZ767" i="93"/>
  <c r="EW767" i="93"/>
  <c r="GS767" i="93"/>
  <c r="JK767" i="93"/>
  <c r="FF767" i="93"/>
  <c r="GL767" i="93"/>
  <c r="HU767" i="93"/>
  <c r="HU805" i="93" s="1"/>
  <c r="K850" i="93" s="1"/>
  <c r="HX767" i="93"/>
  <c r="JD767" i="93"/>
  <c r="JP767" i="93"/>
  <c r="FP772" i="94"/>
  <c r="FO772" i="94"/>
  <c r="HS772" i="94"/>
  <c r="FH772" i="94"/>
  <c r="DS772" i="94"/>
  <c r="DL772" i="94"/>
  <c r="CF772" i="94"/>
  <c r="KR772" i="94"/>
  <c r="JL772" i="94"/>
  <c r="IF772" i="94"/>
  <c r="KS772" i="94"/>
  <c r="IG772" i="94"/>
  <c r="KI772" i="94"/>
  <c r="JC772" i="94"/>
  <c r="LB772" i="94"/>
  <c r="KK772" i="94"/>
  <c r="KP772" i="94"/>
  <c r="JJ772" i="94"/>
  <c r="ID772" i="94"/>
  <c r="KW772" i="94"/>
  <c r="JQ772" i="94"/>
  <c r="IK772" i="94"/>
  <c r="IO772" i="94"/>
  <c r="KN772" i="94"/>
  <c r="JH772" i="94"/>
  <c r="KT772" i="94"/>
  <c r="LC772" i="94"/>
  <c r="JW772" i="94"/>
  <c r="IQ772" i="94"/>
  <c r="HZ772" i="94"/>
  <c r="MK772" i="94"/>
  <c r="IB772" i="94"/>
  <c r="BE772" i="94"/>
  <c r="AF772" i="94"/>
  <c r="AE772" i="94"/>
  <c r="BC772" i="94"/>
  <c r="AX772" i="94"/>
  <c r="AN772" i="94"/>
  <c r="BG772" i="94"/>
  <c r="X772" i="94"/>
  <c r="BA772" i="94"/>
  <c r="AQ772" i="94"/>
  <c r="AL772" i="94"/>
  <c r="W772" i="94"/>
  <c r="FW772" i="94"/>
  <c r="DC772" i="94"/>
  <c r="EA772" i="94"/>
  <c r="DI772" i="94"/>
  <c r="GK772" i="94"/>
  <c r="BU772" i="94"/>
  <c r="EO772" i="94"/>
  <c r="GS772" i="94"/>
  <c r="BN772" i="94"/>
  <c r="CT772" i="94"/>
  <c r="DZ772" i="94"/>
  <c r="FF772" i="94"/>
  <c r="GL772" i="94"/>
  <c r="HR772" i="94"/>
  <c r="CO772" i="94"/>
  <c r="GO772" i="94"/>
  <c r="CW772" i="94"/>
  <c r="BZ772" i="94"/>
  <c r="DF772" i="94"/>
  <c r="ET772" i="94"/>
  <c r="FZ772" i="94"/>
  <c r="HF772" i="94"/>
  <c r="LN772" i="94"/>
  <c r="DM772" i="94"/>
  <c r="HM772" i="94"/>
  <c r="CY772" i="94"/>
  <c r="FC772" i="94"/>
  <c r="GY772" i="94"/>
  <c r="LW772" i="94"/>
  <c r="GW772" i="94"/>
  <c r="CA772" i="94"/>
  <c r="GI772" i="94"/>
  <c r="BL772" i="94"/>
  <c r="CR772" i="94"/>
  <c r="DX772" i="94"/>
  <c r="FL772" i="94"/>
  <c r="GR772" i="94"/>
  <c r="HX772" i="94"/>
  <c r="EJ772" i="94"/>
  <c r="EI772" i="94"/>
  <c r="GU772" i="94"/>
  <c r="LL772" i="94"/>
  <c r="LS772" i="94"/>
  <c r="EB772" i="94"/>
  <c r="HK772" i="94"/>
  <c r="CM772" i="94"/>
  <c r="HL772" i="94"/>
  <c r="KJ772" i="94"/>
  <c r="JD772" i="94"/>
  <c r="MQ772" i="94"/>
  <c r="JU772" i="94"/>
  <c r="MF772" i="94"/>
  <c r="KA772" i="94"/>
  <c r="IU772" i="94"/>
  <c r="KD772" i="94"/>
  <c r="JM772" i="94"/>
  <c r="KH772" i="94"/>
  <c r="JB772" i="94"/>
  <c r="IH772" i="94"/>
  <c r="KO772" i="94"/>
  <c r="JI772" i="94"/>
  <c r="KL772" i="94"/>
  <c r="MS772" i="94"/>
  <c r="KF772" i="94"/>
  <c r="IZ772" i="94"/>
  <c r="JV772" i="94"/>
  <c r="KU772" i="94"/>
  <c r="JO772" i="94"/>
  <c r="II772" i="94"/>
  <c r="MM772" i="94"/>
  <c r="MJ772" i="94"/>
  <c r="IC772" i="94"/>
  <c r="ML772" i="94"/>
  <c r="BI772" i="94"/>
  <c r="AY772" i="94"/>
  <c r="Z772" i="94"/>
  <c r="EE772" i="94"/>
  <c r="AI772" i="94"/>
  <c r="EC772" i="94"/>
  <c r="DO48" i="75"/>
  <c r="K94" i="75" s="1"/>
  <c r="LF48" i="75"/>
  <c r="ML779" i="94"/>
  <c r="ME779" i="94"/>
  <c r="ES779" i="94"/>
  <c r="AH779" i="94"/>
  <c r="MK779" i="94"/>
  <c r="HQ777" i="93"/>
  <c r="JH777" i="93"/>
  <c r="GZ777" i="93"/>
  <c r="GQ777" i="93"/>
  <c r="FW777" i="93"/>
  <c r="JF777" i="93"/>
  <c r="IZ782" i="94"/>
  <c r="IR782" i="94"/>
  <c r="JA782" i="94"/>
  <c r="KG782" i="94"/>
  <c r="MS782" i="94"/>
  <c r="JB782" i="94"/>
  <c r="KH782" i="94"/>
  <c r="IM782" i="94"/>
  <c r="JS782" i="94"/>
  <c r="KY782" i="94"/>
  <c r="JD782" i="94"/>
  <c r="KJ782" i="94"/>
  <c r="IO782" i="94"/>
  <c r="JU782" i="94"/>
  <c r="LA782" i="94"/>
  <c r="IP782" i="94"/>
  <c r="JV782" i="94"/>
  <c r="LB782" i="94"/>
  <c r="IQ782" i="94"/>
  <c r="JW782" i="94"/>
  <c r="LC782" i="94"/>
  <c r="HY782" i="94"/>
  <c r="JM777" i="93"/>
  <c r="FO777" i="93"/>
  <c r="GC777" i="93"/>
  <c r="JJ777" i="93"/>
  <c r="JP782" i="94"/>
  <c r="JH782" i="94"/>
  <c r="JI782" i="94"/>
  <c r="KO782" i="94"/>
  <c r="ID782" i="94"/>
  <c r="JJ782" i="94"/>
  <c r="KP782" i="94"/>
  <c r="IU782" i="94"/>
  <c r="KA782" i="94"/>
  <c r="IF782" i="94"/>
  <c r="JL782" i="94"/>
  <c r="KR782" i="94"/>
  <c r="IW782" i="94"/>
  <c r="KC782" i="94"/>
  <c r="MG782" i="94"/>
  <c r="IX782" i="94"/>
  <c r="KD782" i="94"/>
  <c r="MH782" i="94"/>
  <c r="IY782" i="94"/>
  <c r="KE782" i="94"/>
  <c r="MI782" i="94"/>
  <c r="IA782" i="94"/>
  <c r="HZ776" i="93"/>
  <c r="GT776" i="93"/>
  <c r="FN776" i="93"/>
  <c r="HQ776" i="93"/>
  <c r="GK776" i="93"/>
  <c r="FE776" i="93"/>
  <c r="JL776" i="93"/>
  <c r="HH776" i="93"/>
  <c r="GB776" i="93"/>
  <c r="HW776" i="93"/>
  <c r="GQ776" i="93"/>
  <c r="FK776" i="93"/>
  <c r="JJ776" i="93"/>
  <c r="GX776" i="93"/>
  <c r="FR776" i="93"/>
  <c r="HU776" i="93"/>
  <c r="GO776" i="93"/>
  <c r="FI776" i="93"/>
  <c r="JP776" i="93"/>
  <c r="HL776" i="93"/>
  <c r="GF776" i="93"/>
  <c r="EZ776" i="93"/>
  <c r="HK776" i="93"/>
  <c r="GU776" i="93"/>
  <c r="FW776" i="93"/>
  <c r="JO776" i="93"/>
  <c r="KE781" i="94"/>
  <c r="KD781" i="94"/>
  <c r="IG781" i="94"/>
  <c r="JL781" i="94"/>
  <c r="JK781" i="94"/>
  <c r="IS781" i="94"/>
  <c r="IZ781" i="94"/>
  <c r="JZ781" i="94"/>
  <c r="HR776" i="93"/>
  <c r="GL776" i="93"/>
  <c r="FF776" i="93"/>
  <c r="JM776" i="93"/>
  <c r="HI776" i="93"/>
  <c r="GC776" i="93"/>
  <c r="EW776" i="93"/>
  <c r="JD776" i="93"/>
  <c r="GZ776" i="93"/>
  <c r="FT776" i="93"/>
  <c r="HO776" i="93"/>
  <c r="GI776" i="93"/>
  <c r="FC776" i="93"/>
  <c r="HV776" i="93"/>
  <c r="GP776" i="93"/>
  <c r="FJ776" i="93"/>
  <c r="JQ776" i="93"/>
  <c r="HM776" i="93"/>
  <c r="GG776" i="93"/>
  <c r="FA776" i="93"/>
  <c r="JH776" i="93"/>
  <c r="HD776" i="93"/>
  <c r="FX776" i="93"/>
  <c r="EY776" i="93"/>
  <c r="FO776" i="93"/>
  <c r="MI781" i="94"/>
  <c r="IY781" i="94"/>
  <c r="IX781" i="94"/>
  <c r="IF781" i="94"/>
  <c r="IE781" i="94"/>
  <c r="MO781" i="94"/>
  <c r="IC775" i="93"/>
  <c r="FP775" i="93"/>
  <c r="IP48" i="75"/>
  <c r="L130" i="75" s="1"/>
  <c r="JL775" i="93"/>
  <c r="KG48" i="75"/>
  <c r="J119" i="75" s="1"/>
  <c r="HR774" i="93"/>
  <c r="JK774" i="93"/>
  <c r="GI774" i="93"/>
  <c r="FA774" i="93"/>
  <c r="IA779" i="94"/>
  <c r="MN779" i="94"/>
  <c r="GR774" i="93"/>
  <c r="HV774" i="93"/>
  <c r="FQ774" i="93"/>
  <c r="IB48" i="75"/>
  <c r="EY774" i="93"/>
  <c r="JJ774" i="93"/>
  <c r="HY779" i="94"/>
  <c r="I732" i="94"/>
  <c r="I780" i="93"/>
  <c r="K780" i="93" s="1"/>
  <c r="L780" i="93" s="1"/>
  <c r="K11" i="75"/>
  <c r="L11" i="75" s="1"/>
  <c r="I768" i="93"/>
  <c r="K768" i="93" s="1"/>
  <c r="L768" i="93" s="1"/>
  <c r="K15" i="75"/>
  <c r="L15" i="75" s="1"/>
  <c r="K47" i="75"/>
  <c r="L47" i="75" s="1"/>
  <c r="I796" i="93"/>
  <c r="K796" i="93" s="1"/>
  <c r="L796" i="93" s="1"/>
  <c r="I772" i="93"/>
  <c r="K772" i="93" s="1"/>
  <c r="L772" i="93" s="1"/>
  <c r="K23" i="75"/>
  <c r="L23" i="75" s="1"/>
  <c r="K27" i="75"/>
  <c r="L27" i="75" s="1"/>
  <c r="M732" i="94"/>
  <c r="L730" i="93"/>
  <c r="I781" i="93"/>
  <c r="K781" i="93" s="1"/>
  <c r="L781" i="93" s="1"/>
  <c r="K36" i="75"/>
  <c r="L36" i="75" s="1"/>
  <c r="I789" i="93"/>
  <c r="K789" i="93" s="1"/>
  <c r="L789" i="93" s="1"/>
  <c r="I769" i="93"/>
  <c r="K769" i="93" s="1"/>
  <c r="L769" i="93" s="1"/>
  <c r="D63" i="74"/>
  <c r="H34" i="86" s="1"/>
  <c r="C36" i="86"/>
  <c r="H36" i="86"/>
  <c r="D36" i="86"/>
  <c r="J522" i="94"/>
  <c r="J554" i="93"/>
  <c r="C63" i="74"/>
  <c r="C1015" i="93" s="1"/>
  <c r="F1078" i="94"/>
  <c r="K1027" i="93"/>
  <c r="B63" i="74"/>
  <c r="B1015" i="93" s="1"/>
  <c r="F63" i="74"/>
  <c r="C54" i="86" s="1"/>
  <c r="N405" i="93"/>
  <c r="E63" i="74"/>
  <c r="D405" i="93"/>
  <c r="B1078" i="94"/>
  <c r="K1046" i="94"/>
  <c r="K985" i="93"/>
  <c r="E34" i="86"/>
  <c r="C1078" i="94"/>
  <c r="B31" i="74"/>
  <c r="D31" i="74"/>
  <c r="F31" i="74"/>
  <c r="H31" i="74"/>
  <c r="J31" i="74"/>
  <c r="I421" i="93"/>
  <c r="P420" i="94"/>
  <c r="D1078" i="94"/>
  <c r="E1078" i="94"/>
  <c r="C31" i="74"/>
  <c r="E31" i="74"/>
  <c r="G31" i="74"/>
  <c r="I31" i="74"/>
  <c r="H99" i="94"/>
  <c r="K1325" i="94"/>
  <c r="I1325" i="94"/>
  <c r="F1325" i="94"/>
  <c r="H1325" i="94"/>
  <c r="L354" i="93"/>
  <c r="E5" i="89"/>
  <c r="D56" i="92"/>
  <c r="F84" i="92"/>
  <c r="L408" i="94"/>
  <c r="L393" i="93"/>
  <c r="O1968" i="94"/>
  <c r="O1861" i="93"/>
  <c r="Q58" i="73"/>
  <c r="O316" i="72"/>
  <c r="G1224" i="94"/>
  <c r="G1222" i="94"/>
  <c r="G1220" i="94"/>
  <c r="G1216" i="94"/>
  <c r="G1138" i="93"/>
  <c r="G1156" i="93"/>
  <c r="G1142" i="93"/>
  <c r="G1159" i="93"/>
  <c r="G50" i="73"/>
  <c r="G55" i="73"/>
  <c r="G58" i="73"/>
  <c r="G63" i="73"/>
  <c r="G41" i="73"/>
  <c r="G1210" i="94"/>
  <c r="G1208" i="94"/>
  <c r="G1206" i="94"/>
  <c r="G1202" i="94"/>
  <c r="G1200" i="94"/>
  <c r="G1153" i="93"/>
  <c r="G1139" i="93"/>
  <c r="G1137" i="93"/>
  <c r="O1621" i="93"/>
  <c r="G1144" i="93"/>
  <c r="G1151" i="93"/>
  <c r="G66" i="73"/>
  <c r="G44" i="73"/>
  <c r="G49" i="73"/>
  <c r="G52" i="73"/>
  <c r="G57" i="73"/>
  <c r="P58" i="73"/>
  <c r="G1223" i="94"/>
  <c r="G1221" i="94"/>
  <c r="G1214" i="94"/>
  <c r="G1143" i="93"/>
  <c r="G1152" i="93"/>
  <c r="G1135" i="93"/>
  <c r="G1149" i="93"/>
  <c r="G1145" i="93"/>
  <c r="G1160" i="93"/>
  <c r="G62" i="73"/>
  <c r="G65" i="73"/>
  <c r="G43" i="73"/>
  <c r="G48" i="73"/>
  <c r="G51" i="73"/>
  <c r="O1719" i="94"/>
  <c r="G1217" i="94"/>
  <c r="G1215" i="94"/>
  <c r="G1213" i="94"/>
  <c r="G1209" i="94"/>
  <c r="G1207" i="94"/>
  <c r="G1203" i="94"/>
  <c r="G1201" i="94"/>
  <c r="G1199" i="94"/>
  <c r="G1158" i="93"/>
  <c r="G1136" i="93"/>
  <c r="G1157" i="93"/>
  <c r="G1150" i="93"/>
  <c r="G1146" i="93"/>
  <c r="G56" i="73"/>
  <c r="G59" i="73"/>
  <c r="G64" i="73"/>
  <c r="G42" i="73"/>
  <c r="G45" i="73"/>
  <c r="O306" i="72"/>
  <c r="L49" i="93"/>
  <c r="T1825" i="94"/>
  <c r="K51" i="93"/>
  <c r="P990" i="94"/>
  <c r="M763" i="93"/>
  <c r="O63" i="94"/>
  <c r="N63" i="94"/>
  <c r="R785" i="93"/>
  <c r="R789" i="93"/>
  <c r="R772" i="93"/>
  <c r="R787" i="93"/>
  <c r="A3" i="94"/>
  <c r="T1821" i="94"/>
  <c r="R793" i="93"/>
  <c r="R797" i="93"/>
  <c r="P934" i="93"/>
  <c r="O6" i="75"/>
  <c r="R10" i="75" s="1"/>
  <c r="K63" i="94"/>
  <c r="O763" i="93"/>
  <c r="R799" i="93"/>
  <c r="R781" i="93"/>
  <c r="R768" i="93"/>
  <c r="R788" i="94"/>
  <c r="R800" i="94"/>
  <c r="A628" i="94"/>
  <c r="I713" i="94"/>
  <c r="T1823" i="94"/>
  <c r="A378" i="94"/>
  <c r="P1200" i="94"/>
  <c r="K57" i="74"/>
  <c r="B57" i="74"/>
  <c r="B1009" i="93" s="1"/>
  <c r="D89" i="74"/>
  <c r="C89" i="74"/>
  <c r="J89" i="74"/>
  <c r="F57" i="74"/>
  <c r="D119" i="74"/>
  <c r="K89" i="74"/>
  <c r="G57" i="74"/>
  <c r="F119" i="74"/>
  <c r="B89" i="74"/>
  <c r="H89" i="74"/>
  <c r="D57" i="74"/>
  <c r="D65" i="82" s="1"/>
  <c r="I57" i="74"/>
  <c r="I65" i="82" s="1"/>
  <c r="N400" i="93"/>
  <c r="F89" i="74"/>
  <c r="G89" i="74"/>
  <c r="C57" i="74"/>
  <c r="C65" i="82" s="1"/>
  <c r="B119" i="74"/>
  <c r="J57" i="74"/>
  <c r="J1009" i="93" s="1"/>
  <c r="E119" i="74"/>
  <c r="E89" i="74"/>
  <c r="E31" i="87" s="1"/>
  <c r="C119" i="74"/>
  <c r="C1134" i="94"/>
  <c r="H1072" i="94"/>
  <c r="I1104" i="94"/>
  <c r="F1072" i="94"/>
  <c r="G1104" i="94"/>
  <c r="E57" i="74"/>
  <c r="B1072" i="94"/>
  <c r="J1072" i="94"/>
  <c r="C1104" i="94"/>
  <c r="K1104" i="94"/>
  <c r="E1134" i="94"/>
  <c r="H57" i="74"/>
  <c r="I89" i="74"/>
  <c r="I1039" i="93" s="1"/>
  <c r="P415" i="94"/>
  <c r="D1072" i="94"/>
  <c r="E1104" i="94"/>
  <c r="I435" i="94"/>
  <c r="F1472" i="93"/>
  <c r="J1472" i="93" s="1"/>
  <c r="FI777" i="93"/>
  <c r="FC775" i="93"/>
  <c r="FZ775" i="93"/>
  <c r="GS775" i="93"/>
  <c r="FN775" i="93"/>
  <c r="GV775" i="93"/>
  <c r="HY775" i="93"/>
  <c r="GT775" i="93"/>
  <c r="GW775" i="93"/>
  <c r="HK775" i="93"/>
  <c r="FD775" i="93"/>
  <c r="GR775" i="93"/>
  <c r="HO774" i="93"/>
  <c r="GZ774" i="93"/>
  <c r="FH774" i="93"/>
  <c r="GO774" i="93"/>
  <c r="GF774" i="93"/>
  <c r="KB779" i="94"/>
  <c r="IE779" i="94"/>
  <c r="JJ779" i="94"/>
  <c r="JP779" i="94"/>
  <c r="LB779" i="94"/>
  <c r="JM779" i="94"/>
  <c r="GE774" i="93"/>
  <c r="JQ774" i="93"/>
  <c r="GX774" i="93"/>
  <c r="HI774" i="93"/>
  <c r="IV779" i="94"/>
  <c r="ID779" i="94"/>
  <c r="IJ779" i="94"/>
  <c r="JV779" i="94"/>
  <c r="IG779" i="94"/>
  <c r="FJ774" i="93"/>
  <c r="HD774" i="93"/>
  <c r="FL774" i="93"/>
  <c r="IC774" i="93"/>
  <c r="KQ779" i="94"/>
  <c r="KG779" i="94"/>
  <c r="IP779" i="94"/>
  <c r="IY779" i="94"/>
  <c r="FS774" i="93"/>
  <c r="HX774" i="93"/>
  <c r="GB774" i="93"/>
  <c r="HP774" i="93"/>
  <c r="GU774" i="93"/>
  <c r="FZ774" i="93"/>
  <c r="FD774" i="93"/>
  <c r="HZ774" i="93"/>
  <c r="GY774" i="93"/>
  <c r="GD774" i="93"/>
  <c r="FC774" i="93"/>
  <c r="GM774" i="93"/>
  <c r="FG774" i="93"/>
  <c r="FY774" i="93"/>
  <c r="GS774" i="93"/>
  <c r="HM774" i="93"/>
  <c r="FK774" i="93"/>
  <c r="GQ774" i="93"/>
  <c r="GA774" i="93"/>
  <c r="KZ779" i="94"/>
  <c r="JT779" i="94"/>
  <c r="IN779" i="94"/>
  <c r="KI779" i="94"/>
  <c r="JC779" i="94"/>
  <c r="KH779" i="94"/>
  <c r="JB779" i="94"/>
  <c r="LE779" i="94"/>
  <c r="JY779" i="94"/>
  <c r="IS779" i="94"/>
  <c r="KN779" i="94"/>
  <c r="JH779" i="94"/>
  <c r="KT779" i="94"/>
  <c r="JN779" i="94"/>
  <c r="IH779" i="94"/>
  <c r="KK779" i="94"/>
  <c r="JE779" i="94"/>
  <c r="JG779" i="94"/>
  <c r="KM779" i="94"/>
  <c r="IK48" i="75"/>
  <c r="L125" i="75" s="1"/>
  <c r="IT48" i="75"/>
  <c r="K131" i="75" s="1"/>
  <c r="JC48" i="75"/>
  <c r="J129" i="75" s="1"/>
  <c r="JG48" i="75"/>
  <c r="N129" i="75" s="1"/>
  <c r="JY48" i="75"/>
  <c r="L117" i="75" s="1"/>
  <c r="KH48" i="75"/>
  <c r="K119" i="75" s="1"/>
  <c r="LD48" i="75"/>
  <c r="M123" i="75" s="1"/>
  <c r="MO48" i="75"/>
  <c r="MS48" i="75"/>
  <c r="HS774" i="93"/>
  <c r="FR774" i="93"/>
  <c r="HK774" i="93"/>
  <c r="GP774" i="93"/>
  <c r="FT774" i="93"/>
  <c r="HT774" i="93"/>
  <c r="GT774" i="93"/>
  <c r="FX774" i="93"/>
  <c r="HN774" i="93"/>
  <c r="GH774" i="93"/>
  <c r="FI774" i="93"/>
  <c r="GC774" i="93"/>
  <c r="GW774" i="93"/>
  <c r="HU774" i="93"/>
  <c r="JC774" i="93"/>
  <c r="HW774" i="93"/>
  <c r="FP774" i="93"/>
  <c r="HL774" i="93"/>
  <c r="GL774" i="93"/>
  <c r="KR779" i="94"/>
  <c r="JL779" i="94"/>
  <c r="IF779" i="94"/>
  <c r="KA779" i="94"/>
  <c r="IU779" i="94"/>
  <c r="JZ779" i="94"/>
  <c r="IT779" i="94"/>
  <c r="KW779" i="94"/>
  <c r="JQ779" i="94"/>
  <c r="IK779" i="94"/>
  <c r="MS779" i="94"/>
  <c r="KF779" i="94"/>
  <c r="IZ779" i="94"/>
  <c r="KL779" i="94"/>
  <c r="JF779" i="94"/>
  <c r="MP779" i="94"/>
  <c r="KC779" i="94"/>
  <c r="IW779" i="94"/>
  <c r="MO779" i="94"/>
  <c r="II779" i="94"/>
  <c r="JO779" i="94"/>
  <c r="KU779" i="94"/>
  <c r="MR779" i="94"/>
  <c r="JO774" i="93"/>
  <c r="HH774" i="93"/>
  <c r="FB774" i="93"/>
  <c r="IA774" i="93"/>
  <c r="HF774" i="93"/>
  <c r="GJ774" i="93"/>
  <c r="FO774" i="93"/>
  <c r="HJ774" i="93"/>
  <c r="GN774" i="93"/>
  <c r="FN774" i="93"/>
  <c r="HC774" i="93"/>
  <c r="FW774" i="93"/>
  <c r="FM774" i="93"/>
  <c r="GG774" i="93"/>
  <c r="HE774" i="93"/>
  <c r="HY774" i="93"/>
  <c r="JP774" i="93"/>
  <c r="FV774" i="93"/>
  <c r="KJ779" i="94"/>
  <c r="JD779" i="94"/>
  <c r="KY779" i="94"/>
  <c r="JS779" i="94"/>
  <c r="IM779" i="94"/>
  <c r="KX779" i="94"/>
  <c r="JR779" i="94"/>
  <c r="IL779" i="94"/>
  <c r="KO779" i="94"/>
  <c r="JI779" i="94"/>
  <c r="LD779" i="94"/>
  <c r="JX779" i="94"/>
  <c r="IR779" i="94"/>
  <c r="MQ779" i="94"/>
  <c r="KD779" i="94"/>
  <c r="IX779" i="94"/>
  <c r="LA779" i="94"/>
  <c r="JU779" i="94"/>
  <c r="IO779" i="94"/>
  <c r="IQ779" i="94"/>
  <c r="JW779" i="94"/>
  <c r="MF782" i="94"/>
  <c r="HO782" i="94"/>
  <c r="GU782" i="94"/>
  <c r="GT782" i="94"/>
  <c r="GJ782" i="94"/>
  <c r="GG782" i="94"/>
  <c r="GY782" i="94"/>
  <c r="HJ782" i="94"/>
  <c r="MM782" i="94"/>
  <c r="MN782" i="94"/>
  <c r="ML782" i="94"/>
  <c r="HG782" i="94"/>
  <c r="HF782" i="94"/>
  <c r="GL782" i="94"/>
  <c r="GK782" i="94"/>
  <c r="MB782" i="94"/>
  <c r="GO782" i="94"/>
  <c r="GP782" i="94"/>
  <c r="HS782" i="94"/>
  <c r="MK782" i="94"/>
  <c r="LV782" i="94"/>
  <c r="GX782" i="94"/>
  <c r="HT782" i="94"/>
  <c r="LZ782" i="94"/>
  <c r="HM782" i="94"/>
  <c r="GZ782" i="94"/>
  <c r="GF779" i="94"/>
  <c r="GV779" i="94"/>
  <c r="LU779" i="94"/>
  <c r="GN779" i="94"/>
  <c r="HL779" i="94"/>
  <c r="HB779" i="94"/>
  <c r="LZ779" i="94"/>
  <c r="HC779" i="94"/>
  <c r="MA779" i="94"/>
  <c r="GX779" i="94"/>
  <c r="LV779" i="94"/>
  <c r="GQ779" i="94"/>
  <c r="HW779" i="94"/>
  <c r="GJ779" i="94"/>
  <c r="HP779" i="94"/>
  <c r="MF779" i="94"/>
  <c r="MG779" i="94"/>
  <c r="GS779" i="94"/>
  <c r="HQ779" i="94"/>
  <c r="GK779" i="94"/>
  <c r="HI779" i="94"/>
  <c r="MJ779" i="94"/>
  <c r="HJ779" i="94"/>
  <c r="MH779" i="94"/>
  <c r="HK779" i="94"/>
  <c r="MI779" i="94"/>
  <c r="HF779" i="94"/>
  <c r="MD779" i="94"/>
  <c r="GY779" i="94"/>
  <c r="LW779" i="94"/>
  <c r="GR779" i="94"/>
  <c r="HX779" i="94"/>
  <c r="LV48" i="75"/>
  <c r="MG48" i="75"/>
  <c r="MK48" i="75"/>
  <c r="LR48" i="75"/>
  <c r="LP48" i="75"/>
  <c r="LX48" i="75"/>
  <c r="JI777" i="93"/>
  <c r="JC777" i="93"/>
  <c r="GE777" i="93"/>
  <c r="GY777" i="93"/>
  <c r="HS777" i="93"/>
  <c r="EZ777" i="93"/>
  <c r="HB777" i="93"/>
  <c r="GR777" i="93"/>
  <c r="FZ777" i="93"/>
  <c r="IA777" i="93"/>
  <c r="FF777" i="93"/>
  <c r="HR777" i="93"/>
  <c r="FY777" i="93"/>
  <c r="HM777" i="93"/>
  <c r="JN777" i="93"/>
  <c r="EW777" i="93"/>
  <c r="GK777" i="93"/>
  <c r="FT777" i="93"/>
  <c r="GT777" i="93"/>
  <c r="GP777" i="93"/>
  <c r="A777" i="93"/>
  <c r="FJ777" i="93"/>
  <c r="GD777" i="93"/>
  <c r="GB777" i="93"/>
  <c r="FK777" i="93"/>
  <c r="HW777" i="93"/>
  <c r="FB777" i="93"/>
  <c r="HC777" i="93"/>
  <c r="GJ777" i="93"/>
  <c r="GA777" i="93"/>
  <c r="IB777" i="93"/>
  <c r="GG777" i="93"/>
  <c r="HU777" i="93"/>
  <c r="FE777" i="93"/>
  <c r="HA777" i="93"/>
  <c r="GN777" i="93"/>
  <c r="GM777" i="93"/>
  <c r="HO777" i="93"/>
  <c r="HJ777" i="93"/>
  <c r="JL777" i="93"/>
  <c r="FH777" i="93"/>
  <c r="FG777" i="93"/>
  <c r="HK777" i="93"/>
  <c r="GF777" i="93"/>
  <c r="FL777" i="93"/>
  <c r="HN777" i="93"/>
  <c r="HF777" i="93"/>
  <c r="GL777" i="93"/>
  <c r="FA777" i="93"/>
  <c r="GO777" i="93"/>
  <c r="FU777" i="93"/>
  <c r="HI777" i="93"/>
  <c r="EY777" i="93"/>
  <c r="GI777" i="93"/>
  <c r="MM781" i="94"/>
  <c r="MH781" i="94"/>
  <c r="JW781" i="94"/>
  <c r="IQ781" i="94"/>
  <c r="LB781" i="94"/>
  <c r="JV781" i="94"/>
  <c r="IP781" i="94"/>
  <c r="KK781" i="94"/>
  <c r="JE781" i="94"/>
  <c r="KJ781" i="94"/>
  <c r="JD781" i="94"/>
  <c r="KI781" i="94"/>
  <c r="JC781" i="94"/>
  <c r="KW781" i="94"/>
  <c r="JQ781" i="94"/>
  <c r="IK781" i="94"/>
  <c r="LD781" i="94"/>
  <c r="JX781" i="94"/>
  <c r="IR781" i="94"/>
  <c r="HY781" i="94"/>
  <c r="IC781" i="94"/>
  <c r="JB781" i="94"/>
  <c r="KH781" i="94"/>
  <c r="ME781" i="94"/>
  <c r="MF781" i="94"/>
  <c r="MG781" i="94"/>
  <c r="KU781" i="94"/>
  <c r="JO781" i="94"/>
  <c r="II781" i="94"/>
  <c r="KT781" i="94"/>
  <c r="JN781" i="94"/>
  <c r="IH781" i="94"/>
  <c r="MR781" i="94"/>
  <c r="KC781" i="94"/>
  <c r="IW781" i="94"/>
  <c r="MQ781" i="94"/>
  <c r="KB781" i="94"/>
  <c r="IV781" i="94"/>
  <c r="MP781" i="94"/>
  <c r="KA781" i="94"/>
  <c r="IU781" i="94"/>
  <c r="KO781" i="94"/>
  <c r="JI781" i="94"/>
  <c r="KV781" i="94"/>
  <c r="JP781" i="94"/>
  <c r="IJ781" i="94"/>
  <c r="HZ781" i="94"/>
  <c r="ID781" i="94"/>
  <c r="JJ781" i="94"/>
  <c r="KP781" i="94"/>
  <c r="ML781" i="94"/>
  <c r="MK781" i="94"/>
  <c r="MN781" i="94"/>
  <c r="KM781" i="94"/>
  <c r="JG781" i="94"/>
  <c r="KL781" i="94"/>
  <c r="JF781" i="94"/>
  <c r="LA781" i="94"/>
  <c r="JU781" i="94"/>
  <c r="IO781" i="94"/>
  <c r="KZ781" i="94"/>
  <c r="JT781" i="94"/>
  <c r="IN781" i="94"/>
  <c r="KY781" i="94"/>
  <c r="JS781" i="94"/>
  <c r="IM781" i="94"/>
  <c r="KG781" i="94"/>
  <c r="JA781" i="94"/>
  <c r="KN781" i="94"/>
  <c r="JH781" i="94"/>
  <c r="IA781" i="94"/>
  <c r="IL781" i="94"/>
  <c r="JR781" i="94"/>
  <c r="FK775" i="93"/>
  <c r="HZ775" i="93"/>
  <c r="IB775" i="93"/>
  <c r="HN775" i="93"/>
  <c r="GU775" i="93"/>
  <c r="HW775" i="93"/>
  <c r="FM775" i="93"/>
  <c r="HY48" i="75"/>
  <c r="KI48" i="75"/>
  <c r="L119" i="75" s="1"/>
  <c r="KR48" i="75"/>
  <c r="K121" i="75" s="1"/>
  <c r="K140" i="75" s="1"/>
  <c r="ML48" i="75"/>
  <c r="JP48" i="75"/>
  <c r="M127" i="75" s="1"/>
  <c r="KQ48" i="75"/>
  <c r="J121" i="75" s="1"/>
  <c r="J140" i="75" s="1"/>
  <c r="K55" i="73" s="1"/>
  <c r="M55" i="73" s="1"/>
  <c r="BJ782" i="94"/>
  <c r="AU782" i="94"/>
  <c r="AY782" i="94"/>
  <c r="AO782" i="94"/>
  <c r="Z782" i="94"/>
  <c r="EE782" i="94"/>
  <c r="AN782" i="94"/>
  <c r="AD782" i="94"/>
  <c r="AM782" i="94"/>
  <c r="AC782" i="94"/>
  <c r="AL782" i="94"/>
  <c r="IJ777" i="93"/>
  <c r="AN777" i="93"/>
  <c r="CW777" i="93"/>
  <c r="GN782" i="94"/>
  <c r="FD782" i="94"/>
  <c r="DS782" i="94"/>
  <c r="CI782" i="94"/>
  <c r="LL782" i="94"/>
  <c r="GV782" i="94"/>
  <c r="FL782" i="94"/>
  <c r="EA782" i="94"/>
  <c r="CQ782" i="94"/>
  <c r="MD782" i="94"/>
  <c r="HN782" i="94"/>
  <c r="GC782" i="94"/>
  <c r="ER782" i="94"/>
  <c r="DH782" i="94"/>
  <c r="BY782" i="94"/>
  <c r="MC782" i="94"/>
  <c r="HL782" i="94"/>
  <c r="GB782" i="94"/>
  <c r="EQ782" i="94"/>
  <c r="DG782" i="94"/>
  <c r="BX782" i="94"/>
  <c r="LR782" i="94"/>
  <c r="HB782" i="94"/>
  <c r="FR782" i="94"/>
  <c r="DX782" i="94"/>
  <c r="CM782" i="94"/>
  <c r="CW782" i="94"/>
  <c r="EK782" i="94"/>
  <c r="FQ782" i="94"/>
  <c r="GW782" i="94"/>
  <c r="LP782" i="94"/>
  <c r="HR782" i="94"/>
  <c r="GH782" i="94"/>
  <c r="EW782" i="94"/>
  <c r="DC782" i="94"/>
  <c r="BU782" i="94"/>
  <c r="HQ782" i="94"/>
  <c r="GF782" i="94"/>
  <c r="EM782" i="94"/>
  <c r="CS782" i="94"/>
  <c r="BL782" i="94"/>
  <c r="LY782" i="94"/>
  <c r="CD782" i="94"/>
  <c r="DN782" i="94"/>
  <c r="FG782" i="94"/>
  <c r="GR782" i="94"/>
  <c r="LG782" i="94"/>
  <c r="EV782" i="94"/>
  <c r="AA782" i="94"/>
  <c r="EF782" i="94"/>
  <c r="BI782" i="94"/>
  <c r="BD782" i="94"/>
  <c r="AT782" i="94"/>
  <c r="BC782" i="94"/>
  <c r="AS782" i="94"/>
  <c r="BG782" i="94"/>
  <c r="W782" i="94"/>
  <c r="HP782" i="94"/>
  <c r="GE782" i="94"/>
  <c r="EU782" i="94"/>
  <c r="DJ782" i="94"/>
  <c r="CA782" i="94"/>
  <c r="HX782" i="94"/>
  <c r="GM782" i="94"/>
  <c r="FC782" i="94"/>
  <c r="DR782" i="94"/>
  <c r="CH782" i="94"/>
  <c r="LT782" i="94"/>
  <c r="HD782" i="94"/>
  <c r="FT782" i="94"/>
  <c r="EI782" i="94"/>
  <c r="CY782" i="94"/>
  <c r="BQ782" i="94"/>
  <c r="LS782" i="94"/>
  <c r="HC782" i="94"/>
  <c r="FS782" i="94"/>
  <c r="EH782" i="94"/>
  <c r="CX782" i="94"/>
  <c r="BP782" i="94"/>
  <c r="LI782" i="94"/>
  <c r="GS782" i="94"/>
  <c r="FH782" i="94"/>
  <c r="DO782" i="94"/>
  <c r="CE782" i="94"/>
  <c r="DE782" i="94"/>
  <c r="ES782" i="94"/>
  <c r="FY782" i="94"/>
  <c r="HE782" i="94"/>
  <c r="LX782" i="94"/>
  <c r="HI782" i="94"/>
  <c r="FX782" i="94"/>
  <c r="EN782" i="94"/>
  <c r="CT782" i="94"/>
  <c r="BM782" i="94"/>
  <c r="LW782" i="94"/>
  <c r="HH782" i="94"/>
  <c r="FW782" i="94"/>
  <c r="DT782" i="94"/>
  <c r="CJ782" i="94"/>
  <c r="CL782" i="94"/>
  <c r="DW782" i="94"/>
  <c r="FP782" i="94"/>
  <c r="HA782" i="94"/>
  <c r="LQ782" i="94"/>
  <c r="EG782" i="94"/>
  <c r="BE782" i="94"/>
  <c r="AZ782" i="94"/>
  <c r="AF782" i="94"/>
  <c r="AE782" i="94"/>
  <c r="AX782" i="94"/>
  <c r="AI782" i="94"/>
  <c r="Y782" i="94"/>
  <c r="ED782" i="94"/>
  <c r="AH782" i="94"/>
  <c r="X782" i="94"/>
  <c r="GI48" i="75"/>
  <c r="M101" i="75" s="1"/>
  <c r="JB775" i="93"/>
  <c r="IG775" i="93"/>
  <c r="EE775" i="93"/>
  <c r="CL775" i="93"/>
  <c r="AQ775" i="93"/>
  <c r="DY775" i="93"/>
  <c r="Z775" i="93"/>
  <c r="X775" i="93"/>
  <c r="CN775" i="93"/>
  <c r="IN775" i="93"/>
  <c r="BN775" i="93"/>
  <c r="BE775" i="93"/>
  <c r="IY775" i="93"/>
  <c r="DM775" i="93"/>
  <c r="AI775" i="93"/>
  <c r="IW775" i="93"/>
  <c r="EU775" i="93"/>
  <c r="EU805" i="93" s="1"/>
  <c r="DU775" i="93"/>
  <c r="BR775" i="93"/>
  <c r="AA775" i="93"/>
  <c r="CP775" i="93"/>
  <c r="AN775" i="93"/>
  <c r="DL775" i="93"/>
  <c r="Y775" i="93"/>
  <c r="DQ775" i="93"/>
  <c r="AX775" i="93"/>
  <c r="DL48" i="75"/>
  <c r="M95" i="75" s="1"/>
  <c r="GH48" i="75"/>
  <c r="L101" i="75" s="1"/>
  <c r="GV48" i="75"/>
  <c r="K104" i="75" s="1"/>
  <c r="HJ48" i="75"/>
  <c r="J107" i="75" s="1"/>
  <c r="HN48" i="75"/>
  <c r="N107" i="75" s="1"/>
  <c r="DM48" i="75"/>
  <c r="N95" i="75" s="1"/>
  <c r="DP48" i="75"/>
  <c r="L94" i="75" s="1"/>
  <c r="DC48" i="75"/>
  <c r="N97" i="75" s="1"/>
  <c r="DJ48" i="75"/>
  <c r="K95" i="75" s="1"/>
  <c r="LJ48" i="75"/>
  <c r="LZ48" i="75"/>
  <c r="MD48" i="75"/>
  <c r="LL48" i="75"/>
  <c r="K14" i="75"/>
  <c r="L14" i="75" s="1"/>
  <c r="K38" i="75"/>
  <c r="L38" i="75" s="1"/>
  <c r="K22" i="75"/>
  <c r="L22" i="75" s="1"/>
  <c r="K10" i="75"/>
  <c r="L10" i="75" s="1"/>
  <c r="I771" i="93"/>
  <c r="K771" i="93" s="1"/>
  <c r="L771" i="93" s="1"/>
  <c r="K30" i="75"/>
  <c r="L30" i="75" s="1"/>
  <c r="K42" i="75"/>
  <c r="L42" i="75" s="1"/>
  <c r="I783" i="93"/>
  <c r="K783" i="93" s="1"/>
  <c r="L783" i="93" s="1"/>
  <c r="I799" i="93"/>
  <c r="K799" i="93" s="1"/>
  <c r="L799" i="93" s="1"/>
  <c r="K21" i="75"/>
  <c r="L21" i="75" s="1"/>
  <c r="K29" i="75"/>
  <c r="L29" i="75" s="1"/>
  <c r="I770" i="93"/>
  <c r="K770" i="93" s="1"/>
  <c r="L770" i="93" s="1"/>
  <c r="K45" i="75"/>
  <c r="L45" i="75" s="1"/>
  <c r="I786" i="93"/>
  <c r="K786" i="93" s="1"/>
  <c r="L786" i="93" s="1"/>
  <c r="K33" i="75"/>
  <c r="L33" i="75" s="1"/>
  <c r="K41" i="75"/>
  <c r="L41" i="75" s="1"/>
  <c r="I798" i="93"/>
  <c r="K798" i="93" s="1"/>
  <c r="L798" i="93" s="1"/>
  <c r="I790" i="93"/>
  <c r="K790" i="93" s="1"/>
  <c r="L790" i="93" s="1"/>
  <c r="K732" i="94"/>
  <c r="L732" i="94"/>
  <c r="I778" i="93"/>
  <c r="K778" i="93" s="1"/>
  <c r="L778" i="93" s="1"/>
  <c r="K16" i="75"/>
  <c r="L16" i="75" s="1"/>
  <c r="K44" i="75"/>
  <c r="L44" i="75" s="1"/>
  <c r="I793" i="93"/>
  <c r="K793" i="93" s="1"/>
  <c r="L793" i="93" s="1"/>
  <c r="I784" i="93"/>
  <c r="K784" i="93" s="1"/>
  <c r="L784" i="93" s="1"/>
  <c r="I804" i="93"/>
  <c r="K804" i="93" s="1"/>
  <c r="L804" i="93" s="1"/>
  <c r="K12" i="75"/>
  <c r="L12" i="75" s="1"/>
  <c r="K13" i="75"/>
  <c r="L13" i="75" s="1"/>
  <c r="K24" i="75"/>
  <c r="L24" i="75" s="1"/>
  <c r="K39" i="75"/>
  <c r="L39" i="75" s="1"/>
  <c r="I782" i="93"/>
  <c r="K782" i="93" s="1"/>
  <c r="L782" i="93" s="1"/>
  <c r="I788" i="93"/>
  <c r="K788" i="93" s="1"/>
  <c r="L788" i="93" s="1"/>
  <c r="I801" i="93"/>
  <c r="K801" i="93" s="1"/>
  <c r="L801" i="93" s="1"/>
  <c r="J730" i="93"/>
  <c r="J732" i="94"/>
  <c r="K730" i="93"/>
  <c r="I782" i="94"/>
  <c r="K782" i="94" s="1"/>
  <c r="L782" i="94" s="1"/>
  <c r="I777" i="93"/>
  <c r="K777" i="93" s="1"/>
  <c r="L777" i="93" s="1"/>
  <c r="K20" i="75"/>
  <c r="L20" i="75" s="1"/>
  <c r="I790" i="94"/>
  <c r="K790" i="94" s="1"/>
  <c r="L790" i="94" s="1"/>
  <c r="I808" i="94"/>
  <c r="K808" i="94" s="1"/>
  <c r="L808" i="94" s="1"/>
  <c r="I767" i="93"/>
  <c r="K767" i="93" s="1"/>
  <c r="L767" i="93" s="1"/>
  <c r="K28" i="75"/>
  <c r="L28" i="75" s="1"/>
  <c r="K31" i="75"/>
  <c r="L31" i="75" s="1"/>
  <c r="K40" i="75"/>
  <c r="L40" i="75" s="1"/>
  <c r="K43" i="75"/>
  <c r="L43" i="75" s="1"/>
  <c r="K46" i="75"/>
  <c r="L46" i="75" s="1"/>
  <c r="I794" i="93"/>
  <c r="K794" i="93" s="1"/>
  <c r="L794" i="93" s="1"/>
  <c r="K25" i="75"/>
  <c r="L25" i="75" s="1"/>
  <c r="K37" i="75"/>
  <c r="L37" i="75" s="1"/>
  <c r="I773" i="93"/>
  <c r="K773" i="93" s="1"/>
  <c r="L773" i="93" s="1"/>
  <c r="I787" i="93"/>
  <c r="K787" i="93" s="1"/>
  <c r="L787" i="93" s="1"/>
  <c r="I791" i="93"/>
  <c r="K791" i="93" s="1"/>
  <c r="L791" i="93" s="1"/>
  <c r="I781" i="94"/>
  <c r="K781" i="94" s="1"/>
  <c r="L781" i="94" s="1"/>
  <c r="I776" i="93"/>
  <c r="K776" i="93" s="1"/>
  <c r="L776" i="93" s="1"/>
  <c r="K32" i="75"/>
  <c r="L32" i="75" s="1"/>
  <c r="K35" i="75"/>
  <c r="L35" i="75" s="1"/>
  <c r="I800" i="93"/>
  <c r="K800" i="93" s="1"/>
  <c r="L800" i="93" s="1"/>
  <c r="I792" i="93"/>
  <c r="K792" i="93" s="1"/>
  <c r="L792" i="93" s="1"/>
  <c r="I797" i="93"/>
  <c r="K797" i="93" s="1"/>
  <c r="L797" i="93" s="1"/>
  <c r="I780" i="94"/>
  <c r="K780" i="94" s="1"/>
  <c r="L780" i="94" s="1"/>
  <c r="I775" i="93"/>
  <c r="K775" i="93" s="1"/>
  <c r="L775" i="93" s="1"/>
  <c r="K18" i="75"/>
  <c r="L18" i="75" s="1"/>
  <c r="I779" i="94"/>
  <c r="K779" i="94" s="1"/>
  <c r="L779" i="94" s="1"/>
  <c r="I774" i="93"/>
  <c r="K774" i="93" s="1"/>
  <c r="L774" i="93" s="1"/>
  <c r="K17" i="75"/>
  <c r="L17" i="75" s="1"/>
  <c r="F810" i="94"/>
  <c r="FY48" i="75"/>
  <c r="GC48" i="75"/>
  <c r="L155" i="75" s="1"/>
  <c r="LN48" i="75"/>
  <c r="F811" i="94"/>
  <c r="A782" i="94"/>
  <c r="AK782" i="94"/>
  <c r="JE777" i="93"/>
  <c r="JG777" i="93"/>
  <c r="JD777" i="93"/>
  <c r="MR782" i="94"/>
  <c r="ME782" i="94"/>
  <c r="MJ782" i="94"/>
  <c r="MM48" i="75"/>
  <c r="CW48" i="75"/>
  <c r="M98" i="75" s="1"/>
  <c r="HB48" i="75"/>
  <c r="L105" i="75" s="1"/>
  <c r="HO48" i="75"/>
  <c r="J108" i="75" s="1"/>
  <c r="E811" i="94"/>
  <c r="GD48" i="75"/>
  <c r="M155" i="75" s="1"/>
  <c r="GA48" i="75"/>
  <c r="J155" i="75" s="1"/>
  <c r="GN48" i="75"/>
  <c r="M102" i="75" s="1"/>
  <c r="HI48" i="75"/>
  <c r="HR48" i="75"/>
  <c r="M108" i="75" s="1"/>
  <c r="HZ48" i="75"/>
  <c r="II48" i="75"/>
  <c r="J125" i="75" s="1"/>
  <c r="IM48" i="75"/>
  <c r="N125" i="75" s="1"/>
  <c r="IV48" i="75"/>
  <c r="M131" i="75" s="1"/>
  <c r="JE48" i="75"/>
  <c r="L129" i="75" s="1"/>
  <c r="JN48" i="75"/>
  <c r="K127" i="75" s="1"/>
  <c r="JW48" i="75"/>
  <c r="J117" i="75" s="1"/>
  <c r="KA48" i="75"/>
  <c r="N117" i="75" s="1"/>
  <c r="KJ48" i="75"/>
  <c r="M119" i="75" s="1"/>
  <c r="KS48" i="75"/>
  <c r="L121" i="75" s="1"/>
  <c r="L140" i="75" s="1"/>
  <c r="K57" i="73" s="1"/>
  <c r="LB48" i="75"/>
  <c r="K123" i="75" s="1"/>
  <c r="ME48" i="75"/>
  <c r="MI48" i="75"/>
  <c r="MQ48" i="75"/>
  <c r="IW48" i="75"/>
  <c r="N131" i="75" s="1"/>
  <c r="JM774" i="93"/>
  <c r="JF774" i="93"/>
  <c r="JE774" i="93"/>
  <c r="JD774" i="93"/>
  <c r="F805" i="93"/>
  <c r="A774" i="93"/>
  <c r="JG774" i="93"/>
  <c r="EX774" i="93"/>
  <c r="JL774" i="93"/>
  <c r="JI774" i="93"/>
  <c r="DE48" i="75"/>
  <c r="K96" i="75" s="1"/>
  <c r="FX48" i="75"/>
  <c r="JX48" i="75"/>
  <c r="K117" i="75" s="1"/>
  <c r="MF48" i="75"/>
  <c r="JK777" i="93"/>
  <c r="JP777" i="93"/>
  <c r="DN777" i="93"/>
  <c r="ED777" i="93"/>
  <c r="ET777" i="93"/>
  <c r="JB777" i="93"/>
  <c r="HV777" i="93"/>
  <c r="EK777" i="93"/>
  <c r="BA777" i="93"/>
  <c r="HT777" i="93"/>
  <c r="EJ777" i="93"/>
  <c r="AZ777" i="93"/>
  <c r="GX777" i="93"/>
  <c r="DF777" i="93"/>
  <c r="AI777" i="93"/>
  <c r="IF777" i="93"/>
  <c r="AT777" i="93"/>
  <c r="CD777" i="93"/>
  <c r="DY777" i="93"/>
  <c r="FV777" i="93"/>
  <c r="HL777" i="93"/>
  <c r="W777" i="93"/>
  <c r="BC777" i="93"/>
  <c r="CP777" i="93"/>
  <c r="EO777" i="93"/>
  <c r="GH777" i="93"/>
  <c r="HX777" i="93"/>
  <c r="AG777" i="93"/>
  <c r="BN777" i="93"/>
  <c r="DD777" i="93"/>
  <c r="FD777" i="93"/>
  <c r="GU777" i="93"/>
  <c r="IL777" i="93"/>
  <c r="AP777" i="93"/>
  <c r="BY777" i="93"/>
  <c r="DS777" i="93"/>
  <c r="FP777" i="93"/>
  <c r="HG777" i="93"/>
  <c r="JA777" i="93"/>
  <c r="CU777" i="93"/>
  <c r="EG777" i="93"/>
  <c r="FQ777" i="93"/>
  <c r="GW777" i="93"/>
  <c r="IC777" i="93"/>
  <c r="BK777" i="93"/>
  <c r="CQ777" i="93"/>
  <c r="EB777" i="93"/>
  <c r="FM777" i="93"/>
  <c r="GS777" i="93"/>
  <c r="HY777" i="93"/>
  <c r="DO777" i="93"/>
  <c r="EV777" i="93"/>
  <c r="FC777" i="93"/>
  <c r="FC805" i="93" s="1"/>
  <c r="K852" i="93" s="1"/>
  <c r="HZ777" i="93"/>
  <c r="BD777" i="93"/>
  <c r="EX777" i="93"/>
  <c r="FX777" i="93"/>
  <c r="X777" i="93"/>
  <c r="HH777" i="93"/>
  <c r="AR777" i="93"/>
  <c r="FR777" i="93"/>
  <c r="CR777" i="93"/>
  <c r="BM777" i="93"/>
  <c r="HD777" i="93"/>
  <c r="IF48" i="75"/>
  <c r="L124" i="75" s="1"/>
  <c r="IY48" i="75"/>
  <c r="K128" i="75" s="1"/>
  <c r="AB782" i="94"/>
  <c r="KN48" i="75"/>
  <c r="L120" i="75" s="1"/>
  <c r="L139" i="75" s="1"/>
  <c r="F1151" i="93" s="1"/>
  <c r="AG782" i="94"/>
  <c r="BF782" i="94"/>
  <c r="AQ782" i="94"/>
  <c r="BA782" i="94"/>
  <c r="AV782" i="94"/>
  <c r="KX48" i="75"/>
  <c r="L122" i="75" s="1"/>
  <c r="FW48" i="75"/>
  <c r="GE48" i="75"/>
  <c r="N155" i="75" s="1"/>
  <c r="GB48" i="75"/>
  <c r="K155" i="75" s="1"/>
  <c r="GO48" i="75"/>
  <c r="N102" i="75" s="1"/>
  <c r="IA48" i="75"/>
  <c r="IJ48" i="75"/>
  <c r="K125" i="75" s="1"/>
  <c r="IS48" i="75"/>
  <c r="J131" i="75" s="1"/>
  <c r="JF48" i="75"/>
  <c r="M129" i="75" s="1"/>
  <c r="JO48" i="75"/>
  <c r="L127" i="75" s="1"/>
  <c r="KK48" i="75"/>
  <c r="N119" i="75" s="1"/>
  <c r="KT48" i="75"/>
  <c r="M121" i="75" s="1"/>
  <c r="M140" i="75" s="1"/>
  <c r="K1152" i="93" s="1"/>
  <c r="N1152" i="93" s="1"/>
  <c r="LC48" i="75"/>
  <c r="L123" i="75" s="1"/>
  <c r="MJ48" i="75"/>
  <c r="MN48" i="75"/>
  <c r="MR48" i="75"/>
  <c r="GG48" i="75"/>
  <c r="K101" i="75" s="1"/>
  <c r="GY48" i="75"/>
  <c r="N104" i="75" s="1"/>
  <c r="HM48" i="75"/>
  <c r="M107" i="75" s="1"/>
  <c r="AX781" i="94"/>
  <c r="K19" i="75"/>
  <c r="L19" i="75" s="1"/>
  <c r="KE48" i="75"/>
  <c r="M118" i="75" s="1"/>
  <c r="KD48" i="75"/>
  <c r="L118" i="75" s="1"/>
  <c r="Z781" i="94"/>
  <c r="Y781" i="94"/>
  <c r="BA781" i="94"/>
  <c r="EG48" i="75"/>
  <c r="N66" i="75" s="1"/>
  <c r="EE48" i="75"/>
  <c r="L66" i="75" s="1"/>
  <c r="KW48" i="75"/>
  <c r="K122" i="75" s="1"/>
  <c r="KV48" i="75"/>
  <c r="J122" i="75" s="1"/>
  <c r="KP48" i="75"/>
  <c r="N120" i="75" s="1"/>
  <c r="N139" i="75" s="1"/>
  <c r="JU48" i="75"/>
  <c r="M116" i="75" s="1"/>
  <c r="JT48" i="75"/>
  <c r="L116" i="75" s="1"/>
  <c r="IN48" i="75"/>
  <c r="J130" i="75" s="1"/>
  <c r="ID48" i="75"/>
  <c r="J124" i="75" s="1"/>
  <c r="AL781" i="94"/>
  <c r="DX48" i="75"/>
  <c r="J92" i="75" s="1"/>
  <c r="IG48" i="75"/>
  <c r="M124" i="75" s="1"/>
  <c r="DC805" i="93"/>
  <c r="N875" i="93" s="1"/>
  <c r="KC48" i="75"/>
  <c r="K118" i="75" s="1"/>
  <c r="KB48" i="75"/>
  <c r="J118" i="75" s="1"/>
  <c r="KO48" i="75"/>
  <c r="M120" i="75" s="1"/>
  <c r="M139" i="75" s="1"/>
  <c r="JA48" i="75"/>
  <c r="M128" i="75" s="1"/>
  <c r="W48" i="75"/>
  <c r="J56" i="75" s="1"/>
  <c r="EC48" i="75"/>
  <c r="J66" i="75" s="1"/>
  <c r="KZ48" i="75"/>
  <c r="N122" i="75" s="1"/>
  <c r="KY48" i="75"/>
  <c r="M122" i="75" s="1"/>
  <c r="JJ48" i="75"/>
  <c r="L126" i="75" s="1"/>
  <c r="IZ48" i="75"/>
  <c r="L128" i="75" s="1"/>
  <c r="LM48" i="75"/>
  <c r="LQ48" i="75"/>
  <c r="LU48" i="75"/>
  <c r="LY48" i="75"/>
  <c r="MC48" i="75"/>
  <c r="AH780" i="94"/>
  <c r="ED780" i="94"/>
  <c r="ED810" i="94" s="1"/>
  <c r="K828" i="94" s="1"/>
  <c r="EF780" i="94"/>
  <c r="HZ780" i="94"/>
  <c r="HX780" i="94"/>
  <c r="HP780" i="94"/>
  <c r="HH780" i="94"/>
  <c r="GZ780" i="94"/>
  <c r="FY780" i="94"/>
  <c r="MP780" i="94"/>
  <c r="KN780" i="94"/>
  <c r="JH780" i="94"/>
  <c r="MO780" i="94"/>
  <c r="MO810" i="94" s="1"/>
  <c r="KM780" i="94"/>
  <c r="JG780" i="94"/>
  <c r="JG810" i="94" s="1"/>
  <c r="N891" i="94" s="1"/>
  <c r="MF780" i="94"/>
  <c r="KD780" i="94"/>
  <c r="IX780" i="94"/>
  <c r="IX810" i="94" s="1"/>
  <c r="J890" i="94" s="1"/>
  <c r="LA780" i="94"/>
  <c r="JU780" i="94"/>
  <c r="IO780" i="94"/>
  <c r="KJ780" i="94"/>
  <c r="JD780" i="94"/>
  <c r="MS780" i="94"/>
  <c r="KA780" i="94"/>
  <c r="IU780" i="94"/>
  <c r="KX780" i="94"/>
  <c r="KX810" i="94" s="1"/>
  <c r="L884" i="94" s="1"/>
  <c r="JR780" i="94"/>
  <c r="IL780" i="94"/>
  <c r="JQ780" i="94"/>
  <c r="KO780" i="94"/>
  <c r="EW780" i="94"/>
  <c r="EH780" i="94"/>
  <c r="CM780" i="94"/>
  <c r="EY780" i="94"/>
  <c r="LK780" i="94"/>
  <c r="BP780" i="94"/>
  <c r="EB780" i="94"/>
  <c r="GV780" i="94"/>
  <c r="LQ780" i="94"/>
  <c r="DU780" i="94"/>
  <c r="GW780" i="94"/>
  <c r="BZ780" i="94"/>
  <c r="DF780" i="94"/>
  <c r="ET780" i="94"/>
  <c r="GH780" i="94"/>
  <c r="HN780" i="94"/>
  <c r="LX780" i="94"/>
  <c r="CA780" i="94"/>
  <c r="DG780" i="94"/>
  <c r="EU780" i="94"/>
  <c r="GI780" i="94"/>
  <c r="HO780" i="94"/>
  <c r="LZ780" i="94"/>
  <c r="AD780" i="94"/>
  <c r="AX780" i="94"/>
  <c r="EE780" i="94"/>
  <c r="EE810" i="94" s="1"/>
  <c r="L828" i="94" s="1"/>
  <c r="AP780" i="94"/>
  <c r="AN780" i="94"/>
  <c r="EG780" i="94"/>
  <c r="EG810" i="94" s="1"/>
  <c r="N828" i="94" s="1"/>
  <c r="IA780" i="94"/>
  <c r="GD780" i="94"/>
  <c r="GB780" i="94"/>
  <c r="ML780" i="94"/>
  <c r="MH780" i="94"/>
  <c r="JX780" i="94"/>
  <c r="IJ780" i="94"/>
  <c r="KE780" i="94"/>
  <c r="IQ780" i="94"/>
  <c r="KL780" i="94"/>
  <c r="IP780" i="94"/>
  <c r="IP810" i="94" s="1"/>
  <c r="L892" i="94" s="1"/>
  <c r="KK780" i="94"/>
  <c r="IW780" i="94"/>
  <c r="KB780" i="94"/>
  <c r="KB810" i="94" s="1"/>
  <c r="J880" i="94" s="1"/>
  <c r="IN780" i="94"/>
  <c r="KI780" i="94"/>
  <c r="IM780" i="94"/>
  <c r="KH780" i="94"/>
  <c r="IT780" i="94"/>
  <c r="IT810" i="94" s="1"/>
  <c r="K893" i="94" s="1"/>
  <c r="JY780" i="94"/>
  <c r="JY810" i="94" s="1"/>
  <c r="L879" i="94" s="1"/>
  <c r="CC780" i="94"/>
  <c r="DB780" i="94"/>
  <c r="CU780" i="94"/>
  <c r="GU780" i="94"/>
  <c r="EJ780" i="94"/>
  <c r="LL780" i="94"/>
  <c r="CW780" i="94"/>
  <c r="HE780" i="94"/>
  <c r="CP780" i="94"/>
  <c r="EL780" i="94"/>
  <c r="GP780" i="94"/>
  <c r="LF780" i="94"/>
  <c r="BS780" i="94"/>
  <c r="DO780" i="94"/>
  <c r="FK780" i="94"/>
  <c r="HG780" i="94"/>
  <c r="GJ780" i="94"/>
  <c r="GC780" i="94"/>
  <c r="GC810" i="94" s="1"/>
  <c r="L917" i="94" s="1"/>
  <c r="MM780" i="94"/>
  <c r="IC780" i="94"/>
  <c r="FV780" i="94"/>
  <c r="FX780" i="94"/>
  <c r="LE780" i="94"/>
  <c r="LE810" i="94" s="1"/>
  <c r="N885" i="94" s="1"/>
  <c r="LD780" i="94"/>
  <c r="JP780" i="94"/>
  <c r="MG780" i="94"/>
  <c r="JW780" i="94"/>
  <c r="II780" i="94"/>
  <c r="JV780" i="94"/>
  <c r="IH780" i="94"/>
  <c r="KC780" i="94"/>
  <c r="KC810" i="94" s="1"/>
  <c r="K880" i="94" s="1"/>
  <c r="IG780" i="94"/>
  <c r="JT780" i="94"/>
  <c r="JT810" i="94" s="1"/>
  <c r="L878" i="94" s="1"/>
  <c r="IF780" i="94"/>
  <c r="JS780" i="94"/>
  <c r="IE780" i="94"/>
  <c r="JZ780" i="94"/>
  <c r="ID780" i="94"/>
  <c r="MI780" i="94"/>
  <c r="IS780" i="94"/>
  <c r="DI780" i="94"/>
  <c r="FN780" i="94"/>
  <c r="DS780" i="94"/>
  <c r="HC780" i="94"/>
  <c r="BX780" i="94"/>
  <c r="FH780" i="94"/>
  <c r="MC780" i="94"/>
  <c r="EK780" i="94"/>
  <c r="LM780" i="94"/>
  <c r="LM810" i="94" s="1"/>
  <c r="CX780" i="94"/>
  <c r="FB780" i="94"/>
  <c r="GX780" i="94"/>
  <c r="LN780" i="94"/>
  <c r="CI780" i="94"/>
  <c r="DW780" i="94"/>
  <c r="FS780" i="94"/>
  <c r="HW780" i="94"/>
  <c r="GE780" i="94"/>
  <c r="MN780" i="94"/>
  <c r="IK780" i="94"/>
  <c r="MK780" i="94"/>
  <c r="FZ780" i="94"/>
  <c r="CB780" i="94"/>
  <c r="FW780" i="94"/>
  <c r="FW810" i="94" s="1"/>
  <c r="KV780" i="94"/>
  <c r="IZ780" i="94"/>
  <c r="LC780" i="94"/>
  <c r="JO780" i="94"/>
  <c r="LB780" i="94"/>
  <c r="JN780" i="94"/>
  <c r="ME780" i="94"/>
  <c r="JM780" i="94"/>
  <c r="KZ780" i="94"/>
  <c r="JL780" i="94"/>
  <c r="KY780" i="94"/>
  <c r="JK780" i="94"/>
  <c r="MR780" i="94"/>
  <c r="MR810" i="94" s="1"/>
  <c r="JJ780" i="94"/>
  <c r="JA780" i="94"/>
  <c r="JA810" i="94" s="1"/>
  <c r="M890" i="94" s="1"/>
  <c r="JI780" i="94"/>
  <c r="KG780" i="94"/>
  <c r="GK780" i="94"/>
  <c r="HJ780" i="94"/>
  <c r="EA780" i="94"/>
  <c r="LT780" i="94"/>
  <c r="CV780" i="94"/>
  <c r="FP780" i="94"/>
  <c r="BQ780" i="94"/>
  <c r="FI780" i="94"/>
  <c r="LW780" i="94"/>
  <c r="BR780" i="94"/>
  <c r="DN780" i="94"/>
  <c r="FJ780" i="94"/>
  <c r="FJ810" i="94" s="1"/>
  <c r="M912" i="94" s="1"/>
  <c r="HF780" i="94"/>
  <c r="CQ780" i="94"/>
  <c r="EM780" i="94"/>
  <c r="GQ780" i="94"/>
  <c r="LG780" i="94"/>
  <c r="IB780" i="94"/>
  <c r="MJ780" i="94"/>
  <c r="IR780" i="94"/>
  <c r="JF780" i="94"/>
  <c r="IV780" i="94"/>
  <c r="JB780" i="94"/>
  <c r="MQ780" i="94"/>
  <c r="CO780" i="94"/>
  <c r="HV780" i="94"/>
  <c r="FC780" i="94"/>
  <c r="HY780" i="94"/>
  <c r="KU780" i="94"/>
  <c r="KS780" i="94"/>
  <c r="KQ780" i="94"/>
  <c r="HQ780" i="94"/>
  <c r="BV780" i="94"/>
  <c r="FQ780" i="94"/>
  <c r="CH780" i="94"/>
  <c r="GY780" i="94"/>
  <c r="BH780" i="94"/>
  <c r="BI780" i="94"/>
  <c r="KW780" i="94"/>
  <c r="IY780" i="94"/>
  <c r="JE780" i="94"/>
  <c r="JC780" i="94"/>
  <c r="MD780" i="94"/>
  <c r="DD780" i="94"/>
  <c r="DV780" i="94"/>
  <c r="BK780" i="94"/>
  <c r="LO780" i="94"/>
  <c r="FV48" i="75"/>
  <c r="FZ48" i="75"/>
  <c r="IC48" i="75"/>
  <c r="IL48" i="75"/>
  <c r="M125" i="75" s="1"/>
  <c r="IU48" i="75"/>
  <c r="L131" i="75" s="1"/>
  <c r="JD48" i="75"/>
  <c r="K129" i="75" s="1"/>
  <c r="JM48" i="75"/>
  <c r="J127" i="75" s="1"/>
  <c r="JQ48" i="75"/>
  <c r="N127" i="75" s="1"/>
  <c r="JZ48" i="75"/>
  <c r="M117" i="75" s="1"/>
  <c r="LA48" i="75"/>
  <c r="J123" i="75" s="1"/>
  <c r="LE48" i="75"/>
  <c r="N123" i="75" s="1"/>
  <c r="MH48" i="75"/>
  <c r="MP48" i="75"/>
  <c r="FG780" i="94"/>
  <c r="KR780" i="94"/>
  <c r="FR780" i="94"/>
  <c r="HD780" i="94"/>
  <c r="KT780" i="94"/>
  <c r="ID775" i="93"/>
  <c r="JK775" i="93"/>
  <c r="IA775" i="93"/>
  <c r="GH775" i="93"/>
  <c r="FB775" i="93"/>
  <c r="DR775" i="93"/>
  <c r="II775" i="93"/>
  <c r="DV775" i="93"/>
  <c r="JQ775" i="93"/>
  <c r="JQ805" i="93" s="1"/>
  <c r="HU775" i="93"/>
  <c r="GO775" i="93"/>
  <c r="FI775" i="93"/>
  <c r="CZ775" i="93"/>
  <c r="JP775" i="93"/>
  <c r="HT775" i="93"/>
  <c r="GN775" i="93"/>
  <c r="FH775" i="93"/>
  <c r="CY775" i="93"/>
  <c r="JN775" i="93"/>
  <c r="HR775" i="93"/>
  <c r="HR805" i="93" s="1"/>
  <c r="M849" i="93" s="1"/>
  <c r="M866" i="93" s="1"/>
  <c r="GL775" i="93"/>
  <c r="FF775" i="93"/>
  <c r="CW775" i="93"/>
  <c r="CW805" i="93" s="1"/>
  <c r="JM775" i="93"/>
  <c r="HQ775" i="93"/>
  <c r="GK775" i="93"/>
  <c r="FE775" i="93"/>
  <c r="CT775" i="93"/>
  <c r="CT805" i="93" s="1"/>
  <c r="JD775" i="93"/>
  <c r="GB775" i="93"/>
  <c r="GB805" i="93" s="1"/>
  <c r="K857" i="93" s="1"/>
  <c r="BX775" i="93"/>
  <c r="HG775" i="93"/>
  <c r="EQ775" i="93"/>
  <c r="HV775" i="93"/>
  <c r="FJ775" i="93"/>
  <c r="GE775" i="93"/>
  <c r="FR775" i="93"/>
  <c r="CM775" i="93"/>
  <c r="HP775" i="93"/>
  <c r="HP805" i="93" s="1"/>
  <c r="K849" i="93" s="1"/>
  <c r="K866" i="93" s="1"/>
  <c r="CU775" i="93"/>
  <c r="CU805" i="93" s="1"/>
  <c r="BO775" i="93"/>
  <c r="IZ775" i="93"/>
  <c r="IJ775" i="93"/>
  <c r="EN775" i="93"/>
  <c r="DX775" i="93"/>
  <c r="DH775" i="93"/>
  <c r="CJ775" i="93"/>
  <c r="BP775" i="93"/>
  <c r="AZ775" i="93"/>
  <c r="AJ775" i="93"/>
  <c r="AE775" i="93"/>
  <c r="BA775" i="93"/>
  <c r="BZ775" i="93"/>
  <c r="DI775" i="93"/>
  <c r="ED775" i="93"/>
  <c r="IE775" i="93"/>
  <c r="JA775" i="93"/>
  <c r="AG775" i="93"/>
  <c r="AG805" i="93" s="1"/>
  <c r="BB775" i="93"/>
  <c r="BB805" i="93" s="1"/>
  <c r="K821" i="93" s="1"/>
  <c r="CA775" i="93"/>
  <c r="CA805" i="93" s="1"/>
  <c r="K870" i="93" s="1"/>
  <c r="DE775" i="93"/>
  <c r="DZ775" i="93"/>
  <c r="DZ805" i="93" s="1"/>
  <c r="L833" i="93" s="1"/>
  <c r="GX775" i="93"/>
  <c r="CO775" i="93"/>
  <c r="FT775" i="93"/>
  <c r="HS775" i="93"/>
  <c r="AO775" i="93"/>
  <c r="HC775" i="93"/>
  <c r="FW775" i="93"/>
  <c r="FW805" i="93" s="1"/>
  <c r="K856" i="93" s="1"/>
  <c r="CX775" i="93"/>
  <c r="CX805" i="93" s="1"/>
  <c r="FG775" i="93"/>
  <c r="FO775" i="93"/>
  <c r="JI775" i="93"/>
  <c r="HM775" i="93"/>
  <c r="GG775" i="93"/>
  <c r="FA775" i="93"/>
  <c r="CI775" i="93"/>
  <c r="JH775" i="93"/>
  <c r="HL775" i="93"/>
  <c r="GF775" i="93"/>
  <c r="EZ775" i="93"/>
  <c r="CH775" i="93"/>
  <c r="JF775" i="93"/>
  <c r="HJ775" i="93"/>
  <c r="GD775" i="93"/>
  <c r="EX775" i="93"/>
  <c r="CC775" i="93"/>
  <c r="JE775" i="93"/>
  <c r="HI775" i="93"/>
  <c r="HI805" i="93" s="1"/>
  <c r="N847" i="93" s="1"/>
  <c r="GC775" i="93"/>
  <c r="EW775" i="93"/>
  <c r="BY775" i="93"/>
  <c r="BY805" i="93" s="1"/>
  <c r="N818" i="93" s="1"/>
  <c r="HX775" i="93"/>
  <c r="FL775" i="93"/>
  <c r="W775" i="93"/>
  <c r="GQ775" i="93"/>
  <c r="DB775" i="93"/>
  <c r="DB805" i="93" s="1"/>
  <c r="M875" i="93" s="1"/>
  <c r="HF775" i="93"/>
  <c r="EM775" i="93"/>
  <c r="GZ775" i="93"/>
  <c r="GM775" i="93"/>
  <c r="EG775" i="93"/>
  <c r="JJ775" i="93"/>
  <c r="CV775" i="93"/>
  <c r="CV805" i="93" s="1"/>
  <c r="AS775" i="93"/>
  <c r="IV775" i="93"/>
  <c r="IF775" i="93"/>
  <c r="EJ775" i="93"/>
  <c r="DT775" i="93"/>
  <c r="DD775" i="93"/>
  <c r="CF775" i="93"/>
  <c r="BL775" i="93"/>
  <c r="BL805" i="93" s="1"/>
  <c r="K826" i="93" s="1"/>
  <c r="AV775" i="93"/>
  <c r="AF775" i="93"/>
  <c r="AF805" i="93" s="1"/>
  <c r="N814" i="93" s="1"/>
  <c r="AK775" i="93"/>
  <c r="BF775" i="93"/>
  <c r="CE775" i="93"/>
  <c r="DN775" i="93"/>
  <c r="EI775" i="93"/>
  <c r="IK775" i="93"/>
  <c r="AL775" i="93"/>
  <c r="BG775" i="93"/>
  <c r="CG775" i="93"/>
  <c r="DJ775" i="93"/>
  <c r="IS775" i="93"/>
  <c r="EY775" i="93"/>
  <c r="DK775" i="93"/>
  <c r="IH775" i="93"/>
  <c r="GY775" i="93"/>
  <c r="GY805" i="93" s="1"/>
  <c r="N845" i="93" s="1"/>
  <c r="GI775" i="93"/>
  <c r="GJ775" i="93"/>
  <c r="IX775" i="93"/>
  <c r="IX805" i="93" s="1"/>
  <c r="HE775" i="93"/>
  <c r="HE805" i="93" s="1"/>
  <c r="J847" i="93" s="1"/>
  <c r="FY775" i="93"/>
  <c r="EL775" i="93"/>
  <c r="BU775" i="93"/>
  <c r="BU805" i="93" s="1"/>
  <c r="J818" i="93" s="1"/>
  <c r="IT775" i="93"/>
  <c r="HD775" i="93"/>
  <c r="FX775" i="93"/>
  <c r="EH775" i="93"/>
  <c r="BS775" i="93"/>
  <c r="IO775" i="93"/>
  <c r="HB775" i="93"/>
  <c r="FV775" i="93"/>
  <c r="FV805" i="93" s="1"/>
  <c r="J856" i="93" s="1"/>
  <c r="EC775" i="93"/>
  <c r="BI775" i="93"/>
  <c r="IM775" i="93"/>
  <c r="HA775" i="93"/>
  <c r="FU775" i="93"/>
  <c r="EA775" i="93"/>
  <c r="AY775" i="93"/>
  <c r="HH775" i="93"/>
  <c r="ES775" i="93"/>
  <c r="JC775" i="93"/>
  <c r="GA775" i="93"/>
  <c r="BW775" i="93"/>
  <c r="BW805" i="93" s="1"/>
  <c r="L818" i="93" s="1"/>
  <c r="GP775" i="93"/>
  <c r="GP805" i="93" s="1"/>
  <c r="J844" i="93" s="1"/>
  <c r="DA775" i="93"/>
  <c r="AM775" i="93"/>
  <c r="JO775" i="93"/>
  <c r="CD775" i="93"/>
  <c r="HO775" i="93"/>
  <c r="FS775" i="93"/>
  <c r="AT775" i="93"/>
  <c r="BC775" i="93"/>
  <c r="IR775" i="93"/>
  <c r="EV775" i="93"/>
  <c r="EF775" i="93"/>
  <c r="DP775" i="93"/>
  <c r="CR775" i="93"/>
  <c r="CB775" i="93"/>
  <c r="BH775" i="93"/>
  <c r="AR775" i="93"/>
  <c r="AB775" i="93"/>
  <c r="AP775" i="93"/>
  <c r="BK775" i="93"/>
  <c r="CK775" i="93"/>
  <c r="DS775" i="93"/>
  <c r="EO775" i="93"/>
  <c r="IP775" i="93"/>
  <c r="A775" i="93"/>
  <c r="KF780" i="94"/>
  <c r="BL780" i="94"/>
  <c r="GA780" i="94"/>
  <c r="GA810" i="94" s="1"/>
  <c r="J917" i="94" s="1"/>
  <c r="BQ805" i="93"/>
  <c r="K825" i="93" s="1"/>
  <c r="GC805" i="93"/>
  <c r="L857" i="93" s="1"/>
  <c r="DK48" i="75"/>
  <c r="L95" i="75" s="1"/>
  <c r="GW48" i="75"/>
  <c r="L104" i="75" s="1"/>
  <c r="HK48" i="75"/>
  <c r="K107" i="75" s="1"/>
  <c r="JI48" i="75"/>
  <c r="K126" i="75" s="1"/>
  <c r="JH48" i="75"/>
  <c r="J126" i="75" s="1"/>
  <c r="IR48" i="75"/>
  <c r="N130" i="75" s="1"/>
  <c r="IH48" i="75"/>
  <c r="N124" i="75" s="1"/>
  <c r="IO48" i="75"/>
  <c r="K130" i="75" s="1"/>
  <c r="IE48" i="75"/>
  <c r="K124" i="75" s="1"/>
  <c r="IX48" i="75"/>
  <c r="J128" i="75" s="1"/>
  <c r="MM810" i="94"/>
  <c r="KL48" i="75"/>
  <c r="J120" i="75" s="1"/>
  <c r="J139" i="75" s="1"/>
  <c r="JV48" i="75"/>
  <c r="N116" i="75" s="1"/>
  <c r="AG780" i="94"/>
  <c r="AF48" i="75"/>
  <c r="N57" i="75" s="1"/>
  <c r="EF48" i="75"/>
  <c r="M66" i="75" s="1"/>
  <c r="ED48" i="75"/>
  <c r="K66" i="75" s="1"/>
  <c r="AB48" i="75"/>
  <c r="J57" i="75" s="1"/>
  <c r="KF48" i="75"/>
  <c r="N118" i="75" s="1"/>
  <c r="KM48" i="75"/>
  <c r="K120" i="75" s="1"/>
  <c r="K139" i="75" s="1"/>
  <c r="JL48" i="75"/>
  <c r="N126" i="75" s="1"/>
  <c r="JK48" i="75"/>
  <c r="M126" i="75" s="1"/>
  <c r="JS48" i="75"/>
  <c r="K116" i="75" s="1"/>
  <c r="JR48" i="75"/>
  <c r="J116" i="75" s="1"/>
  <c r="JB48" i="75"/>
  <c r="N128" i="75" s="1"/>
  <c r="IQ48" i="75"/>
  <c r="M130" i="75" s="1"/>
  <c r="EB48" i="75"/>
  <c r="N92" i="75" s="1"/>
  <c r="GM48" i="75"/>
  <c r="L102" i="75" s="1"/>
  <c r="IB774" i="93"/>
  <c r="GV774" i="93"/>
  <c r="HG774" i="93"/>
  <c r="CY774" i="93"/>
  <c r="ES774" i="93"/>
  <c r="HB774" i="93"/>
  <c r="BS774" i="93"/>
  <c r="IT774" i="93"/>
  <c r="DD774" i="93"/>
  <c r="JH774" i="93"/>
  <c r="JH805" i="93" s="1"/>
  <c r="II774" i="93"/>
  <c r="HQ774" i="93"/>
  <c r="HQ805" i="93" s="1"/>
  <c r="L849" i="93" s="1"/>
  <c r="L866" i="93" s="1"/>
  <c r="HA774" i="93"/>
  <c r="GK774" i="93"/>
  <c r="FU774" i="93"/>
  <c r="FE774" i="93"/>
  <c r="EH774" i="93"/>
  <c r="DK774" i="93"/>
  <c r="CS774" i="93"/>
  <c r="BX774" i="93"/>
  <c r="BD774" i="93"/>
  <c r="AI774" i="93"/>
  <c r="AE774" i="93"/>
  <c r="BM774" i="93"/>
  <c r="FF774" i="93"/>
  <c r="GJ48" i="75"/>
  <c r="N101" i="75" s="1"/>
  <c r="A48" i="75"/>
  <c r="A5" i="75" s="1"/>
  <c r="FS48" i="75"/>
  <c r="L153" i="75" s="1"/>
  <c r="GR48" i="75"/>
  <c r="HA48" i="75"/>
  <c r="K105" i="75" s="1"/>
  <c r="HE48" i="75"/>
  <c r="HV48" i="75"/>
  <c r="GK48" i="75"/>
  <c r="J102" i="75" s="1"/>
  <c r="GS48" i="75"/>
  <c r="HF48" i="75"/>
  <c r="HS48" i="75"/>
  <c r="N108" i="75" s="1"/>
  <c r="HW48" i="75"/>
  <c r="HG48" i="75"/>
  <c r="HT48" i="75"/>
  <c r="AK48" i="75"/>
  <c r="N58" i="75" s="1"/>
  <c r="FQ48" i="75"/>
  <c r="J153" i="75" s="1"/>
  <c r="FU48" i="75"/>
  <c r="N153" i="75" s="1"/>
  <c r="GP48" i="75"/>
  <c r="DU48" i="75"/>
  <c r="L93" i="75" s="1"/>
  <c r="BW48" i="75"/>
  <c r="L85" i="75" s="1"/>
  <c r="GL48" i="75"/>
  <c r="K102" i="75" s="1"/>
  <c r="GT48" i="75"/>
  <c r="HC48" i="75"/>
  <c r="M105" i="75" s="1"/>
  <c r="HP48" i="75"/>
  <c r="K108" i="75" s="1"/>
  <c r="HX48" i="75"/>
  <c r="BJ786" i="94"/>
  <c r="AU786" i="94"/>
  <c r="AO786" i="94"/>
  <c r="AX786" i="94"/>
  <c r="AS786" i="94"/>
  <c r="AN786" i="94"/>
  <c r="AD786" i="94"/>
  <c r="Y786" i="94"/>
  <c r="BG786" i="94"/>
  <c r="X786" i="94"/>
  <c r="AL786" i="94"/>
  <c r="AE48" i="75"/>
  <c r="M57" i="75" s="1"/>
  <c r="AT786" i="94"/>
  <c r="Z786" i="94"/>
  <c r="BH786" i="94"/>
  <c r="BC786" i="94"/>
  <c r="AI786" i="94"/>
  <c r="AM786" i="94"/>
  <c r="AV786" i="94"/>
  <c r="AB786" i="94"/>
  <c r="HD48" i="75"/>
  <c r="N105" i="75" s="1"/>
  <c r="AG785" i="94"/>
  <c r="AB785" i="94"/>
  <c r="W785" i="94"/>
  <c r="AZ48" i="75"/>
  <c r="N61" i="75" s="1"/>
  <c r="DS48" i="75"/>
  <c r="J93" i="75" s="1"/>
  <c r="DW48" i="75"/>
  <c r="N93" i="75" s="1"/>
  <c r="DZ48" i="75"/>
  <c r="L92" i="75" s="1"/>
  <c r="LK48" i="75"/>
  <c r="LO48" i="75"/>
  <c r="LS48" i="75"/>
  <c r="MA48" i="75"/>
  <c r="LW48" i="75"/>
  <c r="AV785" i="94"/>
  <c r="DQ48" i="75"/>
  <c r="M94" i="75" s="1"/>
  <c r="CZ48" i="75"/>
  <c r="K97" i="75" s="1"/>
  <c r="IV805" i="93"/>
  <c r="BX48" i="75"/>
  <c r="M85" i="75" s="1"/>
  <c r="FP48" i="75"/>
  <c r="N151" i="75" s="1"/>
  <c r="AG48" i="75"/>
  <c r="J58" i="75" s="1"/>
  <c r="FR48" i="75"/>
  <c r="K153" i="75" s="1"/>
  <c r="GQ48" i="75"/>
  <c r="GZ48" i="75"/>
  <c r="J105" i="75" s="1"/>
  <c r="HH48" i="75"/>
  <c r="HQ48" i="75"/>
  <c r="L108" i="75" s="1"/>
  <c r="HU48" i="75"/>
  <c r="FT48" i="75"/>
  <c r="M153" i="75" s="1"/>
  <c r="DY805" i="93"/>
  <c r="K833" i="93" s="1"/>
  <c r="DV48" i="75"/>
  <c r="M93" i="75" s="1"/>
  <c r="DY48" i="75"/>
  <c r="K92" i="75" s="1"/>
  <c r="LN784" i="94"/>
  <c r="HG784" i="94"/>
  <c r="FS784" i="94"/>
  <c r="EM784" i="94"/>
  <c r="CY784" i="94"/>
  <c r="BS784" i="94"/>
  <c r="HV784" i="94"/>
  <c r="GP784" i="94"/>
  <c r="FB784" i="94"/>
  <c r="DN784" i="94"/>
  <c r="CH784" i="94"/>
  <c r="MB784" i="94"/>
  <c r="HU784" i="94"/>
  <c r="GO784" i="94"/>
  <c r="FA784" i="94"/>
  <c r="DM784" i="94"/>
  <c r="CG784" i="94"/>
  <c r="MA784" i="94"/>
  <c r="HT784" i="94"/>
  <c r="GN784" i="94"/>
  <c r="EZ784" i="94"/>
  <c r="DT784" i="94"/>
  <c r="CN784" i="94"/>
  <c r="LR784" i="94"/>
  <c r="HK784" i="94"/>
  <c r="FO784" i="94"/>
  <c r="EI784" i="94"/>
  <c r="DC784" i="94"/>
  <c r="BW784" i="94"/>
  <c r="LI784" i="94"/>
  <c r="GT784" i="94"/>
  <c r="EX784" i="94"/>
  <c r="GJ784" i="94"/>
  <c r="FE784" i="94"/>
  <c r="BL784" i="94"/>
  <c r="EH784" i="94"/>
  <c r="LX784" i="94"/>
  <c r="DY784" i="94"/>
  <c r="BN784" i="94"/>
  <c r="EO784" i="94"/>
  <c r="CL784" i="94"/>
  <c r="HA784" i="94"/>
  <c r="DJ784" i="94"/>
  <c r="BV784" i="94"/>
  <c r="HI784" i="94"/>
  <c r="EK48" i="75"/>
  <c r="M145" i="75" s="1"/>
  <c r="FF48" i="75"/>
  <c r="N149" i="75" s="1"/>
  <c r="FC48" i="75"/>
  <c r="K149" i="75" s="1"/>
  <c r="FM48" i="75"/>
  <c r="K151" i="75" s="1"/>
  <c r="BE784" i="94"/>
  <c r="AZ784" i="94"/>
  <c r="AU784" i="94"/>
  <c r="AP784" i="94"/>
  <c r="AF784" i="94"/>
  <c r="AH784" i="94"/>
  <c r="AC784" i="94"/>
  <c r="AQ784" i="94"/>
  <c r="Z48" i="75"/>
  <c r="M56" i="75" s="1"/>
  <c r="AV48" i="75"/>
  <c r="J61" i="75" s="1"/>
  <c r="AQ48" i="75"/>
  <c r="J60" i="75" s="1"/>
  <c r="CP805" i="93"/>
  <c r="K873" i="93" s="1"/>
  <c r="K52" i="72"/>
  <c r="CU48" i="75"/>
  <c r="K98" i="75" s="1"/>
  <c r="DG48" i="75"/>
  <c r="M96" i="75" s="1"/>
  <c r="LF784" i="94"/>
  <c r="GY784" i="94"/>
  <c r="FK784" i="94"/>
  <c r="DW784" i="94"/>
  <c r="CQ784" i="94"/>
  <c r="BK784" i="94"/>
  <c r="MC784" i="94"/>
  <c r="HN784" i="94"/>
  <c r="GH784" i="94"/>
  <c r="ET784" i="94"/>
  <c r="DF784" i="94"/>
  <c r="BZ784" i="94"/>
  <c r="LT784" i="94"/>
  <c r="HM784" i="94"/>
  <c r="GG784" i="94"/>
  <c r="ES784" i="94"/>
  <c r="DE784" i="94"/>
  <c r="BY784" i="94"/>
  <c r="LS784" i="94"/>
  <c r="HL784" i="94"/>
  <c r="GF784" i="94"/>
  <c r="ER784" i="94"/>
  <c r="DL784" i="94"/>
  <c r="CF784" i="94"/>
  <c r="LJ784" i="94"/>
  <c r="HC784" i="94"/>
  <c r="FG784" i="94"/>
  <c r="EA784" i="94"/>
  <c r="CU784" i="94"/>
  <c r="BO784" i="94"/>
  <c r="HR784" i="94"/>
  <c r="GL784" i="94"/>
  <c r="CC784" i="94"/>
  <c r="GK784" i="94"/>
  <c r="CD784" i="94"/>
  <c r="FL784" i="94"/>
  <c r="BM784" i="94"/>
  <c r="EN784" i="94"/>
  <c r="CK784" i="94"/>
  <c r="FT784" i="94"/>
  <c r="DI784" i="94"/>
  <c r="LG784" i="94"/>
  <c r="EV784" i="94"/>
  <c r="CS784" i="94"/>
  <c r="LO784" i="94"/>
  <c r="LP784" i="94"/>
  <c r="BJ784" i="94"/>
  <c r="AK784" i="94"/>
  <c r="AT784" i="94"/>
  <c r="AO784" i="94"/>
  <c r="AJ784" i="94"/>
  <c r="AE784" i="94"/>
  <c r="Z784" i="94"/>
  <c r="AX784" i="94"/>
  <c r="BB784" i="94"/>
  <c r="AW784" i="94"/>
  <c r="AM784" i="94"/>
  <c r="BA784" i="94"/>
  <c r="AV784" i="94"/>
  <c r="AI778" i="93"/>
  <c r="IH778" i="93"/>
  <c r="Z778" i="93"/>
  <c r="CM778" i="93"/>
  <c r="ID778" i="93"/>
  <c r="EC778" i="93"/>
  <c r="CD778" i="93"/>
  <c r="BE778" i="93"/>
  <c r="AC778" i="93"/>
  <c r="AU778" i="93"/>
  <c r="JA778" i="93"/>
  <c r="AH778" i="93"/>
  <c r="EH778" i="93"/>
  <c r="DR778" i="93"/>
  <c r="DI778" i="93"/>
  <c r="EA778" i="93"/>
  <c r="BC778" i="93"/>
  <c r="IY778" i="93"/>
  <c r="DV778" i="93"/>
  <c r="AX778" i="93"/>
  <c r="IP778" i="93"/>
  <c r="BO778" i="93"/>
  <c r="DK778" i="93"/>
  <c r="AS778" i="93"/>
  <c r="ET778" i="93"/>
  <c r="CC778" i="93"/>
  <c r="AT778" i="93"/>
  <c r="IS778" i="93"/>
  <c r="EQ778" i="93"/>
  <c r="EQ805" i="93" s="1"/>
  <c r="N836" i="93" s="1"/>
  <c r="DN778" i="93"/>
  <c r="CS778" i="93"/>
  <c r="BS778" i="93"/>
  <c r="AP778" i="93"/>
  <c r="II778" i="93"/>
  <c r="DS778" i="93"/>
  <c r="DG778" i="93"/>
  <c r="BN778" i="93"/>
  <c r="IU778" i="93"/>
  <c r="IU805" i="93" s="1"/>
  <c r="EN783" i="94"/>
  <c r="HJ783" i="94"/>
  <c r="CW783" i="94"/>
  <c r="DH783" i="94"/>
  <c r="FI783" i="94"/>
  <c r="LW783" i="94"/>
  <c r="GZ783" i="94"/>
  <c r="CK783" i="94"/>
  <c r="CI783" i="94"/>
  <c r="DY783" i="94"/>
  <c r="FQ783" i="94"/>
  <c r="HG783" i="94"/>
  <c r="CJ783" i="94"/>
  <c r="DZ783" i="94"/>
  <c r="FR783" i="94"/>
  <c r="HH783" i="94"/>
  <c r="CO783" i="94"/>
  <c r="EO783" i="94"/>
  <c r="GG783" i="94"/>
  <c r="HW783" i="94"/>
  <c r="BT783" i="94"/>
  <c r="DJ783" i="94"/>
  <c r="FL783" i="94"/>
  <c r="HB783" i="94"/>
  <c r="LZ783" i="94"/>
  <c r="CG783" i="94"/>
  <c r="DW783" i="94"/>
  <c r="HO783" i="94"/>
  <c r="CR783" i="94"/>
  <c r="EH783" i="94"/>
  <c r="HP783" i="94"/>
  <c r="CM783" i="94"/>
  <c r="DS783" i="94"/>
  <c r="EY783" i="94"/>
  <c r="HK783" i="94"/>
  <c r="CF783" i="94"/>
  <c r="DL783" i="94"/>
  <c r="ER783" i="94"/>
  <c r="HD783" i="94"/>
  <c r="MB783" i="94"/>
  <c r="FJ48" i="75"/>
  <c r="M150" i="75" s="1"/>
  <c r="AK783" i="94"/>
  <c r="AF783" i="94"/>
  <c r="AA783" i="94"/>
  <c r="BI783" i="94"/>
  <c r="BH783" i="94"/>
  <c r="AI783" i="94"/>
  <c r="AD783" i="94"/>
  <c r="AR783" i="94"/>
  <c r="AM783" i="94"/>
  <c r="AH783" i="94"/>
  <c r="AP48" i="75"/>
  <c r="N59" i="75" s="1"/>
  <c r="AA48" i="75"/>
  <c r="N56" i="75" s="1"/>
  <c r="AJ48" i="75"/>
  <c r="M58" i="75" s="1"/>
  <c r="BH48" i="75"/>
  <c r="L64" i="75" s="1"/>
  <c r="BG48" i="75"/>
  <c r="K64" i="75" s="1"/>
  <c r="BF48" i="75"/>
  <c r="J64" i="75" s="1"/>
  <c r="CV48" i="75"/>
  <c r="L98" i="75" s="1"/>
  <c r="DD48" i="75"/>
  <c r="J96" i="75" s="1"/>
  <c r="DH48" i="75"/>
  <c r="N96" i="75" s="1"/>
  <c r="DT48" i="75"/>
  <c r="K93" i="75" s="1"/>
  <c r="EA48" i="75"/>
  <c r="M92" i="75" s="1"/>
  <c r="CX783" i="94"/>
  <c r="BQ783" i="94"/>
  <c r="EM783" i="94"/>
  <c r="EX783" i="94"/>
  <c r="LN783" i="94"/>
  <c r="GY783" i="94"/>
  <c r="CB783" i="94"/>
  <c r="FS783" i="94"/>
  <c r="CS783" i="94"/>
  <c r="EK783" i="94"/>
  <c r="HQ783" i="94"/>
  <c r="CT783" i="94"/>
  <c r="EL783" i="94"/>
  <c r="HR783" i="94"/>
  <c r="CY783" i="94"/>
  <c r="FA783" i="94"/>
  <c r="GQ783" i="94"/>
  <c r="LO783" i="94"/>
  <c r="CD783" i="94"/>
  <c r="DV783" i="94"/>
  <c r="DV810" i="94" s="1"/>
  <c r="M855" i="94" s="1"/>
  <c r="HN783" i="94"/>
  <c r="CQ783" i="94"/>
  <c r="ES783" i="94"/>
  <c r="GI783" i="94"/>
  <c r="LG783" i="94"/>
  <c r="BL783" i="94"/>
  <c r="DB783" i="94"/>
  <c r="ET783" i="94"/>
  <c r="GJ783" i="94"/>
  <c r="LH783" i="94"/>
  <c r="BO783" i="94"/>
  <c r="CU783" i="94"/>
  <c r="EA783" i="94"/>
  <c r="FG783" i="94"/>
  <c r="GM783" i="94"/>
  <c r="HS783" i="94"/>
  <c r="LK783" i="94"/>
  <c r="LK810" i="94" s="1"/>
  <c r="CN783" i="94"/>
  <c r="DT783" i="94"/>
  <c r="EZ783" i="94"/>
  <c r="GF783" i="94"/>
  <c r="HL783" i="94"/>
  <c r="LM783" i="94"/>
  <c r="BV48" i="75"/>
  <c r="K85" i="75" s="1"/>
  <c r="BS48" i="75"/>
  <c r="M86" i="75" s="1"/>
  <c r="BQ48" i="75"/>
  <c r="K86" i="75" s="1"/>
  <c r="BO48" i="75"/>
  <c r="N87" i="75" s="1"/>
  <c r="EJ48" i="75"/>
  <c r="L145" i="75" s="1"/>
  <c r="EW48" i="75"/>
  <c r="J148" i="75" s="1"/>
  <c r="FE48" i="75"/>
  <c r="M149" i="75" s="1"/>
  <c r="BC783" i="94"/>
  <c r="AX783" i="94"/>
  <c r="Y783" i="94"/>
  <c r="AC783" i="94"/>
  <c r="X783" i="94"/>
  <c r="BF783" i="94"/>
  <c r="BA783" i="94"/>
  <c r="W783" i="94"/>
  <c r="BE48" i="75"/>
  <c r="N62" i="75" s="1"/>
  <c r="BD48" i="75"/>
  <c r="M62" i="75" s="1"/>
  <c r="AT48" i="75"/>
  <c r="M60" i="75" s="1"/>
  <c r="AX48" i="75"/>
  <c r="L61" i="75" s="1"/>
  <c r="AN48" i="75"/>
  <c r="L59" i="75" s="1"/>
  <c r="AD48" i="75"/>
  <c r="L57" i="75" s="1"/>
  <c r="CL783" i="94"/>
  <c r="GP783" i="94"/>
  <c r="CA783" i="94"/>
  <c r="DR783" i="94"/>
  <c r="HI783" i="94"/>
  <c r="BM783" i="94"/>
  <c r="DE783" i="94"/>
  <c r="EU783" i="94"/>
  <c r="GK783" i="94"/>
  <c r="LI783" i="94"/>
  <c r="BN783" i="94"/>
  <c r="DF783" i="94"/>
  <c r="EV783" i="94"/>
  <c r="GL783" i="94"/>
  <c r="LJ783" i="94"/>
  <c r="BS783" i="94"/>
  <c r="DI783" i="94"/>
  <c r="FK783" i="94"/>
  <c r="HA783" i="94"/>
  <c r="LY783" i="94"/>
  <c r="CP783" i="94"/>
  <c r="EP783" i="94"/>
  <c r="GH783" i="94"/>
  <c r="HX783" i="94"/>
  <c r="LF783" i="94"/>
  <c r="BK783" i="94"/>
  <c r="DA783" i="94"/>
  <c r="FC783" i="94"/>
  <c r="GS783" i="94"/>
  <c r="LQ783" i="94"/>
  <c r="LQ810" i="94" s="1"/>
  <c r="BV783" i="94"/>
  <c r="DN783" i="94"/>
  <c r="FD783" i="94"/>
  <c r="GT783" i="94"/>
  <c r="LR783" i="94"/>
  <c r="BW783" i="94"/>
  <c r="DC783" i="94"/>
  <c r="EI783" i="94"/>
  <c r="FO783" i="94"/>
  <c r="GU783" i="94"/>
  <c r="LS783" i="94"/>
  <c r="BP783" i="94"/>
  <c r="CV783" i="94"/>
  <c r="EB783" i="94"/>
  <c r="FH783" i="94"/>
  <c r="GN783" i="94"/>
  <c r="HT783" i="94"/>
  <c r="LL783" i="94"/>
  <c r="EW783" i="94"/>
  <c r="EW810" i="94" s="1"/>
  <c r="J910" i="94" s="1"/>
  <c r="CF48" i="75"/>
  <c r="K83" i="75" s="1"/>
  <c r="CD48" i="75"/>
  <c r="N84" i="75" s="1"/>
  <c r="CB48" i="75"/>
  <c r="L84" i="75" s="1"/>
  <c r="BZ48" i="75"/>
  <c r="J84" i="75" s="1"/>
  <c r="EH48" i="75"/>
  <c r="J145" i="75" s="1"/>
  <c r="FB48" i="75"/>
  <c r="J149" i="75" s="1"/>
  <c r="FN48" i="75"/>
  <c r="L151" i="75" s="1"/>
  <c r="BJ783" i="94"/>
  <c r="BE783" i="94"/>
  <c r="BD783" i="94"/>
  <c r="AY783" i="94"/>
  <c r="AT783" i="94"/>
  <c r="BG783" i="94"/>
  <c r="BB783" i="94"/>
  <c r="AV783" i="94"/>
  <c r="AQ783" i="94"/>
  <c r="AL783" i="94"/>
  <c r="Z805" i="93"/>
  <c r="M813" i="93" s="1"/>
  <c r="AH776" i="93"/>
  <c r="BC776" i="93"/>
  <c r="EG776" i="93"/>
  <c r="IR776" i="93"/>
  <c r="IR805" i="93" s="1"/>
  <c r="EV776" i="93"/>
  <c r="EF776" i="93"/>
  <c r="DP776" i="93"/>
  <c r="DP805" i="93" s="1"/>
  <c r="CR776" i="93"/>
  <c r="CB776" i="93"/>
  <c r="BH776" i="93"/>
  <c r="BH805" i="93" s="1"/>
  <c r="AR776" i="93"/>
  <c r="AR805" i="93" s="1"/>
  <c r="AB776" i="93"/>
  <c r="IQ776" i="93"/>
  <c r="EP776" i="93"/>
  <c r="EP805" i="93" s="1"/>
  <c r="M836" i="93" s="1"/>
  <c r="DU776" i="93"/>
  <c r="CQ776" i="93"/>
  <c r="BR776" i="93"/>
  <c r="AW776" i="93"/>
  <c r="AW805" i="93" s="1"/>
  <c r="K822" i="93" s="1"/>
  <c r="AA776" i="93"/>
  <c r="IP776" i="93"/>
  <c r="EO776" i="93"/>
  <c r="DS776" i="93"/>
  <c r="CK776" i="93"/>
  <c r="BK776" i="93"/>
  <c r="AP776" i="93"/>
  <c r="AP805" i="93" s="1"/>
  <c r="N816" i="93" s="1"/>
  <c r="IY776" i="93"/>
  <c r="ID776" i="93"/>
  <c r="ID805" i="93" s="1"/>
  <c r="EC776" i="93"/>
  <c r="DG776" i="93"/>
  <c r="BO776" i="93"/>
  <c r="AT776" i="93"/>
  <c r="Y776" i="93"/>
  <c r="AM776" i="93"/>
  <c r="EL776" i="93"/>
  <c r="BN776" i="93"/>
  <c r="BN805" i="93" s="1"/>
  <c r="M826" i="93" s="1"/>
  <c r="IS776" i="93"/>
  <c r="CM776" i="93"/>
  <c r="CS776" i="93"/>
  <c r="CS805" i="93" s="1"/>
  <c r="N873" i="93" s="1"/>
  <c r="IH776" i="93"/>
  <c r="DK776" i="93"/>
  <c r="IN776" i="93"/>
  <c r="ER776" i="93"/>
  <c r="EB776" i="93"/>
  <c r="EB805" i="93" s="1"/>
  <c r="N833" i="93" s="1"/>
  <c r="DL776" i="93"/>
  <c r="CN776" i="93"/>
  <c r="BT776" i="93"/>
  <c r="BD776" i="93"/>
  <c r="AN776" i="93"/>
  <c r="X776" i="93"/>
  <c r="IL776" i="93"/>
  <c r="EK776" i="93"/>
  <c r="DO776" i="93"/>
  <c r="CL776" i="93"/>
  <c r="BM776" i="93"/>
  <c r="AQ776" i="93"/>
  <c r="A776" i="93"/>
  <c r="IK776" i="93"/>
  <c r="EI776" i="93"/>
  <c r="DN776" i="93"/>
  <c r="CE776" i="93"/>
  <c r="BF776" i="93"/>
  <c r="AK776" i="93"/>
  <c r="IT776" i="93"/>
  <c r="ES776" i="93"/>
  <c r="DW776" i="93"/>
  <c r="CO776" i="93"/>
  <c r="CO805" i="93" s="1"/>
  <c r="J873" i="93" s="1"/>
  <c r="BJ776" i="93"/>
  <c r="BJ805" i="93" s="1"/>
  <c r="AO776" i="93"/>
  <c r="BI776" i="93"/>
  <c r="IM776" i="93"/>
  <c r="CH776" i="93"/>
  <c r="AC776" i="93"/>
  <c r="AC805" i="93" s="1"/>
  <c r="K814" i="93" s="1"/>
  <c r="DF776" i="93"/>
  <c r="IZ776" i="93"/>
  <c r="IJ776" i="93"/>
  <c r="EN776" i="93"/>
  <c r="DX776" i="93"/>
  <c r="DX805" i="93" s="1"/>
  <c r="J833" i="93" s="1"/>
  <c r="DH776" i="93"/>
  <c r="CJ776" i="93"/>
  <c r="BP776" i="93"/>
  <c r="AZ776" i="93"/>
  <c r="AZ805" i="93" s="1"/>
  <c r="N822" i="93" s="1"/>
  <c r="AJ776" i="93"/>
  <c r="JB776" i="93"/>
  <c r="IG776" i="93"/>
  <c r="IG805" i="93" s="1"/>
  <c r="EE776" i="93"/>
  <c r="DJ776" i="93"/>
  <c r="CG776" i="93"/>
  <c r="BG776" i="93"/>
  <c r="BG805" i="93" s="1"/>
  <c r="AL776" i="93"/>
  <c r="JA776" i="93"/>
  <c r="IE776" i="93"/>
  <c r="ED776" i="93"/>
  <c r="DI776" i="93"/>
  <c r="BZ776" i="93"/>
  <c r="BA776" i="93"/>
  <c r="AE776" i="93"/>
  <c r="IO776" i="93"/>
  <c r="EM776" i="93"/>
  <c r="DR776" i="93"/>
  <c r="CI776" i="93"/>
  <c r="BE776" i="93"/>
  <c r="AI776" i="93"/>
  <c r="CC776" i="93"/>
  <c r="W776" i="93"/>
  <c r="DV776" i="93"/>
  <c r="AX776" i="93"/>
  <c r="EA776" i="93"/>
  <c r="AU805" i="93"/>
  <c r="DF805" i="93"/>
  <c r="L829" i="93" s="1"/>
  <c r="GF48" i="75"/>
  <c r="J101" i="75" s="1"/>
  <c r="GX48" i="75"/>
  <c r="M104" i="75" s="1"/>
  <c r="HL48" i="75"/>
  <c r="L107" i="75" s="1"/>
  <c r="DN48" i="75"/>
  <c r="J94" i="75" s="1"/>
  <c r="DR48" i="75"/>
  <c r="N94" i="75" s="1"/>
  <c r="DA48" i="75"/>
  <c r="L97" i="75" s="1"/>
  <c r="CT48" i="75"/>
  <c r="J98" i="75" s="1"/>
  <c r="CX48" i="75"/>
  <c r="N98" i="75" s="1"/>
  <c r="DF48" i="75"/>
  <c r="L96" i="75" s="1"/>
  <c r="FC781" i="94"/>
  <c r="LW781" i="94"/>
  <c r="BS781" i="94"/>
  <c r="CI781" i="94"/>
  <c r="BK781" i="94"/>
  <c r="BK810" i="94" s="1"/>
  <c r="J849" i="94" s="1"/>
  <c r="BP781" i="94"/>
  <c r="CV781" i="94"/>
  <c r="EB781" i="94"/>
  <c r="CG781" i="94"/>
  <c r="DM781" i="94"/>
  <c r="BT781" i="94"/>
  <c r="CZ781" i="94"/>
  <c r="BM781" i="94"/>
  <c r="CS781" i="94"/>
  <c r="DY781" i="94"/>
  <c r="CL781" i="94"/>
  <c r="DR781" i="94"/>
  <c r="BW781" i="94"/>
  <c r="DC781" i="94"/>
  <c r="EU781" i="94"/>
  <c r="FK781" i="94"/>
  <c r="FS781" i="94"/>
  <c r="EJ781" i="94"/>
  <c r="FP781" i="94"/>
  <c r="FA781" i="94"/>
  <c r="EN781" i="94"/>
  <c r="FT781" i="94"/>
  <c r="FE781" i="94"/>
  <c r="EH781" i="94"/>
  <c r="FN781" i="94"/>
  <c r="EY781" i="94"/>
  <c r="DF781" i="94"/>
  <c r="GQ781" i="94"/>
  <c r="GQ810" i="94" s="1"/>
  <c r="MD781" i="94"/>
  <c r="GI781" i="94"/>
  <c r="HV781" i="94"/>
  <c r="GV781" i="94"/>
  <c r="GV810" i="94" s="1"/>
  <c r="K866" i="94" s="1"/>
  <c r="LT781" i="94"/>
  <c r="GO781" i="94"/>
  <c r="HU781" i="94"/>
  <c r="GJ781" i="94"/>
  <c r="HP781" i="94"/>
  <c r="HA781" i="94"/>
  <c r="LY781" i="94"/>
  <c r="HB781" i="94"/>
  <c r="LZ781" i="94"/>
  <c r="HC781" i="94"/>
  <c r="MA781" i="94"/>
  <c r="DG781" i="94"/>
  <c r="BY48" i="75"/>
  <c r="N85" i="75" s="1"/>
  <c r="AZ781" i="94"/>
  <c r="AK781" i="94"/>
  <c r="AO781" i="94"/>
  <c r="BH781" i="94"/>
  <c r="AI781" i="94"/>
  <c r="BG781" i="94"/>
  <c r="AR781" i="94"/>
  <c r="AC781" i="94"/>
  <c r="AV781" i="94"/>
  <c r="AB781" i="94"/>
  <c r="CA781" i="94"/>
  <c r="GY781" i="94"/>
  <c r="CY781" i="94"/>
  <c r="DO781" i="94"/>
  <c r="CQ781" i="94"/>
  <c r="BX781" i="94"/>
  <c r="DD781" i="94"/>
  <c r="CO781" i="94"/>
  <c r="DU781" i="94"/>
  <c r="DU810" i="94" s="1"/>
  <c r="L855" i="94" s="1"/>
  <c r="CB781" i="94"/>
  <c r="CB810" i="94" s="1"/>
  <c r="L846" i="94" s="1"/>
  <c r="DH781" i="94"/>
  <c r="BU781" i="94"/>
  <c r="DA781" i="94"/>
  <c r="BN781" i="94"/>
  <c r="CT781" i="94"/>
  <c r="DZ781" i="94"/>
  <c r="CE781" i="94"/>
  <c r="DK781" i="94"/>
  <c r="LN781" i="94"/>
  <c r="EL781" i="94"/>
  <c r="LF781" i="94"/>
  <c r="ER781" i="94"/>
  <c r="LL781" i="94"/>
  <c r="FI781" i="94"/>
  <c r="EV781" i="94"/>
  <c r="LH781" i="94"/>
  <c r="FM781" i="94"/>
  <c r="EP781" i="94"/>
  <c r="LJ781" i="94"/>
  <c r="FG781" i="94"/>
  <c r="HW781" i="94"/>
  <c r="GH781" i="94"/>
  <c r="HO781" i="94"/>
  <c r="HD781" i="94"/>
  <c r="MB781" i="94"/>
  <c r="GW781" i="94"/>
  <c r="LU781" i="94"/>
  <c r="GR781" i="94"/>
  <c r="HX781" i="94"/>
  <c r="HI781" i="94"/>
  <c r="HJ781" i="94"/>
  <c r="HK781" i="94"/>
  <c r="BT48" i="75"/>
  <c r="N86" i="75" s="1"/>
  <c r="EL48" i="75"/>
  <c r="N145" i="75" s="1"/>
  <c r="EI48" i="75"/>
  <c r="K145" i="75" s="1"/>
  <c r="EP48" i="75"/>
  <c r="M146" i="75" s="1"/>
  <c r="EN48" i="75"/>
  <c r="K146" i="75" s="1"/>
  <c r="EV48" i="75"/>
  <c r="N147" i="75" s="1"/>
  <c r="ET48" i="75"/>
  <c r="L147" i="75" s="1"/>
  <c r="ER48" i="75"/>
  <c r="J147" i="75" s="1"/>
  <c r="EZ48" i="75"/>
  <c r="M148" i="75" s="1"/>
  <c r="FD48" i="75"/>
  <c r="L149" i="75" s="1"/>
  <c r="FO48" i="75"/>
  <c r="M151" i="75" s="1"/>
  <c r="FL48" i="75"/>
  <c r="J151" i="75" s="1"/>
  <c r="AU781" i="94"/>
  <c r="AF781" i="94"/>
  <c r="BD781" i="94"/>
  <c r="AJ781" i="94"/>
  <c r="AS781" i="94"/>
  <c r="AD781" i="94"/>
  <c r="BB781" i="94"/>
  <c r="AM781" i="94"/>
  <c r="X781" i="94"/>
  <c r="AQ781" i="94"/>
  <c r="W781" i="94"/>
  <c r="BJ48" i="75"/>
  <c r="N64" i="75" s="1"/>
  <c r="AU48" i="75"/>
  <c r="N60" i="75" s="1"/>
  <c r="AO48" i="75"/>
  <c r="M59" i="75" s="1"/>
  <c r="BA48" i="75"/>
  <c r="J62" i="75" s="1"/>
  <c r="AL48" i="75"/>
  <c r="J59" i="75" s="1"/>
  <c r="A781" i="94"/>
  <c r="BZ781" i="94"/>
  <c r="BR781" i="94"/>
  <c r="BR810" i="94" s="1"/>
  <c r="L848" i="94" s="1"/>
  <c r="CH781" i="94"/>
  <c r="CP781" i="94"/>
  <c r="DW781" i="94"/>
  <c r="CF781" i="94"/>
  <c r="DL781" i="94"/>
  <c r="BQ781" i="94"/>
  <c r="CW781" i="94"/>
  <c r="CJ781" i="94"/>
  <c r="DP781" i="94"/>
  <c r="CC781" i="94"/>
  <c r="DI781" i="94"/>
  <c r="BV781" i="94"/>
  <c r="DB781" i="94"/>
  <c r="CM781" i="94"/>
  <c r="DS781" i="94"/>
  <c r="LV781" i="94"/>
  <c r="FB781" i="94"/>
  <c r="FB810" i="94" s="1"/>
  <c r="J911" i="94" s="1"/>
  <c r="FR781" i="94"/>
  <c r="ET781" i="94"/>
  <c r="EZ781" i="94"/>
  <c r="EK781" i="94"/>
  <c r="FQ781" i="94"/>
  <c r="FQ810" i="94" s="1"/>
  <c r="J915" i="94" s="1"/>
  <c r="FD781" i="94"/>
  <c r="EO781" i="94"/>
  <c r="FU781" i="94"/>
  <c r="EX781" i="94"/>
  <c r="EI781" i="94"/>
  <c r="FO781" i="94"/>
  <c r="GX781" i="94"/>
  <c r="HN781" i="94"/>
  <c r="GF781" i="94"/>
  <c r="HL781" i="94"/>
  <c r="HE781" i="94"/>
  <c r="MC781" i="94"/>
  <c r="GZ781" i="94"/>
  <c r="LP781" i="94"/>
  <c r="GK781" i="94"/>
  <c r="HQ781" i="94"/>
  <c r="GL781" i="94"/>
  <c r="HR781" i="94"/>
  <c r="GM781" i="94"/>
  <c r="HS781" i="94"/>
  <c r="BL48" i="75"/>
  <c r="K87" i="75" s="1"/>
  <c r="EQ48" i="75"/>
  <c r="N146" i="75" s="1"/>
  <c r="BJ781" i="94"/>
  <c r="AP781" i="94"/>
  <c r="AA781" i="94"/>
  <c r="AY781" i="94"/>
  <c r="AE781" i="94"/>
  <c r="BC781" i="94"/>
  <c r="AN781" i="94"/>
  <c r="AN810" i="94" s="1"/>
  <c r="L821" i="94" s="1"/>
  <c r="AH781" i="94"/>
  <c r="BF781" i="94"/>
  <c r="BI48" i="75"/>
  <c r="M64" i="75" s="1"/>
  <c r="BB48" i="75"/>
  <c r="K62" i="75" s="1"/>
  <c r="AR48" i="75"/>
  <c r="K60" i="75" s="1"/>
  <c r="AH48" i="75"/>
  <c r="K58" i="75" s="1"/>
  <c r="X48" i="75"/>
  <c r="K56" i="75" s="1"/>
  <c r="HU780" i="94"/>
  <c r="GO780" i="94"/>
  <c r="FA780" i="94"/>
  <c r="DM780" i="94"/>
  <c r="CG780" i="94"/>
  <c r="LY780" i="94"/>
  <c r="HT780" i="94"/>
  <c r="GN780" i="94"/>
  <c r="EZ780" i="94"/>
  <c r="DT780" i="94"/>
  <c r="CN780" i="94"/>
  <c r="HS780" i="94"/>
  <c r="GM780" i="94"/>
  <c r="EQ780" i="94"/>
  <c r="DK780" i="94"/>
  <c r="CE780" i="94"/>
  <c r="LS780" i="94"/>
  <c r="HB780" i="94"/>
  <c r="FF780" i="94"/>
  <c r="FF810" i="94" s="1"/>
  <c r="N911" i="94" s="1"/>
  <c r="DZ780" i="94"/>
  <c r="CT780" i="94"/>
  <c r="BN780" i="94"/>
  <c r="MB780" i="94"/>
  <c r="HI780" i="94"/>
  <c r="FU780" i="94"/>
  <c r="EO780" i="94"/>
  <c r="DA780" i="94"/>
  <c r="BU780" i="94"/>
  <c r="CJ780" i="94"/>
  <c r="GR780" i="94"/>
  <c r="LH780" i="94"/>
  <c r="LP780" i="94"/>
  <c r="MA780" i="94"/>
  <c r="CS48" i="75"/>
  <c r="N81" i="75" s="1"/>
  <c r="CQ48" i="75"/>
  <c r="L81" i="75" s="1"/>
  <c r="CO48" i="75"/>
  <c r="J81" i="75" s="1"/>
  <c r="CM48" i="75"/>
  <c r="M82" i="75" s="1"/>
  <c r="CK48" i="75"/>
  <c r="K82" i="75" s="1"/>
  <c r="CI48" i="75"/>
  <c r="N83" i="75" s="1"/>
  <c r="CG48" i="75"/>
  <c r="L83" i="75" s="1"/>
  <c r="CE48" i="75"/>
  <c r="J83" i="75" s="1"/>
  <c r="CC48" i="75"/>
  <c r="M84" i="75" s="1"/>
  <c r="CA48" i="75"/>
  <c r="K84" i="75" s="1"/>
  <c r="BU48" i="75"/>
  <c r="J85" i="75" s="1"/>
  <c r="BR48" i="75"/>
  <c r="L86" i="75" s="1"/>
  <c r="BM48" i="75"/>
  <c r="L87" i="75" s="1"/>
  <c r="EO48" i="75"/>
  <c r="L146" i="75" s="1"/>
  <c r="FK48" i="75"/>
  <c r="N150" i="75" s="1"/>
  <c r="FH48" i="75"/>
  <c r="K150" i="75" s="1"/>
  <c r="AU780" i="94"/>
  <c r="AA780" i="94"/>
  <c r="AY780" i="94"/>
  <c r="AJ780" i="94"/>
  <c r="Z780" i="94"/>
  <c r="BG780" i="94"/>
  <c r="AM780" i="94"/>
  <c r="BF780" i="94"/>
  <c r="AV780" i="94"/>
  <c r="AL780" i="94"/>
  <c r="AB780" i="94"/>
  <c r="AY48" i="75"/>
  <c r="M61" i="75" s="1"/>
  <c r="BC48" i="75"/>
  <c r="L62" i="75" s="1"/>
  <c r="AS48" i="75"/>
  <c r="L60" i="75" s="1"/>
  <c r="AW48" i="75"/>
  <c r="K61" i="75" s="1"/>
  <c r="AM48" i="75"/>
  <c r="K59" i="75" s="1"/>
  <c r="AC48" i="75"/>
  <c r="K57" i="75" s="1"/>
  <c r="HM780" i="94"/>
  <c r="GG780" i="94"/>
  <c r="ES780" i="94"/>
  <c r="DE780" i="94"/>
  <c r="BY780" i="94"/>
  <c r="LU780" i="94"/>
  <c r="HL780" i="94"/>
  <c r="GF780" i="94"/>
  <c r="ER780" i="94"/>
  <c r="DL780" i="94"/>
  <c r="CF780" i="94"/>
  <c r="HK780" i="94"/>
  <c r="FO780" i="94"/>
  <c r="EI780" i="94"/>
  <c r="DC780" i="94"/>
  <c r="BW780" i="94"/>
  <c r="LJ780" i="94"/>
  <c r="GT780" i="94"/>
  <c r="EX780" i="94"/>
  <c r="DR780" i="94"/>
  <c r="CL780" i="94"/>
  <c r="LR780" i="94"/>
  <c r="HA780" i="94"/>
  <c r="FM780" i="94"/>
  <c r="DY780" i="94"/>
  <c r="CS780" i="94"/>
  <c r="CS810" i="94" s="1"/>
  <c r="N843" i="94" s="1"/>
  <c r="BM780" i="94"/>
  <c r="LV780" i="94"/>
  <c r="DH780" i="94"/>
  <c r="DP780" i="94"/>
  <c r="EN780" i="94"/>
  <c r="EV780" i="94"/>
  <c r="BT780" i="94"/>
  <c r="BP48" i="75"/>
  <c r="J86" i="75" s="1"/>
  <c r="BN48" i="75"/>
  <c r="M87" i="75" s="1"/>
  <c r="BK48" i="75"/>
  <c r="J87" i="75" s="1"/>
  <c r="EM48" i="75"/>
  <c r="J146" i="75" s="1"/>
  <c r="EU48" i="75"/>
  <c r="M147" i="75" s="1"/>
  <c r="ES48" i="75"/>
  <c r="K147" i="75" s="1"/>
  <c r="FA48" i="75"/>
  <c r="N148" i="75" s="1"/>
  <c r="EX48" i="75"/>
  <c r="K148" i="75" s="1"/>
  <c r="AZ780" i="94"/>
  <c r="AF780" i="94"/>
  <c r="AF810" i="94" s="1"/>
  <c r="N819" i="94" s="1"/>
  <c r="AO780" i="94"/>
  <c r="AO810" i="94" s="1"/>
  <c r="M821" i="94" s="1"/>
  <c r="BC780" i="94"/>
  <c r="AS780" i="94"/>
  <c r="AI780" i="94"/>
  <c r="Y780" i="94"/>
  <c r="Y810" i="94" s="1"/>
  <c r="L818" i="94" s="1"/>
  <c r="AR780" i="94"/>
  <c r="X780" i="94"/>
  <c r="AB810" i="94"/>
  <c r="J819" i="94" s="1"/>
  <c r="W780" i="94"/>
  <c r="AI48" i="75"/>
  <c r="L58" i="75" s="1"/>
  <c r="Y48" i="75"/>
  <c r="L56" i="75" s="1"/>
  <c r="BO780" i="94"/>
  <c r="BO810" i="94" s="1"/>
  <c r="N849" i="94" s="1"/>
  <c r="HR780" i="94"/>
  <c r="GL780" i="94"/>
  <c r="EP780" i="94"/>
  <c r="DJ780" i="94"/>
  <c r="CD780" i="94"/>
  <c r="LI780" i="94"/>
  <c r="GS780" i="94"/>
  <c r="FE780" i="94"/>
  <c r="DQ780" i="94"/>
  <c r="DQ810" i="94" s="1"/>
  <c r="M856" i="94" s="1"/>
  <c r="CK780" i="94"/>
  <c r="A780" i="94"/>
  <c r="CZ780" i="94"/>
  <c r="CR780" i="94"/>
  <c r="CR810" i="94" s="1"/>
  <c r="M843" i="94" s="1"/>
  <c r="DX780" i="94"/>
  <c r="DX810" i="94" s="1"/>
  <c r="J854" i="94" s="1"/>
  <c r="FL780" i="94"/>
  <c r="FT780" i="94"/>
  <c r="FD780" i="94"/>
  <c r="FD810" i="94" s="1"/>
  <c r="L911" i="94" s="1"/>
  <c r="CR48" i="75"/>
  <c r="M81" i="75" s="1"/>
  <c r="CP48" i="75"/>
  <c r="K81" i="75" s="1"/>
  <c r="CN48" i="75"/>
  <c r="N82" i="75" s="1"/>
  <c r="CL48" i="75"/>
  <c r="L82" i="75" s="1"/>
  <c r="CJ48" i="75"/>
  <c r="J82" i="75" s="1"/>
  <c r="CH48" i="75"/>
  <c r="M83" i="75" s="1"/>
  <c r="EY48" i="75"/>
  <c r="L148" i="75" s="1"/>
  <c r="FI48" i="75"/>
  <c r="L150" i="75" s="1"/>
  <c r="FG48" i="75"/>
  <c r="J150" i="75" s="1"/>
  <c r="BJ780" i="94"/>
  <c r="BE780" i="94"/>
  <c r="AK780" i="94"/>
  <c r="BD780" i="94"/>
  <c r="AT780" i="94"/>
  <c r="AE780" i="94"/>
  <c r="BC810" i="94"/>
  <c r="L824" i="94" s="1"/>
  <c r="AW780" i="94"/>
  <c r="AW810" i="94" s="1"/>
  <c r="K823" i="94" s="1"/>
  <c r="AC780" i="94"/>
  <c r="BA780" i="94"/>
  <c r="AQ780" i="94"/>
  <c r="C978" i="93"/>
  <c r="I61" i="84"/>
  <c r="K61" i="84"/>
  <c r="E61" i="84"/>
  <c r="G61" i="84"/>
  <c r="C58" i="84"/>
  <c r="K58" i="84" s="1"/>
  <c r="G60" i="84"/>
  <c r="E60" i="84"/>
  <c r="K60" i="84"/>
  <c r="I60" i="84"/>
  <c r="G59" i="84"/>
  <c r="I59" i="84"/>
  <c r="K59" i="84"/>
  <c r="E59" i="84"/>
  <c r="K988" i="94"/>
  <c r="G562" i="93"/>
  <c r="S541" i="93"/>
  <c r="S568" i="93" s="1"/>
  <c r="H16" i="86"/>
  <c r="C16" i="86"/>
  <c r="I16" i="86"/>
  <c r="D16" i="86"/>
  <c r="I36" i="86"/>
  <c r="E16" i="86"/>
  <c r="G36" i="86"/>
  <c r="F36" i="86"/>
  <c r="E36" i="86"/>
  <c r="J509" i="94"/>
  <c r="G500" i="93"/>
  <c r="J462" i="94"/>
  <c r="G462" i="94"/>
  <c r="J453" i="93"/>
  <c r="G453" i="93"/>
  <c r="G513" i="93"/>
  <c r="G522" i="94"/>
  <c r="G519" i="93"/>
  <c r="J132" i="78"/>
  <c r="J149" i="78" s="1"/>
  <c r="E3" i="86" s="1"/>
  <c r="L409" i="94"/>
  <c r="J483" i="94"/>
  <c r="G483" i="94"/>
  <c r="B489" i="94" s="1"/>
  <c r="L32" i="68"/>
  <c r="B44" i="78"/>
  <c r="E482" i="94"/>
  <c r="E481" i="94"/>
  <c r="G132" i="78"/>
  <c r="B4" i="82" s="1"/>
  <c r="J1776" i="93"/>
  <c r="J1040" i="94"/>
  <c r="J979" i="93"/>
  <c r="E16" i="87"/>
  <c r="J45" i="82"/>
  <c r="E27" i="87"/>
  <c r="E21" i="87"/>
  <c r="E1072" i="94"/>
  <c r="I1072" i="94"/>
  <c r="D1104" i="94"/>
  <c r="H1104" i="94"/>
  <c r="D1134" i="94"/>
  <c r="C25" i="74"/>
  <c r="E25" i="74"/>
  <c r="G25" i="74"/>
  <c r="I25" i="74"/>
  <c r="K25" i="74"/>
  <c r="K1009" i="93"/>
  <c r="E1067" i="93"/>
  <c r="E1009" i="93"/>
  <c r="C1072" i="94"/>
  <c r="G1072" i="94"/>
  <c r="K1072" i="94"/>
  <c r="B1104" i="94"/>
  <c r="F1104" i="94"/>
  <c r="J1104" i="94"/>
  <c r="B1134" i="94"/>
  <c r="F1134" i="94"/>
  <c r="B25" i="74"/>
  <c r="D25" i="74"/>
  <c r="F25" i="74"/>
  <c r="H25" i="74"/>
  <c r="E26" i="87" l="1"/>
  <c r="E473" i="93"/>
  <c r="E471" i="93"/>
  <c r="E472" i="93"/>
  <c r="J577" i="94"/>
  <c r="J594" i="94" s="1"/>
  <c r="J596" i="94" s="1"/>
  <c r="J598" i="94" s="1"/>
  <c r="GF805" i="93"/>
  <c r="J854" i="93" s="1"/>
  <c r="IF810" i="94"/>
  <c r="L886" i="94" s="1"/>
  <c r="IU810" i="94"/>
  <c r="L893" i="94" s="1"/>
  <c r="JP810" i="94"/>
  <c r="M889" i="94" s="1"/>
  <c r="JE810" i="94"/>
  <c r="L891" i="94" s="1"/>
  <c r="JJ810" i="94"/>
  <c r="L888" i="94" s="1"/>
  <c r="KQ810" i="94"/>
  <c r="J883" i="94" s="1"/>
  <c r="J902" i="94" s="1"/>
  <c r="JK810" i="94"/>
  <c r="M888" i="94" s="1"/>
  <c r="IS810" i="94"/>
  <c r="J893" i="94" s="1"/>
  <c r="LD810" i="94"/>
  <c r="M885" i="94" s="1"/>
  <c r="FZ810" i="94"/>
  <c r="LU810" i="94"/>
  <c r="BU810" i="94"/>
  <c r="J847" i="94" s="1"/>
  <c r="CE810" i="94"/>
  <c r="J845" i="94" s="1"/>
  <c r="KG810" i="94"/>
  <c r="J881" i="94" s="1"/>
  <c r="BD810" i="94"/>
  <c r="M824" i="94" s="1"/>
  <c r="AR810" i="94"/>
  <c r="K822" i="94" s="1"/>
  <c r="DA810" i="94"/>
  <c r="L859" i="94" s="1"/>
  <c r="AS805" i="93"/>
  <c r="AD810" i="94"/>
  <c r="L819" i="94" s="1"/>
  <c r="DG805" i="93"/>
  <c r="M829" i="93" s="1"/>
  <c r="AH805" i="93"/>
  <c r="HQ810" i="94"/>
  <c r="L870" i="94" s="1"/>
  <c r="CP810" i="94"/>
  <c r="K843" i="94" s="1"/>
  <c r="LN810" i="94"/>
  <c r="DD810" i="94"/>
  <c r="J858" i="94" s="1"/>
  <c r="CJ805" i="93"/>
  <c r="IJ805" i="93"/>
  <c r="AQ805" i="93"/>
  <c r="CR805" i="93"/>
  <c r="M873" i="93" s="1"/>
  <c r="LB810" i="94"/>
  <c r="K885" i="94" s="1"/>
  <c r="FV810" i="94"/>
  <c r="DT805" i="93"/>
  <c r="K832" i="93" s="1"/>
  <c r="IW805" i="93"/>
  <c r="BX810" i="94"/>
  <c r="M847" i="94" s="1"/>
  <c r="AK805" i="93"/>
  <c r="HL805" i="93"/>
  <c r="L848" i="93" s="1"/>
  <c r="L865" i="93" s="1"/>
  <c r="DQ805" i="93"/>
  <c r="FI810" i="94"/>
  <c r="L912" i="94" s="1"/>
  <c r="W805" i="93"/>
  <c r="J813" i="93" s="1"/>
  <c r="ED805" i="93"/>
  <c r="GE810" i="94"/>
  <c r="N917" i="94" s="1"/>
  <c r="FX810" i="94"/>
  <c r="CE805" i="93"/>
  <c r="J871" i="93" s="1"/>
  <c r="CQ805" i="93"/>
  <c r="L873" i="93" s="1"/>
  <c r="EQ810" i="94"/>
  <c r="N908" i="94" s="1"/>
  <c r="DS810" i="94"/>
  <c r="J855" i="94" s="1"/>
  <c r="CW810" i="94"/>
  <c r="M860" i="94" s="1"/>
  <c r="DW805" i="93"/>
  <c r="N832" i="93" s="1"/>
  <c r="BR805" i="93"/>
  <c r="L825" i="93" s="1"/>
  <c r="EY805" i="93"/>
  <c r="EJ810" i="94"/>
  <c r="L907" i="94" s="1"/>
  <c r="Y805" i="93"/>
  <c r="L813" i="93" s="1"/>
  <c r="AB805" i="93"/>
  <c r="J814" i="93" s="1"/>
  <c r="EM810" i="94"/>
  <c r="J908" i="94" s="1"/>
  <c r="FR805" i="93"/>
  <c r="K859" i="93" s="1"/>
  <c r="AV805" i="93"/>
  <c r="J822" i="93" s="1"/>
  <c r="AY805" i="93"/>
  <c r="M822" i="93" s="1"/>
  <c r="GG805" i="93"/>
  <c r="K854" i="93" s="1"/>
  <c r="HO810" i="94"/>
  <c r="J870" i="94" s="1"/>
  <c r="LR810" i="94"/>
  <c r="GZ810" i="94"/>
  <c r="J867" i="94" s="1"/>
  <c r="IN805" i="93"/>
  <c r="EO805" i="93"/>
  <c r="L836" i="93" s="1"/>
  <c r="IQ805" i="93"/>
  <c r="DK805" i="93"/>
  <c r="L830" i="93" s="1"/>
  <c r="L831" i="93" s="1"/>
  <c r="EU810" i="94"/>
  <c r="M909" i="94" s="1"/>
  <c r="AO805" i="93"/>
  <c r="M816" i="93" s="1"/>
  <c r="AN805" i="93"/>
  <c r="L816" i="93" s="1"/>
  <c r="EC805" i="93"/>
  <c r="EY810" i="94"/>
  <c r="L910" i="94" s="1"/>
  <c r="CC805" i="93"/>
  <c r="M870" i="93" s="1"/>
  <c r="CG805" i="93"/>
  <c r="L871" i="93" s="1"/>
  <c r="JB805" i="93"/>
  <c r="HE810" i="94"/>
  <c r="BO805" i="93"/>
  <c r="N826" i="93" s="1"/>
  <c r="IY805" i="93"/>
  <c r="EN810" i="94"/>
  <c r="K908" i="94" s="1"/>
  <c r="FK810" i="94"/>
  <c r="N912" i="94" s="1"/>
  <c r="CN805" i="93"/>
  <c r="EC810" i="94"/>
  <c r="J828" i="94" s="1"/>
  <c r="AX805" i="93"/>
  <c r="L822" i="93" s="1"/>
  <c r="BZ805" i="93"/>
  <c r="J870" i="93" s="1"/>
  <c r="IL805" i="93"/>
  <c r="BT805" i="93"/>
  <c r="N825" i="93" s="1"/>
  <c r="ER805" i="93"/>
  <c r="BM810" i="94"/>
  <c r="L849" i="94" s="1"/>
  <c r="AA810" i="94"/>
  <c r="N818" i="94" s="1"/>
  <c r="EK810" i="94"/>
  <c r="M907" i="94" s="1"/>
  <c r="HW810" i="94"/>
  <c r="AL805" i="93"/>
  <c r="J816" i="93" s="1"/>
  <c r="EE805" i="93"/>
  <c r="AM805" i="93"/>
  <c r="K816" i="93" s="1"/>
  <c r="BQ810" i="94"/>
  <c r="K848" i="94" s="1"/>
  <c r="BE810" i="94"/>
  <c r="N824" i="94" s="1"/>
  <c r="EP810" i="94"/>
  <c r="M908" i="94" s="1"/>
  <c r="BP810" i="94"/>
  <c r="J848" i="94" s="1"/>
  <c r="O97" i="75"/>
  <c r="CI805" i="93"/>
  <c r="N871" i="93" s="1"/>
  <c r="IS805" i="93"/>
  <c r="CF805" i="93"/>
  <c r="K871" i="93" s="1"/>
  <c r="K872" i="93" s="1"/>
  <c r="K874" i="93" s="1"/>
  <c r="IF805" i="93"/>
  <c r="JO805" i="93"/>
  <c r="GJ805" i="93"/>
  <c r="N854" i="93" s="1"/>
  <c r="GL810" i="94"/>
  <c r="K864" i="94" s="1"/>
  <c r="DW810" i="94"/>
  <c r="N855" i="94" s="1"/>
  <c r="HN810" i="94"/>
  <c r="N869" i="94" s="1"/>
  <c r="EH810" i="94"/>
  <c r="J907" i="94" s="1"/>
  <c r="FP810" i="94"/>
  <c r="N913" i="94" s="1"/>
  <c r="ES810" i="94"/>
  <c r="K909" i="94" s="1"/>
  <c r="CB805" i="93"/>
  <c r="L870" i="93" s="1"/>
  <c r="CD810" i="94"/>
  <c r="N846" i="94" s="1"/>
  <c r="EV810" i="94"/>
  <c r="N909" i="94" s="1"/>
  <c r="MC810" i="94"/>
  <c r="DM805" i="93"/>
  <c r="N830" i="93" s="1"/>
  <c r="IE810" i="94"/>
  <c r="K886" i="94" s="1"/>
  <c r="K58" i="73"/>
  <c r="LT810" i="94"/>
  <c r="LJ810" i="94"/>
  <c r="LF810" i="94"/>
  <c r="CQ810" i="94"/>
  <c r="L843" i="94" s="1"/>
  <c r="GJ810" i="94"/>
  <c r="N863" i="94" s="1"/>
  <c r="LO810" i="94"/>
  <c r="JF810" i="94"/>
  <c r="M891" i="94" s="1"/>
  <c r="JX810" i="94"/>
  <c r="K879" i="94" s="1"/>
  <c r="GD810" i="94"/>
  <c r="M917" i="94" s="1"/>
  <c r="AQ810" i="94"/>
  <c r="J822" i="94" s="1"/>
  <c r="BW810" i="94"/>
  <c r="L847" i="94" s="1"/>
  <c r="GF810" i="94"/>
  <c r="J863" i="94" s="1"/>
  <c r="DE810" i="94"/>
  <c r="K858" i="94" s="1"/>
  <c r="HI810" i="94"/>
  <c r="CC810" i="94"/>
  <c r="M846" i="94" s="1"/>
  <c r="IM805" i="93"/>
  <c r="EA810" i="94"/>
  <c r="M854" i="94" s="1"/>
  <c r="K1153" i="93"/>
  <c r="M1153" i="93" s="1"/>
  <c r="JV810" i="94"/>
  <c r="N878" i="94" s="1"/>
  <c r="FY810" i="94"/>
  <c r="IC805" i="93"/>
  <c r="N851" i="93" s="1"/>
  <c r="N868" i="93" s="1"/>
  <c r="C139" i="90"/>
  <c r="B5" i="92"/>
  <c r="J568" i="93"/>
  <c r="J585" i="93" s="1"/>
  <c r="J587" i="93" s="1"/>
  <c r="J589" i="93" s="1"/>
  <c r="E483" i="94"/>
  <c r="HH810" i="94"/>
  <c r="D1009" i="93"/>
  <c r="E19" i="87"/>
  <c r="Z810" i="94"/>
  <c r="M818" i="94" s="1"/>
  <c r="D1041" i="94"/>
  <c r="D980" i="93"/>
  <c r="D988" i="93" s="1"/>
  <c r="D34" i="74"/>
  <c r="D1049" i="94" s="1"/>
  <c r="E30" i="74"/>
  <c r="D1045" i="94"/>
  <c r="D53" i="82"/>
  <c r="D984" i="93"/>
  <c r="I1042" i="94"/>
  <c r="I981" i="93"/>
  <c r="I989" i="93" s="1"/>
  <c r="I35" i="74"/>
  <c r="I1050" i="94" s="1"/>
  <c r="C1042" i="94"/>
  <c r="C981" i="93"/>
  <c r="C989" i="93" s="1"/>
  <c r="C35" i="74"/>
  <c r="C1050" i="94" s="1"/>
  <c r="D978" i="93"/>
  <c r="FK805" i="93"/>
  <c r="N853" i="93" s="1"/>
  <c r="AY810" i="94"/>
  <c r="M823" i="94" s="1"/>
  <c r="B1042" i="94"/>
  <c r="B35" i="74"/>
  <c r="B1050" i="94" s="1"/>
  <c r="B981" i="93"/>
  <c r="B989" i="93" s="1"/>
  <c r="G1042" i="94"/>
  <c r="G981" i="93"/>
  <c r="G989" i="93" s="1"/>
  <c r="G35" i="74"/>
  <c r="G1050" i="94" s="1"/>
  <c r="K26" i="84"/>
  <c r="K33" i="84"/>
  <c r="K29" i="84"/>
  <c r="C36" i="84"/>
  <c r="EV805" i="93"/>
  <c r="D1015" i="93"/>
  <c r="BI810" i="94"/>
  <c r="M826" i="94" s="1"/>
  <c r="D1042" i="94"/>
  <c r="D981" i="93"/>
  <c r="D989" i="93" s="1"/>
  <c r="D35" i="74"/>
  <c r="D1050" i="94" s="1"/>
  <c r="F1042" i="94"/>
  <c r="F981" i="93"/>
  <c r="F989" i="93" s="1"/>
  <c r="F35" i="74"/>
  <c r="F1050" i="94" s="1"/>
  <c r="K1042" i="94"/>
  <c r="K981" i="93"/>
  <c r="K989" i="93" s="1"/>
  <c r="K35" i="74"/>
  <c r="K1050" i="94" s="1"/>
  <c r="G976" i="93"/>
  <c r="G972" i="93"/>
  <c r="CD805" i="93"/>
  <c r="N870" i="93" s="1"/>
  <c r="N872" i="93" s="1"/>
  <c r="N874" i="93" s="1"/>
  <c r="N876" i="93" s="1"/>
  <c r="IZ810" i="94"/>
  <c r="L890" i="94" s="1"/>
  <c r="L897" i="94" s="1"/>
  <c r="H1042" i="94"/>
  <c r="H981" i="93"/>
  <c r="H989" i="93" s="1"/>
  <c r="H35" i="74"/>
  <c r="H1050" i="94" s="1"/>
  <c r="J1042" i="94"/>
  <c r="J35" i="74"/>
  <c r="J1050" i="94" s="1"/>
  <c r="J981" i="93"/>
  <c r="J989" i="93" s="1"/>
  <c r="D1070" i="94"/>
  <c r="E1060" i="94"/>
  <c r="H976" i="93"/>
  <c r="H972" i="93"/>
  <c r="GI805" i="93"/>
  <c r="M854" i="93" s="1"/>
  <c r="I1041" i="94"/>
  <c r="I34" i="74"/>
  <c r="I1049" i="94" s="1"/>
  <c r="I980" i="93"/>
  <c r="I988" i="93" s="1"/>
  <c r="E23" i="74"/>
  <c r="E1038" i="94" s="1"/>
  <c r="F13" i="74"/>
  <c r="MS810" i="94"/>
  <c r="AL810" i="94"/>
  <c r="J821" i="94" s="1"/>
  <c r="O1984" i="94"/>
  <c r="Q1984" i="94" s="1"/>
  <c r="Q336" i="72"/>
  <c r="E1041" i="94"/>
  <c r="E34" i="74"/>
  <c r="E1049" i="94" s="1"/>
  <c r="E980" i="93"/>
  <c r="E988" i="93" s="1"/>
  <c r="I977" i="93"/>
  <c r="I975" i="93"/>
  <c r="I971" i="93"/>
  <c r="I970" i="93"/>
  <c r="J969" i="93"/>
  <c r="E474" i="93"/>
  <c r="G470" i="93" s="1"/>
  <c r="E978" i="93"/>
  <c r="AX810" i="94"/>
  <c r="L823" i="94" s="1"/>
  <c r="EF810" i="94"/>
  <c r="M828" i="94" s="1"/>
  <c r="O828" i="94" s="1"/>
  <c r="O1927" i="94"/>
  <c r="O1826" i="93"/>
  <c r="O329" i="72"/>
  <c r="LX810" i="94"/>
  <c r="KP810" i="94"/>
  <c r="N882" i="94" s="1"/>
  <c r="N901" i="94" s="1"/>
  <c r="H1041" i="94"/>
  <c r="H34" i="74"/>
  <c r="H1049" i="94" s="1"/>
  <c r="H980" i="93"/>
  <c r="H988" i="93" s="1"/>
  <c r="E1042" i="94"/>
  <c r="E981" i="93"/>
  <c r="E989" i="93" s="1"/>
  <c r="E35" i="74"/>
  <c r="E1050" i="94" s="1"/>
  <c r="L235" i="72"/>
  <c r="P1707" i="93"/>
  <c r="JD810" i="94"/>
  <c r="K891" i="94" s="1"/>
  <c r="FS805" i="93"/>
  <c r="L859" i="93" s="1"/>
  <c r="JL810" i="94"/>
  <c r="N888" i="94" s="1"/>
  <c r="GS805" i="93"/>
  <c r="M844" i="93" s="1"/>
  <c r="MG810" i="94"/>
  <c r="GU810" i="94"/>
  <c r="J866" i="94" s="1"/>
  <c r="M138" i="75"/>
  <c r="K1145" i="93" s="1"/>
  <c r="M1145" i="93" s="1"/>
  <c r="KH810" i="94"/>
  <c r="K881" i="94" s="1"/>
  <c r="JQ810" i="94"/>
  <c r="N889" i="94" s="1"/>
  <c r="KA810" i="94"/>
  <c r="N879" i="94" s="1"/>
  <c r="IQ810" i="94"/>
  <c r="M892" i="94" s="1"/>
  <c r="II810" i="94"/>
  <c r="J887" i="94" s="1"/>
  <c r="BZ810" i="94"/>
  <c r="J846" i="94" s="1"/>
  <c r="CY810" i="94"/>
  <c r="J859" i="94" s="1"/>
  <c r="HF810" i="94"/>
  <c r="R772" i="94"/>
  <c r="R767" i="93"/>
  <c r="DA805" i="93"/>
  <c r="L875" i="93" s="1"/>
  <c r="BG810" i="94"/>
  <c r="K826" i="94" s="1"/>
  <c r="LS810" i="94"/>
  <c r="CA810" i="94"/>
  <c r="K846" i="94" s="1"/>
  <c r="BX805" i="93"/>
  <c r="M818" i="93" s="1"/>
  <c r="O818" i="93" s="1"/>
  <c r="M1217" i="94"/>
  <c r="FA805" i="93"/>
  <c r="JM805" i="93"/>
  <c r="KS810" i="94"/>
  <c r="L883" i="94" s="1"/>
  <c r="L902" i="94" s="1"/>
  <c r="EK805" i="93"/>
  <c r="M835" i="93" s="1"/>
  <c r="M837" i="93" s="1"/>
  <c r="DZ810" i="94"/>
  <c r="L854" i="94" s="1"/>
  <c r="FC810" i="94"/>
  <c r="K911" i="94" s="1"/>
  <c r="JJ805" i="93"/>
  <c r="K59" i="73"/>
  <c r="N59" i="73" s="1"/>
  <c r="GI810" i="94"/>
  <c r="M863" i="94" s="1"/>
  <c r="DE805" i="93"/>
  <c r="K829" i="93" s="1"/>
  <c r="GL805" i="93"/>
  <c r="K855" i="93" s="1"/>
  <c r="CZ805" i="93"/>
  <c r="K875" i="93" s="1"/>
  <c r="JM810" i="94"/>
  <c r="J889" i="94" s="1"/>
  <c r="IG810" i="94"/>
  <c r="M886" i="94" s="1"/>
  <c r="IC810" i="94"/>
  <c r="FL810" i="94"/>
  <c r="J913" i="94" s="1"/>
  <c r="DI810" i="94"/>
  <c r="J857" i="94" s="1"/>
  <c r="IB810" i="94"/>
  <c r="DM810" i="94"/>
  <c r="N857" i="94" s="1"/>
  <c r="EW805" i="93"/>
  <c r="KJ810" i="94"/>
  <c r="M881" i="94" s="1"/>
  <c r="M904" i="94" s="1"/>
  <c r="IT805" i="93"/>
  <c r="K138" i="75"/>
  <c r="K49" i="73" s="1"/>
  <c r="FQ805" i="93"/>
  <c r="J859" i="93" s="1"/>
  <c r="IA810" i="94"/>
  <c r="GD805" i="93"/>
  <c r="M857" i="93" s="1"/>
  <c r="EZ805" i="93"/>
  <c r="FT805" i="93"/>
  <c r="M859" i="93" s="1"/>
  <c r="KR810" i="94"/>
  <c r="K883" i="94" s="1"/>
  <c r="K902" i="94" s="1"/>
  <c r="KE810" i="94"/>
  <c r="M880" i="94" s="1"/>
  <c r="HW805" i="93"/>
  <c r="M850" i="93" s="1"/>
  <c r="HJ805" i="93"/>
  <c r="J848" i="93" s="1"/>
  <c r="J865" i="93" s="1"/>
  <c r="J142" i="75"/>
  <c r="K1220" i="94" s="1"/>
  <c r="N1220" i="94" s="1"/>
  <c r="ME810" i="94"/>
  <c r="LC810" i="94"/>
  <c r="L885" i="94" s="1"/>
  <c r="MN810" i="94"/>
  <c r="JS810" i="94"/>
  <c r="K878" i="94" s="1"/>
  <c r="L141" i="75"/>
  <c r="F1222" i="94" s="1"/>
  <c r="FH805" i="93"/>
  <c r="K853" i="93" s="1"/>
  <c r="GV805" i="93"/>
  <c r="K845" i="93" s="1"/>
  <c r="MK810" i="94"/>
  <c r="FB805" i="93"/>
  <c r="J852" i="93" s="1"/>
  <c r="FU805" i="93"/>
  <c r="N859" i="93" s="1"/>
  <c r="IH810" i="94"/>
  <c r="N886" i="94" s="1"/>
  <c r="KM810" i="94"/>
  <c r="K882" i="94" s="1"/>
  <c r="K901" i="94" s="1"/>
  <c r="F57" i="73"/>
  <c r="H57" i="73" s="1"/>
  <c r="JG805" i="93"/>
  <c r="JR810" i="94"/>
  <c r="J878" i="94" s="1"/>
  <c r="JE805" i="93"/>
  <c r="FN805" i="93"/>
  <c r="L858" i="93" s="1"/>
  <c r="JL805" i="93"/>
  <c r="G577" i="94"/>
  <c r="F34" i="86"/>
  <c r="G34" i="86"/>
  <c r="F1015" i="93"/>
  <c r="E1015" i="93"/>
  <c r="I34" i="86"/>
  <c r="L410" i="94"/>
  <c r="G985" i="93"/>
  <c r="G1046" i="94"/>
  <c r="H14" i="86"/>
  <c r="I14" i="86"/>
  <c r="H985" i="93"/>
  <c r="H1046" i="94"/>
  <c r="E1046" i="94"/>
  <c r="F14" i="86"/>
  <c r="E985" i="93"/>
  <c r="G14" i="86"/>
  <c r="F1046" i="94"/>
  <c r="F985" i="93"/>
  <c r="C985" i="93"/>
  <c r="D14" i="86"/>
  <c r="C1046" i="94"/>
  <c r="E14" i="86"/>
  <c r="D985" i="93"/>
  <c r="D1046" i="94"/>
  <c r="I1046" i="94"/>
  <c r="I985" i="93"/>
  <c r="C34" i="86"/>
  <c r="J985" i="93"/>
  <c r="D34" i="86"/>
  <c r="J1046" i="94"/>
  <c r="R38" i="74"/>
  <c r="R27" i="74"/>
  <c r="R32" i="74"/>
  <c r="R35" i="74"/>
  <c r="R37" i="74"/>
  <c r="R20" i="74"/>
  <c r="B43" i="74"/>
  <c r="C43" i="74" s="1"/>
  <c r="R26" i="74"/>
  <c r="R24" i="74"/>
  <c r="R30" i="74"/>
  <c r="R40" i="74"/>
  <c r="R21" i="74"/>
  <c r="R29" i="74"/>
  <c r="R22" i="74"/>
  <c r="R31" i="74"/>
  <c r="R39" i="74"/>
  <c r="R25" i="74"/>
  <c r="R34" i="74"/>
  <c r="R28" i="74"/>
  <c r="B1046" i="94"/>
  <c r="C14" i="86"/>
  <c r="R33" i="74"/>
  <c r="R36" i="74"/>
  <c r="B985" i="93"/>
  <c r="O1964" i="94"/>
  <c r="O1857" i="93"/>
  <c r="E16" i="72"/>
  <c r="O1954" i="94"/>
  <c r="O1848" i="93"/>
  <c r="R18" i="75"/>
  <c r="R17" i="75"/>
  <c r="R20" i="75"/>
  <c r="R19" i="75"/>
  <c r="E32" i="87"/>
  <c r="F1039" i="93"/>
  <c r="K1039" i="93"/>
  <c r="C1067" i="93"/>
  <c r="B1067" i="93"/>
  <c r="E28" i="87"/>
  <c r="B1039" i="93"/>
  <c r="D1067" i="93"/>
  <c r="E30" i="87"/>
  <c r="D1039" i="93"/>
  <c r="H1039" i="93"/>
  <c r="C1039" i="93"/>
  <c r="E29" i="87"/>
  <c r="J65" i="82"/>
  <c r="E1039" i="93"/>
  <c r="C1009" i="93"/>
  <c r="I1009" i="93"/>
  <c r="E25" i="87"/>
  <c r="F1067" i="93"/>
  <c r="F65" i="82"/>
  <c r="E22" i="87"/>
  <c r="F1009" i="93"/>
  <c r="E18" i="87"/>
  <c r="B65" i="82"/>
  <c r="G1039" i="93"/>
  <c r="E20" i="87"/>
  <c r="G1009" i="93"/>
  <c r="G65" i="82"/>
  <c r="E23" i="87"/>
  <c r="J1039" i="93"/>
  <c r="K65" i="82"/>
  <c r="H1009" i="93"/>
  <c r="E24" i="87"/>
  <c r="H65" i="82"/>
  <c r="E65" i="82"/>
  <c r="GW805" i="93"/>
  <c r="L845" i="93" s="1"/>
  <c r="FL805" i="93"/>
  <c r="J858" i="93" s="1"/>
  <c r="HV805" i="93"/>
  <c r="L850" i="93" s="1"/>
  <c r="GR805" i="93"/>
  <c r="L844" i="93" s="1"/>
  <c r="GM805" i="93"/>
  <c r="L855" i="93" s="1"/>
  <c r="HX805" i="93"/>
  <c r="N850" i="93" s="1"/>
  <c r="FD805" i="93"/>
  <c r="L852" i="93" s="1"/>
  <c r="GK805" i="93"/>
  <c r="J855" i="93" s="1"/>
  <c r="K1216" i="94"/>
  <c r="M1216" i="94" s="1"/>
  <c r="HH805" i="93"/>
  <c r="M847" i="93" s="1"/>
  <c r="K142" i="75"/>
  <c r="K1157" i="93" s="1"/>
  <c r="FM805" i="93"/>
  <c r="K858" i="93" s="1"/>
  <c r="K861" i="93" s="1"/>
  <c r="K1215" i="94"/>
  <c r="M1215" i="94" s="1"/>
  <c r="ID810" i="94"/>
  <c r="J886" i="94" s="1"/>
  <c r="KL810" i="94"/>
  <c r="J882" i="94" s="1"/>
  <c r="J901" i="94" s="1"/>
  <c r="J136" i="75"/>
  <c r="K41" i="73" s="1"/>
  <c r="N41" i="73" s="1"/>
  <c r="M1152" i="93"/>
  <c r="MQ810" i="94"/>
  <c r="KV810" i="94"/>
  <c r="J884" i="94" s="1"/>
  <c r="J903" i="94" s="1"/>
  <c r="IL810" i="94"/>
  <c r="M887" i="94" s="1"/>
  <c r="IW810" i="94"/>
  <c r="N893" i="94" s="1"/>
  <c r="K1213" i="94"/>
  <c r="N1213" i="94" s="1"/>
  <c r="KW810" i="94"/>
  <c r="K884" i="94" s="1"/>
  <c r="K903" i="94" s="1"/>
  <c r="JB810" i="94"/>
  <c r="N890" i="94" s="1"/>
  <c r="JO810" i="94"/>
  <c r="L889" i="94" s="1"/>
  <c r="JH810" i="94"/>
  <c r="J888" i="94" s="1"/>
  <c r="GU805" i="93"/>
  <c r="J845" i="93" s="1"/>
  <c r="N138" i="75"/>
  <c r="K52" i="73" s="1"/>
  <c r="M52" i="73" s="1"/>
  <c r="N55" i="73"/>
  <c r="L142" i="75"/>
  <c r="K64" i="73" s="1"/>
  <c r="IV810" i="94"/>
  <c r="M893" i="94" s="1"/>
  <c r="FE805" i="93"/>
  <c r="M852" i="93" s="1"/>
  <c r="K1149" i="93"/>
  <c r="M1149" i="93" s="1"/>
  <c r="HY805" i="93"/>
  <c r="J851" i="93" s="1"/>
  <c r="M142" i="75"/>
  <c r="K65" i="73" s="1"/>
  <c r="N65" i="73" s="1"/>
  <c r="FZ805" i="93"/>
  <c r="N856" i="93" s="1"/>
  <c r="KF810" i="94"/>
  <c r="N880" i="94" s="1"/>
  <c r="FY805" i="93"/>
  <c r="M856" i="93" s="1"/>
  <c r="HS805" i="93"/>
  <c r="N849" i="93" s="1"/>
  <c r="N866" i="93" s="1"/>
  <c r="IY810" i="94"/>
  <c r="K890" i="94" s="1"/>
  <c r="KZ810" i="94"/>
  <c r="N884" i="94" s="1"/>
  <c r="MH810" i="94"/>
  <c r="IO810" i="94"/>
  <c r="K892" i="94" s="1"/>
  <c r="KD810" i="94"/>
  <c r="L880" i="94" s="1"/>
  <c r="L903" i="94" s="1"/>
  <c r="HK805" i="93"/>
  <c r="K848" i="93" s="1"/>
  <c r="K865" i="93" s="1"/>
  <c r="GT805" i="93"/>
  <c r="N844" i="93" s="1"/>
  <c r="GZ805" i="93"/>
  <c r="J846" i="93" s="1"/>
  <c r="GQ805" i="93"/>
  <c r="K844" i="93" s="1"/>
  <c r="FO805" i="93"/>
  <c r="M858" i="93" s="1"/>
  <c r="GE805" i="93"/>
  <c r="N857" i="93" s="1"/>
  <c r="GN805" i="93"/>
  <c r="M855" i="93" s="1"/>
  <c r="FI805" i="93"/>
  <c r="L853" i="93" s="1"/>
  <c r="KT810" i="94"/>
  <c r="M883" i="94" s="1"/>
  <c r="M902" i="94" s="1"/>
  <c r="JC810" i="94"/>
  <c r="J891" i="94" s="1"/>
  <c r="J898" i="94" s="1"/>
  <c r="KY810" i="94"/>
  <c r="M884" i="94" s="1"/>
  <c r="IN810" i="94"/>
  <c r="J892" i="94" s="1"/>
  <c r="IJ810" i="94"/>
  <c r="K887" i="94" s="1"/>
  <c r="KN810" i="94"/>
  <c r="L882" i="94" s="1"/>
  <c r="L901" i="94" s="1"/>
  <c r="IR810" i="94"/>
  <c r="N892" i="94" s="1"/>
  <c r="JZ810" i="94"/>
  <c r="M879" i="94" s="1"/>
  <c r="IM810" i="94"/>
  <c r="N887" i="94" s="1"/>
  <c r="P237" i="75"/>
  <c r="HZ805" i="93"/>
  <c r="K851" i="93" s="1"/>
  <c r="HN805" i="93"/>
  <c r="N848" i="93" s="1"/>
  <c r="N865" i="93" s="1"/>
  <c r="HC805" i="93"/>
  <c r="M846" i="93" s="1"/>
  <c r="MI810" i="94"/>
  <c r="JW810" i="94"/>
  <c r="J879" i="94" s="1"/>
  <c r="KO810" i="94"/>
  <c r="M882" i="94" s="1"/>
  <c r="M901" i="94" s="1"/>
  <c r="LA810" i="94"/>
  <c r="J885" i="94" s="1"/>
  <c r="J904" i="94" s="1"/>
  <c r="FP805" i="93"/>
  <c r="N858" i="93" s="1"/>
  <c r="GS810" i="94"/>
  <c r="HG810" i="94"/>
  <c r="N103" i="75"/>
  <c r="LV810" i="94"/>
  <c r="DL805" i="93"/>
  <c r="M830" i="93" s="1"/>
  <c r="HD810" i="94"/>
  <c r="N867" i="94" s="1"/>
  <c r="DU805" i="93"/>
  <c r="L832" i="93" s="1"/>
  <c r="HJ810" i="94"/>
  <c r="J869" i="94" s="1"/>
  <c r="EM805" i="93"/>
  <c r="J836" i="93" s="1"/>
  <c r="DJ805" i="93"/>
  <c r="K830" i="93" s="1"/>
  <c r="EI805" i="93"/>
  <c r="K835" i="93" s="1"/>
  <c r="EL805" i="93"/>
  <c r="N835" i="93" s="1"/>
  <c r="N837" i="93" s="1"/>
  <c r="EF805" i="93"/>
  <c r="GP810" i="94"/>
  <c r="EJ805" i="93"/>
  <c r="L835" i="93" s="1"/>
  <c r="HB810" i="94"/>
  <c r="L867" i="94" s="1"/>
  <c r="GX810" i="94"/>
  <c r="M866" i="94" s="1"/>
  <c r="HX810" i="94"/>
  <c r="GN810" i="94"/>
  <c r="M864" i="94" s="1"/>
  <c r="MD810" i="94"/>
  <c r="MJ810" i="94"/>
  <c r="MF810" i="94"/>
  <c r="JF805" i="93"/>
  <c r="FF805" i="93"/>
  <c r="N852" i="93" s="1"/>
  <c r="IB805" i="93"/>
  <c r="M851" i="93" s="1"/>
  <c r="K1151" i="93"/>
  <c r="N1151" i="93" s="1"/>
  <c r="HO805" i="93"/>
  <c r="J849" i="93" s="1"/>
  <c r="J866" i="93" s="1"/>
  <c r="JC805" i="93"/>
  <c r="HD805" i="93"/>
  <c r="N846" i="93" s="1"/>
  <c r="HF805" i="93"/>
  <c r="K847" i="93" s="1"/>
  <c r="HM805" i="93"/>
  <c r="M848" i="93" s="1"/>
  <c r="M865" i="93" s="1"/>
  <c r="JP805" i="93"/>
  <c r="HB805" i="93"/>
  <c r="L846" i="93" s="1"/>
  <c r="GA805" i="93"/>
  <c r="J857" i="93" s="1"/>
  <c r="FX805" i="93"/>
  <c r="L856" i="93" s="1"/>
  <c r="FG805" i="93"/>
  <c r="J853" i="93" s="1"/>
  <c r="GX805" i="93"/>
  <c r="M845" i="93" s="1"/>
  <c r="FJ805" i="93"/>
  <c r="M853" i="93" s="1"/>
  <c r="JN805" i="93"/>
  <c r="GO805" i="93"/>
  <c r="N855" i="93" s="1"/>
  <c r="N864" i="93" s="1"/>
  <c r="IA805" i="93"/>
  <c r="L851" i="93" s="1"/>
  <c r="L136" i="75"/>
  <c r="K1201" i="94" s="1"/>
  <c r="KU810" i="94"/>
  <c r="N883" i="94" s="1"/>
  <c r="N902" i="94" s="1"/>
  <c r="JN810" i="94"/>
  <c r="K889" i="94" s="1"/>
  <c r="MP810" i="94"/>
  <c r="HY810" i="94"/>
  <c r="O119" i="75"/>
  <c r="JI810" i="94"/>
  <c r="K888" i="94" s="1"/>
  <c r="IK810" i="94"/>
  <c r="L887" i="94" s="1"/>
  <c r="L898" i="94" s="1"/>
  <c r="KI810" i="94"/>
  <c r="L881" i="94" s="1"/>
  <c r="KK810" i="94"/>
  <c r="N881" i="94" s="1"/>
  <c r="N904" i="94" s="1"/>
  <c r="ML810" i="94"/>
  <c r="JU810" i="94"/>
  <c r="M878" i="94" s="1"/>
  <c r="HZ810" i="94"/>
  <c r="N136" i="75"/>
  <c r="K1139" i="93" s="1"/>
  <c r="M1139" i="93" s="1"/>
  <c r="O121" i="75"/>
  <c r="M137" i="75"/>
  <c r="F1145" i="93" s="1"/>
  <c r="EX805" i="93"/>
  <c r="O235" i="75"/>
  <c r="M136" i="75"/>
  <c r="K44" i="73" s="1"/>
  <c r="F1215" i="94"/>
  <c r="N137" i="75"/>
  <c r="F52" i="73" s="1"/>
  <c r="AI805" i="93"/>
  <c r="JA805" i="93"/>
  <c r="BC805" i="93"/>
  <c r="L821" i="93" s="1"/>
  <c r="GB810" i="94"/>
  <c r="K917" i="94" s="1"/>
  <c r="O917" i="94" s="1"/>
  <c r="ET805" i="93"/>
  <c r="FH810" i="94"/>
  <c r="K912" i="94" s="1"/>
  <c r="DO805" i="93"/>
  <c r="AC810" i="94"/>
  <c r="K819" i="94" s="1"/>
  <c r="LY810" i="94"/>
  <c r="IO805" i="93"/>
  <c r="LZ810" i="94"/>
  <c r="HP810" i="94"/>
  <c r="K870" i="94" s="1"/>
  <c r="FN810" i="94"/>
  <c r="L913" i="94" s="1"/>
  <c r="LW810" i="94"/>
  <c r="O104" i="75"/>
  <c r="EA805" i="93"/>
  <c r="M833" i="93" s="1"/>
  <c r="O833" i="93" s="1"/>
  <c r="DR805" i="93"/>
  <c r="CH805" i="93"/>
  <c r="M871" i="93" s="1"/>
  <c r="DN805" i="93"/>
  <c r="AA805" i="93"/>
  <c r="N813" i="93" s="1"/>
  <c r="EG805" i="93"/>
  <c r="N834" i="93" s="1"/>
  <c r="CY805" i="93"/>
  <c r="J875" i="93" s="1"/>
  <c r="FR810" i="94"/>
  <c r="K915" i="94" s="1"/>
  <c r="AJ805" i="93"/>
  <c r="DH805" i="93"/>
  <c r="N829" i="93" s="1"/>
  <c r="IZ805" i="93"/>
  <c r="DS805" i="93"/>
  <c r="J832" i="93" s="1"/>
  <c r="J109" i="75"/>
  <c r="BE805" i="93"/>
  <c r="N821" i="93" s="1"/>
  <c r="N823" i="93" s="1"/>
  <c r="DI805" i="93"/>
  <c r="J830" i="93" s="1"/>
  <c r="BI805" i="93"/>
  <c r="CL805" i="93"/>
  <c r="X805" i="93"/>
  <c r="K813" i="93" s="1"/>
  <c r="K815" i="93" s="1"/>
  <c r="K817" i="93" s="1"/>
  <c r="K819" i="93" s="1"/>
  <c r="CM805" i="93"/>
  <c r="AG810" i="94"/>
  <c r="J820" i="94" s="1"/>
  <c r="M103" i="75"/>
  <c r="K823" i="93"/>
  <c r="O95" i="75"/>
  <c r="BM805" i="93"/>
  <c r="L826" i="93" s="1"/>
  <c r="L106" i="75"/>
  <c r="L48" i="75"/>
  <c r="L49" i="75" s="1"/>
  <c r="B970" i="93" s="1"/>
  <c r="L805" i="93"/>
  <c r="L806" i="93" s="1"/>
  <c r="L810" i="94"/>
  <c r="L811" i="94" s="1"/>
  <c r="FE810" i="94"/>
  <c r="M911" i="94" s="1"/>
  <c r="CK805" i="93"/>
  <c r="K103" i="75"/>
  <c r="L103" i="75"/>
  <c r="L135" i="75"/>
  <c r="F43" i="73" s="1"/>
  <c r="J141" i="75"/>
  <c r="F62" i="73" s="1"/>
  <c r="K113" i="75"/>
  <c r="O155" i="75"/>
  <c r="P71" i="66" s="1"/>
  <c r="DP810" i="94"/>
  <c r="L856" i="94" s="1"/>
  <c r="AU810" i="94"/>
  <c r="N822" i="94" s="1"/>
  <c r="K827" i="93"/>
  <c r="HU810" i="94"/>
  <c r="K99" i="75"/>
  <c r="J137" i="75"/>
  <c r="F1206" i="94" s="1"/>
  <c r="P235" i="75"/>
  <c r="AP810" i="94"/>
  <c r="N821" i="94" s="1"/>
  <c r="CM810" i="94"/>
  <c r="M844" i="94" s="1"/>
  <c r="GW810" i="94"/>
  <c r="L866" i="94" s="1"/>
  <c r="GH810" i="94"/>
  <c r="L863" i="94" s="1"/>
  <c r="EL810" i="94"/>
  <c r="N907" i="94" s="1"/>
  <c r="CO810" i="94"/>
  <c r="J843" i="94" s="1"/>
  <c r="DO810" i="94"/>
  <c r="K856" i="94" s="1"/>
  <c r="DG810" i="94"/>
  <c r="M858" i="94" s="1"/>
  <c r="DV805" i="93"/>
  <c r="M832" i="93" s="1"/>
  <c r="BF805" i="93"/>
  <c r="IK805" i="93"/>
  <c r="LG810" i="94"/>
  <c r="EH805" i="93"/>
  <c r="J835" i="93" s="1"/>
  <c r="HA805" i="93"/>
  <c r="K846" i="93" s="1"/>
  <c r="K867" i="93" s="1"/>
  <c r="GK810" i="94"/>
  <c r="J864" i="94" s="1"/>
  <c r="DB810" i="94"/>
  <c r="M859" i="94" s="1"/>
  <c r="LL810" i="94"/>
  <c r="EB810" i="94"/>
  <c r="N854" i="94" s="1"/>
  <c r="CI810" i="94"/>
  <c r="N845" i="94" s="1"/>
  <c r="BP805" i="93"/>
  <c r="J825" i="93" s="1"/>
  <c r="EN805" i="93"/>
  <c r="K836" i="93" s="1"/>
  <c r="BK805" i="93"/>
  <c r="J826" i="93" s="1"/>
  <c r="IP805" i="93"/>
  <c r="CX810" i="94"/>
  <c r="N860" i="94" s="1"/>
  <c r="BV810" i="94"/>
  <c r="K847" i="94" s="1"/>
  <c r="BH810" i="94"/>
  <c r="L826" i="94" s="1"/>
  <c r="CV810" i="94"/>
  <c r="L860" i="94" s="1"/>
  <c r="BA805" i="93"/>
  <c r="J821" i="93" s="1"/>
  <c r="J823" i="93" s="1"/>
  <c r="IE805" i="93"/>
  <c r="IH805" i="93"/>
  <c r="AT805" i="93"/>
  <c r="HG805" i="93"/>
  <c r="L847" i="93" s="1"/>
  <c r="O92" i="75"/>
  <c r="JK805" i="93"/>
  <c r="AE805" i="93"/>
  <c r="M814" i="93" s="1"/>
  <c r="A805" i="93"/>
  <c r="A762" i="93" s="1"/>
  <c r="II805" i="93"/>
  <c r="M109" i="75"/>
  <c r="O125" i="75"/>
  <c r="J138" i="75"/>
  <c r="K1206" i="94" s="1"/>
  <c r="O122" i="75"/>
  <c r="K136" i="75"/>
  <c r="K42" i="73" s="1"/>
  <c r="L900" i="94"/>
  <c r="BS805" i="93"/>
  <c r="M825" i="93" s="1"/>
  <c r="M827" i="93" s="1"/>
  <c r="J863" i="93"/>
  <c r="JI805" i="93"/>
  <c r="JD805" i="93"/>
  <c r="A810" i="94"/>
  <c r="A767" i="94" s="1"/>
  <c r="J115" i="75"/>
  <c r="L115" i="75"/>
  <c r="DD805" i="93"/>
  <c r="J829" i="93" s="1"/>
  <c r="GH805" i="93"/>
  <c r="L854" i="93" s="1"/>
  <c r="O129" i="75"/>
  <c r="K135" i="75"/>
  <c r="F42" i="73" s="1"/>
  <c r="HT805" i="93"/>
  <c r="J850" i="93" s="1"/>
  <c r="N113" i="75"/>
  <c r="O102" i="75"/>
  <c r="N135" i="75"/>
  <c r="F1203" i="94" s="1"/>
  <c r="O107" i="75"/>
  <c r="O237" i="75"/>
  <c r="M141" i="75"/>
  <c r="F1223" i="94" s="1"/>
  <c r="O236" i="75"/>
  <c r="L113" i="75"/>
  <c r="K106" i="75"/>
  <c r="O120" i="75"/>
  <c r="DH810" i="94"/>
  <c r="N858" i="94" s="1"/>
  <c r="CL810" i="94"/>
  <c r="L844" i="94" s="1"/>
  <c r="MA810" i="94"/>
  <c r="FU810" i="94"/>
  <c r="N915" i="94" s="1"/>
  <c r="CT810" i="94"/>
  <c r="J860" i="94" s="1"/>
  <c r="GM810" i="94"/>
  <c r="L864" i="94" s="1"/>
  <c r="J103" i="75"/>
  <c r="O108" i="75"/>
  <c r="L138" i="75"/>
  <c r="K50" i="73" s="1"/>
  <c r="P236" i="75"/>
  <c r="O131" i="75"/>
  <c r="BA810" i="94"/>
  <c r="J824" i="94" s="1"/>
  <c r="AE810" i="94"/>
  <c r="M819" i="94" s="1"/>
  <c r="AK810" i="94"/>
  <c r="N820" i="94" s="1"/>
  <c r="X810" i="94"/>
  <c r="K818" i="94" s="1"/>
  <c r="FM810" i="94"/>
  <c r="K913" i="94" s="1"/>
  <c r="LP810" i="94"/>
  <c r="N106" i="75"/>
  <c r="M115" i="75"/>
  <c r="O117" i="75"/>
  <c r="L137" i="75"/>
  <c r="F50" i="73" s="1"/>
  <c r="K115" i="75"/>
  <c r="M135" i="75"/>
  <c r="F1202" i="94" s="1"/>
  <c r="J135" i="75"/>
  <c r="F1135" i="93" s="1"/>
  <c r="CZ810" i="94"/>
  <c r="K859" i="94" s="1"/>
  <c r="MB810" i="94"/>
  <c r="M113" i="75"/>
  <c r="F59" i="73"/>
  <c r="F1217" i="94"/>
  <c r="F1153" i="93"/>
  <c r="FT810" i="94"/>
  <c r="M915" i="94" s="1"/>
  <c r="HR810" i="94"/>
  <c r="M870" i="94" s="1"/>
  <c r="HA810" i="94"/>
  <c r="K867" i="94" s="1"/>
  <c r="DC810" i="94"/>
  <c r="N859" i="94" s="1"/>
  <c r="CF810" i="94"/>
  <c r="K845" i="94" s="1"/>
  <c r="HL810" i="94"/>
  <c r="L869" i="94" s="1"/>
  <c r="N815" i="93"/>
  <c r="N817" i="93" s="1"/>
  <c r="N819" i="93" s="1"/>
  <c r="J106" i="75"/>
  <c r="J113" i="75"/>
  <c r="N142" i="75"/>
  <c r="O127" i="75"/>
  <c r="H1151" i="93"/>
  <c r="I1151" i="93"/>
  <c r="AM810" i="94"/>
  <c r="K821" i="94" s="1"/>
  <c r="GR810" i="94"/>
  <c r="EO810" i="94"/>
  <c r="L908" i="94" s="1"/>
  <c r="O123" i="75"/>
  <c r="BT810" i="94"/>
  <c r="N848" i="94" s="1"/>
  <c r="CJ810" i="94"/>
  <c r="J844" i="94" s="1"/>
  <c r="K141" i="75"/>
  <c r="F1157" i="93" s="1"/>
  <c r="K137" i="75"/>
  <c r="F1207" i="94" s="1"/>
  <c r="O118" i="75"/>
  <c r="O124" i="75"/>
  <c r="O66" i="75"/>
  <c r="H78" i="93" s="1"/>
  <c r="N115" i="75"/>
  <c r="O126" i="75"/>
  <c r="BF810" i="94"/>
  <c r="J826" i="94" s="1"/>
  <c r="N141" i="75"/>
  <c r="F1224" i="94" s="1"/>
  <c r="F55" i="73"/>
  <c r="F1213" i="94"/>
  <c r="F1149" i="93"/>
  <c r="O130" i="75"/>
  <c r="W810" i="94"/>
  <c r="J818" i="94" s="1"/>
  <c r="N109" i="75"/>
  <c r="AI810" i="94"/>
  <c r="L820" i="94" s="1"/>
  <c r="AS810" i="94"/>
  <c r="L822" i="94" s="1"/>
  <c r="O116" i="75"/>
  <c r="F56" i="73"/>
  <c r="F1214" i="94"/>
  <c r="F1150" i="93"/>
  <c r="O128" i="75"/>
  <c r="L899" i="94"/>
  <c r="M57" i="73"/>
  <c r="N57" i="73"/>
  <c r="F58" i="73"/>
  <c r="F1216" i="94"/>
  <c r="O139" i="75"/>
  <c r="F1152" i="93"/>
  <c r="O151" i="75"/>
  <c r="P68" i="66" s="1"/>
  <c r="ES805" i="93"/>
  <c r="N63" i="75"/>
  <c r="N77" i="75" s="1"/>
  <c r="N839" i="94" s="1"/>
  <c r="M99" i="75"/>
  <c r="K109" i="75"/>
  <c r="M106" i="75"/>
  <c r="K56" i="73"/>
  <c r="K1214" i="94"/>
  <c r="K1150" i="93"/>
  <c r="O140" i="75"/>
  <c r="O83" i="75"/>
  <c r="I64" i="66" s="1"/>
  <c r="O149" i="75"/>
  <c r="P89" i="94" s="1"/>
  <c r="O98" i="75"/>
  <c r="J99" i="75"/>
  <c r="BD805" i="93"/>
  <c r="M821" i="93" s="1"/>
  <c r="M823" i="93" s="1"/>
  <c r="L109" i="75"/>
  <c r="M58" i="73"/>
  <c r="N58" i="73"/>
  <c r="L815" i="93"/>
  <c r="L817" i="93" s="1"/>
  <c r="L819" i="93" s="1"/>
  <c r="O85" i="75"/>
  <c r="I89" i="94" s="1"/>
  <c r="O64" i="75"/>
  <c r="P153" i="75" s="1"/>
  <c r="O145" i="75"/>
  <c r="P62" i="66" s="1"/>
  <c r="AT810" i="94"/>
  <c r="M822" i="94" s="1"/>
  <c r="O86" i="75"/>
  <c r="I67" i="66" s="1"/>
  <c r="O57" i="75"/>
  <c r="H86" i="94" s="1"/>
  <c r="O59" i="75"/>
  <c r="H65" i="66" s="1"/>
  <c r="O93" i="75"/>
  <c r="AV810" i="94"/>
  <c r="J823" i="94" s="1"/>
  <c r="O61" i="75"/>
  <c r="H67" i="66" s="1"/>
  <c r="O153" i="75"/>
  <c r="P92" i="94" s="1"/>
  <c r="J63" i="75"/>
  <c r="J77" i="75" s="1"/>
  <c r="J839" i="94" s="1"/>
  <c r="O96" i="75"/>
  <c r="N99" i="75"/>
  <c r="O148" i="75"/>
  <c r="P88" i="94" s="1"/>
  <c r="DJ810" i="94"/>
  <c r="K857" i="94" s="1"/>
  <c r="M63" i="75"/>
  <c r="M72" i="75" s="1"/>
  <c r="M834" i="94" s="1"/>
  <c r="CH810" i="94"/>
  <c r="M845" i="94" s="1"/>
  <c r="HV810" i="94"/>
  <c r="BJ810" i="94"/>
  <c r="N826" i="94" s="1"/>
  <c r="K834" i="93"/>
  <c r="O150" i="75"/>
  <c r="P67" i="66" s="1"/>
  <c r="O82" i="75"/>
  <c r="I63" i="66" s="1"/>
  <c r="M88" i="75"/>
  <c r="AZ810" i="94"/>
  <c r="N823" i="94" s="1"/>
  <c r="EI810" i="94"/>
  <c r="K907" i="94" s="1"/>
  <c r="DL810" i="94"/>
  <c r="M857" i="94" s="1"/>
  <c r="CN810" i="94"/>
  <c r="N844" i="94" s="1"/>
  <c r="HT810" i="94"/>
  <c r="AH810" i="94"/>
  <c r="K820" i="94" s="1"/>
  <c r="FG810" i="94"/>
  <c r="J912" i="94" s="1"/>
  <c r="GY810" i="94"/>
  <c r="N866" i="94" s="1"/>
  <c r="HC810" i="94"/>
  <c r="M867" i="94" s="1"/>
  <c r="BS810" i="94"/>
  <c r="M848" i="94" s="1"/>
  <c r="O105" i="75"/>
  <c r="DN810" i="94"/>
  <c r="J856" i="94" s="1"/>
  <c r="DF810" i="94"/>
  <c r="L858" i="94" s="1"/>
  <c r="BL810" i="94"/>
  <c r="K849" i="94" s="1"/>
  <c r="O58" i="75"/>
  <c r="H87" i="94" s="1"/>
  <c r="L63" i="75"/>
  <c r="L77" i="75" s="1"/>
  <c r="L839" i="94" s="1"/>
  <c r="GT810" i="94"/>
  <c r="GG810" i="94"/>
  <c r="K863" i="94" s="1"/>
  <c r="K865" i="94" s="1"/>
  <c r="AJ810" i="94"/>
  <c r="M820" i="94" s="1"/>
  <c r="O101" i="75"/>
  <c r="CK810" i="94"/>
  <c r="K844" i="94" s="1"/>
  <c r="LI810" i="94"/>
  <c r="O146" i="75"/>
  <c r="P86" i="94" s="1"/>
  <c r="DY810" i="94"/>
  <c r="K854" i="94" s="1"/>
  <c r="FO810" i="94"/>
  <c r="M913" i="94" s="1"/>
  <c r="ER810" i="94"/>
  <c r="J909" i="94" s="1"/>
  <c r="BY810" i="94"/>
  <c r="N847" i="94" s="1"/>
  <c r="HM810" i="94"/>
  <c r="M869" i="94" s="1"/>
  <c r="O60" i="75"/>
  <c r="H89" i="94" s="1"/>
  <c r="BN810" i="94"/>
  <c r="M849" i="94" s="1"/>
  <c r="DT810" i="94"/>
  <c r="K855" i="94" s="1"/>
  <c r="GO810" i="94"/>
  <c r="N864" i="94" s="1"/>
  <c r="ET810" i="94"/>
  <c r="L909" i="94" s="1"/>
  <c r="BB810" i="94"/>
  <c r="K824" i="94" s="1"/>
  <c r="FS810" i="94"/>
  <c r="L915" i="94" s="1"/>
  <c r="CU810" i="94"/>
  <c r="K860" i="94" s="1"/>
  <c r="O87" i="75"/>
  <c r="I68" i="66" s="1"/>
  <c r="O84" i="75"/>
  <c r="I74" i="93" s="1"/>
  <c r="O147" i="75"/>
  <c r="P87" i="94" s="1"/>
  <c r="O822" i="93"/>
  <c r="O62" i="75"/>
  <c r="H91" i="94" s="1"/>
  <c r="L99" i="75"/>
  <c r="O94" i="75"/>
  <c r="K63" i="75"/>
  <c r="K75" i="75" s="1"/>
  <c r="K837" i="94" s="1"/>
  <c r="N152" i="75"/>
  <c r="N154" i="75" s="1"/>
  <c r="N156" i="75" s="1"/>
  <c r="DR810" i="94"/>
  <c r="N856" i="94" s="1"/>
  <c r="HK810" i="94"/>
  <c r="K869" i="94" s="1"/>
  <c r="EZ810" i="94"/>
  <c r="M910" i="94" s="1"/>
  <c r="CG810" i="94"/>
  <c r="L845" i="94" s="1"/>
  <c r="O56" i="75"/>
  <c r="H62" i="66" s="1"/>
  <c r="K152" i="75"/>
  <c r="K154" i="75" s="1"/>
  <c r="K156" i="75" s="1"/>
  <c r="EX810" i="94"/>
  <c r="K910" i="94" s="1"/>
  <c r="HS810" i="94"/>
  <c r="N870" i="94" s="1"/>
  <c r="O81" i="75"/>
  <c r="I85" i="94" s="1"/>
  <c r="K88" i="75"/>
  <c r="M152" i="75"/>
  <c r="M154" i="75" s="1"/>
  <c r="M156" i="75" s="1"/>
  <c r="LH810" i="94"/>
  <c r="DK810" i="94"/>
  <c r="L857" i="94" s="1"/>
  <c r="FA810" i="94"/>
  <c r="N910" i="94" s="1"/>
  <c r="L152" i="75"/>
  <c r="L154" i="75" s="1"/>
  <c r="L156" i="75" s="1"/>
  <c r="L88" i="75"/>
  <c r="J152" i="75"/>
  <c r="N88" i="75"/>
  <c r="J88" i="75"/>
  <c r="I58" i="84"/>
  <c r="I62" i="84" s="1"/>
  <c r="E58" i="84"/>
  <c r="E62" i="84" s="1"/>
  <c r="C62" i="84"/>
  <c r="G58" i="84"/>
  <c r="G62" i="84" s="1"/>
  <c r="K62" i="84"/>
  <c r="G568" i="93"/>
  <c r="J151" i="78"/>
  <c r="J153" i="78" s="1"/>
  <c r="F47" i="78"/>
  <c r="J407" i="72"/>
  <c r="J408" i="72" s="1"/>
  <c r="H18" i="84"/>
  <c r="L394" i="93"/>
  <c r="L395" i="93" s="1"/>
  <c r="L33" i="68"/>
  <c r="P1203" i="94"/>
  <c r="J1937" i="93"/>
  <c r="J1938" i="93" s="1"/>
  <c r="J1939" i="93" s="1"/>
  <c r="K9" i="88"/>
  <c r="K23" i="88" s="1"/>
  <c r="K28" i="88" s="1"/>
  <c r="F39" i="88" s="1"/>
  <c r="G479" i="94"/>
  <c r="G222" i="72"/>
  <c r="C18" i="84"/>
  <c r="K40" i="84" s="1"/>
  <c r="I422" i="93"/>
  <c r="I423" i="93" s="1"/>
  <c r="F492" i="94"/>
  <c r="G1776" i="93"/>
  <c r="P45" i="73"/>
  <c r="P1139" i="93" s="1"/>
  <c r="I436" i="94"/>
  <c r="I437" i="94" s="1"/>
  <c r="J2055" i="94"/>
  <c r="J2056" i="94" s="1"/>
  <c r="G1870" i="94"/>
  <c r="I59" i="68"/>
  <c r="P51" i="68" s="1"/>
  <c r="E35" i="86"/>
  <c r="C55" i="86"/>
  <c r="G55" i="86"/>
  <c r="E55" i="86"/>
  <c r="D15" i="86"/>
  <c r="G15" i="86"/>
  <c r="H55" i="86"/>
  <c r="D55" i="86"/>
  <c r="I35" i="86"/>
  <c r="E15" i="86"/>
  <c r="G35" i="86"/>
  <c r="F35" i="86"/>
  <c r="O16" i="86"/>
  <c r="C15" i="86"/>
  <c r="O17" i="86"/>
  <c r="H15" i="86"/>
  <c r="F15" i="86"/>
  <c r="F55" i="86"/>
  <c r="I15" i="86"/>
  <c r="C35" i="86"/>
  <c r="H35" i="86"/>
  <c r="D35" i="86"/>
  <c r="H1040" i="94"/>
  <c r="H45" i="82"/>
  <c r="H979" i="93"/>
  <c r="E14" i="87"/>
  <c r="G979" i="93"/>
  <c r="G45" i="82"/>
  <c r="E13" i="87"/>
  <c r="G1040" i="94"/>
  <c r="F1040" i="94"/>
  <c r="F979" i="93"/>
  <c r="F45" i="82"/>
  <c r="E12" i="87"/>
  <c r="E1040" i="94"/>
  <c r="E979" i="93"/>
  <c r="E11" i="87"/>
  <c r="E45" i="82"/>
  <c r="D1040" i="94"/>
  <c r="D979" i="93"/>
  <c r="D45" i="82"/>
  <c r="E10" i="87"/>
  <c r="E17" i="87"/>
  <c r="K1040" i="94"/>
  <c r="K45" i="82"/>
  <c r="K979" i="93"/>
  <c r="C1040" i="94"/>
  <c r="C979" i="93"/>
  <c r="C45" i="82"/>
  <c r="E9" i="87"/>
  <c r="B1040" i="94"/>
  <c r="E8" i="87"/>
  <c r="C75" i="84"/>
  <c r="B39" i="74"/>
  <c r="B45" i="82"/>
  <c r="B979" i="93"/>
  <c r="I979" i="93"/>
  <c r="E15" i="87"/>
  <c r="I45" i="82"/>
  <c r="I1040" i="94"/>
  <c r="M900" i="94" l="1"/>
  <c r="M899" i="94"/>
  <c r="F1158" i="93"/>
  <c r="L827" i="93"/>
  <c r="M831" i="93"/>
  <c r="K1137" i="93"/>
  <c r="N1137" i="93" s="1"/>
  <c r="I57" i="73"/>
  <c r="O814" i="93"/>
  <c r="J868" i="94"/>
  <c r="O873" i="93"/>
  <c r="L862" i="93"/>
  <c r="K863" i="93"/>
  <c r="O849" i="94"/>
  <c r="K904" i="94"/>
  <c r="O816" i="93"/>
  <c r="J872" i="93"/>
  <c r="J874" i="93" s="1"/>
  <c r="J815" i="93"/>
  <c r="J817" i="93" s="1"/>
  <c r="O843" i="94"/>
  <c r="K862" i="93"/>
  <c r="L872" i="93"/>
  <c r="L874" i="93" s="1"/>
  <c r="L876" i="93" s="1"/>
  <c r="N900" i="94"/>
  <c r="L834" i="93"/>
  <c r="J74" i="75"/>
  <c r="J836" i="94" s="1"/>
  <c r="M903" i="94"/>
  <c r="N827" i="93"/>
  <c r="F64" i="73"/>
  <c r="I64" i="73" s="1"/>
  <c r="F1201" i="94"/>
  <c r="I1201" i="94" s="1"/>
  <c r="K1221" i="94"/>
  <c r="N1221" i="94" s="1"/>
  <c r="N899" i="94"/>
  <c r="O911" i="94"/>
  <c r="J834" i="93"/>
  <c r="L823" i="93"/>
  <c r="O871" i="93"/>
  <c r="O826" i="93"/>
  <c r="O908" i="94"/>
  <c r="K51" i="73"/>
  <c r="N51" i="73" s="1"/>
  <c r="L837" i="93"/>
  <c r="N1145" i="93"/>
  <c r="K1209" i="94"/>
  <c r="N1209" i="94" s="1"/>
  <c r="O846" i="94"/>
  <c r="O855" i="94"/>
  <c r="F1146" i="93"/>
  <c r="H1146" i="93" s="1"/>
  <c r="L861" i="93"/>
  <c r="K898" i="94"/>
  <c r="J861" i="93"/>
  <c r="K897" i="94"/>
  <c r="O870" i="93"/>
  <c r="N1216" i="94"/>
  <c r="N1215" i="94"/>
  <c r="K1154" i="93"/>
  <c r="K1143" i="93"/>
  <c r="N1153" i="93"/>
  <c r="M863" i="93"/>
  <c r="M897" i="94"/>
  <c r="F45" i="73"/>
  <c r="K63" i="73"/>
  <c r="N63" i="73" s="1"/>
  <c r="P917" i="94"/>
  <c r="O819" i="94"/>
  <c r="O999" i="94"/>
  <c r="L867" i="93"/>
  <c r="N867" i="93"/>
  <c r="M59" i="73"/>
  <c r="K900" i="94"/>
  <c r="J900" i="94"/>
  <c r="I45" i="68"/>
  <c r="I407" i="93" s="1"/>
  <c r="F23" i="74"/>
  <c r="F1038" i="94" s="1"/>
  <c r="G13" i="74"/>
  <c r="H978" i="93"/>
  <c r="H992" i="93"/>
  <c r="E1070" i="94"/>
  <c r="F1060" i="94"/>
  <c r="K37" i="84"/>
  <c r="K35" i="84"/>
  <c r="J975" i="93"/>
  <c r="J970" i="93"/>
  <c r="J971" i="93"/>
  <c r="K969" i="93"/>
  <c r="J977" i="93"/>
  <c r="G978" i="93"/>
  <c r="G992" i="93"/>
  <c r="O1977" i="94"/>
  <c r="O1870" i="93"/>
  <c r="G101" i="90"/>
  <c r="I976" i="93"/>
  <c r="I992" i="93" s="1"/>
  <c r="I972" i="93"/>
  <c r="I978" i="93"/>
  <c r="F30" i="74"/>
  <c r="E1045" i="94"/>
  <c r="E53" i="82"/>
  <c r="E984" i="93"/>
  <c r="K841" i="93"/>
  <c r="K868" i="94"/>
  <c r="O852" i="93"/>
  <c r="M865" i="94"/>
  <c r="I66" i="66"/>
  <c r="F1137" i="93"/>
  <c r="I1137" i="93" s="1"/>
  <c r="K1202" i="94"/>
  <c r="N1202" i="94" s="1"/>
  <c r="J864" i="93"/>
  <c r="O854" i="94"/>
  <c r="K1207" i="94"/>
  <c r="N1207" i="94" s="1"/>
  <c r="K1199" i="94"/>
  <c r="M1199" i="94" s="1"/>
  <c r="M867" i="93"/>
  <c r="O912" i="94"/>
  <c r="F44" i="73"/>
  <c r="I44" i="73" s="1"/>
  <c r="K1159" i="93"/>
  <c r="M1159" i="93" s="1"/>
  <c r="O821" i="94"/>
  <c r="K1223" i="94"/>
  <c r="N1223" i="94" s="1"/>
  <c r="L864" i="93"/>
  <c r="J899" i="94"/>
  <c r="N897" i="94"/>
  <c r="K864" i="93"/>
  <c r="O859" i="93"/>
  <c r="O875" i="93"/>
  <c r="K876" i="93"/>
  <c r="J877" i="94"/>
  <c r="K1146" i="93"/>
  <c r="N1146" i="93" s="1"/>
  <c r="N52" i="73"/>
  <c r="O943" i="93"/>
  <c r="O866" i="93"/>
  <c r="M65" i="73"/>
  <c r="K1210" i="94"/>
  <c r="N898" i="94"/>
  <c r="O889" i="94"/>
  <c r="O836" i="93"/>
  <c r="J837" i="93"/>
  <c r="M864" i="93"/>
  <c r="J865" i="94"/>
  <c r="K831" i="93"/>
  <c r="O886" i="94"/>
  <c r="K877" i="94"/>
  <c r="J76" i="75"/>
  <c r="J838" i="94" s="1"/>
  <c r="K62" i="73"/>
  <c r="M62" i="73" s="1"/>
  <c r="M1220" i="94"/>
  <c r="F1209" i="94"/>
  <c r="I1209" i="94" s="1"/>
  <c r="O901" i="94"/>
  <c r="P91" i="94"/>
  <c r="N868" i="94"/>
  <c r="I90" i="94"/>
  <c r="N871" i="94"/>
  <c r="O813" i="93"/>
  <c r="O832" i="93"/>
  <c r="O830" i="93"/>
  <c r="K899" i="94"/>
  <c r="K1156" i="93"/>
  <c r="N1156" i="93" s="1"/>
  <c r="N1161" i="93" s="1"/>
  <c r="O878" i="94"/>
  <c r="O891" i="94"/>
  <c r="O892" i="94"/>
  <c r="J897" i="94"/>
  <c r="M868" i="93"/>
  <c r="M1213" i="94"/>
  <c r="P999" i="94"/>
  <c r="O845" i="93"/>
  <c r="N1139" i="93"/>
  <c r="O882" i="94"/>
  <c r="O856" i="93"/>
  <c r="N861" i="93"/>
  <c r="N841" i="93"/>
  <c r="N843" i="93"/>
  <c r="P997" i="94"/>
  <c r="O851" i="93"/>
  <c r="O893" i="94"/>
  <c r="O890" i="94"/>
  <c r="M898" i="94"/>
  <c r="O855" i="93"/>
  <c r="O844" i="93"/>
  <c r="F51" i="73"/>
  <c r="H51" i="73" s="1"/>
  <c r="O879" i="94"/>
  <c r="K868" i="93"/>
  <c r="C1058" i="94"/>
  <c r="C997" i="93"/>
  <c r="D43" i="74"/>
  <c r="R978" i="93"/>
  <c r="R981" i="93"/>
  <c r="R986" i="93"/>
  <c r="R976" i="93"/>
  <c r="R987" i="93"/>
  <c r="R977" i="93"/>
  <c r="R994" i="93"/>
  <c r="R991" i="93"/>
  <c r="R990" i="93"/>
  <c r="R993" i="93"/>
  <c r="R975" i="93"/>
  <c r="R983" i="93"/>
  <c r="R982" i="93"/>
  <c r="R988" i="93"/>
  <c r="R989" i="93"/>
  <c r="R979" i="93"/>
  <c r="R992" i="93"/>
  <c r="R985" i="93"/>
  <c r="R984" i="93"/>
  <c r="R980" i="93"/>
  <c r="B997" i="93"/>
  <c r="B1058" i="94"/>
  <c r="R776" i="93"/>
  <c r="R781" i="94"/>
  <c r="R777" i="93"/>
  <c r="R782" i="94"/>
  <c r="R779" i="94"/>
  <c r="R774" i="93"/>
  <c r="R780" i="94"/>
  <c r="R775" i="93"/>
  <c r="O849" i="93"/>
  <c r="J875" i="94"/>
  <c r="N863" i="93"/>
  <c r="N862" i="93"/>
  <c r="O857" i="93"/>
  <c r="M41" i="73"/>
  <c r="L863" i="93"/>
  <c r="J868" i="93"/>
  <c r="K1135" i="93"/>
  <c r="M1135" i="93" s="1"/>
  <c r="O997" i="94"/>
  <c r="J843" i="93"/>
  <c r="O887" i="94"/>
  <c r="O902" i="94"/>
  <c r="O858" i="93"/>
  <c r="O865" i="93"/>
  <c r="O884" i="94"/>
  <c r="N903" i="94"/>
  <c r="N1149" i="93"/>
  <c r="N1154" i="93" s="1"/>
  <c r="F1142" i="93"/>
  <c r="H1142" i="93" s="1"/>
  <c r="K1158" i="93"/>
  <c r="M1158" i="93" s="1"/>
  <c r="O880" i="94"/>
  <c r="M875" i="94"/>
  <c r="M861" i="93"/>
  <c r="O885" i="94"/>
  <c r="K1222" i="94"/>
  <c r="N1222" i="94" s="1"/>
  <c r="O848" i="93"/>
  <c r="O883" i="94"/>
  <c r="O142" i="75"/>
  <c r="M843" i="93"/>
  <c r="F48" i="73"/>
  <c r="I48" i="73" s="1"/>
  <c r="O888" i="94"/>
  <c r="N875" i="94"/>
  <c r="K1224" i="94"/>
  <c r="N1224" i="94" s="1"/>
  <c r="K1138" i="93"/>
  <c r="N1138" i="93" s="1"/>
  <c r="M877" i="94"/>
  <c r="K1203" i="94"/>
  <c r="N877" i="94"/>
  <c r="M841" i="93"/>
  <c r="K45" i="73"/>
  <c r="N45" i="73" s="1"/>
  <c r="L875" i="94"/>
  <c r="J862" i="93"/>
  <c r="P943" i="93"/>
  <c r="O867" i="94"/>
  <c r="J871" i="94"/>
  <c r="O835" i="93"/>
  <c r="L868" i="94"/>
  <c r="P941" i="93"/>
  <c r="P998" i="94"/>
  <c r="F1156" i="93"/>
  <c r="H1156" i="93" s="1"/>
  <c r="F1210" i="94"/>
  <c r="H1210" i="94" s="1"/>
  <c r="K43" i="73"/>
  <c r="K46" i="73" s="1"/>
  <c r="O998" i="94"/>
  <c r="O853" i="93"/>
  <c r="M862" i="93"/>
  <c r="F1220" i="94"/>
  <c r="I1220" i="94" s="1"/>
  <c r="N1159" i="93"/>
  <c r="J841" i="93"/>
  <c r="O942" i="93"/>
  <c r="M1151" i="93"/>
  <c r="O847" i="93"/>
  <c r="F1159" i="93"/>
  <c r="H1159" i="93" s="1"/>
  <c r="L904" i="94"/>
  <c r="L877" i="94"/>
  <c r="O881" i="94"/>
  <c r="K1160" i="93"/>
  <c r="F1136" i="93"/>
  <c r="I1136" i="93" s="1"/>
  <c r="K875" i="94"/>
  <c r="K66" i="73"/>
  <c r="N66" i="73" s="1"/>
  <c r="O941" i="93"/>
  <c r="I1215" i="94"/>
  <c r="H1215" i="94"/>
  <c r="O103" i="75"/>
  <c r="K1627" i="94" s="1"/>
  <c r="J827" i="93"/>
  <c r="O827" i="93" s="1"/>
  <c r="O829" i="93"/>
  <c r="M872" i="93"/>
  <c r="M874" i="93" s="1"/>
  <c r="M876" i="93" s="1"/>
  <c r="M815" i="93"/>
  <c r="M817" i="93" s="1"/>
  <c r="M819" i="93" s="1"/>
  <c r="J831" i="93"/>
  <c r="N831" i="93"/>
  <c r="L72" i="75"/>
  <c r="L834" i="94" s="1"/>
  <c r="J71" i="75"/>
  <c r="J833" i="94" s="1"/>
  <c r="J72" i="75"/>
  <c r="J834" i="94" s="1"/>
  <c r="I87" i="94"/>
  <c r="J75" i="75"/>
  <c r="J837" i="94" s="1"/>
  <c r="J73" i="75"/>
  <c r="J835" i="94" s="1"/>
  <c r="D7" i="88"/>
  <c r="E7" i="88" s="1"/>
  <c r="J65" i="75"/>
  <c r="J67" i="75" s="1"/>
  <c r="L865" i="94"/>
  <c r="J850" i="94"/>
  <c r="M861" i="94"/>
  <c r="M834" i="93"/>
  <c r="H173" i="75"/>
  <c r="O173" i="75" s="1"/>
  <c r="B14" i="74"/>
  <c r="P94" i="94"/>
  <c r="P76" i="93"/>
  <c r="I88" i="94"/>
  <c r="K843" i="93"/>
  <c r="F1200" i="94"/>
  <c r="H1200" i="94" s="1"/>
  <c r="O850" i="93"/>
  <c r="L843" i="93"/>
  <c r="F1221" i="94"/>
  <c r="I1221" i="94" s="1"/>
  <c r="J867" i="93"/>
  <c r="L868" i="93"/>
  <c r="F1208" i="94"/>
  <c r="O135" i="75"/>
  <c r="N72" i="75"/>
  <c r="N834" i="94" s="1"/>
  <c r="M73" i="75"/>
  <c r="M835" i="94" s="1"/>
  <c r="O864" i="94"/>
  <c r="O848" i="94"/>
  <c r="O907" i="94"/>
  <c r="F1144" i="93"/>
  <c r="H1144" i="93" s="1"/>
  <c r="N914" i="94"/>
  <c r="N916" i="94" s="1"/>
  <c r="N918" i="94" s="1"/>
  <c r="N825" i="94"/>
  <c r="N827" i="94" s="1"/>
  <c r="N829" i="94" s="1"/>
  <c r="K1200" i="94"/>
  <c r="M1200" i="94" s="1"/>
  <c r="O825" i="93"/>
  <c r="N73" i="75"/>
  <c r="N835" i="94" s="1"/>
  <c r="O845" i="94"/>
  <c r="O858" i="94"/>
  <c r="F1160" i="93"/>
  <c r="F63" i="73"/>
  <c r="I63" i="73" s="1"/>
  <c r="L841" i="93"/>
  <c r="F41" i="73"/>
  <c r="N71" i="75"/>
  <c r="N833" i="94" s="1"/>
  <c r="N76" i="75"/>
  <c r="N838" i="94" s="1"/>
  <c r="O847" i="94"/>
  <c r="J861" i="94"/>
  <c r="O846" i="93"/>
  <c r="F1139" i="93"/>
  <c r="I1139" i="93" s="1"/>
  <c r="K48" i="73"/>
  <c r="M48" i="73" s="1"/>
  <c r="F1138" i="93"/>
  <c r="I1138" i="93" s="1"/>
  <c r="K837" i="93"/>
  <c r="F66" i="73"/>
  <c r="H66" i="73" s="1"/>
  <c r="F1199" i="94"/>
  <c r="H1199" i="94" s="1"/>
  <c r="O854" i="93"/>
  <c r="D11" i="88"/>
  <c r="E11" i="88" s="1"/>
  <c r="H66" i="66"/>
  <c r="N75" i="75"/>
  <c r="N837" i="94" s="1"/>
  <c r="N65" i="75"/>
  <c r="N67" i="75" s="1"/>
  <c r="N159" i="75" s="1"/>
  <c r="N921" i="94" s="1"/>
  <c r="O860" i="94"/>
  <c r="N42" i="73"/>
  <c r="M42" i="73"/>
  <c r="P66" i="66"/>
  <c r="H1836" i="93"/>
  <c r="P942" i="93"/>
  <c r="O136" i="75"/>
  <c r="K1144" i="93"/>
  <c r="M1144" i="93" s="1"/>
  <c r="F65" i="73"/>
  <c r="I65" i="73" s="1"/>
  <c r="K1136" i="93"/>
  <c r="N1136" i="93" s="1"/>
  <c r="H74" i="93"/>
  <c r="O141" i="75"/>
  <c r="K1142" i="93"/>
  <c r="M1142" i="93" s="1"/>
  <c r="O137" i="75"/>
  <c r="O859" i="94"/>
  <c r="H64" i="66"/>
  <c r="O915" i="94"/>
  <c r="M871" i="94"/>
  <c r="O818" i="94"/>
  <c r="O109" i="75"/>
  <c r="H78" i="94" s="1"/>
  <c r="O113" i="75"/>
  <c r="O2080" i="94" s="1"/>
  <c r="F56" i="89"/>
  <c r="D37" i="90" s="1"/>
  <c r="O821" i="93"/>
  <c r="L871" i="94"/>
  <c r="K1208" i="94"/>
  <c r="O138" i="75"/>
  <c r="H71" i="66"/>
  <c r="H94" i="94"/>
  <c r="O826" i="94"/>
  <c r="P915" i="94" s="1"/>
  <c r="O115" i="75"/>
  <c r="E100" i="78" s="1"/>
  <c r="J100" i="78" s="1"/>
  <c r="O106" i="75"/>
  <c r="H79" i="94" s="1"/>
  <c r="P150" i="75"/>
  <c r="P912" i="94" s="1"/>
  <c r="O913" i="94"/>
  <c r="L825" i="94"/>
  <c r="L827" i="94" s="1"/>
  <c r="L829" i="94" s="1"/>
  <c r="P155" i="75"/>
  <c r="F1143" i="93"/>
  <c r="H1153" i="93"/>
  <c r="I1153" i="93"/>
  <c r="J914" i="94"/>
  <c r="J916" i="94" s="1"/>
  <c r="J918" i="94" s="1"/>
  <c r="L914" i="94"/>
  <c r="L916" i="94" s="1"/>
  <c r="L918" i="94" s="1"/>
  <c r="F49" i="73"/>
  <c r="I49" i="73" s="1"/>
  <c r="I1217" i="94"/>
  <c r="H1217" i="94"/>
  <c r="P85" i="94"/>
  <c r="O822" i="94"/>
  <c r="I59" i="73"/>
  <c r="H59" i="73"/>
  <c r="H1150" i="93"/>
  <c r="I1150" i="93"/>
  <c r="I55" i="73"/>
  <c r="H55" i="73"/>
  <c r="P69" i="66"/>
  <c r="I65" i="66"/>
  <c r="M74" i="75"/>
  <c r="M836" i="94" s="1"/>
  <c r="P149" i="75"/>
  <c r="P911" i="94" s="1"/>
  <c r="I1214" i="94"/>
  <c r="H1214" i="94"/>
  <c r="P148" i="75"/>
  <c r="P910" i="94" s="1"/>
  <c r="K76" i="75"/>
  <c r="K838" i="94" s="1"/>
  <c r="N865" i="94"/>
  <c r="M76" i="75"/>
  <c r="M838" i="94" s="1"/>
  <c r="M75" i="75"/>
  <c r="M837" i="94" s="1"/>
  <c r="I56" i="73"/>
  <c r="H56" i="73"/>
  <c r="I1149" i="93"/>
  <c r="I1154" i="93" s="1"/>
  <c r="H1149" i="93"/>
  <c r="M1201" i="94"/>
  <c r="N1201" i="94"/>
  <c r="H88" i="94"/>
  <c r="M77" i="75"/>
  <c r="M839" i="94" s="1"/>
  <c r="I1213" i="94"/>
  <c r="H1213" i="94"/>
  <c r="O823" i="93"/>
  <c r="I1216" i="94"/>
  <c r="H1216" i="94"/>
  <c r="F1218" i="94"/>
  <c r="N49" i="73"/>
  <c r="M49" i="73"/>
  <c r="M64" i="73"/>
  <c r="N64" i="73"/>
  <c r="I58" i="73"/>
  <c r="H58" i="73"/>
  <c r="F60" i="73"/>
  <c r="K850" i="94"/>
  <c r="H1152" i="93"/>
  <c r="I1152" i="93"/>
  <c r="F1154" i="93"/>
  <c r="N1143" i="93"/>
  <c r="M1143" i="93"/>
  <c r="M1150" i="93"/>
  <c r="N1150" i="93"/>
  <c r="H1223" i="94"/>
  <c r="I1223" i="94"/>
  <c r="N1157" i="93"/>
  <c r="M1157" i="93"/>
  <c r="N44" i="73"/>
  <c r="M44" i="73"/>
  <c r="O63" i="75"/>
  <c r="O74" i="75" s="1"/>
  <c r="H85" i="94"/>
  <c r="P74" i="93"/>
  <c r="I75" i="93"/>
  <c r="I73" i="93" s="1"/>
  <c r="K74" i="75"/>
  <c r="K836" i="94" s="1"/>
  <c r="P90" i="94"/>
  <c r="M71" i="75"/>
  <c r="M833" i="94" s="1"/>
  <c r="D10" i="88"/>
  <c r="E10" i="88" s="1"/>
  <c r="H1207" i="94"/>
  <c r="I1207" i="94"/>
  <c r="I42" i="73"/>
  <c r="H42" i="73"/>
  <c r="H1206" i="94"/>
  <c r="I1206" i="94"/>
  <c r="M1214" i="94"/>
  <c r="N1214" i="94"/>
  <c r="N50" i="73"/>
  <c r="M50" i="73"/>
  <c r="M1221" i="94"/>
  <c r="H1135" i="93"/>
  <c r="I1135" i="93"/>
  <c r="I1140" i="93" s="1"/>
  <c r="I50" i="73"/>
  <c r="H50" i="73"/>
  <c r="I43" i="73"/>
  <c r="H43" i="73"/>
  <c r="H1222" i="94"/>
  <c r="I1222" i="94"/>
  <c r="H1203" i="94"/>
  <c r="I1203" i="94"/>
  <c r="N56" i="73"/>
  <c r="N60" i="73" s="1"/>
  <c r="M56" i="73"/>
  <c r="K60" i="73"/>
  <c r="H1145" i="93"/>
  <c r="I1145" i="93"/>
  <c r="I1224" i="94"/>
  <c r="H1224" i="94"/>
  <c r="I52" i="73"/>
  <c r="H52" i="73"/>
  <c r="P65" i="66"/>
  <c r="H69" i="66"/>
  <c r="H1157" i="93"/>
  <c r="I1157" i="93"/>
  <c r="L71" i="75"/>
  <c r="L833" i="94" s="1"/>
  <c r="N74" i="75"/>
  <c r="N836" i="94" s="1"/>
  <c r="D8" i="88"/>
  <c r="E8" i="88" s="1"/>
  <c r="M65" i="75"/>
  <c r="M67" i="75" s="1"/>
  <c r="H10" i="88" s="1"/>
  <c r="I10" i="88" s="1"/>
  <c r="H76" i="93"/>
  <c r="O99" i="75"/>
  <c r="M825" i="94"/>
  <c r="M827" i="94" s="1"/>
  <c r="M829" i="94" s="1"/>
  <c r="O820" i="94"/>
  <c r="H92" i="94"/>
  <c r="I62" i="73"/>
  <c r="H62" i="73"/>
  <c r="H1158" i="93"/>
  <c r="I1158" i="93"/>
  <c r="I45" i="73"/>
  <c r="H45" i="73"/>
  <c r="N1206" i="94"/>
  <c r="M1206" i="94"/>
  <c r="K1218" i="94"/>
  <c r="I1202" i="94"/>
  <c r="H1202" i="94"/>
  <c r="H75" i="93"/>
  <c r="H90" i="94"/>
  <c r="P146" i="75"/>
  <c r="P908" i="94" s="1"/>
  <c r="O823" i="94"/>
  <c r="P145" i="75"/>
  <c r="P907" i="94" s="1"/>
  <c r="P63" i="66"/>
  <c r="H63" i="66"/>
  <c r="M850" i="94"/>
  <c r="P147" i="75"/>
  <c r="P909" i="94" s="1"/>
  <c r="K825" i="94"/>
  <c r="K827" i="94" s="1"/>
  <c r="K829" i="94" s="1"/>
  <c r="P151" i="75"/>
  <c r="P913" i="94" s="1"/>
  <c r="J825" i="94"/>
  <c r="J827" i="94" s="1"/>
  <c r="J829" i="94" s="1"/>
  <c r="O844" i="94"/>
  <c r="I91" i="94"/>
  <c r="H68" i="66"/>
  <c r="O866" i="94"/>
  <c r="L73" i="75"/>
  <c r="L835" i="94" s="1"/>
  <c r="L75" i="75"/>
  <c r="L837" i="94" s="1"/>
  <c r="P64" i="66"/>
  <c r="L1954" i="93"/>
  <c r="K77" i="75"/>
  <c r="K839" i="94" s="1"/>
  <c r="K65" i="75"/>
  <c r="K67" i="75" s="1"/>
  <c r="H8" i="88" s="1"/>
  <c r="I8" i="88" s="1"/>
  <c r="O856" i="94"/>
  <c r="O909" i="94"/>
  <c r="D9" i="88"/>
  <c r="E9" i="88" s="1"/>
  <c r="L76" i="75"/>
  <c r="L838" i="94" s="1"/>
  <c r="L65" i="75"/>
  <c r="L67" i="75" s="1"/>
  <c r="L159" i="75" s="1"/>
  <c r="L921" i="94" s="1"/>
  <c r="I86" i="94"/>
  <c r="I62" i="66"/>
  <c r="K72" i="75"/>
  <c r="K834" i="94" s="1"/>
  <c r="K71" i="75"/>
  <c r="K833" i="94" s="1"/>
  <c r="O824" i="94"/>
  <c r="M868" i="94"/>
  <c r="N850" i="94"/>
  <c r="L74" i="75"/>
  <c r="L836" i="94" s="1"/>
  <c r="K73" i="75"/>
  <c r="K835" i="94" s="1"/>
  <c r="O88" i="75"/>
  <c r="K1625" i="94" s="1"/>
  <c r="M914" i="94"/>
  <c r="M916" i="94" s="1"/>
  <c r="M918" i="94" s="1"/>
  <c r="O863" i="94"/>
  <c r="K861" i="94"/>
  <c r="O870" i="94"/>
  <c r="L861" i="94"/>
  <c r="O857" i="94"/>
  <c r="K871" i="94"/>
  <c r="O869" i="94"/>
  <c r="O910" i="94"/>
  <c r="K914" i="94"/>
  <c r="L850" i="94"/>
  <c r="N861" i="94"/>
  <c r="J154" i="75"/>
  <c r="O152" i="75"/>
  <c r="P73" i="93" s="1"/>
  <c r="J819" i="93"/>
  <c r="J876" i="93"/>
  <c r="P427" i="94"/>
  <c r="P428" i="94"/>
  <c r="M408" i="72"/>
  <c r="M2056" i="94" s="1"/>
  <c r="P414" i="93"/>
  <c r="I60" i="68"/>
  <c r="P45" i="68" s="1"/>
  <c r="P422" i="94" s="1"/>
  <c r="P413" i="93"/>
  <c r="P50" i="68"/>
  <c r="P52" i="68" s="1"/>
  <c r="C40" i="84"/>
  <c r="J18" i="84"/>
  <c r="C38" i="84"/>
  <c r="D18" i="84"/>
  <c r="M1938" i="93"/>
  <c r="M1939" i="93" s="1"/>
  <c r="O19" i="86"/>
  <c r="O23" i="86" s="1"/>
  <c r="O25" i="86" s="1"/>
  <c r="O31" i="86" s="1"/>
  <c r="B1054" i="94"/>
  <c r="C10" i="86"/>
  <c r="B993" i="93"/>
  <c r="F987" i="93"/>
  <c r="F991" i="93"/>
  <c r="C39" i="74"/>
  <c r="E987" i="93"/>
  <c r="E991" i="93"/>
  <c r="E986" i="93"/>
  <c r="H987" i="93"/>
  <c r="H991" i="93"/>
  <c r="I987" i="93"/>
  <c r="I991" i="93"/>
  <c r="C987" i="93"/>
  <c r="C991" i="93"/>
  <c r="C986" i="93"/>
  <c r="E75" i="84"/>
  <c r="K75" i="84"/>
  <c r="G75" i="84"/>
  <c r="I75" i="84"/>
  <c r="C77" i="84"/>
  <c r="D987" i="93"/>
  <c r="D991" i="93"/>
  <c r="D986" i="93"/>
  <c r="G991" i="93"/>
  <c r="G987" i="93"/>
  <c r="O903" i="94" l="1"/>
  <c r="M51" i="73"/>
  <c r="M1137" i="93"/>
  <c r="I51" i="73"/>
  <c r="I53" i="73" s="1"/>
  <c r="N465" i="73"/>
  <c r="O819" i="93"/>
  <c r="J938" i="93" s="1"/>
  <c r="M1202" i="94"/>
  <c r="H64" i="73"/>
  <c r="O904" i="94"/>
  <c r="H1201" i="94"/>
  <c r="M1222" i="94"/>
  <c r="O834" i="93"/>
  <c r="M1209" i="94"/>
  <c r="O900" i="94"/>
  <c r="H73" i="93"/>
  <c r="H77" i="93" s="1"/>
  <c r="H79" i="93" s="1"/>
  <c r="H44" i="73"/>
  <c r="O899" i="94"/>
  <c r="O863" i="93"/>
  <c r="N1199" i="94"/>
  <c r="I1146" i="93"/>
  <c r="I66" i="73"/>
  <c r="I67" i="73" s="1"/>
  <c r="I1142" i="93"/>
  <c r="I1147" i="93" s="1"/>
  <c r="H1137" i="93"/>
  <c r="M63" i="73"/>
  <c r="M1146" i="93"/>
  <c r="N1218" i="94"/>
  <c r="O876" i="93"/>
  <c r="K1204" i="94"/>
  <c r="H1209" i="94"/>
  <c r="I1156" i="93"/>
  <c r="I1161" i="93" s="1"/>
  <c r="O815" i="93"/>
  <c r="M1224" i="94"/>
  <c r="O817" i="93"/>
  <c r="K67" i="73"/>
  <c r="K1161" i="93"/>
  <c r="O862" i="93"/>
  <c r="I422" i="94"/>
  <c r="K1225" i="94"/>
  <c r="O867" i="93"/>
  <c r="G30" i="74"/>
  <c r="F1045" i="94"/>
  <c r="F984" i="93"/>
  <c r="F986" i="93" s="1"/>
  <c r="F53" i="82"/>
  <c r="F1070" i="94"/>
  <c r="G1060" i="94"/>
  <c r="K975" i="93"/>
  <c r="K971" i="93"/>
  <c r="B999" i="93"/>
  <c r="K970" i="93"/>
  <c r="K977" i="93"/>
  <c r="O898" i="94"/>
  <c r="J976" i="93"/>
  <c r="J992" i="93" s="1"/>
  <c r="J972" i="93"/>
  <c r="J978" i="93"/>
  <c r="H13" i="74"/>
  <c r="G23" i="74"/>
  <c r="G1038" i="94" s="1"/>
  <c r="O875" i="94"/>
  <c r="P1000" i="94" s="1"/>
  <c r="P1001" i="94" s="1"/>
  <c r="M1223" i="94"/>
  <c r="O897" i="94"/>
  <c r="O864" i="93"/>
  <c r="H1221" i="94"/>
  <c r="N62" i="73"/>
  <c r="N67" i="73" s="1"/>
  <c r="F46" i="73"/>
  <c r="M1207" i="94"/>
  <c r="M1156" i="93"/>
  <c r="K469" i="73"/>
  <c r="H66" i="93"/>
  <c r="O861" i="93"/>
  <c r="P78" i="94"/>
  <c r="O837" i="93"/>
  <c r="N1210" i="94"/>
  <c r="M1210" i="94"/>
  <c r="K1211" i="94"/>
  <c r="O868" i="93"/>
  <c r="M159" i="75"/>
  <c r="M921" i="94" s="1"/>
  <c r="N1158" i="93"/>
  <c r="C14" i="74"/>
  <c r="C1029" i="94" s="1"/>
  <c r="C52" i="84"/>
  <c r="G52" i="84" s="1"/>
  <c r="B15" i="74"/>
  <c r="B16" i="74" s="1"/>
  <c r="B1031" i="94" s="1"/>
  <c r="G14" i="74"/>
  <c r="G1029" i="94" s="1"/>
  <c r="D14" i="74"/>
  <c r="D1029" i="94" s="1"/>
  <c r="H1139" i="93"/>
  <c r="N1135" i="93"/>
  <c r="N1140" i="93" s="1"/>
  <c r="D1058" i="94"/>
  <c r="D997" i="93"/>
  <c r="E43" i="74"/>
  <c r="H48" i="73"/>
  <c r="M1138" i="93"/>
  <c r="O841" i="93"/>
  <c r="O945" i="93" s="1"/>
  <c r="O877" i="94"/>
  <c r="H1136" i="93"/>
  <c r="P55" i="66"/>
  <c r="N43" i="73"/>
  <c r="N46" i="73" s="1"/>
  <c r="H63" i="73"/>
  <c r="P238" i="75"/>
  <c r="P239" i="75" s="1"/>
  <c r="P230" i="75" s="1"/>
  <c r="B977" i="93" s="1"/>
  <c r="H41" i="73"/>
  <c r="F1225" i="94"/>
  <c r="L1968" i="93"/>
  <c r="H1220" i="94"/>
  <c r="M43" i="73"/>
  <c r="M45" i="73"/>
  <c r="N1160" i="93"/>
  <c r="K53" i="73"/>
  <c r="M1160" i="93"/>
  <c r="K1147" i="93"/>
  <c r="M1203" i="94"/>
  <c r="N1203" i="94"/>
  <c r="O868" i="94"/>
  <c r="H77" i="94"/>
  <c r="H54" i="66"/>
  <c r="O831" i="93"/>
  <c r="I41" i="73"/>
  <c r="I46" i="73" s="1"/>
  <c r="M66" i="73"/>
  <c r="N1142" i="93"/>
  <c r="N1147" i="93" s="1"/>
  <c r="I1210" i="94"/>
  <c r="F1211" i="94"/>
  <c r="I1159" i="93"/>
  <c r="F1161" i="93"/>
  <c r="N1144" i="93"/>
  <c r="I1208" i="94"/>
  <c r="H1138" i="93"/>
  <c r="O239" i="75"/>
  <c r="O432" i="72"/>
  <c r="I1200" i="94"/>
  <c r="O944" i="93"/>
  <c r="F1204" i="94"/>
  <c r="H1208" i="94"/>
  <c r="O238" i="75"/>
  <c r="P67" i="93"/>
  <c r="O843" i="93"/>
  <c r="O874" i="93"/>
  <c r="O865" i="94"/>
  <c r="O872" i="93"/>
  <c r="H55" i="66"/>
  <c r="H67" i="93"/>
  <c r="K159" i="75"/>
  <c r="K921" i="94" s="1"/>
  <c r="H11" i="88"/>
  <c r="I11" i="88" s="1"/>
  <c r="H935" i="94"/>
  <c r="O935" i="94" s="1"/>
  <c r="B971" i="93"/>
  <c r="B972" i="93" s="1"/>
  <c r="B976" i="93" s="1"/>
  <c r="H879" i="93"/>
  <c r="O879" i="93" s="1"/>
  <c r="F14" i="74"/>
  <c r="F1029" i="94" s="1"/>
  <c r="E14" i="74"/>
  <c r="E1029" i="94" s="1"/>
  <c r="B1029" i="94"/>
  <c r="H14" i="74"/>
  <c r="H1029" i="94" s="1"/>
  <c r="F1147" i="93"/>
  <c r="F1140" i="93"/>
  <c r="I1144" i="93"/>
  <c r="O76" i="75"/>
  <c r="O838" i="94" s="1"/>
  <c r="P838" i="94" s="1"/>
  <c r="F67" i="73"/>
  <c r="I1143" i="93"/>
  <c r="H65" i="73"/>
  <c r="I1160" i="93"/>
  <c r="N48" i="73"/>
  <c r="N53" i="73" s="1"/>
  <c r="E536" i="93"/>
  <c r="J536" i="93" s="1"/>
  <c r="I1199" i="94"/>
  <c r="H1143" i="93"/>
  <c r="H1160" i="93"/>
  <c r="E545" i="94"/>
  <c r="J545" i="94" s="1"/>
  <c r="L1952" i="93"/>
  <c r="L1953" i="93" s="1"/>
  <c r="M1952" i="93" s="1"/>
  <c r="N1200" i="94"/>
  <c r="K1140" i="93"/>
  <c r="M1136" i="93"/>
  <c r="H56" i="66"/>
  <c r="O871" i="94"/>
  <c r="H68" i="93"/>
  <c r="M1208" i="94"/>
  <c r="F53" i="73"/>
  <c r="H49" i="73"/>
  <c r="O73" i="75"/>
  <c r="I73" i="75" s="1"/>
  <c r="I835" i="94" s="1"/>
  <c r="E13" i="84"/>
  <c r="K18" i="88" s="1"/>
  <c r="O77" i="75"/>
  <c r="P77" i="75" s="1"/>
  <c r="O75" i="75"/>
  <c r="P75" i="75" s="1"/>
  <c r="N1208" i="94"/>
  <c r="P84" i="94"/>
  <c r="P93" i="94" s="1"/>
  <c r="P95" i="94" s="1"/>
  <c r="P98" i="94" s="1"/>
  <c r="N1623" i="94"/>
  <c r="O71" i="75"/>
  <c r="I71" i="75" s="1"/>
  <c r="I833" i="94" s="1"/>
  <c r="N1624" i="94"/>
  <c r="N466" i="73"/>
  <c r="O72" i="75"/>
  <c r="O834" i="94" s="1"/>
  <c r="P834" i="94" s="1"/>
  <c r="I84" i="94"/>
  <c r="P75" i="93"/>
  <c r="P77" i="93" s="1"/>
  <c r="P82" i="93" s="1"/>
  <c r="H84" i="94"/>
  <c r="H93" i="94" s="1"/>
  <c r="H95" i="94" s="1"/>
  <c r="I61" i="66"/>
  <c r="I60" i="73"/>
  <c r="I1218" i="94"/>
  <c r="O829" i="94"/>
  <c r="I810" i="94" s="1"/>
  <c r="P61" i="66"/>
  <c r="P70" i="66" s="1"/>
  <c r="P72" i="66" s="1"/>
  <c r="P75" i="66" s="1"/>
  <c r="K13" i="84" s="1"/>
  <c r="H61" i="66"/>
  <c r="H70" i="66" s="1"/>
  <c r="H72" i="66" s="1"/>
  <c r="O65" i="75"/>
  <c r="P186" i="94" s="1"/>
  <c r="E13" i="88"/>
  <c r="D12" i="88"/>
  <c r="O825" i="94"/>
  <c r="I1225" i="94"/>
  <c r="N1225" i="94"/>
  <c r="O827" i="94"/>
  <c r="O850" i="94"/>
  <c r="K467" i="73"/>
  <c r="H9" i="88"/>
  <c r="I9" i="88" s="1"/>
  <c r="K916" i="94"/>
  <c r="O914" i="94"/>
  <c r="O861" i="94"/>
  <c r="O154" i="75"/>
  <c r="J156" i="75"/>
  <c r="O156" i="75" s="1"/>
  <c r="I74" i="75"/>
  <c r="I836" i="94" s="1"/>
  <c r="O836" i="94"/>
  <c r="P836" i="94" s="1"/>
  <c r="P74" i="75"/>
  <c r="O67" i="75"/>
  <c r="P228" i="75" s="1"/>
  <c r="J159" i="75"/>
  <c r="J921" i="94" s="1"/>
  <c r="H7" i="88"/>
  <c r="P429" i="94"/>
  <c r="P415" i="93"/>
  <c r="G77" i="84"/>
  <c r="E77" i="84"/>
  <c r="C1054" i="94"/>
  <c r="C993" i="93"/>
  <c r="D39" i="74"/>
  <c r="E10" i="86" s="1"/>
  <c r="C81" i="84"/>
  <c r="C80" i="84"/>
  <c r="K77" i="84"/>
  <c r="D10" i="86"/>
  <c r="I77" i="84"/>
  <c r="J937" i="93" l="1"/>
  <c r="J939" i="93"/>
  <c r="N1211" i="94"/>
  <c r="K69" i="73"/>
  <c r="O1001" i="94"/>
  <c r="O1000" i="94"/>
  <c r="N1204" i="94"/>
  <c r="M1227" i="94" s="1"/>
  <c r="B22" i="74"/>
  <c r="E22" i="74" s="1"/>
  <c r="M231" i="75"/>
  <c r="K1227" i="94"/>
  <c r="H1060" i="94"/>
  <c r="G1070" i="94"/>
  <c r="H16" i="85"/>
  <c r="K972" i="93"/>
  <c r="K976" i="93" s="1"/>
  <c r="B1001" i="93"/>
  <c r="C999" i="93"/>
  <c r="B1000" i="93"/>
  <c r="B1007" i="93"/>
  <c r="B1005" i="93"/>
  <c r="H23" i="74"/>
  <c r="H1038" i="94" s="1"/>
  <c r="I13" i="74"/>
  <c r="H30" i="74"/>
  <c r="G1045" i="94"/>
  <c r="G53" i="82"/>
  <c r="G984" i="93"/>
  <c r="G986" i="93" s="1"/>
  <c r="J987" i="93"/>
  <c r="J991" i="93"/>
  <c r="P992" i="94"/>
  <c r="E172" i="90"/>
  <c r="E173" i="90" s="1"/>
  <c r="C66" i="84"/>
  <c r="K66" i="84" s="1"/>
  <c r="P936" i="93"/>
  <c r="P937" i="93" s="1"/>
  <c r="G134" i="78"/>
  <c r="P944" i="93"/>
  <c r="P945" i="93" s="1"/>
  <c r="E52" i="84"/>
  <c r="K1163" i="93"/>
  <c r="I1204" i="94"/>
  <c r="I52" i="84"/>
  <c r="K52" i="84"/>
  <c r="G15" i="74"/>
  <c r="G1030" i="94" s="1"/>
  <c r="D15" i="74"/>
  <c r="D1030" i="94" s="1"/>
  <c r="C15" i="74"/>
  <c r="H15" i="74"/>
  <c r="H1030" i="94" s="1"/>
  <c r="J4" i="91"/>
  <c r="B1030" i="94"/>
  <c r="I15" i="74"/>
  <c r="I1030" i="94" s="1"/>
  <c r="C53" i="84"/>
  <c r="F15" i="74"/>
  <c r="F1030" i="94" s="1"/>
  <c r="B21" i="74"/>
  <c r="P927" i="93" s="1"/>
  <c r="P932" i="93" s="1"/>
  <c r="B19" i="74"/>
  <c r="B1034" i="94" s="1"/>
  <c r="K5" i="74"/>
  <c r="C54" i="84"/>
  <c r="E15" i="74"/>
  <c r="E1030" i="94" s="1"/>
  <c r="P231" i="75"/>
  <c r="E1058" i="94"/>
  <c r="E997" i="93"/>
  <c r="F43" i="74"/>
  <c r="F1163" i="93"/>
  <c r="F1227" i="94"/>
  <c r="F69" i="73"/>
  <c r="I1211" i="94"/>
  <c r="H7" i="84"/>
  <c r="E47" i="92" s="1"/>
  <c r="K1704" i="94"/>
  <c r="I75" i="75"/>
  <c r="I837" i="94" s="1"/>
  <c r="O839" i="94"/>
  <c r="P839" i="94" s="1"/>
  <c r="M69" i="73"/>
  <c r="M1163" i="93" s="1"/>
  <c r="P76" i="75"/>
  <c r="I76" i="75"/>
  <c r="I838" i="94" s="1"/>
  <c r="I77" i="75"/>
  <c r="I839" i="94" s="1"/>
  <c r="O833" i="94"/>
  <c r="P833" i="94" s="1"/>
  <c r="G570" i="93"/>
  <c r="O837" i="94"/>
  <c r="P837" i="94" s="1"/>
  <c r="P43" i="78"/>
  <c r="I72" i="75"/>
  <c r="I834" i="94" s="1"/>
  <c r="O168" i="93"/>
  <c r="P72" i="75"/>
  <c r="P479" i="93"/>
  <c r="P73" i="75"/>
  <c r="P71" i="75"/>
  <c r="O835" i="94"/>
  <c r="P835" i="94" s="1"/>
  <c r="J993" i="94"/>
  <c r="I811" i="94"/>
  <c r="J994" i="94"/>
  <c r="J995" i="94"/>
  <c r="G579" i="94"/>
  <c r="F43" i="78"/>
  <c r="L1704" i="94"/>
  <c r="P1704" i="94" s="1"/>
  <c r="P1703" i="94" s="1"/>
  <c r="P1695" i="94" s="1"/>
  <c r="P2096" i="94" s="1"/>
  <c r="P2099" i="94" s="1"/>
  <c r="P488" i="94"/>
  <c r="P168" i="93"/>
  <c r="F479" i="93"/>
  <c r="P163" i="66"/>
  <c r="P161" i="66"/>
  <c r="L56" i="72"/>
  <c r="P56" i="72" s="1"/>
  <c r="P167" i="93"/>
  <c r="J56" i="72"/>
  <c r="K56" i="72"/>
  <c r="K1606" i="93" s="1"/>
  <c r="J1599" i="93"/>
  <c r="P154" i="78"/>
  <c r="P155" i="78" s="1"/>
  <c r="P157" i="78" s="1"/>
  <c r="F488" i="94"/>
  <c r="P162" i="66"/>
  <c r="P184" i="94"/>
  <c r="P185" i="94"/>
  <c r="H69" i="73"/>
  <c r="J590" i="93"/>
  <c r="J591" i="93" s="1"/>
  <c r="J593" i="93" s="1"/>
  <c r="M599" i="94"/>
  <c r="M600" i="94" s="1"/>
  <c r="M602" i="94" s="1"/>
  <c r="M590" i="93"/>
  <c r="M591" i="93" s="1"/>
  <c r="M593" i="93" s="1"/>
  <c r="P599" i="94"/>
  <c r="P600" i="94" s="1"/>
  <c r="P602" i="94" s="1"/>
  <c r="M154" i="78"/>
  <c r="M155" i="78" s="1"/>
  <c r="M157" i="78" s="1"/>
  <c r="J599" i="94"/>
  <c r="J600" i="94" s="1"/>
  <c r="J602" i="94" s="1"/>
  <c r="K918" i="94"/>
  <c r="O918" i="94" s="1"/>
  <c r="O916" i="94"/>
  <c r="J489" i="94"/>
  <c r="J44" i="78"/>
  <c r="J480" i="93"/>
  <c r="F480" i="93"/>
  <c r="F44" i="78"/>
  <c r="F489" i="94"/>
  <c r="J154" i="78"/>
  <c r="J155" i="78" s="1"/>
  <c r="G15" i="82" s="1"/>
  <c r="G19" i="82" s="1"/>
  <c r="P590" i="93"/>
  <c r="P591" i="93" s="1"/>
  <c r="P593" i="93" s="1"/>
  <c r="I7" i="88"/>
  <c r="I13" i="88" s="1"/>
  <c r="H12" i="88"/>
  <c r="D34" i="90" s="1"/>
  <c r="F54" i="89"/>
  <c r="D33" i="90" s="1"/>
  <c r="O155" i="72"/>
  <c r="H293" i="72"/>
  <c r="I49" i="75"/>
  <c r="I48" i="75"/>
  <c r="C13" i="84"/>
  <c r="O2081" i="94"/>
  <c r="O2082" i="94" s="1"/>
  <c r="N1625" i="94"/>
  <c r="M1464" i="94"/>
  <c r="L1464" i="94" s="1"/>
  <c r="F569" i="94"/>
  <c r="O227" i="73"/>
  <c r="N90" i="66"/>
  <c r="O427" i="72"/>
  <c r="O428" i="72" s="1"/>
  <c r="N87" i="66"/>
  <c r="O1980" i="93"/>
  <c r="O1981" i="93" s="1"/>
  <c r="E483" i="93"/>
  <c r="J1836" i="93"/>
  <c r="L1836" i="93" s="1"/>
  <c r="M1962" i="93"/>
  <c r="O1385" i="94"/>
  <c r="N467" i="73"/>
  <c r="F124" i="78"/>
  <c r="E47" i="78"/>
  <c r="O1975" i="93"/>
  <c r="O1976" i="93" s="1"/>
  <c r="O433" i="72"/>
  <c r="O434" i="72" s="1"/>
  <c r="O2075" i="94"/>
  <c r="O2076" i="94" s="1"/>
  <c r="M1467" i="94"/>
  <c r="L1467" i="94" s="1"/>
  <c r="E492" i="94"/>
  <c r="N110" i="94"/>
  <c r="L1951" i="93"/>
  <c r="J233" i="75"/>
  <c r="F560" i="93"/>
  <c r="M306" i="73"/>
  <c r="N97" i="93"/>
  <c r="D579" i="94"/>
  <c r="N113" i="94"/>
  <c r="D570" i="93"/>
  <c r="E78" i="78"/>
  <c r="M309" i="73"/>
  <c r="J231" i="75"/>
  <c r="N94" i="93"/>
  <c r="D134" i="78"/>
  <c r="J232" i="75"/>
  <c r="E523" i="94"/>
  <c r="J479" i="93"/>
  <c r="E514" i="93"/>
  <c r="J488" i="94"/>
  <c r="J43" i="78"/>
  <c r="N470" i="73"/>
  <c r="O470" i="73" s="1"/>
  <c r="N1628" i="94"/>
  <c r="O1628" i="94" s="1"/>
  <c r="H20" i="84"/>
  <c r="C20" i="84"/>
  <c r="D1054" i="94"/>
  <c r="D993" i="93"/>
  <c r="E39" i="74"/>
  <c r="A9" i="83"/>
  <c r="I22" i="74" l="1"/>
  <c r="F22" i="74"/>
  <c r="G13" i="86" s="1"/>
  <c r="H22" i="74"/>
  <c r="I13" i="86" s="1"/>
  <c r="G66" i="84"/>
  <c r="P993" i="94"/>
  <c r="M937" i="93"/>
  <c r="M993" i="94"/>
  <c r="C13" i="86"/>
  <c r="C22" i="74"/>
  <c r="C1037" i="94" s="1"/>
  <c r="D22" i="74"/>
  <c r="E13" i="86" s="1"/>
  <c r="G22" i="74"/>
  <c r="G1037" i="94" s="1"/>
  <c r="B1037" i="94"/>
  <c r="P947" i="93"/>
  <c r="K978" i="93"/>
  <c r="K992" i="93"/>
  <c r="I66" i="84"/>
  <c r="B1002" i="93"/>
  <c r="B1006" i="93" s="1"/>
  <c r="B1022" i="93" s="1"/>
  <c r="C1000" i="93"/>
  <c r="C1005" i="93"/>
  <c r="D999" i="93"/>
  <c r="C1007" i="93"/>
  <c r="C1001" i="93"/>
  <c r="H1045" i="94"/>
  <c r="I30" i="74"/>
  <c r="H53" i="82"/>
  <c r="H984" i="93"/>
  <c r="H986" i="93" s="1"/>
  <c r="E26" i="89"/>
  <c r="I23" i="74"/>
  <c r="I1038" i="94" s="1"/>
  <c r="J13" i="74"/>
  <c r="I14" i="74"/>
  <c r="I1029" i="94" s="1"/>
  <c r="E66" i="84"/>
  <c r="I1060" i="94"/>
  <c r="H1070" i="94"/>
  <c r="H1227" i="94"/>
  <c r="N929" i="93"/>
  <c r="F16" i="74"/>
  <c r="F1031" i="94" s="1"/>
  <c r="G16" i="74"/>
  <c r="G21" i="74" s="1"/>
  <c r="G1036" i="94" s="1"/>
  <c r="K7" i="74"/>
  <c r="N928" i="93"/>
  <c r="P221" i="75"/>
  <c r="B1036" i="94"/>
  <c r="E16" i="74"/>
  <c r="D16" i="74"/>
  <c r="D1031" i="94" s="1"/>
  <c r="C56" i="84"/>
  <c r="C64" i="84" s="1"/>
  <c r="E53" i="84"/>
  <c r="E54" i="84" s="1"/>
  <c r="G53" i="84"/>
  <c r="O933" i="93"/>
  <c r="M932" i="93"/>
  <c r="C1030" i="94"/>
  <c r="C16" i="74"/>
  <c r="K53" i="84"/>
  <c r="I53" i="84"/>
  <c r="I54" i="84" s="1"/>
  <c r="H16" i="74"/>
  <c r="F997" i="93"/>
  <c r="F1058" i="94"/>
  <c r="G43" i="74"/>
  <c r="P1654" i="94"/>
  <c r="L1606" i="93"/>
  <c r="O56" i="72"/>
  <c r="O1704" i="94" s="1"/>
  <c r="J157" i="78"/>
  <c r="J158" i="78" s="1"/>
  <c r="J603" i="94" s="1"/>
  <c r="J594" i="93"/>
  <c r="H1037" i="94"/>
  <c r="P63" i="73"/>
  <c r="H1163" i="93"/>
  <c r="C33" i="86"/>
  <c r="I1037" i="94"/>
  <c r="E1037" i="94"/>
  <c r="F13" i="86"/>
  <c r="D13" i="86"/>
  <c r="O293" i="72"/>
  <c r="H1941" i="94"/>
  <c r="P293" i="72"/>
  <c r="M1399" i="93"/>
  <c r="L1399" i="93" s="1"/>
  <c r="L309" i="73"/>
  <c r="K19" i="88"/>
  <c r="F52" i="89"/>
  <c r="F16" i="85"/>
  <c r="D17" i="83"/>
  <c r="H19" i="84"/>
  <c r="C19" i="84"/>
  <c r="O153" i="72"/>
  <c r="O1803" i="94"/>
  <c r="O1709" i="93"/>
  <c r="P55" i="72"/>
  <c r="P1606" i="93"/>
  <c r="L306" i="73"/>
  <c r="M1395" i="93"/>
  <c r="L1395" i="93" s="1"/>
  <c r="K470" i="73"/>
  <c r="N469" i="73"/>
  <c r="N1627" i="94"/>
  <c r="K1628" i="94"/>
  <c r="D35" i="90"/>
  <c r="I64" i="92" s="1"/>
  <c r="D55" i="92"/>
  <c r="E1054" i="94"/>
  <c r="E993" i="93"/>
  <c r="F39" i="74"/>
  <c r="F10" i="86"/>
  <c r="F1037" i="94" l="1"/>
  <c r="H13" i="86"/>
  <c r="D1037" i="94"/>
  <c r="F21" i="74"/>
  <c r="F1036" i="94" s="1"/>
  <c r="E999" i="93"/>
  <c r="D1000" i="93"/>
  <c r="D1007" i="93"/>
  <c r="D1005" i="93"/>
  <c r="D1001" i="93"/>
  <c r="K987" i="93"/>
  <c r="K991" i="93"/>
  <c r="O55" i="72"/>
  <c r="O1605" i="93" s="1"/>
  <c r="C1002" i="93"/>
  <c r="C1006" i="93" s="1"/>
  <c r="C1022" i="93" s="1"/>
  <c r="B1008" i="93"/>
  <c r="I1045" i="94"/>
  <c r="J30" i="74"/>
  <c r="I984" i="93"/>
  <c r="I986" i="93" s="1"/>
  <c r="I53" i="82"/>
  <c r="I16" i="74"/>
  <c r="I1031" i="94" s="1"/>
  <c r="I1070" i="94"/>
  <c r="J1060" i="94"/>
  <c r="J23" i="74"/>
  <c r="J1038" i="94" s="1"/>
  <c r="K13" i="74"/>
  <c r="J14" i="74"/>
  <c r="J22" i="74"/>
  <c r="J15" i="74"/>
  <c r="J1030" i="94" s="1"/>
  <c r="O1606" i="93"/>
  <c r="F19" i="74"/>
  <c r="F1034" i="94" s="1"/>
  <c r="G19" i="74"/>
  <c r="G1034" i="94" s="1"/>
  <c r="G1031" i="94"/>
  <c r="I21" i="74"/>
  <c r="I1036" i="94" s="1"/>
  <c r="D19" i="74"/>
  <c r="D1034" i="94" s="1"/>
  <c r="E56" i="84"/>
  <c r="E64" i="84" s="1"/>
  <c r="D21" i="74"/>
  <c r="D1036" i="94" s="1"/>
  <c r="E19" i="74"/>
  <c r="E1034" i="94" s="1"/>
  <c r="E1031" i="94"/>
  <c r="E21" i="74"/>
  <c r="E1036" i="94" s="1"/>
  <c r="P983" i="94"/>
  <c r="N222" i="75"/>
  <c r="P226" i="75"/>
  <c r="C68" i="84"/>
  <c r="N223" i="75"/>
  <c r="H1031" i="94"/>
  <c r="H21" i="74"/>
  <c r="H1036" i="94" s="1"/>
  <c r="K54" i="84"/>
  <c r="K56" i="84" s="1"/>
  <c r="K64" i="84" s="1"/>
  <c r="I56" i="84"/>
  <c r="I64" i="84" s="1"/>
  <c r="C1031" i="94"/>
  <c r="C19" i="74"/>
  <c r="C1034" i="94" s="1"/>
  <c r="C21" i="74"/>
  <c r="C1036" i="94" s="1"/>
  <c r="G54" i="84"/>
  <c r="G56" i="84" s="1"/>
  <c r="G64" i="84" s="1"/>
  <c r="H19" i="74"/>
  <c r="H1034" i="94" s="1"/>
  <c r="G1058" i="94"/>
  <c r="G997" i="93"/>
  <c r="H43" i="74"/>
  <c r="P1221" i="94"/>
  <c r="J607" i="94"/>
  <c r="K13" i="88"/>
  <c r="J598" i="93"/>
  <c r="P1157" i="93"/>
  <c r="J162" i="78"/>
  <c r="J163" i="78" s="1"/>
  <c r="O1801" i="94"/>
  <c r="E12" i="72"/>
  <c r="O1707" i="93"/>
  <c r="K235" i="72"/>
  <c r="P1836" i="93"/>
  <c r="P277" i="72"/>
  <c r="P1605" i="93"/>
  <c r="P47" i="72"/>
  <c r="O277" i="72"/>
  <c r="O189" i="72" s="1"/>
  <c r="O1941" i="94"/>
  <c r="O1836" i="93"/>
  <c r="I39" i="88"/>
  <c r="K38" i="88" s="1"/>
  <c r="K21" i="88"/>
  <c r="K30" i="88" s="1"/>
  <c r="K34" i="88" s="1"/>
  <c r="F1054" i="94"/>
  <c r="F993" i="93"/>
  <c r="G39" i="74"/>
  <c r="G10" i="86"/>
  <c r="O1703" i="94" l="1"/>
  <c r="O47" i="72"/>
  <c r="O1695" i="94" s="1"/>
  <c r="R1695" i="94" s="1"/>
  <c r="I19" i="74"/>
  <c r="I1034" i="94" s="1"/>
  <c r="D33" i="86"/>
  <c r="J1037" i="94"/>
  <c r="J1029" i="94"/>
  <c r="J16" i="74"/>
  <c r="B1017" i="93"/>
  <c r="B1021" i="93"/>
  <c r="J1045" i="94"/>
  <c r="K30" i="74"/>
  <c r="J53" i="82"/>
  <c r="J984" i="93"/>
  <c r="J986" i="93" s="1"/>
  <c r="K23" i="74"/>
  <c r="K1038" i="94" s="1"/>
  <c r="B45" i="74"/>
  <c r="K14" i="74"/>
  <c r="K22" i="74"/>
  <c r="K15" i="74"/>
  <c r="K1030" i="94" s="1"/>
  <c r="K1060" i="94"/>
  <c r="J1070" i="94"/>
  <c r="C1008" i="93"/>
  <c r="D1002" i="93"/>
  <c r="D1006" i="93" s="1"/>
  <c r="D1022" i="93" s="1"/>
  <c r="E1007" i="93"/>
  <c r="E1005" i="93"/>
  <c r="E1001" i="93"/>
  <c r="F999" i="93"/>
  <c r="E1000" i="93"/>
  <c r="I68" i="84"/>
  <c r="I70" i="84" s="1"/>
  <c r="G68" i="84"/>
  <c r="G70" i="84" s="1"/>
  <c r="E68" i="84"/>
  <c r="E70" i="84" s="1"/>
  <c r="K68" i="84"/>
  <c r="K70" i="84" s="1"/>
  <c r="M226" i="75"/>
  <c r="F567" i="94"/>
  <c r="F558" i="93"/>
  <c r="F557" i="93"/>
  <c r="P241" i="75"/>
  <c r="B20" i="74"/>
  <c r="B975" i="93"/>
  <c r="F122" i="78"/>
  <c r="F566" i="94"/>
  <c r="O227" i="75"/>
  <c r="F121" i="78"/>
  <c r="P988" i="94"/>
  <c r="N985" i="94"/>
  <c r="N984" i="94"/>
  <c r="C70" i="84"/>
  <c r="H1058" i="94"/>
  <c r="H997" i="93"/>
  <c r="I43" i="74"/>
  <c r="J608" i="94"/>
  <c r="G162" i="78"/>
  <c r="J599" i="93"/>
  <c r="J165" i="78"/>
  <c r="J167" i="78" s="1"/>
  <c r="K231" i="72"/>
  <c r="K1783" i="93" s="1"/>
  <c r="O1837" i="94"/>
  <c r="O1743" i="93"/>
  <c r="E13" i="72"/>
  <c r="O1597" i="93"/>
  <c r="R47" i="72"/>
  <c r="O448" i="72"/>
  <c r="L236" i="72"/>
  <c r="P1824" i="93"/>
  <c r="P189" i="72"/>
  <c r="P1597" i="93"/>
  <c r="K236" i="72"/>
  <c r="O1925" i="94"/>
  <c r="O1824" i="93"/>
  <c r="L229" i="72"/>
  <c r="L1877" i="94" s="1"/>
  <c r="G1054" i="94"/>
  <c r="G993" i="93"/>
  <c r="H39" i="74"/>
  <c r="I10" i="86" s="1"/>
  <c r="H10" i="86"/>
  <c r="D1008" i="93" l="1"/>
  <c r="K1029" i="94"/>
  <c r="K16" i="74"/>
  <c r="K21" i="74" s="1"/>
  <c r="K1036" i="94" s="1"/>
  <c r="B55" i="74"/>
  <c r="C45" i="74"/>
  <c r="B46" i="74"/>
  <c r="B47" i="74"/>
  <c r="B1062" i="94" s="1"/>
  <c r="B54" i="74"/>
  <c r="J19" i="74"/>
  <c r="J1034" i="94" s="1"/>
  <c r="J1031" i="94"/>
  <c r="E1002" i="93"/>
  <c r="E1006" i="93" s="1"/>
  <c r="E1022" i="93" s="1"/>
  <c r="C1021" i="93"/>
  <c r="C1017" i="93"/>
  <c r="F1007" i="93"/>
  <c r="F1005" i="93"/>
  <c r="F1001" i="93"/>
  <c r="F1000" i="93"/>
  <c r="G999" i="93"/>
  <c r="B1092" i="94"/>
  <c r="K1070" i="94"/>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984" i="93"/>
  <c r="K986" i="93" s="1"/>
  <c r="B62" i="74"/>
  <c r="K53" i="82"/>
  <c r="E33" i="86"/>
  <c r="K1037" i="94"/>
  <c r="J21" i="74"/>
  <c r="J1036" i="94" s="1"/>
  <c r="G72" i="84"/>
  <c r="G76" i="84"/>
  <c r="G73" i="84" s="1"/>
  <c r="K72" i="84"/>
  <c r="K76" i="84"/>
  <c r="K73" i="84" s="1"/>
  <c r="C76" i="84"/>
  <c r="C73" i="84" s="1"/>
  <c r="C72" i="84"/>
  <c r="I76" i="84"/>
  <c r="I73" i="84" s="1"/>
  <c r="I72" i="84"/>
  <c r="E20" i="74"/>
  <c r="I20" i="74"/>
  <c r="J20" i="74"/>
  <c r="H20" i="74"/>
  <c r="F20" i="74"/>
  <c r="B24" i="74"/>
  <c r="K20" i="74"/>
  <c r="C52" i="74"/>
  <c r="D20" i="74"/>
  <c r="G20" i="74"/>
  <c r="B38" i="74"/>
  <c r="B1053" i="94" s="1"/>
  <c r="B1035" i="94"/>
  <c r="B1039" i="94" s="1"/>
  <c r="C20" i="74"/>
  <c r="B52" i="74"/>
  <c r="M988" i="94"/>
  <c r="O989" i="94"/>
  <c r="P1003" i="94"/>
  <c r="B978" i="93"/>
  <c r="B992" i="93"/>
  <c r="E72" i="84"/>
  <c r="E76" i="84"/>
  <c r="E73" i="84" s="1"/>
  <c r="I1058" i="94"/>
  <c r="I997" i="93"/>
  <c r="J43" i="74"/>
  <c r="B15" i="82"/>
  <c r="J169" i="78"/>
  <c r="J171" i="78" s="1"/>
  <c r="G598" i="93"/>
  <c r="J601" i="93"/>
  <c r="J603" i="93" s="1"/>
  <c r="J605" i="93" s="1"/>
  <c r="J607" i="93" s="1"/>
  <c r="G607" i="94"/>
  <c r="J610" i="94"/>
  <c r="J612" i="94" s="1"/>
  <c r="J614" i="94" s="1"/>
  <c r="J616" i="94" s="1"/>
  <c r="P1743" i="93"/>
  <c r="P1995" i="93" s="1"/>
  <c r="L231" i="72"/>
  <c r="L1783" i="93" s="1"/>
  <c r="O2096" i="94"/>
  <c r="O1654" i="94" s="1"/>
  <c r="O6" i="72"/>
  <c r="R1995" i="93"/>
  <c r="P448" i="72"/>
  <c r="R1597" i="93"/>
  <c r="O1995" i="93"/>
  <c r="O1560" i="93" s="1"/>
  <c r="H1054" i="94"/>
  <c r="H993" i="93"/>
  <c r="I39" i="74"/>
  <c r="C1092" i="94" l="1"/>
  <c r="B1102" i="94"/>
  <c r="B1061" i="94"/>
  <c r="B48" i="74"/>
  <c r="B1063" i="94" s="1"/>
  <c r="H999" i="93"/>
  <c r="G1005" i="93"/>
  <c r="G1000" i="93"/>
  <c r="G1001" i="93"/>
  <c r="G1007" i="93"/>
  <c r="E1008" i="93"/>
  <c r="C55" i="74"/>
  <c r="D45" i="74"/>
  <c r="C46" i="74"/>
  <c r="C47" i="74"/>
  <c r="C1062" i="94" s="1"/>
  <c r="C54" i="74"/>
  <c r="F1006" i="93"/>
  <c r="F1022" i="93" s="1"/>
  <c r="F1002" i="93"/>
  <c r="F1008" i="93" s="1"/>
  <c r="B73" i="82"/>
  <c r="B1014" i="93"/>
  <c r="B1016" i="93" s="1"/>
  <c r="C62" i="74"/>
  <c r="K19" i="74"/>
  <c r="K1034" i="94" s="1"/>
  <c r="K1031" i="94"/>
  <c r="B1069" i="94"/>
  <c r="F33" i="86"/>
  <c r="D1021" i="93"/>
  <c r="D1017" i="93"/>
  <c r="B1067" i="94"/>
  <c r="F24" i="74"/>
  <c r="F38" i="74"/>
  <c r="F1053" i="94" s="1"/>
  <c r="F1035" i="94"/>
  <c r="F1039" i="94" s="1"/>
  <c r="C1067" i="94"/>
  <c r="B33" i="74"/>
  <c r="B1048" i="94" s="1"/>
  <c r="B44" i="82"/>
  <c r="B37" i="74"/>
  <c r="B1052" i="94" s="1"/>
  <c r="B32" i="74"/>
  <c r="C1035" i="94"/>
  <c r="C1039" i="94" s="1"/>
  <c r="C38" i="74"/>
  <c r="C1053" i="94" s="1"/>
  <c r="C24" i="74"/>
  <c r="H38" i="74"/>
  <c r="H1053" i="94" s="1"/>
  <c r="H1035" i="94"/>
  <c r="H1039" i="94" s="1"/>
  <c r="H24" i="74"/>
  <c r="I24" i="74"/>
  <c r="I38" i="74"/>
  <c r="I1053" i="94" s="1"/>
  <c r="I1035" i="94"/>
  <c r="I1039" i="94" s="1"/>
  <c r="B987" i="93"/>
  <c r="B991" i="93"/>
  <c r="B986" i="93"/>
  <c r="G1035" i="94"/>
  <c r="G1039" i="94" s="1"/>
  <c r="G38" i="74"/>
  <c r="G1053" i="94" s="1"/>
  <c r="G24" i="74"/>
  <c r="D24" i="74"/>
  <c r="D1035" i="94"/>
  <c r="D1039" i="94" s="1"/>
  <c r="D38" i="74"/>
  <c r="D1053" i="94" s="1"/>
  <c r="K38" i="74"/>
  <c r="K1053" i="94" s="1"/>
  <c r="K1035" i="94"/>
  <c r="J38" i="74"/>
  <c r="J1053" i="94" s="1"/>
  <c r="J24" i="74"/>
  <c r="J1035" i="94"/>
  <c r="J1039" i="94" s="1"/>
  <c r="E1035" i="94"/>
  <c r="E1039" i="94" s="1"/>
  <c r="E24" i="74"/>
  <c r="E38" i="74"/>
  <c r="E1053" i="94" s="1"/>
  <c r="J997" i="93"/>
  <c r="J1058" i="94"/>
  <c r="K43" i="74"/>
  <c r="M173" i="78"/>
  <c r="J175" i="78"/>
  <c r="M618" i="94"/>
  <c r="J620" i="94"/>
  <c r="E544" i="94" s="1"/>
  <c r="J544" i="94" s="1"/>
  <c r="J611" i="93"/>
  <c r="E535" i="93" s="1"/>
  <c r="J535" i="93" s="1"/>
  <c r="M609" i="93"/>
  <c r="P1998" i="93"/>
  <c r="P1560" i="93"/>
  <c r="P451" i="72"/>
  <c r="P6" i="72"/>
  <c r="I1054" i="94"/>
  <c r="I993" i="93"/>
  <c r="J39" i="74"/>
  <c r="C30" i="86"/>
  <c r="K24" i="74" l="1"/>
  <c r="K37" i="74" s="1"/>
  <c r="K1052" i="94" s="1"/>
  <c r="K1039" i="94"/>
  <c r="B53" i="74"/>
  <c r="B1068" i="94" s="1"/>
  <c r="B51" i="74"/>
  <c r="B1066" i="94" s="1"/>
  <c r="F1021" i="93"/>
  <c r="F1017" i="93"/>
  <c r="D62" i="74"/>
  <c r="C73" i="82"/>
  <c r="C1014" i="93"/>
  <c r="C1016" i="93" s="1"/>
  <c r="C1061" i="94"/>
  <c r="C48" i="74"/>
  <c r="C1063" i="94" s="1"/>
  <c r="H1000" i="93"/>
  <c r="H1001" i="93"/>
  <c r="H1005" i="93"/>
  <c r="H1007" i="93"/>
  <c r="I999" i="93"/>
  <c r="D55" i="74"/>
  <c r="E45" i="74"/>
  <c r="D46" i="74"/>
  <c r="D54" i="74"/>
  <c r="D47" i="74"/>
  <c r="D1062" i="94" s="1"/>
  <c r="D52" i="74"/>
  <c r="D1067" i="94" s="1"/>
  <c r="E1017" i="93"/>
  <c r="E1021" i="93"/>
  <c r="G33" i="86"/>
  <c r="C1069" i="94"/>
  <c r="G1006" i="93"/>
  <c r="G1022" i="93" s="1"/>
  <c r="G1002" i="93"/>
  <c r="G1008" i="93" s="1"/>
  <c r="D1092" i="94"/>
  <c r="C1102" i="94"/>
  <c r="S20" i="74"/>
  <c r="B1047" i="94"/>
  <c r="C9" i="86"/>
  <c r="C17" i="86" s="1"/>
  <c r="C18" i="86" s="1"/>
  <c r="C20" i="86" s="1"/>
  <c r="C24" i="86" s="1"/>
  <c r="K6" i="86" s="1"/>
  <c r="G66" i="86" s="1"/>
  <c r="N85" i="85" s="1"/>
  <c r="G32" i="74"/>
  <c r="G44" i="82"/>
  <c r="G37" i="74"/>
  <c r="G1052" i="94" s="1"/>
  <c r="G33" i="74"/>
  <c r="G1048" i="94" s="1"/>
  <c r="I33" i="74"/>
  <c r="I1048" i="94" s="1"/>
  <c r="I44" i="82"/>
  <c r="I37" i="74"/>
  <c r="I1052" i="94" s="1"/>
  <c r="I32" i="74"/>
  <c r="C33" i="74"/>
  <c r="C1048" i="94" s="1"/>
  <c r="C32" i="74"/>
  <c r="C44" i="82"/>
  <c r="C37" i="74"/>
  <c r="C1052" i="94" s="1"/>
  <c r="F33" i="74"/>
  <c r="F1048" i="94" s="1"/>
  <c r="F44" i="82"/>
  <c r="F32" i="74"/>
  <c r="F37" i="74"/>
  <c r="F1052" i="94" s="1"/>
  <c r="S983" i="93"/>
  <c r="S981" i="93"/>
  <c r="S977" i="93"/>
  <c r="S979" i="93"/>
  <c r="S986" i="93"/>
  <c r="S976" i="93"/>
  <c r="S982" i="93"/>
  <c r="S978" i="93"/>
  <c r="S980" i="93"/>
  <c r="S984" i="93"/>
  <c r="S975" i="93"/>
  <c r="S985" i="93"/>
  <c r="H33" i="74"/>
  <c r="H1048" i="94" s="1"/>
  <c r="H44" i="82"/>
  <c r="H32" i="74"/>
  <c r="H37" i="74"/>
  <c r="H1052" i="94" s="1"/>
  <c r="B51" i="82"/>
  <c r="B46" i="82"/>
  <c r="E32" i="74"/>
  <c r="E33" i="74"/>
  <c r="E1048" i="94" s="1"/>
  <c r="E37" i="74"/>
  <c r="E1052" i="94" s="1"/>
  <c r="E44" i="82"/>
  <c r="D37" i="74"/>
  <c r="D1052" i="94" s="1"/>
  <c r="D32" i="74"/>
  <c r="D44" i="82"/>
  <c r="D33" i="74"/>
  <c r="D1048" i="94" s="1"/>
  <c r="J32" i="74"/>
  <c r="J44" i="82"/>
  <c r="J33" i="74"/>
  <c r="J1048" i="94" s="1"/>
  <c r="J37" i="74"/>
  <c r="J1052" i="94" s="1"/>
  <c r="K1058" i="94"/>
  <c r="K997" i="93"/>
  <c r="B75" i="74"/>
  <c r="E99" i="78"/>
  <c r="J99" i="78" s="1"/>
  <c r="I9" i="66"/>
  <c r="I32" i="94" s="1"/>
  <c r="M61" i="85"/>
  <c r="P61" i="85" s="1"/>
  <c r="L427" i="94"/>
  <c r="N427" i="94" s="1"/>
  <c r="I20" i="93"/>
  <c r="L412" i="93"/>
  <c r="N412" i="93" s="1"/>
  <c r="L413" i="93"/>
  <c r="N413" i="93" s="1"/>
  <c r="L49" i="68"/>
  <c r="L50" i="68"/>
  <c r="N50" i="68" s="1"/>
  <c r="C21" i="86"/>
  <c r="L426" i="94"/>
  <c r="N426" i="94" s="1"/>
  <c r="J1054" i="94"/>
  <c r="J993" i="93"/>
  <c r="K39" i="74"/>
  <c r="D30" i="86"/>
  <c r="K33" i="74" l="1"/>
  <c r="K1048" i="94" s="1"/>
  <c r="K44" i="82"/>
  <c r="K51" i="82" s="1"/>
  <c r="K32" i="74"/>
  <c r="S30" i="74" s="1"/>
  <c r="B70" i="74"/>
  <c r="B1085" i="94" s="1"/>
  <c r="B1071" i="94"/>
  <c r="C53" i="74"/>
  <c r="C70" i="74" s="1"/>
  <c r="C1085" i="94" s="1"/>
  <c r="B56" i="74"/>
  <c r="G1021" i="93"/>
  <c r="G1017" i="93"/>
  <c r="D73" i="82"/>
  <c r="D1014" i="93"/>
  <c r="D1016" i="93" s="1"/>
  <c r="E62" i="74"/>
  <c r="H33" i="86"/>
  <c r="D1069" i="94"/>
  <c r="H1002" i="93"/>
  <c r="H1006" i="93" s="1"/>
  <c r="D1061" i="94"/>
  <c r="D48" i="74"/>
  <c r="D1063" i="94" s="1"/>
  <c r="C51" i="74"/>
  <c r="E55" i="74"/>
  <c r="F45" i="74"/>
  <c r="E46" i="74"/>
  <c r="E47" i="74"/>
  <c r="E1062" i="94" s="1"/>
  <c r="E54" i="74"/>
  <c r="E52" i="74"/>
  <c r="E1067" i="94" s="1"/>
  <c r="D1102" i="94"/>
  <c r="E1092" i="94"/>
  <c r="I1007" i="93"/>
  <c r="I1005" i="93"/>
  <c r="I1001" i="93"/>
  <c r="J999" i="93"/>
  <c r="I1000" i="93"/>
  <c r="S28" i="74"/>
  <c r="D51" i="82"/>
  <c r="D46" i="82"/>
  <c r="I9" i="86"/>
  <c r="I17" i="86" s="1"/>
  <c r="I18" i="86" s="1"/>
  <c r="I20" i="86" s="1"/>
  <c r="I24" i="86" s="1"/>
  <c r="K12" i="86" s="1"/>
  <c r="H1047" i="94"/>
  <c r="C51" i="82"/>
  <c r="C46" i="82"/>
  <c r="S24" i="74"/>
  <c r="E51" i="82"/>
  <c r="E46" i="82"/>
  <c r="F51" i="82"/>
  <c r="F46" i="82"/>
  <c r="C29" i="86"/>
  <c r="C37" i="86" s="1"/>
  <c r="C38" i="86" s="1"/>
  <c r="C40" i="86" s="1"/>
  <c r="C44" i="86" s="1"/>
  <c r="K13" i="86" s="1"/>
  <c r="I1047" i="94"/>
  <c r="J51" i="82"/>
  <c r="J46" i="82"/>
  <c r="E9" i="86"/>
  <c r="E17" i="86" s="1"/>
  <c r="E18" i="86" s="1"/>
  <c r="E20" i="86" s="1"/>
  <c r="E24" i="86" s="1"/>
  <c r="K8" i="86" s="1"/>
  <c r="D1047" i="94"/>
  <c r="H46" i="82"/>
  <c r="H51" i="82"/>
  <c r="C1047" i="94"/>
  <c r="D9" i="86"/>
  <c r="D17" i="86" s="1"/>
  <c r="D18" i="86" s="1"/>
  <c r="D20" i="86" s="1"/>
  <c r="D24" i="86" s="1"/>
  <c r="K7" i="86" s="1"/>
  <c r="I51" i="82"/>
  <c r="I46" i="82"/>
  <c r="G46" i="82"/>
  <c r="G51" i="82"/>
  <c r="S21" i="74"/>
  <c r="S29" i="74"/>
  <c r="S25" i="74"/>
  <c r="K46" i="82"/>
  <c r="D29" i="86"/>
  <c r="D37" i="86" s="1"/>
  <c r="D38" i="86" s="1"/>
  <c r="D40" i="86" s="1"/>
  <c r="D44" i="86" s="1"/>
  <c r="K14" i="86" s="1"/>
  <c r="J1047" i="94"/>
  <c r="E1047" i="94"/>
  <c r="F9" i="86"/>
  <c r="F17" i="86" s="1"/>
  <c r="F18" i="86" s="1"/>
  <c r="F20" i="86" s="1"/>
  <c r="F24" i="86" s="1"/>
  <c r="K9" i="86" s="1"/>
  <c r="G9" i="86"/>
  <c r="G17" i="86" s="1"/>
  <c r="G18" i="86" s="1"/>
  <c r="G20" i="86" s="1"/>
  <c r="G24" i="86" s="1"/>
  <c r="K10" i="86" s="1"/>
  <c r="F1047" i="94"/>
  <c r="H9" i="86"/>
  <c r="H17" i="86" s="1"/>
  <c r="H18" i="86" s="1"/>
  <c r="H20" i="86" s="1"/>
  <c r="H24" i="86" s="1"/>
  <c r="K11" i="86" s="1"/>
  <c r="G1047" i="94"/>
  <c r="S22" i="74"/>
  <c r="S26" i="74"/>
  <c r="S27" i="74"/>
  <c r="B1090" i="94"/>
  <c r="B1027" i="93"/>
  <c r="C75" i="74"/>
  <c r="C22" i="86"/>
  <c r="C42" i="86" s="1"/>
  <c r="D42" i="86" s="1"/>
  <c r="E42" i="86" s="1"/>
  <c r="D21" i="86"/>
  <c r="C41" i="86"/>
  <c r="D41" i="86" s="1"/>
  <c r="E41" i="86" s="1"/>
  <c r="N49" i="68"/>
  <c r="B14" i="82"/>
  <c r="K1054" i="94"/>
  <c r="K993" i="93"/>
  <c r="B71" i="74"/>
  <c r="E30" i="86"/>
  <c r="C1068" i="94" l="1"/>
  <c r="K1047" i="94"/>
  <c r="E29" i="86"/>
  <c r="E37" i="86" s="1"/>
  <c r="E38" i="86" s="1"/>
  <c r="E40" i="86" s="1"/>
  <c r="E44" i="86" s="1"/>
  <c r="K15" i="86" s="1"/>
  <c r="B64" i="82"/>
  <c r="B64" i="74"/>
  <c r="B65" i="74"/>
  <c r="B1080" i="94" s="1"/>
  <c r="B69" i="74"/>
  <c r="B1084" i="94" s="1"/>
  <c r="H1008" i="93"/>
  <c r="H1022" i="93"/>
  <c r="D53" i="74"/>
  <c r="E1014" i="93"/>
  <c r="E1016" i="93" s="1"/>
  <c r="S988" i="93" s="1"/>
  <c r="E73" i="82"/>
  <c r="F62" i="74"/>
  <c r="J1007" i="93"/>
  <c r="J1005" i="93"/>
  <c r="J1001" i="93"/>
  <c r="K999" i="93"/>
  <c r="J1000" i="93"/>
  <c r="I1002" i="93"/>
  <c r="I1006" i="93" s="1"/>
  <c r="I1022" i="93" s="1"/>
  <c r="E1061" i="94"/>
  <c r="E48" i="74"/>
  <c r="E1063" i="94" s="1"/>
  <c r="E1069" i="94"/>
  <c r="I33" i="86"/>
  <c r="S987" i="93"/>
  <c r="G45" i="74"/>
  <c r="F55" i="74"/>
  <c r="F46" i="74"/>
  <c r="F54" i="74"/>
  <c r="F47" i="74"/>
  <c r="F1062" i="94" s="1"/>
  <c r="F52" i="74"/>
  <c r="F1067" i="94" s="1"/>
  <c r="F1092" i="94"/>
  <c r="E1102" i="94"/>
  <c r="C1066" i="94"/>
  <c r="C1071" i="94" s="1"/>
  <c r="C56" i="74"/>
  <c r="D51" i="74"/>
  <c r="B25" i="82"/>
  <c r="G52" i="82" s="1"/>
  <c r="G54" i="82" s="1"/>
  <c r="G55" i="82" s="1"/>
  <c r="G56" i="82" s="1"/>
  <c r="C1090" i="94"/>
  <c r="C1027" i="93"/>
  <c r="D75" i="74"/>
  <c r="D22" i="86"/>
  <c r="E21" i="86"/>
  <c r="B20" i="82"/>
  <c r="B21" i="82" s="1"/>
  <c r="G20" i="82"/>
  <c r="B1086" i="94"/>
  <c r="B1023" i="93"/>
  <c r="C71" i="74"/>
  <c r="F30" i="86"/>
  <c r="E53" i="74" l="1"/>
  <c r="E56" i="74" s="1"/>
  <c r="E51" i="74"/>
  <c r="E1066" i="94" s="1"/>
  <c r="F29" i="86"/>
  <c r="F37" i="86" s="1"/>
  <c r="F38" i="86" s="1"/>
  <c r="F40" i="86" s="1"/>
  <c r="F44" i="86" s="1"/>
  <c r="K16" i="86" s="1"/>
  <c r="B1079" i="94"/>
  <c r="S31" i="74"/>
  <c r="B71" i="82"/>
  <c r="B66" i="82"/>
  <c r="D1066" i="94"/>
  <c r="D56" i="74"/>
  <c r="F1061" i="94"/>
  <c r="F48" i="74"/>
  <c r="F1063" i="94" s="1"/>
  <c r="C64" i="74"/>
  <c r="C69" i="74"/>
  <c r="C1084" i="94" s="1"/>
  <c r="C64" i="82"/>
  <c r="C65" i="74"/>
  <c r="C1080" i="94" s="1"/>
  <c r="I1008" i="93"/>
  <c r="F73" i="82"/>
  <c r="G62" i="74"/>
  <c r="F1014" i="93"/>
  <c r="F1016" i="93" s="1"/>
  <c r="G55" i="74"/>
  <c r="H45" i="74"/>
  <c r="G46" i="74"/>
  <c r="G47" i="74"/>
  <c r="G1062" i="94" s="1"/>
  <c r="G54" i="74"/>
  <c r="G52" i="74"/>
  <c r="G1067" i="94" s="1"/>
  <c r="F1102" i="94"/>
  <c r="G1092" i="94"/>
  <c r="J1006" i="93"/>
  <c r="J1022" i="93" s="1"/>
  <c r="J1002" i="93"/>
  <c r="J1008" i="93" s="1"/>
  <c r="D1068" i="94"/>
  <c r="D70" i="74"/>
  <c r="D1085" i="94" s="1"/>
  <c r="K1000" i="93"/>
  <c r="K1005" i="93"/>
  <c r="K1001" i="93"/>
  <c r="K1007" i="93"/>
  <c r="B1029" i="93"/>
  <c r="C53" i="86"/>
  <c r="F1069" i="94"/>
  <c r="H1017" i="93"/>
  <c r="H1021" i="93"/>
  <c r="C72" i="82"/>
  <c r="K52" i="82"/>
  <c r="K54" i="82" s="1"/>
  <c r="K55" i="82" s="1"/>
  <c r="K56" i="82" s="1"/>
  <c r="B26" i="82"/>
  <c r="B28" i="82" s="1"/>
  <c r="B29" i="82" s="1"/>
  <c r="F52" i="82"/>
  <c r="F54" i="82" s="1"/>
  <c r="F55" i="82" s="1"/>
  <c r="F56" i="82" s="1"/>
  <c r="C52" i="82"/>
  <c r="C54" i="82" s="1"/>
  <c r="C55" i="82" s="1"/>
  <c r="C56" i="82" s="1"/>
  <c r="H72" i="82"/>
  <c r="I72" i="82"/>
  <c r="D52" i="82"/>
  <c r="D54" i="82" s="1"/>
  <c r="D55" i="82" s="1"/>
  <c r="D56" i="82" s="1"/>
  <c r="D72" i="82"/>
  <c r="K72" i="82"/>
  <c r="E52" i="82"/>
  <c r="E54" i="82" s="1"/>
  <c r="E55" i="82" s="1"/>
  <c r="E56" i="82" s="1"/>
  <c r="B52" i="82"/>
  <c r="B54" i="82" s="1"/>
  <c r="B55" i="82" s="1"/>
  <c r="B56" i="82" s="1"/>
  <c r="H52" i="82"/>
  <c r="H54" i="82" s="1"/>
  <c r="H55" i="82" s="1"/>
  <c r="H56" i="82" s="1"/>
  <c r="J72" i="82"/>
  <c r="G72" i="82"/>
  <c r="J52" i="82"/>
  <c r="J54" i="82" s="1"/>
  <c r="J55" i="82" s="1"/>
  <c r="J56" i="82" s="1"/>
  <c r="F72" i="82"/>
  <c r="E72" i="82"/>
  <c r="B72" i="82"/>
  <c r="I52" i="82"/>
  <c r="I54" i="82" s="1"/>
  <c r="I55" i="82" s="1"/>
  <c r="I56" i="82" s="1"/>
  <c r="D1027" i="93"/>
  <c r="D1090" i="94"/>
  <c r="E75" i="74"/>
  <c r="F21" i="86"/>
  <c r="E22" i="86"/>
  <c r="C1086" i="94"/>
  <c r="C1023" i="93"/>
  <c r="D71" i="74"/>
  <c r="G30" i="86"/>
  <c r="E70" i="74" l="1"/>
  <c r="E1085" i="94" s="1"/>
  <c r="E1068" i="94"/>
  <c r="B74" i="82"/>
  <c r="B75" i="82" s="1"/>
  <c r="B76" i="82" s="1"/>
  <c r="E1071" i="94"/>
  <c r="F53" i="74"/>
  <c r="F1068" i="94" s="1"/>
  <c r="F51" i="74"/>
  <c r="J1017" i="93"/>
  <c r="J1021" i="93"/>
  <c r="I45" i="74"/>
  <c r="H55" i="74"/>
  <c r="H46" i="74"/>
  <c r="H54" i="74"/>
  <c r="H47" i="74"/>
  <c r="H1062" i="94" s="1"/>
  <c r="H52" i="74"/>
  <c r="H1067" i="94" s="1"/>
  <c r="K1002" i="93"/>
  <c r="K1006" i="93" s="1"/>
  <c r="S32" i="74"/>
  <c r="G29" i="86"/>
  <c r="G37" i="86" s="1"/>
  <c r="G38" i="86" s="1"/>
  <c r="G40" i="86" s="1"/>
  <c r="G44" i="86" s="1"/>
  <c r="K17" i="86" s="1"/>
  <c r="C1079" i="94"/>
  <c r="E65" i="74"/>
  <c r="E1080" i="94" s="1"/>
  <c r="E64" i="74"/>
  <c r="E69" i="74"/>
  <c r="E1084" i="94" s="1"/>
  <c r="E64" i="82"/>
  <c r="G73" i="82"/>
  <c r="G1014" i="93"/>
  <c r="G1016" i="93" s="1"/>
  <c r="S990" i="93" s="1"/>
  <c r="H62" i="74"/>
  <c r="F1066" i="94"/>
  <c r="H1092" i="94"/>
  <c r="G1102" i="94"/>
  <c r="S989" i="93"/>
  <c r="B1031" i="93"/>
  <c r="C1029" i="93"/>
  <c r="B1030" i="93"/>
  <c r="B1035" i="93"/>
  <c r="B1037" i="93"/>
  <c r="G1069" i="94"/>
  <c r="D53" i="86"/>
  <c r="I1017" i="93"/>
  <c r="I1021" i="93"/>
  <c r="D64" i="74"/>
  <c r="D69" i="74"/>
  <c r="D1084" i="94" s="1"/>
  <c r="D64" i="82"/>
  <c r="D65" i="74"/>
  <c r="D1080" i="94" s="1"/>
  <c r="G1061" i="94"/>
  <c r="G48" i="74"/>
  <c r="G1063" i="94" s="1"/>
  <c r="C71" i="82"/>
  <c r="C74" i="82" s="1"/>
  <c r="C75" i="82" s="1"/>
  <c r="C76" i="82" s="1"/>
  <c r="C66" i="82"/>
  <c r="D1071" i="94"/>
  <c r="B9" i="82"/>
  <c r="B10" i="82" s="1"/>
  <c r="B11" i="82" s="1"/>
  <c r="B5" i="82"/>
  <c r="B6" i="82" s="1"/>
  <c r="B7" i="82" s="1"/>
  <c r="G21"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E1090" i="94"/>
  <c r="E1027" i="93"/>
  <c r="F75" i="74"/>
  <c r="G21" i="86"/>
  <c r="F22" i="86"/>
  <c r="D1086" i="94"/>
  <c r="D1023" i="93"/>
  <c r="E71" i="74"/>
  <c r="H30" i="86"/>
  <c r="F70" i="74" l="1"/>
  <c r="F1085" i="94" s="1"/>
  <c r="F56" i="74"/>
  <c r="F65" i="74" s="1"/>
  <c r="F1080" i="94" s="1"/>
  <c r="F1071" i="94"/>
  <c r="G51" i="74"/>
  <c r="G1066" i="94" s="1"/>
  <c r="G53" i="74"/>
  <c r="K1022" i="93"/>
  <c r="K1008" i="93"/>
  <c r="D71" i="82"/>
  <c r="D74" i="82" s="1"/>
  <c r="D75" i="82" s="1"/>
  <c r="D76" i="82" s="1"/>
  <c r="D66" i="82"/>
  <c r="E71" i="82"/>
  <c r="E74" i="82" s="1"/>
  <c r="E75" i="82" s="1"/>
  <c r="E76" i="82" s="1"/>
  <c r="E66" i="82"/>
  <c r="S34" i="74"/>
  <c r="I55" i="74"/>
  <c r="J45" i="74"/>
  <c r="I46" i="74"/>
  <c r="I47" i="74"/>
  <c r="I1062" i="94" s="1"/>
  <c r="I54" i="74"/>
  <c r="I52" i="74"/>
  <c r="I1067" i="94" s="1"/>
  <c r="D1079" i="94"/>
  <c r="H29" i="86"/>
  <c r="H37" i="86" s="1"/>
  <c r="H38" i="86" s="1"/>
  <c r="H40" i="86" s="1"/>
  <c r="H44" i="86" s="1"/>
  <c r="K18" i="86" s="1"/>
  <c r="B1036" i="93"/>
  <c r="B1051" i="93" s="1"/>
  <c r="B1032" i="93"/>
  <c r="B1038" i="93" s="1"/>
  <c r="I29" i="86"/>
  <c r="E1079" i="94"/>
  <c r="C1037" i="93"/>
  <c r="C1035" i="93"/>
  <c r="C1031" i="93"/>
  <c r="D1029" i="93"/>
  <c r="C1030" i="93"/>
  <c r="H73" i="82"/>
  <c r="H1014" i="93"/>
  <c r="H1016" i="93" s="1"/>
  <c r="I62" i="74"/>
  <c r="E53" i="86"/>
  <c r="H1069" i="94"/>
  <c r="I1092" i="94"/>
  <c r="H1102" i="94"/>
  <c r="S33" i="74"/>
  <c r="H1061" i="94"/>
  <c r="H48" i="74"/>
  <c r="H1063" i="94" s="1"/>
  <c r="F1090" i="94"/>
  <c r="F1027" i="93"/>
  <c r="G75" i="74"/>
  <c r="H21" i="86"/>
  <c r="G22" i="86"/>
  <c r="E1086" i="94"/>
  <c r="E1023" i="93"/>
  <c r="F71" i="74"/>
  <c r="I30" i="86"/>
  <c r="F69" i="74" l="1"/>
  <c r="F1084" i="94" s="1"/>
  <c r="F64" i="82"/>
  <c r="F71" i="82" s="1"/>
  <c r="F74" i="82" s="1"/>
  <c r="F75" i="82" s="1"/>
  <c r="F76" i="82" s="1"/>
  <c r="F64" i="74"/>
  <c r="S35" i="74" s="1"/>
  <c r="F45" i="68" s="1"/>
  <c r="F407" i="93" s="1"/>
  <c r="G56" i="74"/>
  <c r="G65" i="74" s="1"/>
  <c r="G1080" i="94" s="1"/>
  <c r="G1068" i="94"/>
  <c r="G70" i="74"/>
  <c r="G1085" i="94" s="1"/>
  <c r="H53" i="74"/>
  <c r="H70" i="74" s="1"/>
  <c r="H1085" i="94" s="1"/>
  <c r="I37" i="86"/>
  <c r="I38" i="86" s="1"/>
  <c r="I40" i="86" s="1"/>
  <c r="I44" i="86" s="1"/>
  <c r="K19" i="86" s="1"/>
  <c r="B1046" i="93"/>
  <c r="B1050" i="93"/>
  <c r="S991" i="93"/>
  <c r="C1036" i="93"/>
  <c r="C1032" i="93"/>
  <c r="I1061" i="94"/>
  <c r="I48" i="74"/>
  <c r="I51" i="74" s="1"/>
  <c r="H51" i="74"/>
  <c r="K45" i="74"/>
  <c r="J55" i="74"/>
  <c r="J46" i="74"/>
  <c r="J47" i="74"/>
  <c r="J1062" i="94" s="1"/>
  <c r="J54" i="74"/>
  <c r="J52" i="74"/>
  <c r="J1067" i="94" s="1"/>
  <c r="D1037" i="93"/>
  <c r="D1035" i="93"/>
  <c r="D1031" i="93"/>
  <c r="E1029" i="93"/>
  <c r="D1030" i="93"/>
  <c r="G69" i="74"/>
  <c r="G1084" i="94" s="1"/>
  <c r="K1021" i="93"/>
  <c r="K1017" i="93"/>
  <c r="I1102" i="94"/>
  <c r="J1092" i="94"/>
  <c r="G1071" i="94"/>
  <c r="I73" i="82"/>
  <c r="J62" i="74"/>
  <c r="I1014" i="93"/>
  <c r="I1016" i="93" s="1"/>
  <c r="I1069" i="94"/>
  <c r="F53" i="86"/>
  <c r="G1090" i="94"/>
  <c r="G1027" i="93"/>
  <c r="I21" i="86"/>
  <c r="I22" i="86" s="1"/>
  <c r="H22" i="86"/>
  <c r="F1086" i="94"/>
  <c r="F1023" i="93"/>
  <c r="G71" i="74"/>
  <c r="C50" i="86"/>
  <c r="C49" i="86" l="1"/>
  <c r="F66" i="82"/>
  <c r="F422" i="94"/>
  <c r="F1079" i="94"/>
  <c r="L45" i="68"/>
  <c r="L422" i="94" s="1"/>
  <c r="G64" i="82"/>
  <c r="G66" i="82" s="1"/>
  <c r="G64" i="74"/>
  <c r="S36" i="74" s="1"/>
  <c r="H1068" i="94"/>
  <c r="C57" i="86"/>
  <c r="C58" i="86" s="1"/>
  <c r="C60" i="86" s="1"/>
  <c r="C64" i="86" s="1"/>
  <c r="K20" i="86" s="1"/>
  <c r="I1066" i="94"/>
  <c r="E1031" i="93"/>
  <c r="F1029" i="93"/>
  <c r="E1030" i="93"/>
  <c r="E1037" i="93"/>
  <c r="E1035" i="93"/>
  <c r="C1038" i="93"/>
  <c r="C1051" i="93"/>
  <c r="J1061" i="94"/>
  <c r="J48" i="74"/>
  <c r="J1063" i="94" s="1"/>
  <c r="J73" i="82"/>
  <c r="J1014" i="93"/>
  <c r="J1016" i="93" s="1"/>
  <c r="S993" i="93" s="1"/>
  <c r="K62" i="74"/>
  <c r="K55" i="74"/>
  <c r="B77" i="74"/>
  <c r="K46" i="74"/>
  <c r="K47" i="74"/>
  <c r="K1062" i="94" s="1"/>
  <c r="K54" i="74"/>
  <c r="K52" i="74"/>
  <c r="K1067" i="94" s="1"/>
  <c r="S992" i="93"/>
  <c r="H1066" i="94"/>
  <c r="H56" i="74"/>
  <c r="K1092" i="94"/>
  <c r="J1102" i="94"/>
  <c r="I53" i="74"/>
  <c r="I56" i="74" s="1"/>
  <c r="I1063" i="94"/>
  <c r="D1036" i="93"/>
  <c r="D1051" i="93" s="1"/>
  <c r="D1032" i="93"/>
  <c r="D1038" i="93"/>
  <c r="J1069" i="94"/>
  <c r="G53" i="86"/>
  <c r="G1086" i="94"/>
  <c r="G1023" i="93"/>
  <c r="H71" i="74"/>
  <c r="D50" i="86"/>
  <c r="D57" i="86" s="1"/>
  <c r="D58" i="86" s="1"/>
  <c r="D60" i="86" s="1"/>
  <c r="D64" i="86" s="1"/>
  <c r="K21" i="86" s="1"/>
  <c r="G71" i="82" l="1"/>
  <c r="G74" i="82" s="1"/>
  <c r="G75" i="82" s="1"/>
  <c r="G76" i="82" s="1"/>
  <c r="H1071" i="94"/>
  <c r="G1079" i="94"/>
  <c r="I408" i="93"/>
  <c r="F85" i="92"/>
  <c r="F89" i="92" s="1"/>
  <c r="F105" i="92" s="1"/>
  <c r="I65" i="74"/>
  <c r="I1080" i="94" s="1"/>
  <c r="I64" i="74"/>
  <c r="I1079" i="94" s="1"/>
  <c r="I69" i="74"/>
  <c r="I1084" i="94" s="1"/>
  <c r="I64" i="82"/>
  <c r="C77" i="74"/>
  <c r="B87" i="74"/>
  <c r="B78" i="74"/>
  <c r="B79" i="74"/>
  <c r="B1094" i="94" s="1"/>
  <c r="B86" i="74"/>
  <c r="B1101" i="94" s="1"/>
  <c r="B84" i="74"/>
  <c r="B1099" i="94" s="1"/>
  <c r="J53" i="74"/>
  <c r="F1035" i="93"/>
  <c r="G1029" i="93"/>
  <c r="F1030" i="93"/>
  <c r="F1031" i="93"/>
  <c r="F1037" i="93"/>
  <c r="B1122" i="94"/>
  <c r="K1102" i="94"/>
  <c r="D1050" i="93"/>
  <c r="D1046" i="93"/>
  <c r="H69" i="74"/>
  <c r="H1084" i="94" s="1"/>
  <c r="H64" i="82"/>
  <c r="H64" i="74"/>
  <c r="H65" i="74"/>
  <c r="H1080" i="94" s="1"/>
  <c r="B94" i="74"/>
  <c r="K1014" i="93"/>
  <c r="K1016" i="93" s="1"/>
  <c r="S994" i="93" s="1"/>
  <c r="K73" i="82"/>
  <c r="C1046" i="93"/>
  <c r="C1050" i="93"/>
  <c r="K1069" i="94"/>
  <c r="H53" i="86"/>
  <c r="I1068" i="94"/>
  <c r="I1071" i="94" s="1"/>
  <c r="I70" i="74"/>
  <c r="I1085" i="94" s="1"/>
  <c r="K1061" i="94"/>
  <c r="K48" i="74"/>
  <c r="K1063" i="94" s="1"/>
  <c r="J51" i="74"/>
  <c r="E1036" i="93"/>
  <c r="E1051" i="93" s="1"/>
  <c r="E1032" i="93"/>
  <c r="E1038" i="93" s="1"/>
  <c r="H1086" i="94"/>
  <c r="H1023" i="93"/>
  <c r="I71" i="74"/>
  <c r="E50" i="86"/>
  <c r="E57" i="86" s="1"/>
  <c r="E58" i="86" s="1"/>
  <c r="E60" i="86" s="1"/>
  <c r="E64" i="86" s="1"/>
  <c r="K22" i="86" s="1"/>
  <c r="K53" i="74" l="1"/>
  <c r="K1068" i="94" s="1"/>
  <c r="E1046" i="93"/>
  <c r="E1050" i="93"/>
  <c r="H1079" i="94"/>
  <c r="S37" i="74"/>
  <c r="S38" i="74"/>
  <c r="B1093" i="94"/>
  <c r="B80" i="74"/>
  <c r="B1095" i="94" s="1"/>
  <c r="F1036" i="93"/>
  <c r="F1051" i="93" s="1"/>
  <c r="F1032" i="93"/>
  <c r="F1038" i="93"/>
  <c r="G1031" i="93"/>
  <c r="H1029" i="93"/>
  <c r="G1030" i="93"/>
  <c r="G1037" i="93"/>
  <c r="G1035" i="93"/>
  <c r="C87" i="74"/>
  <c r="D77" i="74"/>
  <c r="C78" i="74"/>
  <c r="C79" i="74"/>
  <c r="C1094" i="94" s="1"/>
  <c r="C86" i="74"/>
  <c r="C1101" i="94" s="1"/>
  <c r="C84" i="74"/>
  <c r="C1099" i="94" s="1"/>
  <c r="I66" i="82"/>
  <c r="I71" i="82"/>
  <c r="I74" i="82" s="1"/>
  <c r="I75" i="82" s="1"/>
  <c r="I76" i="82" s="1"/>
  <c r="H66" i="82"/>
  <c r="H71" i="82"/>
  <c r="H74" i="82" s="1"/>
  <c r="H75" i="82" s="1"/>
  <c r="H76" i="82" s="1"/>
  <c r="J1068" i="94"/>
  <c r="J70" i="74"/>
  <c r="J1085" i="94" s="1"/>
  <c r="B1044" i="93"/>
  <c r="B1045" i="93" s="1"/>
  <c r="C94" i="74"/>
  <c r="J1066" i="94"/>
  <c r="J1071" i="94" s="1"/>
  <c r="J56" i="74"/>
  <c r="K51" i="74"/>
  <c r="C1122" i="94"/>
  <c r="B1132" i="94"/>
  <c r="I1086" i="94"/>
  <c r="I1023" i="93"/>
  <c r="J71" i="74"/>
  <c r="F50" i="86"/>
  <c r="F57" i="86" s="1"/>
  <c r="F58" i="86" s="1"/>
  <c r="F60" i="86" s="1"/>
  <c r="F64" i="86" s="1"/>
  <c r="K23" i="86" s="1"/>
  <c r="K70" i="74" l="1"/>
  <c r="K1085" i="94" s="1"/>
  <c r="B85" i="74"/>
  <c r="B1100" i="94" s="1"/>
  <c r="B83" i="74"/>
  <c r="C1093" i="94"/>
  <c r="C80" i="74"/>
  <c r="C1095" i="94" s="1"/>
  <c r="F1046" i="93"/>
  <c r="F1050" i="93"/>
  <c r="J64" i="82"/>
  <c r="J69" i="74"/>
  <c r="J1084" i="94" s="1"/>
  <c r="J65" i="74"/>
  <c r="J1080" i="94" s="1"/>
  <c r="J64" i="74"/>
  <c r="E77" i="74"/>
  <c r="D87" i="74"/>
  <c r="D78" i="74"/>
  <c r="D79" i="74"/>
  <c r="D1094" i="94" s="1"/>
  <c r="D86" i="74"/>
  <c r="D1101" i="94" s="1"/>
  <c r="D84" i="74"/>
  <c r="D1099" i="94" s="1"/>
  <c r="C1044" i="93"/>
  <c r="C1045" i="93" s="1"/>
  <c r="D94" i="74"/>
  <c r="B1098" i="94"/>
  <c r="G1036" i="93"/>
  <c r="G1051" i="93" s="1"/>
  <c r="G1032" i="93"/>
  <c r="K1066" i="94"/>
  <c r="K1071" i="94" s="1"/>
  <c r="K56" i="74"/>
  <c r="C1132" i="94"/>
  <c r="D1122" i="94"/>
  <c r="H1030" i="93"/>
  <c r="I1029" i="93"/>
  <c r="H1037" i="93"/>
  <c r="H1035" i="93"/>
  <c r="H1031" i="93"/>
  <c r="J1086" i="94"/>
  <c r="J1023" i="93"/>
  <c r="K71" i="74"/>
  <c r="G50" i="86"/>
  <c r="G57" i="86" s="1"/>
  <c r="G58" i="86" s="1"/>
  <c r="G60" i="86" s="1"/>
  <c r="G64" i="86" s="1"/>
  <c r="K24" i="86" s="1"/>
  <c r="B101" i="74" l="1"/>
  <c r="B1116" i="94" s="1"/>
  <c r="B88" i="74"/>
  <c r="C85" i="74"/>
  <c r="C1100" i="94" s="1"/>
  <c r="C83" i="74"/>
  <c r="C1098" i="94" s="1"/>
  <c r="I1030" i="93"/>
  <c r="J1029" i="93"/>
  <c r="I1031" i="93"/>
  <c r="I1037" i="93"/>
  <c r="I1035" i="93"/>
  <c r="J66" i="82"/>
  <c r="J71" i="82"/>
  <c r="J74" i="82" s="1"/>
  <c r="J75" i="82" s="1"/>
  <c r="J76" i="82" s="1"/>
  <c r="D1093" i="94"/>
  <c r="D80" i="74"/>
  <c r="D1095" i="94" s="1"/>
  <c r="K65" i="74"/>
  <c r="K1080" i="94" s="1"/>
  <c r="K69" i="74"/>
  <c r="K1084" i="94" s="1"/>
  <c r="K64" i="74"/>
  <c r="K1079" i="94" s="1"/>
  <c r="K64" i="82"/>
  <c r="B95" i="74"/>
  <c r="B1110" i="94" s="1"/>
  <c r="B96" i="74"/>
  <c r="B1111" i="94" s="1"/>
  <c r="B100" i="74"/>
  <c r="B1115" i="94" s="1"/>
  <c r="D1132" i="94"/>
  <c r="E1122" i="94"/>
  <c r="B1103" i="94"/>
  <c r="E87" i="74"/>
  <c r="F77" i="74"/>
  <c r="E78" i="74"/>
  <c r="E86" i="74"/>
  <c r="E1101" i="94" s="1"/>
  <c r="E79" i="74"/>
  <c r="E1094" i="94" s="1"/>
  <c r="E84" i="74"/>
  <c r="E1099" i="94" s="1"/>
  <c r="H1032" i="93"/>
  <c r="H1036" i="93" s="1"/>
  <c r="H1051" i="93" s="1"/>
  <c r="G1038" i="93"/>
  <c r="D1044" i="93"/>
  <c r="D1045" i="93" s="1"/>
  <c r="E94" i="74"/>
  <c r="J1079" i="94"/>
  <c r="S39" i="74"/>
  <c r="C101" i="74"/>
  <c r="C1116" i="94" s="1"/>
  <c r="K1086" i="94"/>
  <c r="C85" i="90"/>
  <c r="L93" i="85"/>
  <c r="O8" i="86"/>
  <c r="O14" i="86" s="1"/>
  <c r="O33" i="86" s="1"/>
  <c r="H63" i="86" s="1"/>
  <c r="K1023" i="93"/>
  <c r="L63" i="85"/>
  <c r="B102" i="74"/>
  <c r="H50" i="86"/>
  <c r="H57" i="86" s="1"/>
  <c r="H58" i="86" s="1"/>
  <c r="H60" i="86" s="1"/>
  <c r="H64" i="86" s="1"/>
  <c r="K25" i="86" s="1"/>
  <c r="C88" i="74" l="1"/>
  <c r="C95" i="74" s="1"/>
  <c r="C1110" i="94" s="1"/>
  <c r="D85" i="74"/>
  <c r="D101" i="74" s="1"/>
  <c r="D1116" i="94" s="1"/>
  <c r="D83" i="74"/>
  <c r="S40" i="74"/>
  <c r="H1038" i="93"/>
  <c r="E1093" i="94"/>
  <c r="E80" i="74"/>
  <c r="E1095" i="94" s="1"/>
  <c r="K66" i="82"/>
  <c r="K71" i="82"/>
  <c r="K74" i="82" s="1"/>
  <c r="K75" i="82" s="1"/>
  <c r="K76" i="82" s="1"/>
  <c r="C100" i="74"/>
  <c r="C1115" i="94" s="1"/>
  <c r="C1103" i="94"/>
  <c r="E1132" i="94"/>
  <c r="F1122" i="94"/>
  <c r="F1132" i="94" s="1"/>
  <c r="F87" i="74"/>
  <c r="G77" i="74"/>
  <c r="F78" i="74"/>
  <c r="F86" i="74"/>
  <c r="F1101" i="94" s="1"/>
  <c r="F79" i="74"/>
  <c r="F1094" i="94" s="1"/>
  <c r="F84" i="74"/>
  <c r="F1099" i="94" s="1"/>
  <c r="E1044" i="93"/>
  <c r="E1045" i="93" s="1"/>
  <c r="F94" i="74"/>
  <c r="D1098" i="94"/>
  <c r="K1029" i="93"/>
  <c r="J1030" i="93"/>
  <c r="J1035" i="93"/>
  <c r="J1031" i="93"/>
  <c r="J1037" i="93"/>
  <c r="G1050" i="93"/>
  <c r="G1046" i="93"/>
  <c r="I1032" i="93"/>
  <c r="I1036" i="93" s="1"/>
  <c r="B1117" i="94"/>
  <c r="B1052" i="93"/>
  <c r="C102" i="74"/>
  <c r="C96" i="74" l="1"/>
  <c r="C1111" i="94" s="1"/>
  <c r="D1100" i="94"/>
  <c r="D1103" i="94" s="1"/>
  <c r="D88" i="74"/>
  <c r="D96" i="74" s="1"/>
  <c r="D1111" i="94" s="1"/>
  <c r="E85" i="74"/>
  <c r="E1100" i="94" s="1"/>
  <c r="E83" i="74"/>
  <c r="E1098" i="94" s="1"/>
  <c r="I1051" i="93"/>
  <c r="I1038" i="93"/>
  <c r="F1093" i="94"/>
  <c r="F80" i="74"/>
  <c r="F83" i="74" s="1"/>
  <c r="J1032" i="93"/>
  <c r="J1036" i="93" s="1"/>
  <c r="J1051" i="93" s="1"/>
  <c r="H77" i="74"/>
  <c r="G87" i="74"/>
  <c r="G78" i="74"/>
  <c r="G79" i="74"/>
  <c r="G1094" i="94" s="1"/>
  <c r="G86" i="74"/>
  <c r="G1101" i="94" s="1"/>
  <c r="G84" i="74"/>
  <c r="G1099" i="94" s="1"/>
  <c r="B1057" i="93"/>
  <c r="K1030" i="93"/>
  <c r="K1037" i="93"/>
  <c r="K1035" i="93"/>
  <c r="K1031" i="93"/>
  <c r="G94" i="74"/>
  <c r="F1044" i="93"/>
  <c r="F1045" i="93" s="1"/>
  <c r="H1050" i="93"/>
  <c r="H1046" i="93"/>
  <c r="C1117" i="94"/>
  <c r="C1052" i="93"/>
  <c r="D102" i="74"/>
  <c r="D95" i="74" l="1"/>
  <c r="D1110" i="94" s="1"/>
  <c r="D100" i="74"/>
  <c r="D1115" i="94" s="1"/>
  <c r="E101" i="74"/>
  <c r="E1116" i="94" s="1"/>
  <c r="E88" i="74"/>
  <c r="E100" i="74" s="1"/>
  <c r="E1115" i="94" s="1"/>
  <c r="E1103" i="94"/>
  <c r="I77" i="74"/>
  <c r="H87" i="74"/>
  <c r="H78" i="74"/>
  <c r="H79" i="74"/>
  <c r="H1094" i="94" s="1"/>
  <c r="H86" i="74"/>
  <c r="H1101" i="94" s="1"/>
  <c r="H84" i="74"/>
  <c r="H1099" i="94" s="1"/>
  <c r="B1065" i="93"/>
  <c r="B1058" i="93"/>
  <c r="C1057" i="93"/>
  <c r="B1063" i="93"/>
  <c r="B1059" i="93"/>
  <c r="J1038" i="93"/>
  <c r="F1098" i="94"/>
  <c r="G1044" i="93"/>
  <c r="G1045" i="93" s="1"/>
  <c r="H94" i="74"/>
  <c r="F85" i="74"/>
  <c r="F88" i="74" s="1"/>
  <c r="F1095" i="94"/>
  <c r="K1032" i="93"/>
  <c r="K1036" i="93"/>
  <c r="K1051" i="93" s="1"/>
  <c r="G1093" i="94"/>
  <c r="G80" i="74"/>
  <c r="G1095" i="94" s="1"/>
  <c r="I1050" i="93"/>
  <c r="I1046" i="93"/>
  <c r="D1117" i="94"/>
  <c r="D1052" i="93"/>
  <c r="E102" i="74"/>
  <c r="G85" i="74" l="1"/>
  <c r="G101" i="74" s="1"/>
  <c r="G1116" i="94" s="1"/>
  <c r="E96" i="74"/>
  <c r="E1111" i="94" s="1"/>
  <c r="E95" i="74"/>
  <c r="E1110" i="94" s="1"/>
  <c r="G83" i="74"/>
  <c r="G1098" i="94" s="1"/>
  <c r="B1060" i="93"/>
  <c r="B1064" i="93" s="1"/>
  <c r="B1079" i="93" s="1"/>
  <c r="K1038" i="93"/>
  <c r="J1046" i="93"/>
  <c r="J1050" i="93"/>
  <c r="H1093" i="94"/>
  <c r="H80" i="74"/>
  <c r="H1095" i="94" s="1"/>
  <c r="H85" i="74"/>
  <c r="F100" i="74"/>
  <c r="F1115" i="94" s="1"/>
  <c r="F96" i="74"/>
  <c r="F1111" i="94" s="1"/>
  <c r="F95" i="74"/>
  <c r="F1110" i="94" s="1"/>
  <c r="F1100" i="94"/>
  <c r="F1103" i="94" s="1"/>
  <c r="F101" i="74"/>
  <c r="F1116" i="94" s="1"/>
  <c r="G1100" i="94"/>
  <c r="H1044" i="93"/>
  <c r="H1045" i="93" s="1"/>
  <c r="I94" i="74"/>
  <c r="C1065" i="93"/>
  <c r="C1058" i="93"/>
  <c r="D1057" i="93"/>
  <c r="C1063" i="93"/>
  <c r="C1059" i="93"/>
  <c r="J77" i="74"/>
  <c r="I87" i="74"/>
  <c r="I78" i="74"/>
  <c r="I86" i="74"/>
  <c r="I1101" i="94" s="1"/>
  <c r="I79" i="74"/>
  <c r="I1094" i="94" s="1"/>
  <c r="I84" i="74"/>
  <c r="I1099" i="94" s="1"/>
  <c r="E1117" i="94"/>
  <c r="E1052" i="93"/>
  <c r="F102" i="74"/>
  <c r="G88" i="74" l="1"/>
  <c r="G96" i="74" s="1"/>
  <c r="G1111" i="94" s="1"/>
  <c r="G1103" i="94"/>
  <c r="H83" i="74"/>
  <c r="H1098" i="94" s="1"/>
  <c r="I1044" i="93"/>
  <c r="I1045" i="93" s="1"/>
  <c r="J94" i="74"/>
  <c r="I1093" i="94"/>
  <c r="I80" i="74"/>
  <c r="I1095" i="94" s="1"/>
  <c r="J87" i="74"/>
  <c r="K77" i="74"/>
  <c r="J78" i="74"/>
  <c r="J79" i="74"/>
  <c r="J1094" i="94" s="1"/>
  <c r="J86" i="74"/>
  <c r="J1101" i="94" s="1"/>
  <c r="J84" i="74"/>
  <c r="J1099" i="94" s="1"/>
  <c r="G100" i="74"/>
  <c r="G1115" i="94" s="1"/>
  <c r="H1100" i="94"/>
  <c r="H101" i="74"/>
  <c r="H1116" i="94" s="1"/>
  <c r="K1046" i="93"/>
  <c r="K1050" i="93"/>
  <c r="D1065" i="93"/>
  <c r="D1058" i="93"/>
  <c r="E1057" i="93"/>
  <c r="D1063" i="93"/>
  <c r="D1059" i="93"/>
  <c r="C1064" i="93"/>
  <c r="C1060" i="93"/>
  <c r="B1066" i="93"/>
  <c r="F1117" i="94"/>
  <c r="F1052" i="93"/>
  <c r="G102" i="74"/>
  <c r="G95" i="74" l="1"/>
  <c r="G1110" i="94" s="1"/>
  <c r="I85" i="74"/>
  <c r="I101" i="74" s="1"/>
  <c r="I1116" i="94" s="1"/>
  <c r="H88" i="74"/>
  <c r="H96" i="74" s="1"/>
  <c r="H1111" i="94" s="1"/>
  <c r="I83" i="74"/>
  <c r="I1098" i="94" s="1"/>
  <c r="H1103" i="94"/>
  <c r="K87" i="74"/>
  <c r="B107" i="74"/>
  <c r="K78" i="74"/>
  <c r="K86" i="74"/>
  <c r="K1101" i="94" s="1"/>
  <c r="K79" i="74"/>
  <c r="K1094" i="94" s="1"/>
  <c r="K84" i="74"/>
  <c r="K1099" i="94" s="1"/>
  <c r="B1078" i="93"/>
  <c r="B1074" i="93"/>
  <c r="E1063" i="93"/>
  <c r="E1059" i="93"/>
  <c r="E1065" i="93"/>
  <c r="E1058" i="93"/>
  <c r="F1057" i="93"/>
  <c r="K94" i="74"/>
  <c r="J1044" i="93"/>
  <c r="J1045" i="93" s="1"/>
  <c r="C1066" i="93"/>
  <c r="C1079" i="93"/>
  <c r="D1064" i="93"/>
  <c r="D1079" i="93" s="1"/>
  <c r="D1060" i="93"/>
  <c r="D1066" i="93" s="1"/>
  <c r="J1093" i="94"/>
  <c r="J80" i="74"/>
  <c r="J1095" i="94" s="1"/>
  <c r="G1117" i="94"/>
  <c r="G1052" i="93"/>
  <c r="H102" i="74"/>
  <c r="I88" i="74" l="1"/>
  <c r="I1100" i="94"/>
  <c r="J85" i="74"/>
  <c r="J101" i="74" s="1"/>
  <c r="J1116" i="94" s="1"/>
  <c r="H95" i="74"/>
  <c r="H1110" i="94" s="1"/>
  <c r="H100" i="74"/>
  <c r="H1115" i="94" s="1"/>
  <c r="I1103" i="94"/>
  <c r="D1078" i="93"/>
  <c r="D1074" i="93"/>
  <c r="C1074" i="93"/>
  <c r="C1078" i="93"/>
  <c r="I96" i="74"/>
  <c r="I1111" i="94" s="1"/>
  <c r="I100" i="74"/>
  <c r="I1115" i="94" s="1"/>
  <c r="I95" i="74"/>
  <c r="I1110" i="94" s="1"/>
  <c r="F1058" i="93"/>
  <c r="F1063" i="93"/>
  <c r="F1059" i="93"/>
  <c r="F1065" i="93"/>
  <c r="K1093" i="94"/>
  <c r="K80" i="74"/>
  <c r="K1095" i="94" s="1"/>
  <c r="K1044" i="93"/>
  <c r="K1045" i="93" s="1"/>
  <c r="B124" i="74"/>
  <c r="E1064" i="93"/>
  <c r="E1079" i="93" s="1"/>
  <c r="E1060" i="93"/>
  <c r="E1066" i="93" s="1"/>
  <c r="B117" i="74"/>
  <c r="C107" i="74"/>
  <c r="B108" i="74"/>
  <c r="B109" i="74"/>
  <c r="B1124" i="94" s="1"/>
  <c r="B116" i="74"/>
  <c r="B1131" i="94" s="1"/>
  <c r="B114" i="74"/>
  <c r="B1129" i="94" s="1"/>
  <c r="J83" i="74"/>
  <c r="H1117" i="94"/>
  <c r="H1052" i="93"/>
  <c r="I102" i="74"/>
  <c r="J1100" i="94" l="1"/>
  <c r="K85" i="74"/>
  <c r="K1100" i="94" s="1"/>
  <c r="E1078" i="93"/>
  <c r="E1074" i="93"/>
  <c r="B1072" i="93"/>
  <c r="B1073" i="93" s="1"/>
  <c r="C124" i="74"/>
  <c r="F1060" i="93"/>
  <c r="F1064" i="93" s="1"/>
  <c r="F1079" i="93" s="1"/>
  <c r="D107" i="74"/>
  <c r="C117" i="74"/>
  <c r="C108" i="74"/>
  <c r="C109" i="74"/>
  <c r="C1124" i="94" s="1"/>
  <c r="C116" i="74"/>
  <c r="C1131" i="94" s="1"/>
  <c r="C114" i="74"/>
  <c r="C1129" i="94" s="1"/>
  <c r="K83" i="74"/>
  <c r="B1123" i="94"/>
  <c r="B110" i="74"/>
  <c r="B1125" i="94" s="1"/>
  <c r="J1098" i="94"/>
  <c r="J1103" i="94" s="1"/>
  <c r="J88" i="74"/>
  <c r="I1117" i="94"/>
  <c r="I1052" i="93"/>
  <c r="J102" i="74"/>
  <c r="K101" i="74" l="1"/>
  <c r="K1116" i="94" s="1"/>
  <c r="B115" i="74"/>
  <c r="B1130" i="94" s="1"/>
  <c r="J96" i="74"/>
  <c r="J1111" i="94" s="1"/>
  <c r="J100" i="74"/>
  <c r="J1115" i="94" s="1"/>
  <c r="J95" i="74"/>
  <c r="J1110" i="94" s="1"/>
  <c r="F1066" i="93"/>
  <c r="B113" i="74"/>
  <c r="C1123" i="94"/>
  <c r="C110" i="74"/>
  <c r="C1125" i="94" s="1"/>
  <c r="D124" i="74"/>
  <c r="C1072" i="93"/>
  <c r="C1073" i="93" s="1"/>
  <c r="D117" i="74"/>
  <c r="E107" i="74"/>
  <c r="D108" i="74"/>
  <c r="D109" i="74"/>
  <c r="D1124" i="94" s="1"/>
  <c r="D116" i="74"/>
  <c r="D1131" i="94" s="1"/>
  <c r="D114" i="74"/>
  <c r="D1129" i="94" s="1"/>
  <c r="K1098" i="94"/>
  <c r="K1103" i="94" s="1"/>
  <c r="K88" i="74"/>
  <c r="J1117" i="94"/>
  <c r="J1052" i="93"/>
  <c r="K102" i="74"/>
  <c r="C115" i="74" l="1"/>
  <c r="B131" i="74"/>
  <c r="B1146" i="94" s="1"/>
  <c r="C113" i="74"/>
  <c r="C1128" i="94" s="1"/>
  <c r="D1123" i="94"/>
  <c r="D110" i="74"/>
  <c r="D1125" i="94" s="1"/>
  <c r="F107" i="74"/>
  <c r="E117" i="74"/>
  <c r="E108" i="74"/>
  <c r="E116" i="74"/>
  <c r="E1131" i="94" s="1"/>
  <c r="E109" i="74"/>
  <c r="E1124" i="94" s="1"/>
  <c r="E114" i="74"/>
  <c r="E1129" i="94" s="1"/>
  <c r="B1128" i="94"/>
  <c r="B1133" i="94" s="1"/>
  <c r="B118" i="74"/>
  <c r="K100" i="74"/>
  <c r="K1115" i="94" s="1"/>
  <c r="K95" i="74"/>
  <c r="K1110" i="94" s="1"/>
  <c r="K96" i="74"/>
  <c r="K1111" i="94" s="1"/>
  <c r="E124" i="74"/>
  <c r="D1072" i="93"/>
  <c r="D1073" i="93" s="1"/>
  <c r="F1078" i="93"/>
  <c r="F1074" i="93"/>
  <c r="C1130" i="94"/>
  <c r="C131" i="74"/>
  <c r="C1146" i="94" s="1"/>
  <c r="K1117" i="94"/>
  <c r="K1052" i="93"/>
  <c r="B132" i="74"/>
  <c r="C118" i="74" l="1"/>
  <c r="D113" i="74"/>
  <c r="D1128" i="94" s="1"/>
  <c r="D115" i="74"/>
  <c r="D1130" i="94" s="1"/>
  <c r="C126" i="74"/>
  <c r="C1141" i="94" s="1"/>
  <c r="C125" i="74"/>
  <c r="C1140" i="94" s="1"/>
  <c r="C130" i="74"/>
  <c r="C1145" i="94" s="1"/>
  <c r="E1123" i="94"/>
  <c r="E110" i="74"/>
  <c r="E113" i="74" s="1"/>
  <c r="F117" i="74"/>
  <c r="F108" i="74"/>
  <c r="F116" i="74"/>
  <c r="F1131" i="94" s="1"/>
  <c r="F109" i="74"/>
  <c r="F1124" i="94" s="1"/>
  <c r="F114" i="74"/>
  <c r="F1129" i="94" s="1"/>
  <c r="B126" i="74"/>
  <c r="B1141" i="94" s="1"/>
  <c r="B130" i="74"/>
  <c r="B1145" i="94" s="1"/>
  <c r="B125" i="74"/>
  <c r="B1140" i="94" s="1"/>
  <c r="E1072" i="93"/>
  <c r="E1073" i="93" s="1"/>
  <c r="F124" i="74"/>
  <c r="F1072" i="93" s="1"/>
  <c r="F1073" i="93" s="1"/>
  <c r="C1133" i="94"/>
  <c r="B1147" i="94"/>
  <c r="B1080" i="93"/>
  <c r="C132" i="74"/>
  <c r="D118" i="74" l="1"/>
  <c r="D125" i="74" s="1"/>
  <c r="D1140" i="94" s="1"/>
  <c r="D131" i="74"/>
  <c r="D1146" i="94" s="1"/>
  <c r="F1123" i="94"/>
  <c r="F110" i="74"/>
  <c r="F1125" i="94" s="1"/>
  <c r="E1128" i="94"/>
  <c r="E115" i="74"/>
  <c r="E1125" i="94"/>
  <c r="D130" i="74"/>
  <c r="D1145" i="94" s="1"/>
  <c r="D126" i="74"/>
  <c r="D1141" i="94" s="1"/>
  <c r="D1133" i="94"/>
  <c r="C1147" i="94"/>
  <c r="C1080" i="93"/>
  <c r="D132" i="74"/>
  <c r="F115" i="74" l="1"/>
  <c r="F113" i="74"/>
  <c r="E1130" i="94"/>
  <c r="E1133" i="94" s="1"/>
  <c r="E131" i="74"/>
  <c r="E1146" i="94" s="1"/>
  <c r="E118" i="74"/>
  <c r="F1128" i="94"/>
  <c r="D1147" i="94"/>
  <c r="D1080" i="93"/>
  <c r="E132" i="74"/>
  <c r="F118" i="74" l="1"/>
  <c r="F126" i="74" s="1"/>
  <c r="F1141" i="94" s="1"/>
  <c r="F131" i="74"/>
  <c r="F1146" i="94" s="1"/>
  <c r="F1130" i="94"/>
  <c r="F1133" i="94" s="1"/>
  <c r="E126" i="74"/>
  <c r="E1141" i="94" s="1"/>
  <c r="E130" i="74"/>
  <c r="E1145" i="94" s="1"/>
  <c r="E125" i="74"/>
  <c r="E1140" i="94" s="1"/>
  <c r="E1147" i="94"/>
  <c r="E1080" i="93"/>
  <c r="F132" i="74"/>
  <c r="F130" i="74" l="1"/>
  <c r="F1145" i="94" s="1"/>
  <c r="F125" i="74"/>
  <c r="F1140" i="94" s="1"/>
  <c r="F1147" i="94"/>
  <c r="F1080" i="93"/>
</calcChain>
</file>

<file path=xl/comments1.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authors>
    <author>marie.palena</author>
    <author>stephen.barrett</author>
  </authors>
  <commentList>
    <comment ref="C47" authorId="0" shapeId="0">
      <text>
        <r>
          <rPr>
            <b/>
            <sz val="9"/>
            <color indexed="81"/>
            <rFont val="Tahoma"/>
            <family val="2"/>
          </rPr>
          <t>marie.palena:</t>
        </r>
        <r>
          <rPr>
            <sz val="9"/>
            <color indexed="81"/>
            <rFont val="Tahoma"/>
            <family val="2"/>
          </rPr>
          <t xml:space="preserve">
see threshold</t>
        </r>
      </text>
    </comment>
    <comment ref="C49" authorId="0" shapeId="0">
      <text>
        <r>
          <rPr>
            <b/>
            <sz val="9"/>
            <color indexed="81"/>
            <rFont val="Tahoma"/>
            <family val="2"/>
          </rPr>
          <t>marie.palena:</t>
        </r>
        <r>
          <rPr>
            <sz val="9"/>
            <color indexed="81"/>
            <rFont val="Tahoma"/>
            <family val="2"/>
          </rPr>
          <t xml:space="preserve">
confirm with threshold
</t>
        </r>
      </text>
    </comment>
    <comment ref="D75"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text>
        <r>
          <rPr>
            <b/>
            <sz val="9"/>
            <color indexed="81"/>
            <rFont val="Tahoma"/>
            <family val="2"/>
          </rPr>
          <t>marie.palena:</t>
        </r>
        <r>
          <rPr>
            <sz val="9"/>
            <color indexed="81"/>
            <rFont val="Tahoma"/>
            <family val="2"/>
          </rPr>
          <t xml:space="preserve">
If IPS, use NA</t>
        </r>
      </text>
    </comment>
    <comment ref="D83" authorId="0" shapeId="0">
      <text>
        <r>
          <rPr>
            <b/>
            <sz val="9"/>
            <color indexed="81"/>
            <rFont val="Tahoma"/>
            <family val="2"/>
          </rPr>
          <t>marie.palena:</t>
        </r>
        <r>
          <rPr>
            <sz val="9"/>
            <color indexed="81"/>
            <rFont val="Tahoma"/>
            <family val="2"/>
          </rPr>
          <t xml:space="preserve">
for fully am, use NA</t>
        </r>
      </text>
    </comment>
    <comment ref="D85" authorId="0" shapeId="0">
      <text>
        <r>
          <rPr>
            <b/>
            <sz val="8"/>
            <color indexed="81"/>
            <rFont val="Tahoma"/>
            <family val="2"/>
          </rPr>
          <t>marie.palena:</t>
        </r>
        <r>
          <rPr>
            <sz val="8"/>
            <color indexed="81"/>
            <rFont val="Tahoma"/>
            <family val="2"/>
          </rPr>
          <t xml:space="preserve">
delete if fully amortizing</t>
        </r>
      </text>
    </comment>
    <comment ref="B87" authorId="0" shapeId="0">
      <text>
        <r>
          <rPr>
            <b/>
            <sz val="8"/>
            <color indexed="81"/>
            <rFont val="Tahoma"/>
            <family val="2"/>
          </rPr>
          <t>marie.palena:</t>
        </r>
        <r>
          <rPr>
            <sz val="8"/>
            <color indexed="81"/>
            <rFont val="Tahoma"/>
            <family val="2"/>
          </rPr>
          <t xml:space="preserve">
delete if fully amortizing</t>
        </r>
      </text>
    </comment>
    <comment ref="C87" authorId="1" shapeId="0">
      <text>
        <r>
          <rPr>
            <b/>
            <sz val="9"/>
            <color indexed="81"/>
            <rFont val="Tahoma"/>
            <family val="2"/>
          </rPr>
          <t>marie.palena:</t>
        </r>
        <r>
          <rPr>
            <sz val="9"/>
            <color indexed="81"/>
            <rFont val="Tahoma"/>
            <family val="2"/>
          </rPr>
          <t xml:space="preserve">
will only change if Permanent Supportive Housing HOME loan</t>
        </r>
      </text>
    </comment>
    <comment ref="D101" authorId="1" shapeId="0">
      <text>
        <r>
          <rPr>
            <b/>
            <sz val="9"/>
            <color indexed="81"/>
            <rFont val="Tahoma"/>
            <family val="2"/>
          </rPr>
          <t>Marie Palena:</t>
        </r>
        <r>
          <rPr>
            <sz val="9"/>
            <color indexed="81"/>
            <rFont val="Tahoma"/>
            <family val="2"/>
          </rPr>
          <t xml:space="preserve">
See Scoring</t>
        </r>
      </text>
    </comment>
    <comment ref="D103"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text>
        <r>
          <rPr>
            <b/>
            <sz val="9"/>
            <color indexed="81"/>
            <rFont val="Tahoma"/>
            <family val="2"/>
          </rPr>
          <t>marie.palena:</t>
        </r>
        <r>
          <rPr>
            <sz val="9"/>
            <color indexed="81"/>
            <rFont val="Tahoma"/>
            <family val="2"/>
          </rPr>
          <t xml:space="preserve">
new const= max of 20 or term of loan; rehab= term of loan min</t>
        </r>
      </text>
    </comment>
    <comment ref="E163" authorId="0" shapeId="0">
      <text>
        <r>
          <rPr>
            <b/>
            <sz val="9"/>
            <color indexed="81"/>
            <rFont val="Tahoma"/>
            <family val="2"/>
          </rPr>
          <t>marie.palena:</t>
        </r>
        <r>
          <rPr>
            <sz val="9"/>
            <color indexed="81"/>
            <rFont val="Tahoma"/>
            <family val="2"/>
          </rPr>
          <t xml:space="preserve">
check Uses</t>
        </r>
      </text>
    </comment>
    <comment ref="E178" authorId="1" shapeId="0">
      <text>
        <r>
          <rPr>
            <b/>
            <sz val="9"/>
            <color indexed="81"/>
            <rFont val="Tahoma"/>
            <family val="2"/>
          </rPr>
          <t>marie.palena:</t>
        </r>
        <r>
          <rPr>
            <sz val="9"/>
            <color indexed="81"/>
            <rFont val="Tahoma"/>
            <family val="2"/>
          </rPr>
          <t xml:space="preserve">
Yes - only if IPS
No - only if fully amortized</t>
        </r>
      </text>
    </comment>
    <comment ref="E179" authorId="1" shapeId="0">
      <text>
        <r>
          <rPr>
            <b/>
            <sz val="9"/>
            <color indexed="81"/>
            <rFont val="Tahoma"/>
            <family val="2"/>
          </rPr>
          <t xml:space="preserve">marie.palena:
</t>
        </r>
        <r>
          <rPr>
            <sz val="9"/>
            <color indexed="81"/>
            <rFont val="Tahoma"/>
            <family val="2"/>
          </rPr>
          <t xml:space="preserve">must show on proforma, only for IPS
</t>
        </r>
      </text>
    </comment>
    <comment ref="C195" authorId="1" shapeId="0">
      <text>
        <r>
          <rPr>
            <b/>
            <sz val="9"/>
            <color indexed="81"/>
            <rFont val="Tahoma"/>
            <family val="2"/>
          </rPr>
          <t>marie.palena:</t>
        </r>
        <r>
          <rPr>
            <sz val="9"/>
            <color indexed="81"/>
            <rFont val="Tahoma"/>
            <family val="2"/>
          </rPr>
          <t xml:space="preserve">
If Yes - Federal and State</t>
        </r>
      </text>
    </comment>
    <comment ref="A200"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authors>
    <author>marie.palena</author>
  </authors>
  <commentList>
    <comment ref="I72" authorId="0" shapeId="0">
      <text>
        <r>
          <rPr>
            <b/>
            <sz val="9"/>
            <color indexed="81"/>
            <rFont val="Tahoma"/>
            <family val="2"/>
          </rPr>
          <t xml:space="preserve">marie.palena: </t>
        </r>
        <r>
          <rPr>
            <sz val="9"/>
            <color indexed="81"/>
            <rFont val="Tahoma"/>
            <family val="2"/>
          </rPr>
          <t>Rehab only</t>
        </r>
      </text>
    </comment>
    <comment ref="I74" authorId="0" shapeId="0">
      <text>
        <r>
          <rPr>
            <b/>
            <sz val="9"/>
            <color indexed="81"/>
            <rFont val="Tahoma"/>
            <family val="2"/>
          </rPr>
          <t xml:space="preserve">marie.palena: </t>
        </r>
        <r>
          <rPr>
            <sz val="9"/>
            <color indexed="81"/>
            <rFont val="Tahoma"/>
            <family val="2"/>
          </rPr>
          <t>Rehab only</t>
        </r>
      </text>
    </comment>
    <comment ref="I75" authorId="0" shapeId="0">
      <text>
        <r>
          <rPr>
            <b/>
            <sz val="9"/>
            <color indexed="81"/>
            <rFont val="Tahoma"/>
            <family val="2"/>
          </rPr>
          <t xml:space="preserve">marie.palena: </t>
        </r>
        <r>
          <rPr>
            <sz val="9"/>
            <color indexed="81"/>
            <rFont val="Tahoma"/>
            <family val="2"/>
          </rPr>
          <t>Rehab only</t>
        </r>
      </text>
    </comment>
    <comment ref="I76" authorId="0" shapeId="0">
      <text>
        <r>
          <rPr>
            <b/>
            <sz val="9"/>
            <color indexed="81"/>
            <rFont val="Tahoma"/>
            <family val="2"/>
          </rPr>
          <t xml:space="preserve">marie.palena: </t>
        </r>
        <r>
          <rPr>
            <sz val="9"/>
            <color indexed="81"/>
            <rFont val="Tahoma"/>
            <family val="2"/>
          </rPr>
          <t>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<sst xmlns="http://schemas.openxmlformats.org/spreadsheetml/2006/main" count="17087" uniqueCount="5333">
  <si>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</si>
  <si>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</si>
  <si>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</si>
  <si>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</si>
  <si>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</si>
  <si>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</si>
  <si>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</si>
  <si>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</si>
  <si>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</si>
  <si>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</si>
  <si>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</si>
  <si>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</si>
  <si>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</si>
  <si>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</si>
  <si>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</si>
  <si>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</si>
  <si>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</si>
  <si>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</si>
  <si>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</si>
  <si>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</si>
  <si>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</si>
  <si>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</si>
  <si>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</si>
  <si>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</si>
  <si>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</si>
  <si>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</si>
  <si>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</si>
  <si>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</si>
  <si>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</si>
  <si>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</si>
  <si>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</si>
  <si>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</si>
  <si>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</si>
  <si>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</si>
  <si>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</si>
  <si>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</si>
  <si>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</si>
  <si>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</si>
  <si>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</si>
  <si>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</si>
  <si>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</si>
  <si>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</si>
  <si>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</si>
  <si>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</si>
  <si>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</si>
  <si>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</si>
  <si>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</si>
  <si>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</si>
  <si>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</si>
  <si>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</si>
  <si>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</si>
  <si>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</si>
  <si>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</si>
  <si>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</si>
  <si>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</si>
  <si>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</si>
  <si>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</si>
  <si>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</si>
  <si>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</si>
  <si>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</si>
  <si>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</si>
  <si>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</si>
  <si>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</si>
  <si>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</si>
  <si>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</si>
  <si>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</si>
  <si>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</si>
  <si>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</si>
  <si>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</si>
  <si>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</si>
  <si>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</si>
  <si>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</si>
  <si>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</si>
  <si>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</si>
  <si>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</si>
  <si>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</si>
  <si>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</si>
  <si>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</si>
  <si>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</si>
  <si>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</si>
  <si>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</si>
  <si>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</si>
  <si>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</si>
  <si>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</si>
  <si>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</si>
  <si>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</si>
  <si>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</si>
  <si>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</si>
  <si>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</si>
  <si>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</si>
  <si>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</si>
  <si>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</si>
  <si>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</si>
  <si>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</si>
  <si>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</si>
  <si>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</si>
  <si>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</si>
  <si>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</si>
  <si>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</si>
  <si>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</si>
  <si>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</si>
  <si>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</si>
  <si>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</si>
  <si>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</si>
  <si>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</si>
  <si>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</si>
  <si>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</si>
  <si>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</si>
  <si>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</si>
  <si>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</si>
  <si>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</si>
  <si>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</si>
  <si>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</si>
  <si>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</si>
  <si>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</si>
  <si>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</si>
  <si>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</si>
  <si>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</si>
  <si>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</si>
  <si>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</si>
  <si>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</si>
  <si>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</si>
  <si>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</si>
  <si>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</si>
  <si>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</si>
  <si>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</si>
  <si>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</si>
  <si>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</si>
  <si>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</si>
  <si>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</si>
  <si>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</si>
  <si>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</si>
  <si>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</si>
  <si>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</si>
  <si>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</si>
  <si>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</si>
  <si>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</si>
  <si>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</si>
  <si>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</si>
  <si>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</si>
  <si>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</si>
  <si>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</si>
  <si>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</si>
  <si>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</si>
  <si>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</si>
  <si>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</si>
  <si>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</si>
  <si>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</si>
  <si>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</si>
  <si>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</si>
  <si>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</si>
  <si>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</si>
  <si>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</si>
  <si>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</si>
  <si>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</si>
  <si>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</si>
  <si>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</si>
  <si>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</si>
  <si>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</si>
  <si>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</si>
  <si>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</si>
  <si>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</si>
  <si>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</si>
  <si>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</si>
  <si>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</si>
  <si>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</si>
  <si>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</si>
  <si>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</si>
  <si>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</si>
  <si>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</si>
  <si>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</si>
  <si>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</si>
  <si>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</si>
  <si>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</si>
  <si>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</si>
  <si>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</si>
  <si>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</si>
  <si>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</si>
  <si>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</si>
  <si>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</si>
  <si>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</si>
  <si>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</si>
  <si>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</si>
  <si>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</si>
  <si>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</si>
  <si>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</si>
  <si>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</si>
  <si>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</si>
  <si>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</si>
  <si>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</si>
  <si>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</si>
  <si>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</si>
  <si>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</si>
  <si>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</si>
  <si>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</si>
  <si>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</si>
  <si>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</si>
  <si>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</si>
  <si>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</si>
  <si>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</si>
  <si>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</si>
  <si>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</si>
  <si>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</si>
  <si>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</si>
  <si>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</si>
  <si>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</si>
  <si>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</si>
  <si>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</si>
  <si>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</si>
  <si>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</si>
  <si>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</si>
  <si>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</si>
  <si>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</si>
  <si>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</si>
  <si>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</si>
  <si>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</si>
  <si>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</si>
  <si>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</si>
  <si>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</si>
  <si>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</si>
  <si>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</si>
  <si>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</si>
  <si>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</si>
  <si>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</si>
  <si>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</si>
  <si>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</si>
  <si>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</si>
  <si>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</si>
  <si>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</si>
  <si>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</si>
  <si>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</si>
  <si>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</si>
  <si>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</si>
  <si>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</si>
  <si>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</si>
  <si>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</si>
  <si>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</si>
  <si>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</si>
  <si>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</si>
  <si>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</si>
  <si>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</si>
  <si>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</si>
  <si>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</si>
  <si>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</si>
  <si>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</si>
  <si>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</si>
  <si>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</si>
  <si>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</si>
  <si>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</si>
  <si>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</si>
  <si>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</si>
  <si>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</si>
  <si>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</si>
  <si>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</si>
  <si>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</si>
  <si>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</si>
  <si>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</si>
  <si>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</si>
  <si>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</si>
  <si>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</si>
  <si>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</si>
  <si>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</si>
  <si>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</si>
  <si>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</si>
  <si>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</si>
  <si>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</si>
  <si>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</si>
  <si>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</si>
  <si>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</si>
  <si>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</si>
  <si>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</si>
  <si>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</si>
  <si>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</si>
  <si>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</si>
  <si>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</si>
  <si>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</si>
  <si>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</si>
  <si>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</si>
  <si>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</si>
  <si>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</si>
  <si>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</si>
  <si>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</si>
  <si>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</si>
  <si>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</si>
  <si>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</si>
  <si>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</si>
  <si>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</si>
  <si>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</si>
  <si>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</si>
  <si>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</si>
  <si>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</si>
  <si>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</si>
  <si>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</si>
  <si>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</si>
  <si>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</si>
  <si>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</si>
  <si>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</si>
  <si>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</si>
  <si>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</si>
  <si>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</si>
  <si>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</si>
  <si>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</si>
  <si>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</si>
  <si>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</si>
  <si>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</si>
  <si>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</si>
  <si>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</si>
  <si>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</si>
  <si>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</si>
  <si>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</si>
  <si>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</si>
  <si>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</si>
  <si>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</si>
  <si>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</si>
  <si>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</si>
  <si>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</si>
  <si>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</si>
  <si>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</si>
  <si>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</si>
  <si>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</si>
  <si>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</si>
  <si>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</si>
  <si>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</si>
  <si>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</si>
  <si>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</si>
  <si>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</si>
  <si>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</si>
  <si>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</si>
  <si>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</si>
  <si>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</si>
  <si>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</si>
  <si>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</si>
  <si>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</si>
  <si>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</si>
  <si>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</si>
  <si>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</si>
  <si>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</si>
  <si>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</si>
  <si>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</si>
  <si>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</si>
  <si>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</si>
  <si>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</si>
  <si>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</si>
  <si>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</si>
  <si>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</si>
  <si>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</si>
  <si>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</si>
  <si>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</si>
  <si>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</si>
  <si>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</si>
  <si>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</si>
  <si>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</si>
  <si>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</si>
  <si>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</si>
  <si>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</si>
  <si>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</si>
  <si>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</si>
  <si>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</si>
  <si>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</si>
  <si>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</si>
  <si>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</si>
  <si>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</si>
  <si>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</si>
  <si>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</si>
  <si>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</si>
  <si>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</si>
  <si>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</si>
  <si>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</si>
  <si>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</si>
  <si>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</si>
  <si>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</si>
  <si>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</si>
  <si>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</si>
  <si>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</si>
  <si>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</si>
  <si>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</si>
  <si>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</si>
  <si>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</si>
  <si>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</si>
  <si>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</si>
  <si>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</si>
  <si>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</si>
  <si>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</si>
  <si>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</si>
  <si>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</si>
  <si>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</si>
  <si>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</si>
  <si>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</si>
  <si>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</si>
  <si>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</si>
  <si>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</si>
  <si>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</si>
  <si>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</si>
  <si>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</si>
  <si>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</si>
  <si>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</si>
  <si>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</si>
  <si>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</si>
  <si>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</si>
  <si>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</si>
  <si>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</si>
  <si>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</si>
  <si>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</si>
  <si>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</si>
  <si>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</si>
  <si>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</si>
  <si>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</si>
  <si>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</si>
  <si>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</si>
  <si>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</si>
  <si>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</si>
  <si>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</si>
  <si>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</si>
  <si>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</si>
  <si>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</si>
  <si>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</si>
  <si>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</si>
  <si>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</si>
  <si>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</si>
  <si>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</si>
  <si>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</si>
  <si>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</si>
  <si>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</si>
  <si>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</si>
  <si>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</si>
  <si>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</si>
  <si>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</si>
  <si>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</si>
  <si>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</si>
  <si>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</si>
  <si>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</si>
  <si>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</si>
  <si>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</si>
  <si>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</si>
  <si>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</si>
  <si>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</si>
  <si>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</si>
  <si>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</si>
  <si>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</si>
  <si>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</si>
  <si>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</si>
  <si>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</si>
  <si>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</si>
  <si>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</si>
  <si>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</si>
  <si>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</si>
  <si>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</si>
  <si>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</si>
  <si>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</si>
  <si>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</si>
  <si>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</si>
  <si>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</si>
  <si>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</si>
  <si>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</si>
  <si>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</si>
  <si>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</si>
  <si>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</si>
  <si>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</si>
  <si>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</si>
  <si>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</si>
  <si>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</si>
  <si>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</si>
  <si>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</si>
  <si>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</si>
  <si>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</si>
  <si>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</si>
  <si>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</si>
  <si>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</si>
  <si>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</si>
  <si>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</si>
  <si>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</si>
  <si>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</si>
  <si>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</si>
  <si>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</si>
  <si>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</si>
  <si>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</si>
  <si>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</si>
  <si>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</si>
  <si>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</si>
  <si>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</si>
  <si>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</si>
  <si>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</si>
  <si>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</si>
  <si>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</si>
  <si>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</si>
  <si>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</si>
  <si>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</si>
  <si>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</si>
  <si>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</si>
  <si>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</si>
  <si>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</si>
  <si>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</si>
  <si>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</si>
  <si>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</si>
  <si>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</si>
  <si>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</si>
  <si>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</si>
  <si>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</si>
  <si>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</si>
  <si>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</si>
  <si>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</si>
  <si>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</si>
  <si>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</si>
  <si>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</si>
  <si>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</si>
  <si>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</si>
  <si>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</si>
  <si>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</si>
  <si>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</si>
  <si>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</si>
  <si>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</si>
  <si>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</si>
  <si>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</si>
  <si>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</si>
  <si>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</si>
  <si>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</si>
  <si>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</si>
  <si>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</si>
  <si>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</si>
  <si>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</si>
  <si>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</si>
  <si>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</si>
  <si>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</si>
  <si>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</si>
  <si>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</si>
  <si>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</si>
  <si>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</si>
  <si>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</si>
  <si>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</si>
  <si>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</si>
  <si>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</si>
  <si>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</si>
  <si>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</si>
  <si>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</si>
  <si>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</si>
  <si>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</si>
  <si>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</si>
  <si>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</si>
  <si>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</si>
  <si>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</si>
  <si>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</si>
  <si>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</si>
  <si>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</si>
  <si>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</si>
  <si>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</si>
  <si>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</si>
  <si>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</si>
  <si>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</si>
  <si>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</si>
  <si>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</si>
  <si>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</si>
  <si>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</si>
  <si>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</si>
  <si>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</si>
  <si>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</si>
  <si>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</si>
  <si>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</si>
  <si>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</si>
  <si>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</si>
  <si>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</si>
  <si>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</si>
  <si>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</si>
  <si>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</si>
  <si>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</si>
  <si>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</si>
  <si>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</si>
  <si>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</si>
  <si>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</si>
  <si>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</si>
  <si>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</si>
  <si>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</si>
  <si>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</si>
  <si>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</si>
  <si>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</si>
  <si>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</si>
  <si>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</si>
  <si>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</si>
  <si>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</si>
  <si>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</si>
  <si>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</si>
  <si>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</si>
  <si>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</si>
  <si>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</si>
  <si>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</si>
  <si>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</si>
  <si>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</si>
  <si>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</si>
  <si>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</si>
  <si>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</si>
  <si>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</si>
  <si>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</si>
  <si>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</si>
  <si>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</si>
  <si>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</si>
  <si>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</si>
  <si>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</si>
  <si>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</si>
  <si>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</si>
  <si>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</si>
  <si>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</si>
  <si>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</si>
  <si>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</si>
  <si>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</si>
  <si>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</si>
  <si>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</si>
  <si>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</si>
  <si>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</si>
  <si>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</si>
  <si>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</si>
  <si>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</si>
  <si>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</si>
  <si>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</si>
  <si>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</si>
  <si>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</si>
  <si>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</si>
  <si>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</si>
  <si>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</si>
  <si>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</si>
  <si>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</si>
  <si>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</si>
  <si>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</si>
  <si>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</si>
  <si>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</si>
  <si>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</si>
  <si>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</si>
  <si>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</si>
  <si>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</si>
  <si>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</si>
  <si>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</si>
  <si>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</si>
  <si>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</si>
  <si>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</si>
  <si>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</si>
  <si>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</si>
  <si>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</si>
  <si>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</si>
  <si>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</si>
  <si>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</si>
  <si>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</si>
  <si>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</si>
  <si>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</si>
  <si>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</si>
  <si>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</si>
  <si>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</si>
  <si>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</si>
  <si>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</si>
  <si>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</si>
  <si>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</si>
  <si>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</si>
  <si>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</si>
  <si>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</si>
  <si>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</si>
  <si>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</si>
  <si>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</si>
  <si>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</si>
  <si>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</si>
  <si>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</si>
  <si>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</si>
  <si>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</si>
  <si>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</si>
  <si>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</si>
  <si>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</si>
  <si>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</si>
  <si>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</si>
  <si>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</si>
  <si>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</si>
  <si>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</si>
  <si>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</si>
  <si>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</si>
  <si>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</si>
  <si>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</si>
  <si>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</si>
  <si>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</si>
  <si>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</si>
  <si>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</si>
  <si>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</si>
  <si>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</si>
  <si>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</si>
  <si>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</si>
  <si>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</si>
  <si>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</si>
  <si>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</si>
  <si>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</si>
  <si>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</si>
  <si>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</si>
  <si>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</si>
  <si>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</si>
  <si>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</si>
  <si>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</si>
  <si>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</si>
  <si>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</si>
  <si>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</si>
  <si>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</si>
  <si>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</si>
  <si>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</si>
  <si>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</si>
  <si>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</si>
  <si>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</si>
  <si>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</si>
  <si>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</si>
  <si>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</si>
  <si>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</si>
  <si>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</si>
  <si>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</si>
  <si>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</si>
  <si>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</si>
  <si>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</si>
  <si>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</si>
  <si>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</si>
  <si>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</si>
  <si>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</si>
  <si>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</si>
  <si>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</si>
  <si>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</si>
  <si>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</si>
  <si>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</si>
  <si>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</si>
  <si>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</si>
  <si>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</si>
  <si>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</si>
  <si>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</si>
  <si>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</si>
  <si>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</si>
  <si>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</si>
  <si>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</si>
  <si>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</si>
  <si>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</si>
  <si>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</si>
  <si>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</si>
  <si>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</si>
  <si>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</si>
  <si>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</si>
  <si>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</si>
  <si>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</si>
  <si>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</si>
  <si>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</si>
  <si>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</si>
  <si>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</si>
  <si>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</si>
  <si>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</si>
  <si>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</si>
  <si>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</si>
  <si>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</si>
  <si>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</si>
  <si>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</si>
  <si>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</si>
  <si>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</si>
  <si>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</si>
  <si>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</si>
  <si>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</si>
  <si>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</si>
  <si>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</si>
  <si>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</si>
  <si>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</si>
  <si>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</si>
  <si>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</si>
  <si>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</si>
  <si>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</si>
  <si>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</si>
  <si>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</si>
  <si>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</si>
  <si>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</si>
  <si>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</si>
  <si>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</si>
  <si>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</si>
  <si>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</si>
  <si>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</si>
  <si>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</si>
  <si>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</si>
  <si>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</si>
  <si>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</si>
  <si>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</si>
  <si>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</si>
  <si>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</si>
  <si>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</si>
  <si>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</si>
  <si>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</si>
  <si>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</si>
  <si>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</si>
  <si>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</si>
  <si>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</si>
  <si>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</si>
  <si>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</si>
  <si>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</si>
  <si>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</si>
  <si>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</si>
  <si>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</si>
  <si>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</si>
  <si>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</si>
  <si>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</si>
  <si>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</si>
  <si>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</si>
  <si>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</si>
  <si>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</si>
  <si>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</si>
  <si>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</si>
  <si>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</si>
  <si>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</si>
  <si>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</si>
  <si>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</si>
  <si>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</si>
  <si>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</si>
  <si>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</si>
  <si>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</si>
  <si>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</si>
  <si>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</si>
  <si>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</si>
  <si>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</si>
  <si>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</si>
  <si>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</si>
  <si>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</si>
  <si>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</si>
  <si>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</si>
  <si>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</si>
  <si>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</si>
  <si>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</si>
  <si>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</si>
  <si>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</si>
  <si>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</si>
  <si>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</si>
  <si>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</si>
  <si>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</si>
  <si>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</si>
  <si>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</si>
  <si>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</si>
  <si>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</si>
  <si>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</si>
  <si>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</si>
  <si>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</si>
  <si>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</si>
  <si>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</si>
  <si>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</si>
  <si>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</si>
  <si>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</si>
  <si>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</si>
  <si>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</si>
  <si>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</si>
  <si>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</si>
  <si>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</si>
  <si>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</si>
  <si>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</si>
  <si>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</si>
  <si>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</si>
  <si>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</si>
  <si>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</si>
  <si>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</si>
  <si>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</si>
  <si>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</si>
  <si>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</si>
  <si>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</si>
  <si>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</si>
  <si>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</si>
  <si>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</si>
  <si>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</si>
  <si>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</si>
  <si>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</si>
  <si>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</si>
  <si>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</si>
  <si>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</si>
  <si>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</si>
  <si>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</si>
  <si>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</si>
  <si>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</si>
  <si>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</si>
  <si>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</si>
  <si>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</si>
  <si>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</si>
  <si>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</si>
  <si>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</si>
  <si>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</si>
  <si>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</si>
  <si>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</si>
  <si>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</si>
  <si>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</si>
  <si>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</si>
  <si>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</si>
  <si>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</si>
  <si>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</si>
  <si>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</si>
  <si>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</si>
  <si>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</si>
  <si>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</si>
  <si>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</si>
  <si>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</si>
  <si>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</si>
  <si>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</si>
  <si>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</si>
  <si>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</si>
  <si>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</si>
  <si>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</si>
  <si>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</si>
  <si>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</si>
  <si>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</si>
  <si>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</si>
  <si>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</si>
  <si>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</si>
  <si>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</si>
  <si>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</si>
  <si>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</si>
  <si>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</si>
  <si>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</si>
  <si>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</si>
  <si>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</si>
  <si>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</si>
  <si>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</si>
  <si>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</si>
  <si>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</si>
  <si>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</si>
  <si>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</si>
  <si>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</si>
  <si>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</si>
  <si>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</si>
  <si>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</si>
  <si>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</si>
  <si>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</si>
  <si>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</si>
  <si>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</si>
  <si>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</si>
  <si>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</si>
  <si>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</si>
  <si>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</si>
  <si>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</si>
  <si>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</si>
  <si>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</si>
  <si>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</si>
  <si>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</si>
  <si>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</si>
  <si>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</si>
  <si>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</si>
  <si>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</si>
  <si>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</si>
  <si>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</si>
  <si>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</si>
  <si>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</si>
  <si>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</si>
  <si>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</si>
  <si>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</si>
  <si>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</si>
  <si>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</si>
  <si>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</si>
  <si>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</si>
  <si>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</si>
  <si>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</si>
  <si>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</si>
  <si>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</si>
  <si>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</si>
  <si>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</si>
  <si>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</si>
  <si>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</si>
  <si>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</si>
  <si>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</si>
  <si>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</si>
  <si>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</si>
  <si>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</si>
  <si>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</si>
  <si>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</si>
  <si>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</si>
  <si>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</si>
  <si>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</si>
  <si>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</si>
  <si>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</si>
  <si>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</si>
  <si>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</si>
  <si>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</si>
  <si>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</si>
  <si>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</si>
  <si>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</si>
  <si>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</si>
  <si>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</si>
  <si>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</si>
  <si>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</si>
  <si>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</si>
  <si>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</si>
  <si>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</si>
  <si>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</si>
  <si>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</si>
  <si>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</si>
  <si>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</si>
  <si>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</si>
  <si>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</si>
  <si>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</si>
  <si>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</si>
  <si>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</si>
  <si>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</si>
  <si>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</si>
  <si>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</si>
  <si>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</si>
  <si>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</si>
  <si>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</si>
  <si>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</si>
  <si>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</si>
  <si>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</si>
  <si>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</si>
  <si>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</si>
  <si>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</si>
  <si>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</si>
  <si>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</si>
  <si>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</si>
  <si>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</si>
  <si>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</si>
  <si>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</si>
  <si>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</si>
  <si>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</si>
  <si>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</si>
  <si>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</si>
  <si>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</si>
  <si>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</si>
  <si>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</si>
  <si>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</si>
  <si>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</si>
  <si>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</si>
  <si>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</si>
  <si>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</si>
  <si>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</si>
  <si>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</si>
  <si>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</si>
  <si>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</si>
  <si>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</si>
  <si>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</si>
  <si>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</si>
  <si>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</si>
  <si>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</si>
  <si>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</si>
  <si>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</si>
  <si>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</si>
  <si>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</si>
  <si>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</si>
  <si>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</si>
  <si>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</si>
  <si>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</si>
  <si>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</si>
  <si>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</si>
  <si>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</si>
  <si>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</si>
  <si>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</si>
  <si>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</si>
  <si>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</si>
  <si>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</si>
  <si>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</si>
  <si>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</si>
  <si>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</si>
  <si>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</si>
  <si>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</si>
  <si>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</si>
  <si>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</si>
  <si>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</si>
  <si>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</si>
  <si>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</si>
  <si>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</si>
  <si>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</si>
  <si>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</si>
  <si>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</si>
  <si>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</si>
  <si>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</si>
  <si>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</si>
  <si>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</si>
  <si>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</si>
  <si>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</si>
  <si>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</si>
  <si>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</si>
  <si>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</si>
  <si>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</si>
  <si>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</si>
  <si>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</si>
  <si>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</si>
  <si>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</si>
  <si>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</si>
  <si>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</si>
  <si>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</si>
  <si>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</si>
  <si>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</si>
  <si>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</si>
  <si>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</si>
  <si>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</si>
  <si>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</si>
  <si>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</si>
  <si>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</si>
  <si>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</si>
  <si>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</si>
  <si>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</si>
  <si>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</si>
  <si>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</si>
  <si>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</si>
  <si>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</si>
  <si>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</si>
  <si>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</si>
  <si>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</si>
  <si>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</si>
  <si>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</si>
  <si>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</si>
  <si>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</si>
  <si>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</si>
  <si>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</si>
  <si>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</si>
  <si>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</si>
  <si>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</si>
  <si>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</si>
  <si>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</si>
  <si>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</si>
  <si>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</si>
  <si>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</si>
  <si>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</si>
  <si>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</si>
  <si>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</si>
  <si>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</si>
  <si>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</si>
  <si>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</si>
  <si>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</si>
  <si>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</si>
  <si>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</si>
  <si>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</si>
  <si>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</si>
  <si>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</si>
  <si>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</si>
  <si>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</si>
  <si>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</si>
  <si>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</si>
  <si>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</si>
  <si>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</si>
  <si>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</si>
  <si>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</si>
  <si>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</si>
  <si>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</si>
  <si>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</si>
  <si>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</si>
  <si>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</si>
  <si>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</si>
  <si>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</si>
  <si>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</si>
  <si>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</si>
  <si>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</si>
  <si>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</si>
  <si>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</si>
  <si>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</si>
  <si>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</si>
  <si>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</si>
  <si>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</si>
  <si>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</si>
  <si>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</si>
  <si>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</si>
  <si>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</si>
  <si>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</si>
  <si>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</si>
  <si>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</si>
  <si>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</si>
  <si>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</si>
  <si>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</si>
  <si>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</si>
  <si>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</si>
  <si>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</si>
  <si>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</si>
  <si>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</si>
  <si>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</si>
  <si>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</si>
  <si>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</si>
  <si>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</si>
  <si>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</si>
  <si>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</si>
  <si>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</si>
  <si>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</si>
  <si>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</si>
  <si>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</si>
  <si>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</si>
  <si>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</si>
  <si>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</si>
  <si>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</si>
  <si>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</si>
  <si>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</si>
  <si>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</si>
  <si>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</si>
  <si>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</si>
  <si>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</si>
  <si>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</si>
  <si>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</si>
  <si>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</si>
  <si>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</si>
  <si>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</si>
  <si>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</si>
  <si>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</si>
  <si>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</si>
  <si>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</si>
  <si>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</si>
  <si>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</si>
  <si>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</si>
  <si>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</si>
  <si>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</si>
  <si>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</si>
  <si>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</si>
  <si>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</si>
  <si>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</si>
  <si>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</si>
  <si>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</si>
  <si>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</si>
  <si>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</si>
  <si>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</si>
  <si>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</si>
  <si>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</si>
  <si>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</si>
  <si>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</si>
  <si>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</si>
  <si>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</si>
  <si>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</si>
  <si>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</si>
  <si>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</si>
  <si>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</si>
  <si>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</si>
  <si>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</si>
  <si>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</si>
  <si>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</si>
  <si>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</si>
  <si>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</si>
  <si>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</si>
  <si>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</si>
  <si>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</si>
  <si>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</si>
  <si>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</si>
  <si>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</si>
  <si>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</si>
  <si>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</si>
  <si>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</si>
  <si>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</si>
  <si>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</si>
  <si>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</si>
  <si>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</si>
  <si>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</si>
  <si>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</si>
  <si>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</si>
  <si>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</si>
  <si>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</si>
  <si>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</si>
  <si>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</si>
  <si>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</si>
  <si>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</si>
  <si>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</si>
  <si>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</si>
  <si>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</si>
  <si>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</si>
  <si>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</si>
  <si>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</si>
  <si>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</si>
  <si>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</si>
  <si>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</si>
  <si>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</si>
  <si>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</si>
  <si>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</si>
  <si>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</si>
  <si>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</si>
  <si>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</si>
  <si>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</si>
  <si>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</si>
  <si>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</si>
  <si>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</si>
  <si>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</si>
  <si>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</si>
  <si>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</si>
  <si>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</si>
  <si>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</si>
  <si>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</si>
  <si>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</si>
  <si>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</si>
  <si>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</si>
  <si>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</si>
  <si>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</si>
  <si>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</si>
  <si>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</si>
  <si>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</si>
  <si>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</si>
  <si>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</si>
  <si>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</si>
  <si>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</si>
  <si>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</si>
  <si>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</si>
  <si>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</si>
  <si>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</si>
  <si>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</si>
  <si>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</si>
  <si>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</si>
  <si>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</si>
  <si>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</si>
  <si>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</si>
  <si>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</si>
  <si>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</si>
  <si>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</si>
  <si>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</si>
  <si>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</si>
  <si>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</si>
  <si>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</si>
  <si>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</si>
  <si>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</si>
  <si>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</si>
  <si>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</si>
  <si>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</si>
  <si>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</si>
  <si>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</si>
  <si>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</si>
  <si>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</si>
  <si>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</si>
  <si>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</si>
  <si>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</si>
  <si>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</si>
  <si>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</si>
  <si>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</si>
  <si>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</si>
  <si>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</si>
  <si>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</si>
  <si>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</si>
  <si>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</si>
  <si>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</si>
  <si>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</si>
  <si>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</si>
  <si>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</si>
  <si>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</si>
  <si>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</si>
  <si>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</si>
  <si>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</si>
  <si>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</si>
  <si>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</si>
  <si>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</si>
  <si>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</si>
  <si>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</si>
  <si>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</si>
  <si>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</si>
  <si>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</si>
  <si>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</si>
  <si>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</si>
  <si>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</si>
  <si>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</si>
  <si>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</si>
  <si>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</si>
  <si>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</si>
  <si>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</si>
  <si>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</si>
  <si>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</si>
  <si>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</si>
  <si>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</si>
  <si>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</si>
  <si>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</si>
  <si>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</si>
  <si>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</si>
  <si>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</si>
  <si>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</si>
  <si>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</si>
  <si>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</si>
  <si>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</si>
  <si>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</si>
  <si>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</si>
  <si>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</si>
  <si>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</si>
  <si>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</si>
  <si>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</si>
  <si>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</si>
  <si>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</si>
  <si>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</si>
  <si>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</si>
  <si>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</si>
  <si>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</si>
  <si>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</si>
  <si>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</si>
  <si>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</si>
  <si>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</si>
  <si>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</si>
  <si>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</si>
  <si>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</si>
  <si>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</si>
  <si>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</si>
  <si>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</si>
  <si>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</si>
  <si>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</si>
  <si>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</si>
  <si>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</si>
  <si>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</si>
  <si>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</si>
  <si>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</si>
  <si>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</si>
  <si>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</si>
  <si>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</si>
  <si>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</si>
  <si>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</si>
  <si>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</si>
  <si>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</si>
  <si>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</si>
  <si>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</si>
  <si>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</si>
  <si>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</si>
  <si>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</si>
  <si>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</si>
  <si>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</si>
  <si>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</si>
  <si>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</si>
  <si>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</si>
  <si>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</si>
  <si>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</si>
  <si>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</si>
  <si>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</si>
  <si>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</si>
  <si>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</si>
  <si>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</si>
  <si>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</si>
  <si>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</si>
  <si>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</si>
  <si>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</si>
  <si>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</si>
  <si>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</si>
  <si>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</si>
  <si>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</si>
  <si>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</si>
  <si>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</si>
  <si>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</si>
  <si>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</si>
  <si>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</si>
  <si>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</si>
  <si>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</si>
  <si>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</si>
  <si>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</si>
  <si>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</si>
  <si>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</si>
  <si>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</si>
  <si>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</si>
  <si>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</si>
  <si>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</si>
  <si>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</si>
  <si>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</si>
  <si>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</si>
  <si>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</si>
  <si>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</si>
  <si>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</si>
  <si>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</si>
  <si>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</si>
  <si>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</si>
  <si>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</si>
  <si>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</si>
  <si>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</si>
  <si>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</si>
  <si>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</si>
  <si>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</si>
  <si>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</si>
  <si>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</si>
  <si>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</si>
  <si>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</si>
  <si>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</si>
  <si>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</si>
  <si>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</si>
  <si>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</si>
  <si>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</si>
  <si>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</si>
  <si>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</si>
  <si>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</si>
  <si>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</si>
  <si>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</si>
  <si>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</si>
  <si>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</si>
  <si>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</si>
  <si>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</si>
  <si>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</si>
  <si>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</si>
  <si>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</si>
  <si>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</si>
  <si>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</si>
  <si>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</si>
  <si>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</si>
  <si>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</si>
  <si>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</si>
  <si>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</si>
  <si>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</si>
  <si>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</si>
  <si>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</si>
  <si>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</si>
  <si>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</si>
  <si>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</si>
  <si>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</si>
  <si>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</si>
  <si>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</si>
  <si>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</si>
  <si>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</si>
  <si>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</si>
  <si>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</si>
  <si>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</si>
  <si>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</si>
  <si>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</si>
  <si>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</si>
  <si>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</si>
  <si>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</si>
  <si>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</si>
  <si>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</si>
  <si>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</si>
  <si>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</si>
  <si>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</si>
  <si>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</si>
  <si>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</si>
  <si>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</si>
  <si>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</si>
  <si>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</si>
  <si>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</si>
  <si>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</si>
  <si>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</si>
  <si>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</si>
  <si>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</si>
  <si>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</si>
  <si>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</si>
  <si>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</si>
  <si>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</si>
  <si>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</si>
  <si>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</si>
  <si>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</si>
  <si>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</si>
  <si>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</si>
  <si>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</si>
  <si>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</si>
  <si>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</si>
  <si>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</si>
  <si>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</si>
  <si>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</si>
  <si>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</si>
  <si>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</si>
  <si>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</si>
  <si>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</si>
  <si>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</si>
  <si>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</si>
  <si>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</si>
  <si>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</si>
  <si>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</si>
  <si>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</si>
  <si>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</si>
  <si>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</si>
  <si>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</si>
  <si>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</si>
  <si>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</si>
  <si>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</si>
  <si>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</si>
  <si>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</si>
  <si>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</si>
  <si>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</si>
  <si>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</si>
  <si>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</si>
  <si>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</si>
  <si>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</si>
  <si>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</si>
  <si>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</si>
  <si>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</si>
  <si>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</si>
  <si>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</si>
  <si>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</si>
  <si>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</si>
  <si>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</si>
  <si>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</si>
  <si>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</si>
  <si>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</si>
  <si>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</si>
  <si>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</si>
  <si>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</si>
  <si>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</si>
  <si>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</si>
  <si>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</si>
  <si>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</si>
  <si>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</si>
  <si>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</si>
  <si>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</si>
  <si>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</si>
  <si>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</si>
  <si>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</si>
  <si>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</si>
  <si>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</si>
  <si>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</si>
  <si>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</si>
  <si>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</si>
  <si>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</si>
  <si>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</si>
  <si>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</si>
  <si>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</si>
  <si>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</si>
  <si>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</si>
  <si>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</si>
  <si>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</si>
  <si>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</si>
  <si>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</si>
  <si>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</si>
  <si>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</si>
  <si>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</si>
  <si>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</si>
  <si>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</si>
  <si>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</si>
  <si>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</si>
  <si>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</si>
  <si>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</si>
  <si>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</si>
  <si>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</si>
  <si>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</si>
  <si>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</si>
  <si>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</si>
  <si>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</si>
  <si>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</si>
  <si>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</si>
  <si>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</si>
  <si>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</si>
  <si>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</si>
  <si>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</si>
  <si>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</si>
  <si>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</si>
  <si>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</si>
  <si>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</si>
  <si>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</si>
  <si>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</si>
  <si>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</si>
  <si>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</si>
  <si>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</si>
  <si>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</si>
  <si>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</si>
  <si>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</si>
  <si>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</si>
  <si>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</si>
  <si>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</si>
  <si>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</si>
  <si>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</si>
  <si>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</si>
  <si>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</si>
  <si>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</si>
  <si>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</si>
  <si>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</si>
  <si>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</si>
  <si>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</si>
  <si>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</si>
  <si>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</si>
  <si>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</si>
  <si>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</si>
  <si>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</si>
  <si>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</si>
  <si>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</si>
  <si>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</si>
  <si>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</si>
  <si>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</si>
  <si>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</si>
  <si>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</si>
  <si>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</si>
  <si>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</si>
  <si>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</si>
  <si>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</si>
  <si>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</si>
  <si>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</si>
  <si>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</si>
  <si>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</si>
  <si>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</si>
  <si>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</si>
  <si>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</si>
  <si>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</si>
  <si>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</si>
  <si>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</si>
  <si>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</si>
  <si>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</si>
  <si>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</si>
  <si>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</si>
  <si>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</si>
  <si>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</si>
  <si>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</si>
  <si>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</si>
  <si>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</si>
  <si>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</si>
  <si>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</si>
  <si>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</si>
  <si>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</si>
  <si>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</si>
  <si>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</si>
  <si>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</si>
  <si>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</si>
  <si>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</si>
  <si>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</si>
  <si>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</si>
  <si>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</si>
  <si>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</si>
  <si>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</si>
  <si>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</si>
  <si>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</si>
  <si>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</si>
  <si>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</si>
  <si>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</si>
  <si>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</si>
  <si>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</si>
  <si>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</si>
  <si>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</si>
  <si>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</si>
  <si>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</si>
  <si>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</si>
  <si>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</si>
  <si>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</si>
  <si>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</si>
  <si>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</si>
  <si>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</si>
  <si>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</si>
  <si>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</si>
  <si>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</si>
  <si>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</si>
  <si>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</si>
  <si>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</si>
  <si>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</si>
  <si>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</si>
  <si>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</si>
  <si>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</si>
  <si>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</si>
  <si>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</si>
  <si>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</si>
  <si>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</si>
  <si>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</si>
  <si>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</si>
  <si>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</si>
  <si>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</si>
  <si>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</si>
  <si>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</si>
  <si>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</si>
  <si>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</si>
  <si>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</si>
  <si>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</si>
  <si>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</si>
  <si>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</si>
  <si>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</si>
  <si>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</si>
  <si>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</si>
  <si>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</si>
  <si>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</si>
  <si>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</si>
  <si>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</si>
  <si>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</si>
  <si>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</si>
  <si>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</si>
  <si>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</si>
  <si>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</si>
  <si>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</si>
  <si>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</si>
  <si>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</si>
  <si>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</si>
  <si>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</si>
  <si>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</si>
  <si>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</si>
  <si>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</si>
  <si>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</si>
  <si>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</si>
  <si>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</si>
  <si>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</si>
  <si>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</si>
  <si>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</si>
  <si>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</si>
  <si>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</si>
  <si>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</si>
  <si>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</si>
  <si>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</si>
  <si>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</si>
  <si>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</si>
  <si>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</si>
  <si>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</si>
  <si>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</si>
  <si>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</si>
  <si>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</si>
  <si>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</si>
  <si>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</si>
  <si>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</si>
  <si>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</si>
  <si>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</si>
  <si>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</si>
  <si>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</si>
  <si>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</si>
  <si>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</si>
  <si>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</si>
  <si>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</si>
  <si>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</si>
  <si>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</si>
  <si>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</si>
  <si>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</si>
  <si>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</si>
  <si>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</si>
  <si>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</si>
  <si>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</si>
  <si>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</si>
  <si>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</si>
  <si>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</si>
  <si>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</si>
  <si>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</si>
  <si>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</si>
  <si>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</si>
  <si>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</si>
  <si>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</si>
  <si>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</si>
  <si>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</si>
  <si>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</si>
  <si>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</si>
  <si>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</si>
  <si>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</si>
  <si>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</si>
  <si>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</si>
  <si>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</si>
  <si>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</si>
  <si>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</si>
  <si>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</si>
  <si>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</si>
  <si>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</si>
  <si>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</si>
  <si>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</si>
  <si>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</si>
  <si>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</si>
  <si>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</si>
  <si>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</si>
  <si>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</si>
  <si>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</si>
  <si>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</si>
  <si>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</si>
  <si>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</si>
  <si>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</si>
  <si>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</si>
  <si>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</si>
  <si>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</si>
  <si>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</si>
  <si>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</si>
  <si>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</si>
  <si>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</si>
  <si>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</si>
  <si>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</si>
  <si>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</si>
  <si>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</si>
  <si>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</si>
  <si>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</si>
  <si>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</si>
  <si>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</si>
  <si>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</si>
  <si>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</si>
  <si>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</si>
  <si>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</si>
  <si>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</si>
  <si>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</si>
  <si>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</si>
  <si>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</si>
  <si>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</si>
  <si>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</si>
  <si>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</si>
  <si>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</si>
  <si>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</si>
  <si>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</si>
  <si>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</si>
  <si>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</si>
  <si>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</si>
  <si>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</si>
  <si>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</si>
  <si>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</si>
  <si>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</si>
  <si>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</si>
  <si>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</si>
  <si>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</si>
  <si>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</si>
  <si>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</si>
  <si>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</si>
  <si>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</si>
  <si>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</si>
  <si>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</si>
  <si>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</si>
  <si>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</si>
  <si>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</si>
  <si>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</si>
  <si>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</si>
  <si>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</si>
  <si>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</si>
  <si>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</si>
  <si>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</si>
  <si>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</si>
  <si>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</si>
  <si>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</si>
  <si>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</si>
  <si>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</si>
  <si>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</si>
  <si>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</si>
  <si>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</si>
  <si>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</si>
  <si>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</si>
  <si>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</si>
  <si>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</si>
  <si>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</si>
  <si>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</si>
  <si>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</si>
  <si>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</si>
  <si>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</si>
  <si>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</si>
  <si>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</si>
  <si>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</si>
  <si>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</si>
  <si>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</si>
  <si>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</si>
  <si>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</si>
  <si>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</si>
  <si>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</si>
  <si>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</si>
  <si>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</si>
  <si>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</si>
  <si>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</si>
  <si>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</si>
  <si>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</si>
  <si>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</si>
  <si>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</si>
  <si>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</si>
  <si>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</si>
  <si>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</si>
  <si>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</si>
  <si>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</si>
  <si>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</si>
  <si>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</si>
  <si>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</si>
  <si>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</si>
  <si>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</si>
  <si>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</si>
  <si>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</si>
  <si>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</si>
  <si>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</si>
  <si>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</si>
  <si>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</si>
  <si>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</si>
  <si>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</si>
  <si>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</si>
  <si>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</si>
  <si>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</si>
  <si>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</si>
  <si>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</si>
  <si>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</si>
  <si>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</si>
  <si>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</si>
  <si>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</si>
  <si>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</si>
  <si>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</si>
  <si>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</si>
  <si>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</si>
  <si>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</si>
  <si>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</si>
  <si>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</si>
  <si>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</si>
  <si>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</si>
  <si>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</si>
  <si>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</si>
  <si>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</si>
  <si>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</si>
  <si>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</si>
  <si>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</si>
  <si>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</si>
  <si>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</si>
  <si>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</si>
  <si>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</si>
  <si>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</si>
  <si>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</si>
  <si>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</si>
  <si>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</si>
  <si>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</si>
  <si>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</si>
  <si>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</si>
  <si>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</si>
  <si>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</si>
  <si>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</si>
  <si>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</si>
  <si>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</si>
  <si>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</si>
  <si>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</si>
  <si>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</si>
  <si>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</si>
  <si>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</si>
  <si>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</si>
  <si>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</si>
  <si>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</si>
  <si>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</si>
  <si>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</si>
  <si>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</si>
  <si>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</si>
  <si>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</si>
  <si>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</si>
  <si>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</si>
  <si>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</si>
  <si>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</si>
  <si>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</si>
  <si>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</si>
  <si>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</si>
  <si>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</si>
  <si>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</si>
  <si>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</si>
  <si>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</si>
  <si>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</si>
  <si>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</si>
  <si>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</si>
  <si>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</si>
  <si>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</si>
  <si>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</si>
  <si>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</si>
  <si>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</si>
  <si>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</si>
  <si>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</si>
  <si>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</si>
  <si>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</si>
  <si>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</si>
  <si>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</si>
  <si>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</si>
  <si>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</si>
  <si>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</si>
  <si>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</si>
  <si>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</si>
  <si>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</si>
  <si>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</si>
  <si>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</si>
  <si>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</si>
  <si>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</si>
  <si>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</si>
  <si>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</si>
  <si>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</si>
  <si>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</si>
  <si>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</si>
  <si>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</si>
  <si>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</si>
  <si>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</si>
  <si>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</si>
  <si>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</si>
  <si>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</si>
  <si>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</si>
  <si>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</si>
  <si>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</si>
  <si>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</si>
  <si>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</si>
  <si>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</si>
  <si>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</si>
  <si>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</si>
  <si>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</si>
  <si>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</si>
  <si>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</si>
  <si>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</si>
  <si>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</si>
  <si>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</si>
  <si>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</si>
  <si>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</si>
  <si>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</si>
  <si>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</si>
  <si>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</si>
  <si>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</si>
  <si>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</si>
  <si>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</si>
  <si>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</si>
  <si>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</si>
  <si>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</si>
  <si>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</si>
  <si>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</si>
  <si>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</si>
  <si>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</si>
  <si>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</si>
  <si>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</si>
  <si>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</si>
  <si>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</si>
  <si>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</si>
  <si>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</si>
  <si>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</si>
  <si>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</si>
  <si>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</si>
  <si>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</si>
  <si>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</si>
  <si>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</si>
  <si>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</si>
  <si>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</si>
  <si>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</si>
  <si>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</si>
  <si>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</si>
  <si>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</si>
  <si>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</si>
  <si>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</si>
  <si>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</si>
  <si>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</si>
  <si>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</si>
  <si>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</si>
  <si>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</si>
  <si>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</si>
  <si>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</si>
  <si>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</si>
  <si>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</si>
  <si>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</si>
  <si>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</si>
  <si>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</si>
  <si>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</si>
  <si>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</si>
  <si>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</si>
  <si>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</si>
  <si>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</si>
  <si>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</si>
  <si>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</si>
  <si>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</si>
  <si>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</si>
  <si>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</si>
  <si>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</si>
  <si>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</si>
  <si>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</si>
  <si>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</si>
  <si>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</si>
  <si>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</si>
  <si>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</si>
  <si>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</si>
  <si>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</si>
  <si>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</si>
  <si>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</si>
  <si>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</si>
  <si>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</si>
  <si>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</si>
  <si>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</si>
  <si>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</si>
  <si>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</si>
  <si>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</si>
  <si>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</si>
  <si>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</si>
  <si>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</si>
  <si>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</si>
  <si>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</si>
  <si>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</si>
  <si>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</si>
  <si>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</si>
  <si>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</si>
  <si>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</si>
  <si>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</si>
  <si>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</si>
  <si>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</si>
  <si>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</si>
  <si>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</si>
  <si>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</si>
  <si>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</si>
  <si>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</si>
  <si>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</si>
  <si>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</si>
  <si>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</si>
  <si>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</si>
  <si>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</si>
  <si>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</si>
  <si>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</si>
  <si>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</si>
  <si>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</si>
  <si>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</si>
  <si>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</si>
  <si>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</si>
  <si>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</si>
  <si>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</si>
  <si>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</si>
  <si>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</si>
  <si>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</si>
  <si>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</si>
  <si>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</si>
  <si>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</si>
  <si>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</si>
  <si>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</si>
  <si>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</si>
  <si>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</si>
  <si>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</si>
  <si>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</si>
  <si>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</si>
  <si>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</si>
  <si>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</si>
  <si>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</si>
  <si>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</si>
  <si>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</si>
  <si>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</si>
  <si>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</si>
  <si>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</si>
  <si>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</si>
  <si>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</si>
  <si>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</si>
  <si>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</si>
  <si>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</si>
  <si>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</si>
  <si>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</si>
  <si>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</si>
  <si>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</si>
  <si>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</si>
  <si>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</si>
  <si>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</si>
  <si>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</si>
  <si>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</si>
  <si>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</si>
  <si>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</si>
  <si>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</si>
  <si>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</si>
  <si>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</si>
  <si>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</si>
  <si>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</si>
  <si>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</si>
  <si>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</si>
  <si>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</si>
  <si>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</si>
  <si>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</si>
  <si>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</si>
  <si>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</si>
  <si>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</si>
  <si>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</si>
  <si>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</si>
  <si>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</si>
  <si>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</si>
  <si>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</si>
  <si>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</si>
  <si>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</si>
  <si>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</si>
  <si>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</si>
  <si>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</si>
  <si>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</si>
  <si>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</si>
  <si>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</si>
  <si>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</si>
  <si>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</si>
  <si>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</si>
  <si>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</si>
  <si>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</si>
  <si>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</si>
  <si>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</si>
  <si>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</si>
  <si>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</si>
  <si>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</si>
  <si>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</si>
  <si>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</si>
  <si>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</si>
  <si>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</si>
  <si>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</si>
  <si>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</si>
  <si>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</si>
  <si>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</si>
  <si>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</si>
  <si>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</si>
  <si>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</si>
  <si>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</si>
  <si>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</si>
  <si>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</si>
  <si>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</si>
  <si>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</si>
  <si>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</si>
  <si>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</si>
  <si>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</si>
  <si>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</si>
  <si>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</si>
  <si>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</si>
  <si>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</si>
  <si>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</si>
  <si>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</si>
  <si>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</si>
  <si>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</si>
  <si>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</si>
  <si>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</si>
  <si>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</si>
  <si>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</si>
  <si>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</si>
  <si>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</si>
  <si>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</si>
  <si>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</si>
  <si>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</si>
  <si>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</si>
  <si>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</si>
  <si>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</si>
  <si>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</si>
  <si>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</si>
  <si>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</si>
  <si>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</si>
  <si>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</si>
  <si>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</si>
  <si>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</si>
  <si>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</si>
  <si>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</si>
  <si>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</si>
  <si>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</si>
  <si>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</si>
  <si>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</si>
  <si>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</si>
  <si>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</si>
  <si>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</si>
  <si>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</si>
  <si>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</si>
  <si>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</si>
  <si>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</si>
  <si>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</si>
  <si>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</si>
  <si>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</si>
  <si>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</si>
  <si>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</si>
  <si>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</si>
  <si>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</si>
  <si>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</si>
  <si>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</si>
  <si>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</si>
  <si>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</si>
  <si>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</si>
  <si>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</si>
  <si>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</si>
  <si>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</si>
  <si>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</si>
  <si>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</si>
  <si>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</si>
  <si>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</si>
  <si>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</si>
  <si>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</si>
  <si>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</si>
  <si>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</si>
  <si>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</si>
  <si>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</si>
  <si>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</si>
  <si>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</si>
  <si>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</si>
  <si>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</si>
  <si>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</si>
  <si>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</si>
  <si>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</si>
  <si>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</si>
  <si>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</si>
  <si>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</si>
  <si>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</si>
  <si>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</si>
  <si>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</si>
  <si>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</si>
  <si>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</si>
  <si>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</si>
  <si>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</si>
  <si>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</si>
  <si>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</si>
  <si>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</si>
  <si>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</si>
  <si>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</si>
  <si>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</si>
  <si>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</si>
  <si>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</si>
  <si>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</si>
  <si>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</si>
  <si>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</si>
  <si>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</si>
  <si>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</si>
  <si>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</si>
  <si>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</si>
  <si>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</si>
  <si>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</si>
  <si>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</si>
  <si>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</si>
  <si>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</si>
  <si>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</si>
  <si>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</si>
  <si>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</si>
  <si>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</si>
  <si>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</si>
  <si>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</si>
  <si>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</si>
  <si>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</si>
  <si>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</si>
  <si>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</si>
  <si>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</si>
  <si>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</si>
  <si>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</si>
  <si>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</si>
  <si>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</si>
  <si>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</si>
  <si>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</si>
  <si>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</si>
  <si>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</si>
  <si>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</si>
  <si>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</si>
  <si>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</si>
  <si>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</si>
  <si>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</si>
  <si>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</si>
  <si>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</si>
  <si>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</si>
  <si>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</si>
  <si>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</si>
  <si>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</si>
  <si>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</si>
  <si>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</si>
  <si>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</si>
  <si>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</si>
  <si>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</si>
  <si>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</si>
  <si>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</si>
  <si>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</si>
  <si>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</si>
  <si>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</si>
  <si>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</si>
  <si>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</si>
  <si>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</si>
  <si>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</si>
  <si>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</si>
  <si>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</si>
  <si>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</si>
  <si>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</si>
  <si>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</si>
  <si>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</si>
  <si>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</si>
  <si>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</si>
  <si>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</si>
  <si>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</si>
  <si>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</si>
  <si>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</si>
  <si>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</si>
  <si>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</si>
  <si>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</si>
  <si>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</si>
  <si>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</si>
  <si>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</si>
  <si>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</si>
  <si>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</si>
  <si>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</si>
  <si>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</si>
  <si>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</si>
  <si>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</si>
  <si>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</si>
  <si>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</si>
  <si>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</si>
  <si>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</si>
  <si>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</si>
  <si>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</si>
  <si>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</si>
  <si>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</si>
  <si>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</si>
  <si>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</si>
  <si>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</si>
  <si>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</si>
  <si>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</si>
  <si>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</si>
  <si>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</si>
  <si>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</si>
  <si>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</si>
  <si>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</si>
  <si>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</si>
  <si>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</si>
  <si>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</si>
  <si>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</si>
  <si>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</si>
  <si>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</si>
  <si>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</si>
  <si>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</si>
  <si>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</si>
  <si>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</si>
  <si>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</si>
  <si>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</si>
  <si>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</si>
  <si>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</si>
  <si>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</si>
  <si>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</si>
  <si>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</si>
  <si>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</si>
  <si>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</si>
  <si>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</si>
  <si>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</si>
  <si>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</si>
  <si>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</si>
  <si>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</si>
  <si>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</si>
  <si>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</si>
  <si>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</si>
  <si>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</si>
  <si>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</si>
  <si>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</si>
  <si>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</si>
  <si>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</si>
  <si>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</si>
  <si>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</si>
  <si>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</si>
  <si>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</si>
  <si>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</si>
  <si>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</si>
  <si>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</si>
  <si>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</si>
  <si>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</si>
  <si>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</si>
  <si>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</si>
  <si>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</si>
  <si>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</si>
  <si>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</si>
  <si>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</si>
  <si>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</si>
  <si>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</si>
  <si>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</si>
  <si>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</si>
  <si>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</si>
  <si>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</si>
  <si>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</si>
  <si>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</si>
  <si>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</si>
  <si>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</si>
  <si>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</si>
  <si>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</si>
  <si>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</si>
  <si>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</si>
  <si>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</si>
  <si>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</si>
  <si>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</si>
  <si>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</si>
  <si>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</si>
  <si>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</si>
  <si>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</si>
  <si>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</si>
  <si>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</si>
  <si>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</si>
  <si>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</si>
  <si>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</si>
  <si>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</si>
  <si>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</si>
  <si>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</si>
  <si>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</si>
  <si>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</si>
  <si>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</si>
  <si>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</si>
  <si>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</si>
  <si>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</si>
  <si>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</si>
  <si>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</si>
  <si>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</si>
  <si>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</si>
  <si>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</si>
  <si>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</si>
  <si>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</si>
  <si>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</si>
  <si>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</si>
  <si>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</si>
  <si>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</si>
  <si>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</si>
  <si>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</si>
  <si>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</si>
  <si>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</si>
  <si>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</si>
  <si>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</si>
  <si>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</si>
  <si>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</si>
  <si>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</si>
  <si>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</si>
  <si>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</si>
  <si>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</si>
  <si>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</si>
  <si>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</si>
  <si>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</si>
  <si>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</si>
  <si>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</si>
  <si>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</si>
  <si>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</si>
  <si>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</si>
  <si>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</si>
  <si>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</si>
  <si>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</si>
  <si>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</si>
  <si>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</si>
  <si>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</si>
  <si>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</si>
  <si>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</si>
  <si>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</si>
  <si>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</si>
  <si>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</si>
  <si>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</si>
  <si>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</si>
  <si>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</si>
  <si>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</si>
  <si>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</si>
  <si>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</si>
  <si>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</si>
  <si>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</si>
  <si>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</si>
  <si>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</si>
  <si>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</si>
  <si>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</si>
  <si>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</si>
  <si>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</si>
  <si>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</si>
  <si>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</si>
  <si>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</si>
  <si>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</si>
  <si>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</si>
  <si>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</si>
  <si>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</si>
  <si>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</si>
  <si>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</si>
  <si>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</si>
  <si>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</si>
  <si>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</si>
  <si>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</si>
  <si>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</si>
  <si>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</si>
  <si>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</si>
  <si>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</si>
  <si>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</si>
  <si>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</si>
  <si>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</si>
  <si>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</si>
  <si>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</si>
  <si>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</si>
  <si>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</si>
  <si>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</si>
  <si>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</si>
  <si>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</si>
  <si>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</si>
  <si>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</si>
  <si>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</si>
  <si>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</si>
  <si>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</si>
  <si>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</si>
  <si>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</si>
  <si>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</si>
  <si>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</si>
  <si>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</si>
  <si>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</si>
  <si>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</si>
  <si>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</si>
  <si>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</si>
  <si>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</si>
  <si>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</si>
  <si>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</si>
  <si>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</si>
  <si>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</si>
  <si>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</si>
  <si>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</si>
  <si>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</si>
  <si>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</si>
  <si>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</si>
  <si>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</si>
  <si>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</si>
  <si>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</si>
  <si>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</si>
  <si>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</si>
  <si>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</si>
  <si>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</si>
  <si>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</si>
  <si>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</si>
  <si>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</si>
  <si>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</si>
  <si>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</si>
  <si>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</si>
  <si>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</si>
  <si>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</si>
  <si>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</si>
  <si>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</si>
  <si>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</si>
  <si>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</si>
  <si>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</si>
  <si>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</si>
  <si>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</si>
  <si>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</si>
  <si>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</si>
  <si>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</si>
  <si>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</si>
  <si>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</si>
  <si>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</si>
  <si>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</si>
  <si>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</si>
  <si>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</si>
  <si>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</si>
  <si>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</si>
  <si>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</si>
  <si>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</si>
  <si>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</si>
  <si>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</si>
  <si>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</si>
  <si>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</si>
  <si>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</si>
  <si>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</si>
  <si>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</si>
  <si>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</si>
  <si>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</si>
  <si>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</si>
  <si>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</si>
  <si>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</si>
  <si>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</si>
  <si>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</si>
  <si>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</si>
  <si>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</si>
  <si>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</si>
  <si>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</si>
  <si>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</si>
  <si>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</si>
  <si>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</si>
  <si>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</si>
  <si>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</si>
  <si>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</si>
  <si>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</si>
  <si>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</si>
  <si>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</si>
  <si>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</si>
  <si>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</si>
  <si>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</si>
  <si>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</si>
  <si>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</si>
  <si>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</si>
  <si>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</si>
  <si>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</si>
  <si>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</si>
  <si>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</si>
  <si>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</si>
  <si>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</si>
  <si>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</si>
  <si>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</si>
  <si>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</si>
  <si>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</si>
  <si>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</si>
  <si>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</si>
  <si>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</si>
  <si>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</si>
  <si>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</si>
  <si>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</si>
  <si>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</si>
  <si>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</si>
  <si>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</si>
  <si>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</si>
  <si>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</si>
  <si>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</si>
  <si>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</si>
  <si>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</si>
  <si>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</si>
  <si>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</si>
  <si>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</si>
  <si>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</si>
  <si>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</si>
  <si>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</si>
  <si>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</si>
  <si>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</si>
  <si>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</si>
  <si>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</si>
  <si>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</si>
  <si>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</si>
  <si>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</si>
  <si>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</si>
  <si>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</si>
  <si>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</si>
  <si>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</si>
  <si>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</si>
  <si>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</si>
  <si>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</si>
  <si>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</si>
  <si>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</si>
  <si>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</si>
  <si>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</si>
  <si>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</si>
  <si>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</si>
  <si>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</si>
  <si>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</si>
  <si>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</si>
  <si>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</si>
  <si>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</si>
  <si>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</si>
  <si>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</si>
  <si>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</si>
  <si>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</si>
  <si>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</si>
  <si>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</si>
  <si>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</si>
  <si>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</si>
  <si>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</si>
  <si>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</si>
  <si>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</si>
  <si>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</si>
  <si>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</si>
  <si>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</si>
  <si>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</si>
  <si>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</si>
  <si>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</si>
  <si>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</si>
  <si>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</si>
  <si>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</si>
  <si>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</si>
  <si>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</si>
  <si>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</si>
  <si>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</si>
  <si>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</si>
  <si>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</si>
  <si>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</si>
  <si>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</si>
  <si>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</si>
  <si>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</si>
  <si>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</si>
  <si>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</si>
  <si>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</si>
  <si>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</si>
  <si>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</si>
  <si>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</si>
  <si>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</si>
  <si>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</si>
  <si>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</si>
  <si>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</si>
  <si>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</si>
  <si>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</si>
  <si>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</si>
  <si>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</si>
  <si>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</si>
  <si>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</si>
  <si>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</si>
  <si>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</si>
  <si>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</si>
  <si>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</si>
  <si>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</si>
  <si>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</si>
  <si>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</si>
  <si>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</si>
  <si>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</si>
  <si>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</si>
  <si>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</si>
  <si>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</si>
  <si>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</si>
  <si>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</si>
  <si>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</si>
  <si>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</si>
  <si>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</si>
  <si>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</si>
  <si>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</si>
  <si>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</si>
  <si>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</si>
  <si>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</si>
  <si>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</si>
  <si>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</si>
  <si>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</si>
  <si>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</si>
  <si>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</si>
  <si>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</si>
  <si>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</si>
  <si>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</si>
  <si>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</si>
  <si>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</si>
  <si>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</si>
  <si>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</si>
  <si>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</si>
  <si>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</si>
  <si>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</si>
  <si>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</si>
  <si>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</si>
  <si>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</si>
  <si>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</si>
  <si>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</si>
  <si>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</si>
  <si>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</si>
  <si>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</si>
  <si>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</si>
  <si>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</si>
  <si>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</si>
  <si>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</si>
  <si>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</si>
  <si>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</si>
  <si>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</si>
  <si>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</si>
  <si>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</si>
  <si>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</si>
  <si>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</si>
  <si>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</si>
  <si>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</si>
  <si>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</si>
  <si>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</si>
  <si>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</si>
  <si>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</si>
  <si>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</si>
  <si>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</si>
  <si>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</si>
  <si>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</si>
  <si>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</si>
  <si>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</si>
  <si>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</si>
  <si>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</si>
  <si>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</si>
  <si>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</si>
  <si>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</si>
  <si>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</si>
  <si>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</si>
  <si>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</si>
  <si>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</si>
  <si>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</si>
  <si>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</si>
  <si>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</si>
  <si>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</si>
  <si>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</si>
  <si>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</si>
  <si>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</si>
  <si>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</si>
  <si>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</si>
  <si>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</si>
  <si>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</si>
  <si>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</si>
  <si>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</si>
  <si>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</si>
  <si>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</si>
  <si>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</si>
  <si>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</si>
  <si>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</si>
  <si>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</si>
  <si>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</si>
  <si>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</si>
  <si>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</si>
  <si>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</si>
  <si>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</si>
  <si>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</si>
  <si>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</si>
  <si>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</si>
  <si>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</si>
  <si>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</si>
  <si>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</si>
  <si>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</si>
  <si>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</si>
  <si>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</si>
  <si>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</si>
  <si>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</si>
  <si>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</si>
  <si>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</si>
  <si>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</si>
  <si>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</si>
  <si>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</si>
  <si>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</si>
  <si>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</si>
  <si>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</si>
  <si>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</si>
  <si>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</si>
  <si>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</si>
  <si>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</si>
  <si>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</si>
  <si>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</si>
  <si>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</si>
  <si>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</si>
  <si>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</si>
  <si>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</si>
  <si>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</si>
  <si>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</si>
  <si>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</si>
  <si>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</si>
  <si>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</si>
  <si>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</si>
  <si>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</si>
  <si>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</si>
  <si>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</si>
  <si>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</si>
  <si>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</si>
  <si>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</si>
  <si>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</si>
  <si>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</si>
  <si>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</si>
  <si>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</si>
  <si>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</si>
  <si>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</si>
  <si>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</si>
  <si>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</si>
  <si>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</si>
  <si>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</si>
  <si>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</si>
  <si>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</si>
  <si>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</si>
  <si>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</si>
  <si>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</si>
  <si>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</si>
  <si>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</si>
  <si>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</si>
  <si>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</si>
  <si>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</si>
  <si>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</si>
  <si>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</si>
  <si>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</si>
  <si>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</si>
  <si>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</si>
  <si>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</si>
  <si>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</si>
  <si>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</si>
  <si>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</si>
  <si>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</si>
  <si>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</si>
  <si>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</si>
  <si>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</si>
  <si>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</si>
  <si>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</si>
  <si>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</si>
  <si>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</si>
  <si>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</si>
  <si>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</si>
  <si>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</si>
  <si>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</si>
  <si>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</si>
  <si>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</si>
  <si>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</si>
  <si>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</si>
  <si>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</si>
  <si>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</si>
  <si>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</si>
  <si>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</si>
  <si>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</si>
  <si>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</si>
  <si>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</si>
  <si>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</si>
  <si>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</si>
  <si>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</si>
  <si>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</si>
  <si>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</si>
  <si>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</si>
  <si>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</si>
  <si>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</si>
  <si>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</si>
  <si>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</si>
  <si>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</si>
  <si>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</si>
  <si>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</si>
  <si>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</si>
  <si>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</si>
  <si>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</si>
  <si>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</si>
  <si>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</si>
  <si>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</si>
  <si>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</si>
  <si>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</si>
  <si>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</si>
  <si>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</si>
  <si>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</si>
  <si>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</si>
  <si>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</si>
  <si>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</si>
  <si>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</si>
  <si>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</si>
  <si>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</si>
  <si>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</si>
  <si>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</si>
  <si>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</si>
  <si>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</si>
  <si>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</si>
  <si>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</si>
  <si>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</si>
  <si>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</si>
  <si>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</si>
  <si>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</si>
  <si>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</si>
  <si>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</si>
  <si>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</si>
  <si>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</si>
  <si>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</si>
  <si>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</si>
  <si>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</si>
  <si>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</si>
  <si>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</si>
  <si>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</si>
  <si>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</si>
  <si>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</si>
  <si>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</si>
  <si>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</si>
  <si>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</si>
  <si>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</si>
  <si>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</si>
  <si>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</si>
  <si>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</si>
  <si>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</si>
  <si>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</si>
  <si>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</si>
  <si>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</si>
  <si>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</si>
  <si>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</si>
  <si>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</si>
  <si>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</si>
  <si>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</si>
  <si>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</si>
  <si>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</si>
  <si>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</si>
  <si>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</si>
  <si>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</si>
  <si>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</si>
  <si>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</si>
  <si>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</si>
  <si>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</si>
  <si>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</si>
  <si>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</si>
  <si>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</si>
  <si>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</si>
  <si>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</si>
  <si>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</si>
  <si>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</si>
  <si>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</si>
  <si>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</si>
  <si>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</si>
  <si>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</si>
  <si>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</si>
  <si>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</si>
  <si>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</si>
  <si>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</si>
  <si>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</si>
  <si>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</si>
  <si>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</si>
  <si>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</si>
  <si>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</si>
  <si>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</si>
  <si>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</si>
  <si>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</si>
  <si>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</si>
  <si>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</si>
  <si>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</si>
  <si>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</si>
  <si>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</si>
  <si>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</si>
  <si>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</si>
  <si>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</si>
  <si>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</si>
  <si>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</si>
  <si>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</si>
  <si>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</si>
  <si>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</si>
  <si>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</si>
  <si>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</si>
  <si>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</si>
  <si>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</si>
  <si>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</si>
  <si>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</si>
  <si>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</si>
  <si>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</si>
  <si>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</si>
  <si>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</si>
  <si>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</si>
  <si>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</si>
  <si>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</si>
  <si>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</si>
  <si>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</si>
  <si>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</si>
  <si>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</si>
  <si>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</si>
  <si>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</si>
  <si>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</si>
  <si>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</si>
  <si>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</si>
  <si>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</si>
  <si>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</si>
  <si>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</si>
  <si>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</si>
  <si>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</si>
  <si>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</si>
  <si>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</si>
  <si>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</si>
  <si>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</si>
  <si>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</si>
  <si>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</si>
  <si>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</si>
  <si>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</si>
  <si>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</si>
  <si>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</si>
  <si>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</si>
  <si>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</si>
  <si>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</si>
  <si>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</si>
  <si>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</si>
  <si>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</si>
  <si>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</si>
  <si>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</si>
  <si>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</si>
  <si>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</si>
  <si>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</si>
  <si>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</si>
  <si>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</si>
  <si>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</si>
  <si>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</si>
  <si>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</si>
  <si>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</si>
  <si>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</si>
  <si>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</si>
  <si>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</si>
  <si>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</si>
  <si>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</si>
  <si>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</si>
  <si>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</si>
  <si>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</si>
  <si>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</si>
  <si>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</si>
  <si>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</si>
  <si>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</si>
  <si>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</si>
  <si>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</si>
  <si>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</si>
  <si>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</si>
  <si>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</si>
  <si>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</si>
  <si>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</si>
  <si>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</si>
  <si>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</si>
  <si>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</si>
  <si>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</si>
  <si>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</si>
  <si>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</si>
  <si>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</si>
  <si>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</si>
  <si>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</si>
  <si>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</si>
  <si>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</si>
  <si>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</si>
  <si>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</si>
  <si>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</si>
  <si>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</si>
  <si>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</si>
  <si>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</si>
  <si>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</si>
  <si>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</si>
  <si>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</si>
  <si>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</si>
  <si>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</si>
  <si>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</si>
  <si>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</si>
  <si>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</si>
  <si>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</si>
  <si>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</si>
  <si>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</si>
  <si>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</si>
  <si>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</si>
  <si>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</si>
  <si>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</si>
  <si>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</si>
  <si>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</si>
  <si>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</si>
  <si>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</si>
  <si>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</si>
  <si>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</si>
  <si>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</si>
  <si>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</si>
  <si>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</si>
  <si>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</si>
  <si>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</si>
  <si>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</si>
  <si>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</si>
  <si>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</si>
  <si>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</si>
  <si>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</si>
  <si>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</si>
  <si>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</si>
  <si>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</si>
  <si>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</si>
  <si>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</si>
  <si>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</si>
  <si>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</si>
  <si>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</si>
  <si>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</si>
  <si>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</si>
  <si>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</si>
  <si>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</si>
  <si>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</si>
  <si>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</si>
  <si>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</si>
  <si>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</si>
  <si>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</si>
  <si>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</si>
  <si>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</si>
  <si>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</si>
  <si>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</si>
  <si>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</si>
  <si>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</si>
  <si>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</si>
  <si>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</si>
  <si>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</si>
  <si>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</si>
  <si>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</si>
  <si>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</si>
  <si>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</si>
  <si>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</si>
  <si>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</si>
  <si>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</si>
  <si>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</si>
  <si>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</si>
  <si>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</si>
  <si>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</si>
  <si>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</si>
  <si>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</si>
  <si>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</si>
  <si>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</si>
  <si>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</si>
  <si>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</si>
  <si>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</si>
  <si>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</si>
  <si>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</si>
  <si>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</si>
  <si>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</si>
  <si>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</si>
  <si>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</si>
  <si>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</si>
  <si>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</si>
  <si>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</si>
  <si>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</si>
  <si>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</si>
  <si>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</si>
  <si>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</si>
  <si>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</si>
  <si>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</si>
  <si>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</si>
  <si>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</si>
  <si>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</si>
  <si>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</si>
  <si>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</si>
  <si>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</si>
  <si>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</si>
  <si>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</si>
  <si>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</si>
  <si>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</si>
  <si>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</si>
  <si>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</si>
  <si>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</si>
  <si>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</si>
  <si>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</si>
  <si>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</si>
  <si>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</si>
  <si>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</si>
  <si>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</si>
  <si>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</si>
  <si>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</si>
  <si>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</si>
  <si>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</si>
  <si>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</si>
  <si>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</si>
  <si>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</si>
  <si>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</si>
  <si>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</si>
  <si>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</si>
  <si>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</si>
  <si>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</si>
  <si>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</si>
  <si>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</si>
  <si>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</si>
  <si>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</si>
  <si>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</si>
  <si>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</si>
  <si>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</si>
  <si>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</si>
  <si>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</si>
  <si>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</si>
  <si>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</si>
  <si>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</si>
  <si>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</si>
  <si>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</si>
  <si>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</si>
  <si>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</si>
  <si>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</si>
  <si>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</si>
  <si>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</si>
  <si>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</si>
  <si>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</si>
  <si>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</si>
  <si>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</si>
  <si>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</si>
  <si>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</si>
  <si>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</si>
  <si>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</si>
  <si>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</si>
  <si>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</si>
  <si>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</si>
  <si>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</si>
  <si>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</si>
  <si>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</si>
  <si>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</si>
  <si>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</si>
  <si>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</si>
  <si>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</si>
  <si>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</si>
  <si>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</si>
  <si>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</si>
  <si>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</si>
  <si>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</si>
  <si>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</si>
  <si>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</si>
  <si>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</si>
  <si>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</si>
  <si>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</si>
  <si>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</si>
  <si>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</si>
  <si>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</si>
  <si>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</si>
  <si>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</si>
  <si>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</si>
  <si>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</si>
  <si>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</si>
  <si>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</si>
  <si>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</si>
  <si>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</si>
  <si>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</si>
  <si>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</si>
  <si>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</si>
  <si>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</si>
  <si>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</si>
  <si>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</si>
  <si>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</si>
  <si>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</si>
  <si>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</si>
  <si>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</si>
  <si>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</si>
  <si>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</si>
  <si>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</si>
  <si>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</si>
  <si>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</si>
  <si>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</si>
  <si>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</si>
  <si>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</si>
  <si>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</si>
  <si>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</si>
  <si>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</si>
  <si>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</si>
  <si>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</si>
  <si>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</si>
  <si>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</si>
  <si>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</si>
  <si>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</si>
  <si>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</si>
  <si>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</si>
  <si>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</si>
  <si>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</si>
  <si>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</si>
  <si>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</si>
  <si>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</si>
  <si>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</si>
  <si>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</si>
  <si>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</si>
  <si>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</si>
  <si>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</si>
  <si>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</si>
  <si>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</si>
  <si>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</si>
  <si>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</si>
  <si>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</si>
  <si>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</si>
  <si>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</si>
  <si>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</si>
  <si>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</si>
  <si>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</si>
  <si>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</si>
  <si>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</si>
  <si>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</si>
  <si>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</si>
  <si>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</si>
  <si>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</si>
  <si>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</si>
  <si>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</si>
  <si>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</si>
  <si>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</si>
  <si>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</si>
  <si>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</si>
  <si>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</si>
  <si>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</si>
  <si>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</si>
  <si>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</si>
  <si>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</si>
  <si>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</si>
  <si>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</si>
  <si>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</si>
  <si>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</si>
  <si>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</si>
  <si>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</si>
  <si>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</si>
  <si>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</si>
  <si>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</si>
  <si>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</si>
  <si>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</si>
  <si>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</si>
  <si>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</si>
  <si>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</si>
  <si>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</si>
  <si>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</si>
  <si>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</si>
  <si>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</si>
  <si>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</si>
  <si>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</si>
  <si>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</si>
  <si>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</si>
  <si>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</si>
  <si>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</si>
  <si>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</si>
  <si>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</si>
  <si>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</si>
  <si>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</si>
  <si>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</si>
  <si>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</si>
  <si>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</si>
  <si>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</si>
  <si>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</si>
  <si>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</si>
  <si>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</si>
  <si>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</si>
  <si>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</si>
  <si>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</si>
  <si>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</si>
  <si>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</si>
  <si>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</si>
  <si>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</si>
  <si>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</si>
  <si>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</si>
  <si>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</si>
  <si>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</si>
  <si>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</si>
  <si>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</si>
  <si>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</si>
  <si>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</si>
  <si>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</si>
  <si>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</si>
  <si>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</si>
  <si>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</si>
  <si>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</si>
  <si>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</si>
  <si>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</si>
  <si>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</si>
  <si>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</si>
  <si>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</si>
  <si>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</si>
  <si>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</si>
  <si>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</si>
  <si>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</si>
  <si>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</si>
  <si>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</si>
  <si>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</si>
  <si>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</si>
  <si>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</si>
  <si>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</si>
  <si>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</si>
  <si>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</si>
  <si>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</si>
  <si>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</si>
  <si>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</si>
  <si>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</si>
  <si>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</si>
  <si>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</si>
  <si>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</si>
  <si>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</si>
  <si>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</si>
  <si>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</si>
  <si>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</si>
  <si>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</si>
  <si>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</si>
  <si>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</si>
  <si>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</si>
  <si>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</si>
  <si>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</si>
  <si>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</si>
  <si>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</si>
  <si>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</si>
  <si>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</si>
  <si>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</si>
  <si>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</si>
  <si>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</si>
  <si>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</si>
  <si>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</si>
  <si>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</si>
  <si>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</si>
  <si>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</si>
  <si>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</si>
  <si>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</si>
  <si>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</si>
  <si>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</si>
  <si>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</si>
  <si>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</si>
  <si>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</si>
  <si>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</si>
  <si>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</si>
  <si>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</si>
  <si>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</si>
  <si>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</si>
  <si>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</si>
  <si>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</si>
  <si>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</si>
  <si>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</si>
  <si>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</si>
  <si>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</si>
  <si>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</si>
  <si>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</si>
  <si>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</si>
  <si>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</si>
  <si>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</si>
  <si>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</si>
  <si>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</si>
  <si>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</si>
  <si>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</si>
  <si>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</si>
  <si>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</si>
  <si>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</si>
  <si>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</si>
  <si>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</si>
  <si>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</si>
  <si>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</si>
  <si>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</si>
  <si>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</si>
  <si>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</si>
  <si>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</si>
  <si>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</si>
  <si>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</si>
  <si>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</si>
  <si>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</si>
  <si>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</si>
  <si>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</si>
  <si>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</si>
  <si>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</si>
  <si>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</si>
  <si>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</si>
  <si>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</si>
  <si>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</si>
  <si>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</si>
  <si>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</si>
  <si>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</si>
  <si>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</si>
  <si>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</si>
  <si>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</si>
  <si>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</si>
  <si>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</si>
  <si>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</si>
  <si>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</si>
  <si>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</si>
  <si>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</si>
  <si>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</si>
  <si>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</si>
  <si>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</si>
  <si>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</si>
  <si>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</si>
  <si>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</si>
  <si>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</si>
  <si>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</si>
  <si>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</si>
  <si>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</si>
  <si>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</si>
  <si>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</si>
  <si>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</si>
  <si>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</si>
  <si>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</si>
  <si>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</si>
  <si>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</si>
  <si>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</si>
  <si>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</si>
  <si>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</si>
  <si>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</si>
  <si>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</si>
  <si>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</si>
  <si>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</si>
  <si>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</si>
  <si>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</si>
  <si>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</si>
  <si>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</si>
  <si>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</si>
  <si>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</si>
  <si>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</si>
  <si>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</si>
  <si>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</si>
  <si>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</si>
  <si>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</si>
  <si>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</si>
  <si>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</si>
  <si>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</si>
  <si>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</si>
  <si>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</si>
  <si>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</si>
  <si>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</si>
  <si>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</si>
  <si>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</si>
  <si>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</si>
  <si>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</si>
  <si>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</si>
  <si>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</si>
  <si>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</si>
  <si>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</si>
  <si>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</si>
  <si>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</si>
  <si>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</si>
  <si>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</si>
  <si>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</si>
  <si>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</si>
  <si>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</si>
  <si>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</si>
  <si>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</si>
  <si>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</si>
  <si>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</si>
  <si>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</si>
  <si>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</si>
  <si>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</si>
  <si>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</si>
  <si>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</si>
  <si>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</si>
  <si>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</si>
  <si>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</si>
  <si>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</si>
  <si>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</si>
  <si>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</si>
  <si>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</si>
  <si>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</si>
  <si>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</si>
  <si>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</si>
  <si>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</si>
  <si>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</si>
  <si>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</si>
  <si>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</si>
  <si>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</si>
  <si>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</si>
  <si>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</si>
  <si>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</si>
  <si>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</si>
  <si>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</si>
  <si>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</si>
  <si>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</si>
  <si>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</si>
  <si>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</si>
  <si>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</si>
  <si>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</si>
  <si>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</si>
  <si>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</si>
  <si>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</si>
  <si>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</si>
  <si>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</si>
  <si>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</si>
  <si>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</si>
  <si>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</si>
  <si>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</si>
  <si>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</si>
  <si>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</si>
  <si>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</si>
  <si>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</si>
  <si>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</si>
  <si>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</si>
  <si>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</si>
  <si>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</si>
  <si>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</si>
  <si>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</si>
  <si>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</si>
  <si>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</si>
  <si>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</si>
  <si>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</si>
  <si>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</si>
  <si>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</si>
  <si>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</si>
  <si>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</si>
  <si>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</si>
  <si>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</si>
  <si>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</si>
  <si>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</si>
  <si>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</si>
  <si>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</si>
  <si>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</si>
  <si>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</si>
  <si>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</si>
  <si>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</si>
  <si>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</si>
  <si>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</si>
  <si>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</si>
  <si>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</si>
  <si>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</si>
  <si>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</si>
  <si>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</si>
  <si>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</si>
  <si>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</si>
  <si>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</si>
  <si>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</si>
  <si>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</si>
  <si>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</si>
  <si>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</si>
  <si>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</si>
  <si>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</si>
  <si>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</si>
  <si>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</si>
  <si>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</si>
  <si>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</si>
  <si>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</si>
  <si>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</si>
  <si>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</si>
  <si>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</si>
  <si>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</si>
  <si>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</si>
  <si>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</si>
  <si>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</si>
  <si>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</si>
  <si>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</si>
  <si>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</si>
  <si>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</si>
  <si>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</si>
  <si>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</si>
  <si>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</si>
  <si>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</si>
  <si>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</si>
  <si>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</si>
  <si>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</si>
  <si>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</si>
  <si>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</si>
  <si>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</si>
  <si>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</si>
  <si>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</si>
  <si>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</si>
  <si>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</si>
  <si>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</si>
  <si>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</si>
  <si>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</si>
  <si>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</si>
  <si>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</si>
  <si>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</si>
  <si>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</si>
  <si>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</si>
  <si>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</si>
  <si>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</si>
  <si>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</si>
  <si>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</si>
  <si>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</si>
  <si>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</si>
  <si>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</si>
  <si>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</si>
  <si>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</si>
  <si>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</si>
  <si>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</si>
  <si>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</si>
  <si>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</si>
  <si>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</si>
  <si>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</si>
  <si>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</si>
  <si>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</si>
  <si>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</si>
  <si>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</si>
  <si>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</si>
  <si>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</si>
  <si>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</si>
  <si>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</si>
  <si>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</si>
  <si>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</si>
  <si>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</si>
  <si>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</si>
  <si>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</si>
  <si>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</si>
  <si>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</si>
  <si>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</si>
  <si>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</si>
  <si>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</si>
  <si>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</si>
  <si>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</si>
  <si>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</si>
  <si>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</si>
  <si>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</si>
  <si>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</si>
  <si>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</si>
  <si>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</si>
  <si>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</si>
  <si>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</si>
  <si>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</si>
  <si>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</si>
  <si>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</si>
  <si>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</si>
  <si>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</si>
  <si>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</si>
  <si>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</si>
  <si>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</si>
  <si>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</si>
  <si>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</si>
  <si>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</si>
  <si>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</si>
  <si>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</si>
  <si>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</si>
  <si>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</si>
  <si>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</si>
  <si>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</si>
  <si>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</si>
  <si>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</si>
  <si>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</si>
  <si>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</si>
  <si>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</si>
  <si>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</si>
  <si>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</si>
  <si>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</si>
  <si>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</si>
  <si>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</si>
  <si>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</si>
  <si>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</si>
  <si>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</si>
  <si>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</si>
  <si>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</si>
  <si>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</si>
  <si>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</si>
  <si>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</si>
  <si>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</si>
  <si>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</si>
  <si>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</si>
  <si>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</si>
  <si>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</si>
  <si>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</si>
  <si>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</si>
  <si>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</si>
  <si>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</si>
  <si>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</si>
  <si>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</si>
  <si>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</si>
  <si>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</si>
  <si>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</si>
  <si>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</si>
  <si>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</si>
  <si>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</si>
  <si>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</si>
  <si>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</si>
  <si>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</si>
  <si>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</si>
  <si>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</si>
  <si>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</si>
  <si>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</si>
  <si>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</si>
  <si>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</si>
  <si>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</si>
  <si>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</si>
  <si>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</si>
  <si>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</si>
  <si>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</si>
  <si>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</si>
  <si>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</si>
  <si>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</si>
  <si>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</si>
  <si>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</si>
  <si>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</si>
  <si>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</si>
  <si>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</si>
  <si>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</si>
  <si>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</si>
  <si>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</si>
  <si>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</si>
  <si>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</si>
  <si>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</si>
  <si>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</si>
  <si>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</si>
  <si>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</si>
  <si>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</si>
  <si>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</si>
  <si>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</si>
  <si>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</si>
  <si>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</si>
  <si>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</si>
  <si>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</si>
  <si>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</si>
  <si>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</si>
  <si>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</si>
  <si>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</si>
  <si>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</si>
  <si>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</si>
  <si>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</si>
  <si>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</si>
  <si>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</si>
  <si>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</si>
  <si>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</si>
  <si>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</si>
  <si>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</si>
  <si>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</si>
  <si>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</si>
  <si>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</si>
  <si>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</si>
  <si>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</si>
  <si>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</si>
  <si>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</si>
  <si>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</si>
  <si>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</si>
  <si>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</si>
  <si>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</si>
  <si>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</si>
  <si>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</si>
  <si>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</si>
  <si>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</si>
  <si>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</si>
  <si>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</si>
  <si>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</si>
  <si>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</si>
  <si>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</si>
  <si>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</si>
  <si>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</si>
  <si>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</si>
  <si>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</si>
  <si>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</si>
  <si>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</si>
  <si>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</si>
  <si>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</si>
  <si>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</si>
  <si>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</si>
  <si>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</si>
  <si>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</si>
  <si>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</si>
  <si>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</si>
  <si>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</si>
  <si>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</si>
  <si>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</si>
  <si>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</si>
  <si>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</si>
  <si>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</si>
  <si>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</si>
  <si>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</si>
  <si>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</si>
  <si>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</si>
  <si>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</si>
  <si>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</si>
  <si>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</si>
  <si>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</si>
  <si>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</si>
  <si>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</si>
  <si>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</si>
  <si>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</si>
  <si>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</si>
  <si>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</si>
  <si>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</si>
  <si>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</si>
  <si>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</si>
  <si>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</si>
  <si>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</si>
  <si>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</si>
  <si>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</si>
  <si>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</si>
  <si>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</si>
  <si>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</si>
  <si>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</si>
  <si>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</si>
  <si>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</si>
  <si>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</si>
  <si>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</si>
  <si>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</si>
  <si>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</si>
  <si>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</si>
  <si>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</si>
  <si>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</si>
  <si>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</si>
  <si>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</si>
  <si>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</si>
  <si>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</si>
  <si>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</si>
  <si>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</si>
  <si>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</si>
  <si>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</si>
  <si>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</si>
  <si>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</si>
  <si>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</si>
  <si>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</si>
  <si>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</si>
  <si>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</si>
  <si>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</si>
  <si>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</si>
  <si>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</si>
  <si>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</si>
  <si>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</si>
  <si>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</si>
  <si>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</si>
  <si>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</si>
  <si>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</si>
  <si>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</si>
  <si>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</si>
  <si>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</si>
  <si>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</si>
  <si>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</si>
  <si>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</si>
  <si>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</si>
  <si>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</si>
  <si>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</si>
  <si>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</si>
  <si>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</si>
  <si>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</si>
  <si>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</si>
  <si>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</si>
  <si>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</si>
  <si>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</si>
  <si>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</si>
  <si>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</si>
  <si>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</si>
  <si>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</si>
  <si>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</si>
  <si>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</si>
  <si>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</si>
  <si>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</si>
  <si>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</si>
  <si>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</si>
  <si>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</si>
  <si>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</si>
  <si>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</si>
  <si>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</si>
  <si>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</si>
  <si>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</si>
  <si>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</si>
  <si>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</si>
  <si>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</si>
  <si>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</si>
  <si>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</si>
  <si>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</si>
  <si>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</si>
  <si>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</si>
  <si>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</si>
  <si>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</si>
  <si>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</si>
  <si>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</si>
  <si>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</si>
  <si>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</si>
  <si>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</si>
  <si>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</si>
  <si>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</si>
  <si>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</si>
  <si>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</si>
  <si>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</si>
  <si>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</si>
  <si>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</si>
  <si>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</si>
  <si>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</si>
  <si>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</si>
  <si>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</si>
  <si>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</si>
  <si>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</si>
  <si>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</si>
  <si>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</si>
  <si>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</si>
  <si>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</si>
  <si>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</si>
  <si>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</si>
  <si>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</si>
  <si>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</si>
  <si>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</si>
  <si>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</si>
  <si>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</si>
  <si>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</si>
  <si>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</si>
  <si>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</si>
  <si>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</si>
  <si>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</si>
  <si>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</si>
  <si>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</si>
  <si>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</si>
  <si>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</si>
  <si>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</si>
  <si>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</si>
  <si>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</si>
  <si>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</si>
  <si>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</si>
  <si>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</si>
  <si>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</si>
  <si>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</si>
  <si>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</si>
  <si>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</si>
  <si>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</si>
  <si>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</si>
  <si>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</si>
  <si>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</si>
  <si>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</si>
  <si>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</si>
  <si>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</si>
  <si>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</si>
  <si>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</si>
  <si>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</si>
  <si>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</si>
  <si>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</si>
  <si>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</si>
  <si>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</si>
  <si>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</si>
  <si>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</si>
  <si>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</si>
  <si>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</si>
  <si>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</si>
  <si>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</si>
  <si>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</si>
  <si>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</si>
  <si>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</si>
  <si>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</si>
  <si>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</si>
  <si>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</si>
  <si>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</si>
  <si>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</si>
  <si>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</si>
  <si>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</si>
  <si>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</si>
  <si>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</si>
  <si>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</si>
  <si>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</si>
  <si>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</si>
  <si>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</si>
  <si>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</si>
  <si>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</si>
  <si>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</si>
  <si>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</si>
  <si>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</si>
  <si>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</si>
  <si>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</si>
  <si>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</si>
  <si>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</si>
  <si>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</si>
  <si>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</si>
  <si>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</si>
  <si>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</si>
  <si>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</si>
  <si>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</si>
  <si>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</si>
  <si>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</si>
  <si>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</si>
  <si>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</si>
  <si>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</si>
  <si>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</si>
  <si>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</si>
  <si>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</si>
  <si>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</si>
  <si>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</si>
  <si>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</si>
  <si>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</si>
  <si>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</si>
  <si>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</si>
  <si>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</si>
  <si>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</si>
  <si>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</si>
  <si>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</si>
  <si>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</si>
  <si>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</si>
  <si>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</si>
  <si>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</si>
  <si>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</si>
  <si>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</si>
  <si>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</si>
  <si>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</si>
  <si>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</si>
  <si>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</si>
  <si>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</si>
  <si>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</si>
  <si>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</si>
  <si>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</si>
  <si>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</si>
  <si>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</si>
  <si>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</si>
  <si>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</si>
  <si>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</si>
  <si>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</si>
  <si>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</si>
  <si>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</si>
  <si>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</si>
  <si>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</si>
  <si>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</si>
  <si>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</si>
  <si>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</si>
  <si>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</si>
  <si>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</si>
  <si>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</si>
  <si>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</si>
  <si>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</si>
  <si>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</si>
  <si>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</si>
  <si>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</si>
  <si>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</si>
  <si>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</si>
  <si>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</si>
  <si>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</si>
  <si>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</si>
  <si>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</si>
  <si>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</si>
  <si>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</si>
  <si>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</si>
  <si>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</si>
  <si>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</si>
  <si>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</si>
  <si>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</si>
  <si>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</si>
  <si>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</si>
  <si>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</si>
  <si>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</si>
  <si>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</si>
  <si>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</si>
  <si>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</si>
  <si>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</si>
  <si>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</si>
  <si>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</si>
  <si>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</si>
  <si>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</si>
  <si>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</si>
  <si>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</si>
  <si>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</si>
  <si>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</si>
  <si>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</si>
  <si>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</si>
  <si>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</si>
  <si>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</si>
  <si>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</si>
  <si>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</si>
  <si>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</si>
  <si>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</si>
  <si>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</si>
  <si>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</si>
  <si>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</si>
  <si>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</si>
  <si>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</si>
  <si>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</si>
  <si>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</si>
  <si>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</si>
  <si>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</si>
  <si>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</si>
  <si>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</si>
  <si>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</si>
  <si>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</si>
  <si>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</si>
  <si>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</si>
  <si>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</si>
  <si>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</si>
  <si>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</si>
  <si>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</si>
  <si>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</si>
  <si>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</si>
  <si>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</si>
  <si>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</si>
  <si>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</si>
  <si>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</si>
  <si>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</si>
  <si>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</si>
  <si>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</si>
  <si>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</si>
  <si>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</si>
  <si>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</si>
  <si>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</si>
  <si>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</si>
  <si>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</si>
  <si>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</si>
  <si>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</si>
  <si>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</si>
  <si>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</si>
  <si>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</si>
  <si>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</si>
  <si>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</si>
  <si>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</si>
  <si>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</si>
  <si>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</si>
  <si>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</si>
  <si>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</si>
  <si>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</si>
  <si>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</si>
  <si>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</si>
  <si>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</si>
  <si>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</si>
  <si>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</si>
  <si>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</si>
  <si>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</si>
  <si>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</si>
  <si>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</si>
  <si>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</si>
  <si>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</si>
  <si>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</si>
  <si>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</si>
  <si>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</si>
  <si>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</si>
  <si>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</si>
  <si>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</si>
  <si>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</si>
  <si>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</si>
  <si>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</si>
  <si>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</si>
  <si>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</si>
  <si>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</si>
  <si>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</si>
  <si>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</si>
  <si>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</si>
  <si>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</si>
  <si>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</si>
  <si>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</si>
  <si>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</si>
  <si>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</si>
  <si>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</si>
  <si>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</si>
  <si>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</si>
  <si>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</si>
  <si>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</si>
  <si>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</si>
  <si>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</si>
  <si>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</si>
  <si>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</si>
  <si>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</si>
  <si>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</si>
  <si>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</si>
  <si>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</si>
  <si>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</si>
  <si>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</si>
  <si>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</si>
  <si>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</si>
  <si>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</si>
  <si>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</si>
  <si>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</si>
  <si>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</si>
  <si>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</si>
  <si>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</si>
  <si>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</si>
  <si>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</si>
  <si>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</si>
  <si>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</si>
  <si>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</si>
  <si>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</si>
  <si>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</si>
  <si>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</si>
  <si>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</si>
  <si>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</si>
  <si>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</si>
  <si>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</si>
  <si>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</si>
  <si>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</si>
  <si>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</si>
  <si>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</si>
  <si>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</si>
  <si>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</si>
  <si>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</si>
  <si>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</si>
  <si>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</si>
  <si>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</si>
  <si>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</si>
  <si>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</si>
  <si>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</si>
  <si>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</si>
  <si>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</si>
  <si>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</si>
  <si>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</si>
  <si>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</si>
  <si>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</si>
  <si>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</si>
  <si>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</si>
  <si>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</si>
  <si>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</si>
  <si>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</si>
  <si>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</si>
  <si>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</si>
  <si>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</si>
  <si>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</si>
  <si>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</si>
  <si>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</si>
  <si>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</si>
  <si>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</si>
  <si>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</si>
  <si>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</si>
  <si>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</si>
  <si>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</si>
  <si>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</si>
  <si>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</si>
  <si>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</si>
  <si>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</si>
  <si>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</si>
  <si>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</si>
  <si>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</si>
  <si>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</si>
  <si>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</si>
  <si>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</si>
  <si>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</si>
  <si>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</si>
  <si>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</si>
  <si>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</si>
  <si>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</si>
  <si>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</si>
  <si>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</si>
  <si>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</si>
  <si>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</si>
  <si>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</si>
  <si>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</si>
  <si>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</si>
  <si>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</si>
  <si>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</si>
  <si>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</si>
  <si>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</si>
  <si>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</si>
  <si>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</si>
  <si>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</si>
  <si>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</si>
  <si>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</si>
  <si>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</si>
  <si>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</si>
  <si>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</si>
  <si>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</si>
  <si>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</si>
  <si>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</si>
  <si>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</si>
  <si>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</si>
  <si>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</si>
  <si>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</si>
  <si>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</si>
  <si>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</si>
  <si>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</si>
  <si>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</si>
  <si>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</si>
  <si>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</si>
  <si>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</si>
  <si>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</si>
  <si>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</si>
  <si>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</si>
  <si>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</si>
  <si>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</si>
  <si>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</si>
  <si>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</si>
  <si>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</si>
  <si>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</si>
  <si>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</si>
  <si>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</si>
  <si>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</si>
  <si>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</si>
  <si>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</si>
  <si>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</si>
  <si>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</si>
  <si>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</si>
  <si>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</si>
  <si>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</si>
  <si>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</si>
  <si>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</si>
  <si>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</si>
  <si>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</si>
  <si>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</si>
  <si>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</si>
  <si>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</si>
  <si>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</si>
  <si>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</si>
  <si>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</si>
  <si>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</si>
  <si>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</si>
  <si>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</si>
  <si>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</si>
  <si>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</si>
  <si>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</si>
  <si>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</si>
  <si>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</si>
  <si>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</si>
  <si>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</si>
  <si>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</si>
  <si>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</si>
  <si>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</si>
  <si>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</si>
  <si>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</si>
  <si>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</si>
  <si>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</si>
  <si>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</si>
  <si>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</si>
  <si>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</si>
  <si>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</si>
  <si>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</si>
  <si>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</si>
  <si>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</si>
  <si>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</si>
  <si>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</si>
  <si>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</si>
  <si>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</si>
  <si>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</si>
  <si>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</si>
  <si>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</si>
  <si>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</si>
  <si>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</si>
  <si>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</si>
  <si>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</si>
  <si>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</si>
  <si>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</si>
  <si>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</si>
  <si>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</si>
  <si>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</si>
  <si>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</si>
  <si>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</si>
  <si>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</si>
  <si>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</si>
  <si>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</si>
  <si>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</si>
  <si>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</si>
  <si>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</si>
  <si>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</si>
  <si>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</si>
  <si>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</si>
  <si>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</si>
  <si>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</si>
  <si>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</si>
  <si>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</si>
  <si>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</si>
  <si>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</si>
  <si>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</si>
  <si>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</si>
  <si>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</si>
  <si>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</si>
  <si>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</si>
  <si>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</si>
  <si>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</si>
  <si>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</si>
  <si>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</si>
  <si>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</si>
  <si>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</si>
  <si>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</si>
  <si>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</si>
  <si>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</si>
  <si>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</si>
  <si>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</si>
  <si>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</si>
  <si>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</si>
  <si>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</si>
  <si>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</si>
  <si>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</si>
  <si>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</si>
  <si>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</si>
  <si>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</si>
  <si>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</si>
  <si>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</si>
  <si>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</si>
  <si>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</si>
  <si>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</si>
  <si>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</si>
  <si>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</si>
  <si>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</si>
  <si>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</si>
  <si>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</si>
  <si>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</si>
  <si>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</si>
  <si>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</si>
  <si>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</si>
  <si>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</si>
  <si>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</si>
  <si>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</si>
  <si>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</si>
  <si>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</si>
  <si>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</si>
  <si>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</si>
  <si>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</si>
  <si>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</si>
  <si>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</si>
  <si>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</si>
  <si>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</si>
  <si>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</si>
  <si>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</si>
  <si>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</si>
  <si>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</si>
  <si>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</si>
  <si>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</si>
  <si>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</si>
  <si>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</si>
  <si>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</si>
  <si>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</si>
  <si>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</si>
  <si>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</si>
  <si>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</si>
  <si>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</si>
  <si>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</si>
  <si>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</si>
  <si>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</si>
  <si>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</si>
  <si>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</si>
  <si>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</si>
  <si>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</si>
  <si>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</si>
  <si>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</si>
  <si>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</si>
  <si>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</si>
  <si>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</si>
  <si>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</si>
  <si>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</si>
  <si>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</si>
  <si>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</si>
  <si>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</si>
  <si>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</si>
  <si>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</si>
  <si>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</si>
  <si>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</si>
  <si>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</si>
  <si>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</si>
  <si>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</si>
  <si>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</si>
  <si>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</si>
  <si>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</si>
  <si>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</si>
  <si>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</si>
  <si>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</si>
  <si>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</si>
  <si>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</si>
  <si>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</si>
  <si>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</si>
  <si>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</si>
  <si>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</si>
  <si>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</si>
  <si>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</si>
  <si>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</si>
  <si>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</si>
  <si>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</si>
  <si>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</si>
  <si>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</si>
  <si>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</si>
  <si>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</si>
  <si>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</si>
  <si>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</si>
  <si>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</si>
  <si>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</si>
  <si>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</si>
  <si>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</si>
  <si>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</si>
  <si>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</si>
  <si>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</si>
  <si>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</si>
  <si>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</si>
  <si>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</si>
  <si>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</si>
  <si>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</si>
  <si>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</si>
  <si>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</si>
  <si>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</si>
  <si>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</si>
  <si>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</si>
  <si>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</si>
  <si>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</si>
  <si>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</si>
  <si>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</si>
  <si>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</si>
  <si>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</si>
  <si>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</si>
  <si>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</si>
  <si>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</si>
  <si>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</si>
  <si>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</si>
  <si>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</si>
  <si>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</si>
  <si>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</si>
  <si>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</si>
  <si>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</si>
  <si>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</si>
  <si>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</si>
  <si>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</si>
  <si>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</si>
  <si>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</si>
  <si>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</si>
  <si>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</si>
  <si>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</si>
  <si>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</si>
  <si>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</si>
  <si>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</si>
  <si>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</si>
  <si>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</si>
  <si>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</si>
  <si>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</si>
  <si>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</si>
  <si>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</si>
  <si>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</si>
  <si>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</si>
  <si>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</si>
  <si>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</si>
  <si>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</si>
  <si>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</si>
  <si>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</si>
  <si>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</si>
  <si>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</si>
  <si>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</si>
  <si>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</si>
  <si>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</si>
  <si>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</si>
  <si>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</si>
  <si>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</si>
  <si>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</si>
  <si>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</si>
  <si>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</si>
  <si>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</si>
  <si>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</si>
  <si>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</si>
  <si>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</si>
  <si>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</si>
  <si>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</si>
  <si>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</si>
  <si>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</si>
  <si>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</si>
  <si>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</si>
  <si>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</si>
  <si>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</si>
  <si>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</si>
  <si>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</si>
  <si>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</si>
  <si>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</si>
  <si>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</si>
  <si>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</si>
  <si>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</si>
  <si>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</si>
  <si>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</si>
  <si>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</si>
  <si>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</si>
  <si>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</si>
  <si>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</si>
  <si>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</si>
  <si>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</si>
  <si>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</si>
  <si>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</si>
  <si>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</si>
  <si>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</si>
  <si>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</si>
  <si>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</si>
  <si>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</si>
  <si>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</si>
  <si>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</si>
  <si>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</si>
  <si>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</si>
  <si>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</si>
  <si>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</si>
  <si>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</si>
  <si>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</si>
  <si>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</si>
  <si>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</si>
  <si>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</si>
  <si>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</si>
  <si>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</si>
  <si>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</si>
  <si>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</si>
  <si>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</si>
  <si>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</si>
  <si>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</si>
  <si>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</si>
  <si>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</si>
  <si>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</si>
  <si>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</si>
  <si>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</si>
  <si>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</si>
  <si>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</si>
  <si>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</si>
  <si>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</si>
  <si>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</si>
  <si>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</si>
  <si>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</si>
  <si>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</si>
  <si>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</si>
  <si>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</si>
  <si>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</si>
  <si>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</si>
  <si>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</si>
  <si>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</si>
  <si>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</si>
  <si>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</si>
  <si>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</si>
  <si>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</si>
  <si>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</si>
  <si>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</si>
  <si>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</si>
  <si>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</si>
  <si>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</si>
  <si>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</si>
  <si>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</si>
  <si>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</si>
  <si>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</si>
  <si>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</si>
  <si>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</si>
  <si>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</si>
  <si>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</si>
  <si>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</si>
  <si>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</si>
  <si>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</si>
  <si>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</si>
  <si>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</si>
  <si>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</si>
  <si>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</si>
  <si>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</si>
  <si>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</si>
  <si>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</si>
  <si>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</si>
  <si>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</si>
  <si>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</si>
  <si>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</si>
  <si>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</si>
  <si>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</si>
  <si>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</si>
  <si>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</si>
  <si>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</si>
  <si>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</si>
  <si>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</si>
  <si>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</si>
  <si>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</si>
  <si>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</si>
  <si>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</si>
  <si>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</si>
  <si>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</si>
  <si>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</si>
  <si>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</si>
  <si>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</si>
  <si>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</si>
  <si>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</si>
  <si>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</si>
  <si>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</si>
  <si>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</si>
  <si>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</si>
  <si>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</si>
  <si>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</si>
  <si>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</si>
  <si>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</si>
  <si>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</si>
  <si>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</si>
  <si>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</si>
  <si>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</si>
  <si>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</si>
  <si>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</si>
  <si>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</si>
  <si>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</si>
  <si>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</si>
  <si>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</si>
  <si>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</si>
  <si>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</si>
  <si>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</si>
  <si>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</si>
  <si>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</si>
  <si>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</si>
  <si>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</si>
  <si>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</si>
  <si>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</si>
  <si>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</si>
  <si>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</si>
  <si>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</si>
  <si>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</si>
  <si>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</si>
  <si>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</si>
  <si>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</si>
  <si>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</si>
  <si>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</si>
  <si>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</si>
  <si>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</si>
  <si>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</si>
  <si>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</si>
  <si>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</si>
  <si>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</si>
  <si>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</si>
  <si>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</si>
  <si>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</si>
  <si>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</si>
  <si>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</si>
  <si>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</si>
  <si>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</si>
  <si>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</si>
  <si>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</si>
  <si>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</si>
  <si>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</si>
  <si>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</si>
  <si>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</si>
  <si>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</si>
  <si>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</si>
  <si>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</si>
  <si>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</si>
  <si>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</si>
  <si>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</si>
  <si>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</si>
  <si>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</si>
  <si>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</si>
  <si>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</si>
  <si>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</si>
  <si>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</si>
  <si>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</si>
  <si>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</si>
  <si>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</si>
  <si>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</si>
  <si>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</si>
  <si>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</si>
  <si>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</si>
  <si>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</si>
  <si>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</si>
  <si>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</si>
  <si>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</si>
  <si>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</si>
  <si>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</si>
  <si>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</si>
  <si>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</si>
  <si>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</si>
  <si>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</si>
  <si>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</si>
  <si>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</si>
  <si>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</si>
  <si>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</si>
  <si>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</si>
  <si>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</si>
  <si>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</si>
  <si>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</si>
  <si>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</si>
  <si>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</si>
  <si>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</si>
  <si>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</si>
  <si>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</si>
  <si>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</si>
  <si>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</si>
  <si>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</si>
  <si>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</si>
  <si>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</si>
  <si>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</si>
  <si>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</si>
  <si>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</si>
  <si>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</si>
  <si>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</si>
  <si>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</si>
  <si>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</si>
  <si>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</si>
  <si>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</si>
  <si>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</si>
  <si>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</si>
  <si>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</si>
  <si>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</si>
  <si>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</si>
  <si>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</si>
  <si>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</si>
  <si>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</si>
  <si>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</si>
  <si>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</si>
  <si>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</si>
  <si>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</si>
  <si>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</si>
  <si>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</si>
  <si>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</si>
  <si>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</si>
  <si>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</si>
  <si>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</si>
  <si>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</si>
  <si>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</si>
  <si>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</si>
  <si>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</si>
  <si>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</si>
  <si>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</si>
  <si>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</si>
  <si>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</si>
  <si>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</si>
  <si>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</si>
  <si>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</si>
  <si>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</si>
  <si>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</si>
  <si>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</si>
  <si>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</si>
  <si>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</si>
  <si>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</si>
  <si>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</si>
  <si>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</si>
  <si>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</si>
  <si>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</si>
  <si>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</si>
  <si>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</si>
  <si>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</si>
  <si>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</si>
  <si>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</si>
  <si>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</si>
  <si>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</si>
  <si>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</si>
  <si>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</si>
  <si>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</si>
  <si>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</si>
  <si>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</si>
  <si>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</si>
  <si>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</si>
  <si>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</si>
  <si>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</si>
  <si>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</si>
  <si>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</si>
  <si>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</si>
  <si>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</si>
  <si>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</si>
  <si>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</si>
  <si>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</si>
  <si>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</si>
  <si>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</si>
  <si>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</si>
  <si>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</si>
  <si>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</si>
  <si>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</si>
  <si>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</si>
  <si>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</si>
  <si>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</si>
  <si>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</si>
  <si>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</si>
  <si>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</si>
  <si>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</si>
  <si>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</si>
  <si>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</si>
  <si>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</si>
  <si>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</si>
  <si>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</si>
  <si>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</si>
  <si>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</si>
  <si>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</si>
  <si>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</si>
  <si>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</si>
  <si>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</si>
  <si>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</si>
  <si>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</si>
  <si>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</si>
  <si>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</si>
  <si>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</si>
  <si>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</si>
  <si>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</si>
  <si>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</si>
  <si>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</si>
  <si>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</si>
  <si>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</si>
  <si>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</si>
  <si>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</si>
  <si>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</si>
  <si>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</si>
  <si>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</si>
  <si>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</si>
  <si>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</si>
  <si>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</si>
  <si>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</si>
  <si>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</si>
  <si>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</si>
  <si>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</si>
  <si>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</si>
  <si>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</si>
  <si>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</si>
  <si>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</si>
  <si>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</si>
  <si>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</si>
  <si>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</si>
  <si>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</si>
  <si>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</si>
  <si>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</si>
  <si>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</si>
  <si>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</si>
  <si>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</si>
  <si>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</si>
  <si>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</si>
  <si>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</si>
  <si>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</si>
  <si>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</si>
  <si>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</si>
  <si>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</si>
  <si>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</si>
  <si>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</si>
  <si>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</si>
  <si>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</si>
  <si>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</si>
  <si>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</si>
  <si>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</si>
  <si>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</si>
  <si>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</si>
  <si>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</si>
  <si>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</si>
  <si>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</si>
  <si>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</si>
  <si>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</si>
  <si>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</si>
  <si>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</si>
  <si>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</si>
  <si>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</si>
  <si>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</si>
  <si>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</si>
  <si>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</si>
  <si>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</si>
  <si>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</si>
  <si>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</si>
  <si>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</si>
  <si>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</si>
  <si>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</si>
  <si>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</si>
  <si>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</si>
  <si>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</si>
  <si>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</si>
  <si>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</si>
  <si>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</si>
  <si>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</si>
  <si>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</si>
  <si>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</si>
  <si>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</si>
  <si>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</si>
  <si>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</si>
  <si>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</si>
  <si>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</si>
  <si>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</si>
  <si>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</si>
  <si>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</si>
  <si>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</si>
  <si>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</si>
  <si>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</si>
  <si>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</si>
  <si>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</si>
  <si>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</si>
  <si>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</si>
  <si>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</si>
  <si>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</si>
  <si>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</si>
  <si>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</si>
  <si>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</si>
  <si>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</si>
  <si>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</si>
  <si>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</si>
  <si>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</si>
  <si>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</si>
  <si>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</si>
  <si>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</si>
  <si>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</si>
  <si>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</si>
  <si>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</si>
  <si>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</si>
  <si>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</si>
  <si>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</si>
  <si>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</si>
  <si>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</si>
  <si>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</si>
  <si>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</si>
  <si>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</si>
  <si>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</si>
  <si>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</si>
  <si>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</si>
  <si>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</si>
  <si>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</si>
  <si>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</si>
  <si>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</si>
  <si>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</si>
  <si>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</si>
  <si>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</si>
  <si>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</si>
  <si>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</si>
  <si>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</si>
  <si>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</si>
  <si>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</si>
  <si>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</si>
  <si>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</si>
  <si>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</si>
  <si>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</si>
  <si>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</si>
  <si>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</si>
  <si>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</si>
  <si>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</si>
  <si>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</si>
  <si>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</si>
  <si>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</si>
  <si>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</si>
  <si>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</si>
  <si>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</si>
  <si>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</si>
  <si>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</si>
  <si>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</si>
  <si>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</si>
  <si>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</si>
  <si>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</si>
  <si>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</si>
  <si>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</si>
  <si>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</si>
  <si>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</si>
  <si>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</si>
  <si>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</si>
  <si>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</si>
  <si>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</si>
  <si>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</si>
  <si>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</si>
  <si>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</si>
  <si>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</si>
  <si>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</si>
  <si>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</si>
  <si>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</si>
  <si>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</si>
  <si>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</si>
  <si>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</si>
  <si>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</si>
  <si>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</si>
  <si>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</si>
  <si>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</si>
  <si>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</si>
  <si>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</si>
  <si>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</si>
  <si>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</si>
  <si>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</si>
  <si>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</si>
  <si>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</si>
  <si>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</si>
  <si>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</si>
  <si>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</si>
  <si>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</si>
  <si>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</si>
  <si>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</si>
  <si>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</si>
  <si>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</si>
  <si>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</si>
  <si>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</si>
  <si>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</si>
  <si>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</si>
  <si>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</si>
  <si>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</si>
  <si>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</si>
  <si>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</si>
  <si>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</si>
  <si>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</si>
  <si>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</si>
  <si>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</si>
  <si>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</si>
  <si>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</si>
  <si>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</si>
  <si>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</si>
  <si>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</si>
  <si>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BOND (4%) TAX CREDIT ADDITIONAL THRESHOLD REQUIREMENT</t>
  </si>
  <si>
    <t>4% Credit/TE Bond</t>
  </si>
  <si>
    <t>DeKalb County Housing Authority</t>
  </si>
  <si>
    <t>Professional Fees</t>
  </si>
  <si>
    <t>Other Administrative</t>
  </si>
  <si>
    <t>Pool Maintenance</t>
  </si>
  <si>
    <t>Payroll Taxes</t>
  </si>
  <si>
    <t>DDA/QCT</t>
  </si>
  <si>
    <t>Amortizing</t>
  </si>
  <si>
    <t>6659 Chupp Road</t>
  </si>
  <si>
    <t>Yes - no Master Plan</t>
  </si>
  <si>
    <t>233.10</t>
  </si>
  <si>
    <t>Within City Limits</t>
  </si>
  <si>
    <t>http://www.stonecrestga.gov/</t>
  </si>
  <si>
    <t>City of Stonecrest</t>
  </si>
  <si>
    <t>Jason Lary</t>
  </si>
  <si>
    <t>Mayor</t>
  </si>
  <si>
    <t>jlary@stonecrestga.gov</t>
  </si>
  <si>
    <t>3120 Stonecrest Boulevard</t>
  </si>
  <si>
    <t>1714 East Boulevard</t>
  </si>
  <si>
    <t>Charlotte</t>
  </si>
  <si>
    <t>cirick@flatironenterprises.com</t>
  </si>
  <si>
    <t>40% of Units at 60% of AMI</t>
  </si>
  <si>
    <t>N/a</t>
  </si>
  <si>
    <t>N/A - 4% Bond</t>
  </si>
  <si>
    <t>750 Commerce Drive</t>
  </si>
  <si>
    <t>Deidre Randle</t>
  </si>
  <si>
    <t>Bond Compliance Manager</t>
  </si>
  <si>
    <t>bonds@dekalbhousing.org</t>
  </si>
  <si>
    <t>http://www.dekalbhousing.org/</t>
  </si>
  <si>
    <t>Stone Terrace GA LLC</t>
  </si>
  <si>
    <t>Partner</t>
  </si>
  <si>
    <t>Jackie Martin</t>
  </si>
  <si>
    <t>For Profit</t>
  </si>
  <si>
    <t>Charles F. Irick, Jr.</t>
  </si>
  <si>
    <t xml:space="preserve">1714 East Boulevard </t>
  </si>
  <si>
    <t>John W. Colvin</t>
  </si>
  <si>
    <t>Charlottw</t>
  </si>
  <si>
    <t>James M. Bernstein</t>
  </si>
  <si>
    <t>Mount Pleasant</t>
  </si>
  <si>
    <t>jaymb189@gmail.com</t>
  </si>
  <si>
    <t>2021 Cross Beam Drive</t>
  </si>
  <si>
    <t>Martin Riley Architects</t>
  </si>
  <si>
    <t>215 Church Street</t>
  </si>
  <si>
    <t>jmartin@martinriley.com</t>
  </si>
  <si>
    <t>http://www.martinriley.com/</t>
  </si>
  <si>
    <t>Vice President</t>
  </si>
  <si>
    <t>880 Carillion Parkway</t>
  </si>
  <si>
    <t>St. Petersburg</t>
  </si>
  <si>
    <t>http://www.raymondjames.com/</t>
  </si>
  <si>
    <t>http://www.flatirondevelopment.com/</t>
  </si>
  <si>
    <t>http://www.gemmanagement.com/</t>
  </si>
  <si>
    <t>CL-RB Stonecrest, LLC</t>
  </si>
  <si>
    <t>Karlien De Clercq</t>
  </si>
  <si>
    <t>karlien.declercq@castlelake.com</t>
  </si>
  <si>
    <t>The financial aspects of this application have been completed and filed in accordance and compliance with the 2019 Qualified Allocation Plan.</t>
  </si>
  <si>
    <t>Total development costs as submitted are within the Project Cost Limit.</t>
  </si>
  <si>
    <t>Agree</t>
  </si>
  <si>
    <t>John Wall and Associates</t>
  </si>
  <si>
    <t>98.5% among LIHTC; 96.1% overall</t>
  </si>
  <si>
    <t>Alexander at Stonecrest</t>
  </si>
  <si>
    <t>Granite Crossing</t>
  </si>
  <si>
    <t>Greens at Stonecreek</t>
  </si>
  <si>
    <t>Villas of Friendly Heights</t>
  </si>
  <si>
    <t>2001-512</t>
  </si>
  <si>
    <t>2015-028</t>
  </si>
  <si>
    <t>Terraces at Parkview</t>
  </si>
  <si>
    <t>2007-053</t>
  </si>
  <si>
    <t>2008-504</t>
  </si>
  <si>
    <t>Hills at Farmington</t>
  </si>
  <si>
    <t>Everson, Huber &amp; Associates</t>
  </si>
  <si>
    <t>Geotechnical &amp; Environmental Consultants, Inc.</t>
  </si>
  <si>
    <t>Purchase Contract</t>
  </si>
  <si>
    <t>Closing date given in contract is 10/31/19, with two 60-day extensions.</t>
  </si>
  <si>
    <t>Georgia Power</t>
  </si>
  <si>
    <t>DeKalb County Watershed Management</t>
  </si>
  <si>
    <t>Covered Porch</t>
  </si>
  <si>
    <t>Yes - W&amp;D hookups installed in each unit</t>
  </si>
  <si>
    <t>On-site laundry</t>
  </si>
  <si>
    <t>Disagree</t>
  </si>
  <si>
    <t>Raymond James Tax Credit Funds, Inc.</t>
  </si>
  <si>
    <t>Flatiron Partners, LLC</t>
  </si>
  <si>
    <t>Classic Development Company, LLC</t>
  </si>
  <si>
    <t>GEM Management LLC</t>
  </si>
  <si>
    <t>To Be Determined</t>
  </si>
  <si>
    <t>Executive Director</t>
  </si>
  <si>
    <t>Tami Fossum</t>
  </si>
  <si>
    <t>tfossum@gemmanagement.com</t>
  </si>
  <si>
    <t>84-3444032</t>
  </si>
  <si>
    <t>Flatiron Partners &amp; Classic Development</t>
  </si>
  <si>
    <t>Bernard Robinson &amp; Company, LLP</t>
  </si>
  <si>
    <t>Tim Smith</t>
  </si>
  <si>
    <t>1501 Highwoods Boulevard, Suite 300</t>
  </si>
  <si>
    <t>http://www.brccpa.com/</t>
  </si>
  <si>
    <t>tsmith@brccpa.com</t>
  </si>
  <si>
    <t>Housing Authority of DeKalb County, Georgia</t>
  </si>
  <si>
    <t>MF</t>
  </si>
  <si>
    <t>Electric Heat Pump</t>
  </si>
  <si>
    <t>Electric Charge</t>
  </si>
  <si>
    <t>1075 Cottingham Drive</t>
  </si>
  <si>
    <t>3+ Story</t>
  </si>
  <si>
    <t>Tax Exempt Bond Interest Expense</t>
  </si>
  <si>
    <t>Return of Fannie Mae Forward Commitment Fee</t>
  </si>
  <si>
    <t>Blanco Tackabery</t>
  </si>
  <si>
    <t>Deborah L. McKinney</t>
  </si>
  <si>
    <t>110 South Stratford Road, Suite 500</t>
  </si>
  <si>
    <t>Winston-Salem</t>
  </si>
  <si>
    <t>http://www.blancolaw.com/</t>
  </si>
  <si>
    <t>dlm@blancolaw.com</t>
  </si>
  <si>
    <t>This is based on projected interest on the tax exempt bond proceeds, calculated at the total bond amount multiplied by the interest rate, multiplied again by the term.</t>
  </si>
  <si>
    <t>The portion of bond interest expense attributed during construction of the buildings is depreciable basis to those buildings; as buildings are completed and placed in service, the proportion of the interest begins to become excluded from basis.</t>
  </si>
  <si>
    <t>2019PA-538</t>
  </si>
  <si>
    <t>Stone Terrace Phase II</t>
  </si>
  <si>
    <t>Stone Terrace II GP LLC</t>
  </si>
  <si>
    <t>Stone Terrace II GA LLC</t>
  </si>
  <si>
    <t>Stone Terrace is a proposed new construction affordable community consisting of 84 units.  It is located in the newly formed city of Stone Crest which is on the eastern side of the Atlanta MSA.  The project will be a high quailty affordable housing community built in the garden style.   The community will have a mix of one, two, three, and four bedroom units all targeting to families earning 60% of the area median income or less.  The property is part of a larger planned development that will eventually contain a mix of residential and commercial properties.  Given the sites easy access to I20, the growing need for affordable housing, and the high quaily construction, we believe Stone Terrace will be a very succesful project that tenants will love to call home.</t>
  </si>
  <si>
    <t>3 months</t>
  </si>
  <si>
    <t>Room</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</si>
</sst>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21">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0" fontId="2" fillId="5" borderId="3" xfId="0"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5"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9"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3" fontId="45" fillId="5" borderId="30" xfId="0" applyNumberFormat="1" applyFont="1" applyFill="1" applyBorder="1" applyAlignment="1" applyProtection="1">
      <alignment horizontal="left" vertical="center" wrapText="1"/>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protection locked="0"/>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89" fillId="0" borderId="0" xfId="0" applyFont="1" applyFill="1" applyAlignment="1" applyProtection="1">
      <alignment horizontal="right"/>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5" borderId="33"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protection locked="0"/>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9" fillId="5" borderId="86" xfId="0" applyFont="1" applyFill="1" applyBorder="1" applyAlignment="1" applyProtection="1">
      <alignment horizontal="left" vertical="center"/>
      <protection locked="0"/>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4" fontId="3" fillId="10" borderId="17" xfId="0" applyNumberFormat="1" applyFont="1" applyFill="1" applyBorder="1" applyAlignment="1" applyProtection="1">
      <alignment horizontal="center" vertical="top"/>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protection locked="0"/>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3"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cellStyle name="Comma" xfId="1" builtinId="3"/>
    <cellStyle name="Comma 2" xfId="15"/>
    <cellStyle name="Comma 3" xfId="28"/>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_'96-'97 Rent Tables" xfId="9"/>
    <cellStyle name="Notes" xfId="25"/>
    <cellStyle name="OVERWRITE" xfId="26"/>
    <cellStyle name="Percent" xfId="10" builtinId="5"/>
    <cellStyle name="Percent [2]" xfId="11"/>
    <cellStyle name="Percent 2" xfId="27"/>
    <cellStyle name="Percent 3" xfId="29"/>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topLeftCell="A5"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982" t="s">
        <v>979</v>
      </c>
    </row>
    <row r="2" spans="1:6" ht="15" customHeight="1">
      <c r="A2" s="983" t="str">
        <f>'Part I-Project Information'!F34</f>
        <v>Stone Terrace Phase II</v>
      </c>
    </row>
    <row r="3" spans="1:6" ht="15" customHeight="1">
      <c r="A3" s="983" t="str">
        <f>CONCATENATE('Part I-Project Information'!F38,", ", 'Part I-Project Information'!J39," County")</f>
        <v>Stonecrest, DeKalb County</v>
      </c>
    </row>
    <row r="4" spans="1:6" ht="12" customHeight="1">
      <c r="A4" s="2330"/>
    </row>
    <row r="5" spans="1:6" ht="72" customHeight="1">
      <c r="A5" s="2881" t="s">
        <v>5330</v>
      </c>
      <c r="B5" s="2882" t="s">
        <v>5052</v>
      </c>
      <c r="C5" s="2882"/>
      <c r="D5" s="2882"/>
      <c r="E5" s="2882"/>
      <c r="F5" s="2882"/>
    </row>
    <row r="6" spans="1:6" ht="6.6" customHeight="1">
      <c r="A6" s="2881"/>
      <c r="B6" s="2882"/>
      <c r="C6" s="2882"/>
      <c r="D6" s="2882"/>
      <c r="E6" s="2882"/>
      <c r="F6" s="2882"/>
    </row>
    <row r="7" spans="1:6" ht="72" customHeight="1">
      <c r="A7" s="2881"/>
      <c r="B7" s="2882"/>
      <c r="C7" s="2882"/>
      <c r="D7" s="2882"/>
      <c r="E7" s="2882"/>
      <c r="F7" s="2882"/>
    </row>
    <row r="8" spans="1:6" ht="6.6" customHeight="1">
      <c r="A8" s="2881"/>
    </row>
    <row r="9" spans="1:6" ht="72" customHeight="1">
      <c r="A9" s="2881"/>
    </row>
    <row r="10" spans="1:6" ht="6.6" customHeight="1">
      <c r="A10" s="2881"/>
    </row>
    <row r="11" spans="1:6" ht="72" customHeight="1">
      <c r="A11" s="2881"/>
    </row>
    <row r="12" spans="1:6" ht="6.6" customHeight="1">
      <c r="A12" s="2881"/>
    </row>
    <row r="13" spans="1:6" ht="72" customHeight="1">
      <c r="A13" s="2881"/>
    </row>
    <row r="14" spans="1:6" ht="6.6" customHeight="1">
      <c r="A14" s="2881"/>
    </row>
    <row r="15" spans="1:6" ht="72" customHeight="1">
      <c r="A15" s="2881"/>
    </row>
    <row r="16" spans="1:6" ht="6.6" customHeight="1">
      <c r="A16" s="2881"/>
    </row>
    <row r="17" spans="1:1" ht="72" customHeight="1">
      <c r="A17" s="2881"/>
    </row>
    <row r="18" spans="1:1" ht="6.6" customHeight="1">
      <c r="A18" s="2881"/>
    </row>
    <row r="19" spans="1:1" ht="72" customHeight="1">
      <c r="A19" s="2881"/>
    </row>
    <row r="20" spans="1:1" ht="6.6" customHeight="1">
      <c r="A20" s="2881"/>
    </row>
    <row r="21" spans="1:1" ht="72" customHeight="1">
      <c r="A21" s="2881"/>
    </row>
    <row r="22" spans="1:1" ht="6.6" customHeight="1">
      <c r="A22" s="2881"/>
    </row>
    <row r="23" spans="1:1" ht="72" customHeight="1">
      <c r="A23" s="2881"/>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RX291"/>
  <sheetViews>
    <sheetView showGridLines="0" topLeftCell="A15" zoomScaleNormal="100" workbookViewId="0">
      <selection activeCell="L239" sqref="L239"/>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1.85546875" style="8" customWidth="1"/>
    <col min="10" max="10" width="10.140625" style="8" customWidth="1"/>
    <col min="11" max="11" width="9.85546875" style="8" customWidth="1"/>
    <col min="12" max="13" width="11" style="8" customWidth="1"/>
    <col min="14" max="14" width="13" style="8" customWidth="1"/>
    <col min="15" max="15" width="15.42578125" style="8" customWidth="1"/>
    <col min="16" max="16" width="12.42578125" style="84" customWidth="1"/>
    <col min="17" max="17" width="9.85546875" style="84" customWidth="1"/>
    <col min="18" max="20" width="7.85546875" style="84" customWidth="1"/>
    <col min="21" max="21" width="59.140625" style="84" customWidth="1"/>
    <col min="22" max="22" width="47.85546875" style="84" customWidth="1"/>
    <col min="23" max="136" width="9.140625" style="512" customWidth="1"/>
    <col min="137" max="137" width="12.5703125" style="512" customWidth="1"/>
    <col min="138" max="138" width="8.140625" style="512" customWidth="1"/>
    <col min="139" max="142" width="7.140625" style="512" customWidth="1"/>
    <col min="143" max="143" width="8.140625" style="512" customWidth="1"/>
    <col min="144" max="147" width="7.140625" style="512" customWidth="1"/>
    <col min="148" max="157" width="9.140625" style="512" customWidth="1"/>
    <col min="158" max="158" width="8.140625" style="512" customWidth="1"/>
    <col min="159" max="162" width="7.140625" style="512" customWidth="1"/>
    <col min="163" max="167" width="9.140625" style="512" customWidth="1"/>
    <col min="168" max="168" width="8.140625" style="512" customWidth="1"/>
    <col min="169" max="172" width="7.140625" style="512" customWidth="1"/>
    <col min="173" max="252" width="9.140625" style="512" customWidth="1"/>
    <col min="253" max="257" width="11.140625" style="512" customWidth="1"/>
    <col min="258" max="272" width="9.140625" style="512" customWidth="1"/>
    <col min="273" max="273" width="10.140625" style="512" customWidth="1"/>
    <col min="274" max="277" width="10" style="512" customWidth="1"/>
    <col min="278" max="281" width="9.140625" style="512" customWidth="1"/>
    <col min="282" max="282" width="9.140625" style="517" customWidth="1"/>
    <col min="283" max="286" width="9.140625" style="512" customWidth="1"/>
    <col min="287" max="297" width="9.140625" style="517" customWidth="1"/>
    <col min="298" max="307" width="11.5703125" style="517" customWidth="1"/>
    <col min="308" max="318" width="9.140625" style="517" customWidth="1"/>
    <col min="319" max="324" width="9.140625" style="512" customWidth="1"/>
    <col min="325" max="325" width="9.140625" style="520" customWidth="1"/>
    <col min="326" max="340" width="9.140625" style="512" customWidth="1"/>
    <col min="341" max="342" width="9.140625" style="520" customWidth="1"/>
    <col min="343" max="349" width="10.140625" style="512" customWidth="1"/>
    <col min="350" max="352" width="9.140625" style="512"/>
    <col min="353" max="353" width="10.42578125" style="512" customWidth="1"/>
    <col min="354" max="357" width="10.140625" style="512" customWidth="1"/>
    <col min="358" max="393" width="9.140625" style="512"/>
    <col min="394" max="492" width="9.140625" style="151"/>
    <col min="493" max="16384" width="9.140625" style="84"/>
  </cols>
  <sheetData>
    <row r="1" spans="1:492" s="92" customFormat="1" ht="14.1" customHeight="1">
      <c r="A1" s="3290" t="str">
        <f>CONCATENATE("PART SIX - PROJECTED REVENUES &amp; EXPENSES","  -  ",'Part I-Project Information'!$O$6," ",'Part I-Project Information'!$F$34,", ",'Part I-Project Information'!F38,", ",'Part I-Project Information'!J39," County")</f>
        <v>PART SIX - PROJECTED REVENUES &amp; EXPENSES  -  2019-5 Stone Terrace Phase II, Stonecrest, DeKalb County</v>
      </c>
      <c r="B1" s="3291"/>
      <c r="C1" s="3291"/>
      <c r="D1" s="3291"/>
      <c r="E1" s="3291"/>
      <c r="F1" s="3291"/>
      <c r="G1" s="3291"/>
      <c r="H1" s="3291"/>
      <c r="I1" s="3291"/>
      <c r="J1" s="3291"/>
      <c r="K1" s="3291"/>
      <c r="L1" s="3291"/>
      <c r="M1" s="3291"/>
      <c r="N1" s="3291"/>
      <c r="O1" s="3291"/>
      <c r="P1" s="3292"/>
      <c r="U1" s="3572" t="str">
        <f>A1</f>
        <v>PART SIX - PROJECTED REVENUES &amp; EXPENSES  -  2019-5 Stone Terrace Phase II, Stonecrest, DeKalb County</v>
      </c>
      <c r="V1" s="3572"/>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10"/>
      <c r="HX1" s="2710"/>
      <c r="HY1" s="2710"/>
      <c r="HZ1" s="2710"/>
      <c r="IA1" s="2710"/>
      <c r="IB1" s="2710"/>
      <c r="IC1" s="2710"/>
      <c r="ID1" s="2710"/>
      <c r="IE1" s="2710"/>
      <c r="IF1" s="2710"/>
      <c r="IG1" s="2710"/>
      <c r="IH1" s="2710"/>
      <c r="II1" s="2710"/>
      <c r="IJ1" s="2710"/>
      <c r="IK1" s="2710"/>
      <c r="IL1" s="2710"/>
      <c r="IM1" s="2710"/>
      <c r="IN1" s="2710"/>
      <c r="IO1" s="2710"/>
      <c r="IP1" s="2710"/>
      <c r="IQ1" s="2710"/>
      <c r="IR1" s="2710"/>
      <c r="IS1" s="2710"/>
      <c r="IT1" s="2710"/>
      <c r="IU1" s="2710"/>
      <c r="IV1" s="2710"/>
      <c r="IW1" s="2710"/>
      <c r="IX1" s="2710"/>
      <c r="IY1" s="2710"/>
      <c r="IZ1" s="2710"/>
      <c r="JA1" s="2710"/>
      <c r="JB1" s="2710"/>
      <c r="JC1" s="2710"/>
      <c r="JD1" s="2710"/>
      <c r="JE1" s="2710"/>
      <c r="JF1" s="2710"/>
      <c r="JG1" s="2710"/>
      <c r="JH1" s="2710"/>
      <c r="JI1" s="2710"/>
      <c r="JJ1" s="2710"/>
      <c r="JK1" s="2710"/>
      <c r="JL1" s="2710"/>
      <c r="JM1" s="2710"/>
      <c r="JN1" s="2710"/>
      <c r="JO1" s="2710"/>
      <c r="JP1" s="2710"/>
      <c r="JQ1" s="2710"/>
      <c r="JR1" s="2710"/>
      <c r="JS1" s="2710"/>
      <c r="JT1" s="2710"/>
      <c r="JU1" s="2710"/>
      <c r="JV1" s="2710"/>
      <c r="JW1" s="2710"/>
      <c r="JX1" s="2710"/>
      <c r="JY1" s="2710"/>
      <c r="JZ1" s="2710"/>
      <c r="KA1" s="2710"/>
      <c r="KB1" s="2710"/>
      <c r="KC1" s="2710"/>
      <c r="KD1" s="2710"/>
      <c r="KE1" s="2710"/>
      <c r="KF1" s="2710"/>
      <c r="KG1" s="2710"/>
      <c r="KH1" s="2710"/>
      <c r="KI1" s="2710"/>
      <c r="KJ1" s="2710"/>
      <c r="KK1" s="2710"/>
      <c r="KL1" s="2710"/>
      <c r="KM1" s="2710"/>
      <c r="KN1" s="2710"/>
      <c r="KO1" s="514"/>
      <c r="KP1" s="514"/>
      <c r="KQ1" s="2710"/>
      <c r="KR1" s="2710"/>
      <c r="KS1" s="2710"/>
      <c r="KT1" s="514"/>
      <c r="KU1" s="514"/>
      <c r="KV1" s="514"/>
      <c r="KW1" s="514"/>
      <c r="KX1" s="2711"/>
      <c r="KY1" s="514"/>
      <c r="KZ1" s="514"/>
      <c r="LA1" s="514"/>
      <c r="LB1" s="514"/>
      <c r="LC1" s="2711"/>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616</v>
      </c>
      <c r="B3" s="4" t="s">
        <v>2366</v>
      </c>
      <c r="C3" s="1"/>
      <c r="D3" s="1064" t="s">
        <v>3570</v>
      </c>
      <c r="F3" s="1"/>
      <c r="G3" s="125"/>
      <c r="H3" s="125"/>
      <c r="I3" s="125"/>
      <c r="J3" s="125"/>
      <c r="K3" s="125"/>
      <c r="L3" s="125"/>
      <c r="S3" s="321"/>
      <c r="T3" s="321"/>
      <c r="U3" s="4" t="str">
        <f>B3</f>
        <v>RENT SCHEDULE</v>
      </c>
      <c r="W3" s="2712"/>
      <c r="X3" s="2712"/>
      <c r="Y3" s="2712"/>
      <c r="Z3" s="2712"/>
      <c r="AA3" s="2712"/>
      <c r="AB3" s="2712"/>
      <c r="AC3" s="2712"/>
      <c r="AD3" s="2712"/>
      <c r="AE3" s="2712"/>
      <c r="AF3" s="2712"/>
      <c r="AG3" s="2712"/>
      <c r="AH3" s="2712"/>
      <c r="AI3" s="2712"/>
      <c r="AJ3" s="2712"/>
      <c r="AK3" s="2712"/>
      <c r="AL3" s="2712"/>
      <c r="AM3" s="2712"/>
      <c r="AN3" s="2712"/>
      <c r="AO3" s="2712"/>
      <c r="AP3" s="2712"/>
      <c r="AQ3" s="2712"/>
      <c r="AR3" s="2712"/>
      <c r="AS3" s="2712"/>
      <c r="AT3" s="2712"/>
      <c r="AU3" s="2712"/>
      <c r="AV3" s="2712"/>
      <c r="AW3" s="2712"/>
      <c r="AX3" s="2712"/>
      <c r="AY3" s="2712"/>
      <c r="AZ3" s="2712"/>
      <c r="BA3" s="2712"/>
      <c r="BB3" s="2712"/>
      <c r="BC3" s="2712"/>
      <c r="BD3" s="2712"/>
      <c r="BE3" s="2712"/>
      <c r="BF3" s="2712"/>
      <c r="BG3" s="2712"/>
      <c r="BH3" s="2712"/>
      <c r="BI3" s="2712"/>
      <c r="BJ3" s="2712"/>
      <c r="BK3" s="2712"/>
      <c r="BL3" s="2712"/>
      <c r="BM3" s="2712"/>
      <c r="BN3" s="2712"/>
      <c r="BO3" s="2712"/>
      <c r="BP3" s="2712"/>
      <c r="BQ3" s="2712"/>
      <c r="BR3" s="2712"/>
      <c r="BS3" s="2712"/>
      <c r="BT3" s="2712"/>
      <c r="BU3" s="2712"/>
      <c r="BV3" s="2712"/>
      <c r="BW3" s="2712"/>
      <c r="BX3" s="2712"/>
      <c r="BY3" s="2712"/>
      <c r="BZ3" s="2712"/>
      <c r="CA3" s="2712"/>
      <c r="CB3" s="2712"/>
      <c r="CC3" s="2712"/>
      <c r="CD3" s="2712"/>
      <c r="CE3" s="2712"/>
      <c r="CF3" s="2712"/>
      <c r="CG3" s="2712"/>
      <c r="CH3" s="2712"/>
      <c r="CI3" s="2712"/>
      <c r="CJ3" s="2712"/>
      <c r="CK3" s="2712"/>
      <c r="CL3" s="2712"/>
      <c r="CM3" s="2712"/>
      <c r="CN3" s="2712"/>
      <c r="CO3" s="2712"/>
      <c r="CP3" s="2712"/>
      <c r="CQ3" s="2712"/>
      <c r="CR3" s="2712"/>
      <c r="CS3" s="2712"/>
      <c r="CT3" s="2712"/>
      <c r="CU3" s="2712"/>
      <c r="CV3" s="2712"/>
      <c r="CW3" s="2712"/>
      <c r="CX3" s="2712"/>
      <c r="CY3" s="2712"/>
      <c r="CZ3" s="2712"/>
      <c r="DA3" s="2712"/>
      <c r="DB3" s="2712"/>
      <c r="DC3" s="2712"/>
      <c r="DD3" s="2712"/>
      <c r="DE3" s="2712"/>
      <c r="DF3" s="2712"/>
      <c r="DG3" s="2712"/>
      <c r="DH3" s="2712"/>
      <c r="DI3" s="2712"/>
      <c r="DJ3" s="2712"/>
      <c r="DK3" s="2712"/>
      <c r="DL3" s="2712"/>
      <c r="DM3" s="2712"/>
      <c r="DN3" s="2712"/>
      <c r="DO3" s="2712"/>
      <c r="DP3" s="2712"/>
      <c r="DQ3" s="2712"/>
      <c r="DR3" s="2712"/>
      <c r="DS3" s="2712"/>
      <c r="DT3" s="2712"/>
      <c r="DU3" s="2712"/>
      <c r="DV3" s="2712"/>
      <c r="DW3" s="2712"/>
      <c r="DX3" s="2712"/>
      <c r="DY3" s="2712"/>
      <c r="DZ3" s="2712"/>
      <c r="EA3" s="2712"/>
      <c r="EB3" s="2712"/>
      <c r="EC3" s="2712"/>
      <c r="ED3" s="2712"/>
      <c r="EE3" s="2712"/>
      <c r="EF3" s="2712"/>
      <c r="EG3" s="2712"/>
      <c r="EH3" s="2712"/>
      <c r="EI3" s="2712"/>
      <c r="EJ3" s="2712"/>
      <c r="EK3" s="2712"/>
      <c r="EL3" s="2712"/>
      <c r="EM3" s="2712"/>
      <c r="EN3" s="2712"/>
      <c r="EO3" s="2712"/>
      <c r="EP3" s="2712"/>
      <c r="EQ3" s="2712"/>
      <c r="ER3" s="2712"/>
      <c r="ES3" s="2712"/>
      <c r="ET3" s="2712"/>
      <c r="EU3" s="2712"/>
      <c r="EV3" s="2712"/>
      <c r="EW3" s="2712"/>
      <c r="EX3" s="2712"/>
      <c r="EY3" s="2712"/>
      <c r="EZ3" s="2712"/>
      <c r="FA3" s="2712"/>
      <c r="FB3" s="2712"/>
      <c r="FC3" s="2712"/>
      <c r="FD3" s="2712"/>
      <c r="FE3" s="2712"/>
      <c r="FF3" s="2712"/>
      <c r="FG3" s="2712"/>
      <c r="FH3" s="2712"/>
      <c r="FI3" s="2712"/>
      <c r="FJ3" s="2712"/>
      <c r="FK3" s="2712"/>
      <c r="FL3" s="2712"/>
      <c r="FM3" s="2712"/>
      <c r="FN3" s="2712"/>
      <c r="FO3" s="2712"/>
      <c r="FP3" s="2712"/>
      <c r="FQ3" s="2712"/>
      <c r="FR3" s="2712"/>
      <c r="FS3" s="2712"/>
      <c r="FT3" s="2712"/>
      <c r="FU3" s="2712"/>
      <c r="FV3" s="2712"/>
      <c r="FW3" s="2712"/>
      <c r="FX3" s="2712"/>
      <c r="FY3" s="2712"/>
      <c r="FZ3" s="2712"/>
      <c r="GA3" s="2712"/>
      <c r="GB3" s="2712"/>
      <c r="GC3" s="2712"/>
      <c r="GD3" s="2712"/>
      <c r="GE3" s="2712"/>
      <c r="GF3" s="2712"/>
      <c r="GG3" s="2712"/>
      <c r="GH3" s="2712"/>
      <c r="GI3" s="2712"/>
      <c r="GJ3" s="2712"/>
      <c r="GK3" s="2712"/>
      <c r="GL3" s="2712"/>
      <c r="GM3" s="2712"/>
      <c r="GN3" s="2712"/>
      <c r="GO3" s="2712"/>
      <c r="GP3" s="2712"/>
      <c r="GQ3" s="2712"/>
      <c r="GR3" s="2712"/>
      <c r="GS3" s="2712"/>
      <c r="GT3" s="2712"/>
      <c r="GU3" s="2712"/>
      <c r="GV3" s="2712"/>
      <c r="GW3" s="2712"/>
      <c r="GX3" s="2712"/>
      <c r="GY3" s="2712"/>
      <c r="GZ3" s="2712"/>
      <c r="HA3" s="2712"/>
      <c r="HB3" s="2712"/>
      <c r="HC3" s="2712"/>
      <c r="HD3" s="2712"/>
      <c r="HE3" s="2712"/>
      <c r="HF3" s="2712"/>
      <c r="HG3" s="2712"/>
      <c r="HH3" s="2712"/>
      <c r="HI3" s="2712"/>
      <c r="HJ3" s="2712"/>
      <c r="HK3" s="2712"/>
      <c r="HL3" s="2712"/>
      <c r="HM3" s="2712"/>
      <c r="HN3" s="2712"/>
      <c r="HO3" s="2712"/>
      <c r="HP3" s="2712"/>
      <c r="HQ3" s="2712"/>
      <c r="HR3" s="2712"/>
      <c r="HS3" s="2712"/>
      <c r="HT3" s="2712"/>
      <c r="HU3" s="2712"/>
      <c r="HV3" s="2712"/>
      <c r="HW3" s="2712"/>
      <c r="HX3" s="2712"/>
      <c r="HY3" s="2713"/>
      <c r="HZ3" s="2713"/>
      <c r="IA3" s="2713"/>
      <c r="IB3" s="2713"/>
      <c r="IC3" s="2713"/>
      <c r="ID3" s="516" t="s">
        <v>485</v>
      </c>
      <c r="IE3" s="516" t="s">
        <v>2440</v>
      </c>
      <c r="IF3" s="516" t="s">
        <v>2441</v>
      </c>
      <c r="IG3" s="516" t="s">
        <v>2442</v>
      </c>
      <c r="IH3" s="516" t="s">
        <v>2443</v>
      </c>
      <c r="II3" s="516" t="s">
        <v>485</v>
      </c>
      <c r="IJ3" s="516" t="s">
        <v>2440</v>
      </c>
      <c r="IK3" s="516" t="s">
        <v>2441</v>
      </c>
      <c r="IL3" s="516" t="s">
        <v>2442</v>
      </c>
      <c r="IM3" s="516" t="s">
        <v>2443</v>
      </c>
      <c r="IN3" s="2713"/>
      <c r="IO3" s="2713"/>
      <c r="IP3" s="2713"/>
      <c r="IQ3" s="2713"/>
      <c r="IR3" s="2713"/>
      <c r="IS3" s="2713"/>
      <c r="IT3" s="2713"/>
      <c r="IU3" s="2713"/>
      <c r="IV3" s="2713"/>
      <c r="IW3" s="2713"/>
      <c r="IX3" s="516" t="s">
        <v>485</v>
      </c>
      <c r="IY3" s="516" t="s">
        <v>2440</v>
      </c>
      <c r="IZ3" s="516" t="s">
        <v>2441</v>
      </c>
      <c r="JA3" s="516" t="s">
        <v>2442</v>
      </c>
      <c r="JB3" s="516" t="s">
        <v>2443</v>
      </c>
      <c r="JC3" s="516" t="s">
        <v>485</v>
      </c>
      <c r="JD3" s="516" t="s">
        <v>2440</v>
      </c>
      <c r="JE3" s="516" t="s">
        <v>2441</v>
      </c>
      <c r="JF3" s="516" t="s">
        <v>2442</v>
      </c>
      <c r="JG3" s="516" t="s">
        <v>2443</v>
      </c>
      <c r="JH3" s="516" t="s">
        <v>485</v>
      </c>
      <c r="JI3" s="516" t="s">
        <v>2440</v>
      </c>
      <c r="JJ3" s="516" t="s">
        <v>2441</v>
      </c>
      <c r="JK3" s="516" t="s">
        <v>2442</v>
      </c>
      <c r="JL3" s="516" t="s">
        <v>2443</v>
      </c>
      <c r="JM3" s="516" t="s">
        <v>485</v>
      </c>
      <c r="JN3" s="516" t="s">
        <v>2440</v>
      </c>
      <c r="JO3" s="516" t="s">
        <v>2441</v>
      </c>
      <c r="JP3" s="516" t="s">
        <v>2442</v>
      </c>
      <c r="JQ3" s="516" t="s">
        <v>2443</v>
      </c>
      <c r="JR3" s="516" t="s">
        <v>485</v>
      </c>
      <c r="JS3" s="516" t="s">
        <v>2440</v>
      </c>
      <c r="JT3" s="516" t="s">
        <v>2441</v>
      </c>
      <c r="JU3" s="516" t="s">
        <v>2442</v>
      </c>
      <c r="JV3" s="516" t="s">
        <v>2443</v>
      </c>
      <c r="JW3" s="516" t="s">
        <v>485</v>
      </c>
      <c r="JX3" s="516" t="s">
        <v>2440</v>
      </c>
      <c r="JY3" s="516" t="s">
        <v>2441</v>
      </c>
      <c r="JZ3" s="516" t="s">
        <v>2442</v>
      </c>
      <c r="KA3" s="516" t="s">
        <v>2443</v>
      </c>
      <c r="KB3" s="516" t="s">
        <v>485</v>
      </c>
      <c r="KC3" s="516" t="s">
        <v>2440</v>
      </c>
      <c r="KD3" s="516" t="s">
        <v>2441</v>
      </c>
      <c r="KE3" s="516" t="s">
        <v>2442</v>
      </c>
      <c r="KF3" s="516" t="s">
        <v>2443</v>
      </c>
      <c r="KG3" s="516" t="s">
        <v>485</v>
      </c>
      <c r="KH3" s="516" t="s">
        <v>2440</v>
      </c>
      <c r="KI3" s="516" t="s">
        <v>2441</v>
      </c>
      <c r="KJ3" s="516" t="s">
        <v>2442</v>
      </c>
      <c r="KK3" s="516" t="s">
        <v>2443</v>
      </c>
      <c r="KL3" s="516" t="s">
        <v>485</v>
      </c>
      <c r="KM3" s="516" t="s">
        <v>2440</v>
      </c>
      <c r="KN3" s="516" t="s">
        <v>2441</v>
      </c>
      <c r="KO3" s="516" t="s">
        <v>2442</v>
      </c>
      <c r="KP3" s="516" t="s">
        <v>2443</v>
      </c>
      <c r="KQ3" s="516" t="s">
        <v>485</v>
      </c>
      <c r="KR3" s="516" t="s">
        <v>2440</v>
      </c>
      <c r="KS3" s="516" t="s">
        <v>2441</v>
      </c>
      <c r="KT3" s="516" t="s">
        <v>2442</v>
      </c>
      <c r="KU3" s="516" t="s">
        <v>2443</v>
      </c>
      <c r="KV3" s="516" t="s">
        <v>485</v>
      </c>
      <c r="KW3" s="516" t="s">
        <v>2440</v>
      </c>
      <c r="KX3" s="516" t="s">
        <v>2441</v>
      </c>
      <c r="KY3" s="516" t="s">
        <v>2442</v>
      </c>
      <c r="KZ3" s="516" t="s">
        <v>2443</v>
      </c>
      <c r="LA3" s="516" t="s">
        <v>485</v>
      </c>
      <c r="LB3" s="516" t="s">
        <v>2440</v>
      </c>
      <c r="LC3" s="516" t="s">
        <v>2441</v>
      </c>
      <c r="LD3" s="516" t="s">
        <v>2442</v>
      </c>
      <c r="LE3" s="516" t="s">
        <v>2443</v>
      </c>
      <c r="LF3" s="514"/>
      <c r="LG3" s="514"/>
      <c r="LH3" s="514"/>
      <c r="LI3" s="514"/>
      <c r="LJ3" s="514"/>
      <c r="LK3" s="2712"/>
      <c r="LL3" s="2712"/>
      <c r="LM3" s="2712"/>
      <c r="LN3" s="2712"/>
      <c r="LO3" s="2712"/>
      <c r="LP3" s="2712"/>
      <c r="LQ3" s="2712"/>
      <c r="LR3" s="2712"/>
      <c r="LS3" s="2712"/>
      <c r="LT3" s="2712"/>
      <c r="LU3" s="2712"/>
      <c r="LV3" s="2712"/>
      <c r="LW3" s="2712"/>
      <c r="LX3" s="2712"/>
      <c r="LY3" s="2712"/>
      <c r="LZ3" s="2712"/>
      <c r="MA3" s="2712"/>
      <c r="MB3" s="2712"/>
      <c r="MC3" s="2712"/>
      <c r="MD3" s="2712"/>
      <c r="ME3" s="3556" t="s">
        <v>3423</v>
      </c>
      <c r="MF3" s="3556" t="s">
        <v>3424</v>
      </c>
      <c r="MG3" s="3556" t="s">
        <v>3425</v>
      </c>
      <c r="MH3" s="3556" t="s">
        <v>3426</v>
      </c>
      <c r="MI3" s="3556" t="s">
        <v>3427</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68" t="s">
        <v>3700</v>
      </c>
      <c r="Q4" s="1254"/>
      <c r="R4" s="479"/>
      <c r="S4" s="479"/>
      <c r="T4" s="479"/>
      <c r="U4" s="479"/>
      <c r="V4" s="480"/>
      <c r="W4" s="3517" t="s">
        <v>4627</v>
      </c>
      <c r="X4" s="3517" t="s">
        <v>4628</v>
      </c>
      <c r="Y4" s="3517" t="s">
        <v>4629</v>
      </c>
      <c r="Z4" s="3517" t="s">
        <v>4630</v>
      </c>
      <c r="AA4" s="3517" t="s">
        <v>4631</v>
      </c>
      <c r="AB4" s="3517" t="s">
        <v>4632</v>
      </c>
      <c r="AC4" s="3517" t="s">
        <v>4633</v>
      </c>
      <c r="AD4" s="3517" t="s">
        <v>4634</v>
      </c>
      <c r="AE4" s="3517" t="s">
        <v>4635</v>
      </c>
      <c r="AF4" s="3517" t="s">
        <v>4636</v>
      </c>
      <c r="AG4" s="3517" t="s">
        <v>919</v>
      </c>
      <c r="AH4" s="3517" t="s">
        <v>756</v>
      </c>
      <c r="AI4" s="3517" t="s">
        <v>757</v>
      </c>
      <c r="AJ4" s="3517" t="s">
        <v>758</v>
      </c>
      <c r="AK4" s="3517" t="s">
        <v>759</v>
      </c>
      <c r="AL4" s="3517" t="s">
        <v>920</v>
      </c>
      <c r="AM4" s="3517" t="s">
        <v>2310</v>
      </c>
      <c r="AN4" s="3517" t="s">
        <v>2311</v>
      </c>
      <c r="AO4" s="3517" t="s">
        <v>2312</v>
      </c>
      <c r="AP4" s="3517" t="s">
        <v>2313</v>
      </c>
      <c r="AQ4" s="3517" t="s">
        <v>4638</v>
      </c>
      <c r="AR4" s="3517" t="s">
        <v>4639</v>
      </c>
      <c r="AS4" s="3517" t="s">
        <v>4640</v>
      </c>
      <c r="AT4" s="3517" t="s">
        <v>4641</v>
      </c>
      <c r="AU4" s="3517" t="s">
        <v>4637</v>
      </c>
      <c r="AV4" s="3517" t="s">
        <v>921</v>
      </c>
      <c r="AW4" s="3517" t="s">
        <v>2314</v>
      </c>
      <c r="AX4" s="3517" t="s">
        <v>2315</v>
      </c>
      <c r="AY4" s="3517" t="s">
        <v>2316</v>
      </c>
      <c r="AZ4" s="3517" t="s">
        <v>2317</v>
      </c>
      <c r="BA4" s="3517" t="s">
        <v>4642</v>
      </c>
      <c r="BB4" s="3517" t="s">
        <v>4643</v>
      </c>
      <c r="BC4" s="3517" t="s">
        <v>4644</v>
      </c>
      <c r="BD4" s="3517" t="s">
        <v>4645</v>
      </c>
      <c r="BE4" s="3517" t="s">
        <v>4646</v>
      </c>
      <c r="BF4" s="3517" t="s">
        <v>129</v>
      </c>
      <c r="BG4" s="3517" t="s">
        <v>2318</v>
      </c>
      <c r="BH4" s="3517" t="s">
        <v>2319</v>
      </c>
      <c r="BI4" s="3517" t="s">
        <v>2320</v>
      </c>
      <c r="BJ4" s="3517" t="s">
        <v>1148</v>
      </c>
      <c r="BK4" s="3517" t="s">
        <v>4647</v>
      </c>
      <c r="BL4" s="3517" t="s">
        <v>4648</v>
      </c>
      <c r="BM4" s="3517" t="s">
        <v>4649</v>
      </c>
      <c r="BN4" s="3517" t="s">
        <v>4650</v>
      </c>
      <c r="BO4" s="3517" t="s">
        <v>4651</v>
      </c>
      <c r="BP4" s="3517" t="s">
        <v>556</v>
      </c>
      <c r="BQ4" s="3517" t="s">
        <v>557</v>
      </c>
      <c r="BR4" s="3517" t="s">
        <v>577</v>
      </c>
      <c r="BS4" s="3517" t="s">
        <v>578</v>
      </c>
      <c r="BT4" s="3517" t="s">
        <v>579</v>
      </c>
      <c r="BU4" s="3517" t="s">
        <v>4652</v>
      </c>
      <c r="BV4" s="3517" t="s">
        <v>4653</v>
      </c>
      <c r="BW4" s="3517" t="s">
        <v>4654</v>
      </c>
      <c r="BX4" s="3517" t="s">
        <v>4655</v>
      </c>
      <c r="BY4" s="3517" t="s">
        <v>4656</v>
      </c>
      <c r="BZ4" s="3517" t="s">
        <v>580</v>
      </c>
      <c r="CA4" s="3517" t="s">
        <v>581</v>
      </c>
      <c r="CB4" s="3517" t="s">
        <v>582</v>
      </c>
      <c r="CC4" s="3517" t="s">
        <v>583</v>
      </c>
      <c r="CD4" s="3517" t="s">
        <v>584</v>
      </c>
      <c r="CE4" s="3517" t="s">
        <v>585</v>
      </c>
      <c r="CF4" s="3517" t="s">
        <v>586</v>
      </c>
      <c r="CG4" s="3517" t="s">
        <v>931</v>
      </c>
      <c r="CH4" s="3517" t="s">
        <v>932</v>
      </c>
      <c r="CI4" s="3517" t="s">
        <v>933</v>
      </c>
      <c r="CJ4" s="3517" t="s">
        <v>4662</v>
      </c>
      <c r="CK4" s="3517" t="s">
        <v>4663</v>
      </c>
      <c r="CL4" s="3517" t="s">
        <v>4664</v>
      </c>
      <c r="CM4" s="3517" t="s">
        <v>4665</v>
      </c>
      <c r="CN4" s="3517" t="s">
        <v>4666</v>
      </c>
      <c r="CO4" s="3517" t="s">
        <v>4657</v>
      </c>
      <c r="CP4" s="3517" t="s">
        <v>4658</v>
      </c>
      <c r="CQ4" s="3517" t="s">
        <v>4659</v>
      </c>
      <c r="CR4" s="3517" t="s">
        <v>4660</v>
      </c>
      <c r="CS4" s="3517" t="s">
        <v>4661</v>
      </c>
      <c r="CT4" s="3517" t="s">
        <v>4667</v>
      </c>
      <c r="CU4" s="3517" t="s">
        <v>4668</v>
      </c>
      <c r="CV4" s="3517" t="s">
        <v>4669</v>
      </c>
      <c r="CW4" s="3517" t="s">
        <v>4670</v>
      </c>
      <c r="CX4" s="3517" t="s">
        <v>4671</v>
      </c>
      <c r="CY4" s="3517" t="s">
        <v>496</v>
      </c>
      <c r="CZ4" s="3517" t="s">
        <v>497</v>
      </c>
      <c r="DA4" s="3517" t="s">
        <v>498</v>
      </c>
      <c r="DB4" s="3517" t="s">
        <v>499</v>
      </c>
      <c r="DC4" s="3517" t="s">
        <v>500</v>
      </c>
      <c r="DD4" s="3517" t="s">
        <v>4672</v>
      </c>
      <c r="DE4" s="3517" t="s">
        <v>4673</v>
      </c>
      <c r="DF4" s="3517" t="s">
        <v>4674</v>
      </c>
      <c r="DG4" s="3517" t="s">
        <v>4675</v>
      </c>
      <c r="DH4" s="3517" t="s">
        <v>4676</v>
      </c>
      <c r="DI4" s="3517" t="s">
        <v>880</v>
      </c>
      <c r="DJ4" s="3517" t="s">
        <v>881</v>
      </c>
      <c r="DK4" s="3517" t="s">
        <v>882</v>
      </c>
      <c r="DL4" s="3517" t="s">
        <v>883</v>
      </c>
      <c r="DM4" s="3517" t="s">
        <v>884</v>
      </c>
      <c r="DN4" s="3517" t="s">
        <v>885</v>
      </c>
      <c r="DO4" s="3517" t="s">
        <v>886</v>
      </c>
      <c r="DP4" s="3517" t="s">
        <v>887</v>
      </c>
      <c r="DQ4" s="3517" t="s">
        <v>888</v>
      </c>
      <c r="DR4" s="3517" t="s">
        <v>889</v>
      </c>
      <c r="DS4" s="3517" t="s">
        <v>4677</v>
      </c>
      <c r="DT4" s="3517" t="s">
        <v>4678</v>
      </c>
      <c r="DU4" s="3517" t="s">
        <v>4679</v>
      </c>
      <c r="DV4" s="3517" t="s">
        <v>4680</v>
      </c>
      <c r="DW4" s="3517" t="s">
        <v>4681</v>
      </c>
      <c r="DX4" s="3517" t="s">
        <v>4682</v>
      </c>
      <c r="DY4" s="3517" t="s">
        <v>4683</v>
      </c>
      <c r="DZ4" s="3517" t="s">
        <v>4684</v>
      </c>
      <c r="EA4" s="3517" t="s">
        <v>4685</v>
      </c>
      <c r="EB4" s="3517" t="s">
        <v>4686</v>
      </c>
      <c r="EC4" s="3517" t="s">
        <v>2430</v>
      </c>
      <c r="ED4" s="3517" t="s">
        <v>2431</v>
      </c>
      <c r="EE4" s="3517" t="s">
        <v>2432</v>
      </c>
      <c r="EF4" s="3517" t="s">
        <v>2433</v>
      </c>
      <c r="EG4" s="3517" t="s">
        <v>2434</v>
      </c>
      <c r="EH4" s="3517" t="s">
        <v>4687</v>
      </c>
      <c r="EI4" s="3517" t="s">
        <v>4688</v>
      </c>
      <c r="EJ4" s="3517" t="s">
        <v>4689</v>
      </c>
      <c r="EK4" s="3517" t="s">
        <v>4690</v>
      </c>
      <c r="EL4" s="3517" t="s">
        <v>4691</v>
      </c>
      <c r="EM4" s="3517" t="s">
        <v>4692</v>
      </c>
      <c r="EN4" s="3517" t="s">
        <v>4693</v>
      </c>
      <c r="EO4" s="3517" t="s">
        <v>4694</v>
      </c>
      <c r="EP4" s="3517" t="s">
        <v>4695</v>
      </c>
      <c r="EQ4" s="3517" t="s">
        <v>4696</v>
      </c>
      <c r="ER4" s="3556" t="s">
        <v>117</v>
      </c>
      <c r="ES4" s="3556" t="s">
        <v>1151</v>
      </c>
      <c r="ET4" s="3556" t="s">
        <v>1152</v>
      </c>
      <c r="EU4" s="3556" t="s">
        <v>1213</v>
      </c>
      <c r="EV4" s="3556" t="s">
        <v>1214</v>
      </c>
      <c r="EW4" s="3556" t="s">
        <v>132</v>
      </c>
      <c r="EX4" s="3556" t="s">
        <v>1215</v>
      </c>
      <c r="EY4" s="3556" t="s">
        <v>1216</v>
      </c>
      <c r="EZ4" s="3556" t="s">
        <v>1217</v>
      </c>
      <c r="FA4" s="3556" t="s">
        <v>1218</v>
      </c>
      <c r="FB4" s="3517" t="s">
        <v>4697</v>
      </c>
      <c r="FC4" s="3517" t="s">
        <v>4698</v>
      </c>
      <c r="FD4" s="3517" t="s">
        <v>4699</v>
      </c>
      <c r="FE4" s="3517" t="s">
        <v>4700</v>
      </c>
      <c r="FF4" s="3517" t="s">
        <v>4701</v>
      </c>
      <c r="FG4" s="3556" t="s">
        <v>131</v>
      </c>
      <c r="FH4" s="3556" t="s">
        <v>911</v>
      </c>
      <c r="FI4" s="3556" t="s">
        <v>912</v>
      </c>
      <c r="FJ4" s="3556" t="s">
        <v>913</v>
      </c>
      <c r="FK4" s="3556" t="s">
        <v>914</v>
      </c>
      <c r="FL4" s="3517" t="s">
        <v>4702</v>
      </c>
      <c r="FM4" s="3517" t="s">
        <v>4703</v>
      </c>
      <c r="FN4" s="3517" t="s">
        <v>4704</v>
      </c>
      <c r="FO4" s="3517" t="s">
        <v>4705</v>
      </c>
      <c r="FP4" s="3517" t="s">
        <v>4706</v>
      </c>
      <c r="FQ4" s="3556" t="s">
        <v>130</v>
      </c>
      <c r="FR4" s="3556" t="s">
        <v>915</v>
      </c>
      <c r="FS4" s="3556" t="s">
        <v>916</v>
      </c>
      <c r="FT4" s="3556" t="s">
        <v>917</v>
      </c>
      <c r="FU4" s="3556" t="s">
        <v>918</v>
      </c>
      <c r="FV4" s="3556" t="s">
        <v>809</v>
      </c>
      <c r="FW4" s="3556" t="s">
        <v>810</v>
      </c>
      <c r="FX4" s="3556" t="s">
        <v>811</v>
      </c>
      <c r="FY4" s="3556" t="s">
        <v>812</v>
      </c>
      <c r="FZ4" s="3556" t="s">
        <v>813</v>
      </c>
      <c r="GA4" s="3556" t="s">
        <v>957</v>
      </c>
      <c r="GB4" s="3556" t="s">
        <v>958</v>
      </c>
      <c r="GC4" s="3556" t="s">
        <v>959</v>
      </c>
      <c r="GD4" s="3556" t="s">
        <v>960</v>
      </c>
      <c r="GE4" s="3556" t="s">
        <v>2429</v>
      </c>
      <c r="GF4" s="3556" t="s">
        <v>1433</v>
      </c>
      <c r="GG4" s="3556" t="s">
        <v>1434</v>
      </c>
      <c r="GH4" s="3556" t="s">
        <v>1435</v>
      </c>
      <c r="GI4" s="3556" t="s">
        <v>1436</v>
      </c>
      <c r="GJ4" s="3556" t="s">
        <v>1437</v>
      </c>
      <c r="GK4" s="3556" t="s">
        <v>436</v>
      </c>
      <c r="GL4" s="3556" t="s">
        <v>437</v>
      </c>
      <c r="GM4" s="3556" t="s">
        <v>438</v>
      </c>
      <c r="GN4" s="3556" t="s">
        <v>439</v>
      </c>
      <c r="GO4" s="3556" t="s">
        <v>440</v>
      </c>
      <c r="GP4" s="3556" t="s">
        <v>17</v>
      </c>
      <c r="GQ4" s="3556" t="s">
        <v>18</v>
      </c>
      <c r="GR4" s="3556" t="s">
        <v>19</v>
      </c>
      <c r="GS4" s="3556" t="s">
        <v>20</v>
      </c>
      <c r="GT4" s="3556" t="s">
        <v>21</v>
      </c>
      <c r="GU4" s="3556" t="s">
        <v>222</v>
      </c>
      <c r="GV4" s="3556" t="s">
        <v>223</v>
      </c>
      <c r="GW4" s="3556" t="s">
        <v>224</v>
      </c>
      <c r="GX4" s="3556" t="s">
        <v>1811</v>
      </c>
      <c r="GY4" s="3556" t="s">
        <v>1812</v>
      </c>
      <c r="GZ4" s="3556" t="s">
        <v>1813</v>
      </c>
      <c r="HA4" s="3556" t="s">
        <v>592</v>
      </c>
      <c r="HB4" s="3556" t="s">
        <v>593</v>
      </c>
      <c r="HC4" s="3556" t="s">
        <v>594</v>
      </c>
      <c r="HD4" s="3556" t="s">
        <v>595</v>
      </c>
      <c r="HE4" s="3556" t="s">
        <v>22</v>
      </c>
      <c r="HF4" s="3556" t="s">
        <v>23</v>
      </c>
      <c r="HG4" s="3556" t="s">
        <v>24</v>
      </c>
      <c r="HH4" s="3556" t="s">
        <v>25</v>
      </c>
      <c r="HI4" s="3556" t="s">
        <v>26</v>
      </c>
      <c r="HJ4" s="3556" t="s">
        <v>495</v>
      </c>
      <c r="HK4" s="3556" t="s">
        <v>432</v>
      </c>
      <c r="HL4" s="3556" t="s">
        <v>433</v>
      </c>
      <c r="HM4" s="3556" t="s">
        <v>434</v>
      </c>
      <c r="HN4" s="3556" t="s">
        <v>435</v>
      </c>
      <c r="HO4" s="3556" t="s">
        <v>2208</v>
      </c>
      <c r="HP4" s="3556" t="s">
        <v>2209</v>
      </c>
      <c r="HQ4" s="3556" t="s">
        <v>2210</v>
      </c>
      <c r="HR4" s="3556" t="s">
        <v>1479</v>
      </c>
      <c r="HS4" s="3556" t="s">
        <v>1480</v>
      </c>
      <c r="HT4" s="3556" t="s">
        <v>27</v>
      </c>
      <c r="HU4" s="3556" t="s">
        <v>28</v>
      </c>
      <c r="HV4" s="3556" t="s">
        <v>29</v>
      </c>
      <c r="HW4" s="3556" t="s">
        <v>30</v>
      </c>
      <c r="HX4" s="3556" t="s">
        <v>31</v>
      </c>
      <c r="HY4" s="2710"/>
      <c r="HZ4" s="2710"/>
      <c r="IA4" s="2710"/>
      <c r="IB4" s="2710"/>
      <c r="IC4" s="2710"/>
      <c r="ID4" s="2710"/>
      <c r="IE4" s="2710"/>
      <c r="IF4" s="2710"/>
      <c r="IG4" s="2710"/>
      <c r="IH4" s="2710"/>
      <c r="II4" s="2710"/>
      <c r="IJ4" s="2710"/>
      <c r="IK4" s="2710"/>
      <c r="IL4" s="2710"/>
      <c r="IM4" s="2710"/>
      <c r="IN4" s="2710"/>
      <c r="IO4" s="2710"/>
      <c r="IP4" s="2710"/>
      <c r="IQ4" s="2710"/>
      <c r="IR4" s="2710"/>
      <c r="IS4" s="2710"/>
      <c r="IT4" s="2710"/>
      <c r="IU4" s="2710"/>
      <c r="IV4" s="2710"/>
      <c r="IW4" s="2710"/>
      <c r="IX4" s="2710"/>
      <c r="IY4" s="2710"/>
      <c r="IZ4" s="2710"/>
      <c r="JA4" s="2710"/>
      <c r="JB4" s="2710"/>
      <c r="JC4" s="2710"/>
      <c r="JD4" s="2710"/>
      <c r="JE4" s="2710"/>
      <c r="JF4" s="2710"/>
      <c r="JG4" s="2710"/>
      <c r="JH4" s="2710"/>
      <c r="JI4" s="2710"/>
      <c r="JJ4" s="2710"/>
      <c r="JK4" s="2710"/>
      <c r="JL4" s="2710"/>
      <c r="JM4" s="2710"/>
      <c r="JN4" s="2710"/>
      <c r="JO4" s="2710"/>
      <c r="JP4" s="2710"/>
      <c r="JQ4" s="2710"/>
      <c r="JR4" s="2710"/>
      <c r="JS4" s="2710"/>
      <c r="JT4" s="2710"/>
      <c r="JU4" s="2710"/>
      <c r="JV4" s="2710"/>
      <c r="JW4" s="2710"/>
      <c r="JX4" s="2710"/>
      <c r="JY4" s="2710"/>
      <c r="JZ4" s="2710"/>
      <c r="KA4" s="2710"/>
      <c r="KB4" s="2710"/>
      <c r="KC4" s="2710"/>
      <c r="KD4" s="2710"/>
      <c r="KE4" s="2710"/>
      <c r="KF4" s="2710"/>
      <c r="KG4" s="2710"/>
      <c r="KH4" s="2710"/>
      <c r="KI4" s="2710"/>
      <c r="KJ4" s="2710"/>
      <c r="KK4" s="2710"/>
      <c r="KL4" s="2710"/>
      <c r="KM4" s="2710"/>
      <c r="KN4" s="2710"/>
      <c r="KO4" s="2710"/>
      <c r="KP4" s="2710"/>
      <c r="KQ4" s="2710"/>
      <c r="KR4" s="2710"/>
      <c r="KS4" s="2710"/>
      <c r="KT4" s="2710"/>
      <c r="KU4" s="2710"/>
      <c r="KV4" s="514"/>
      <c r="KW4" s="514"/>
      <c r="KX4" s="514"/>
      <c r="KY4" s="514"/>
      <c r="KZ4" s="514"/>
      <c r="LA4" s="514"/>
      <c r="LB4" s="514"/>
      <c r="LC4" s="514"/>
      <c r="LD4" s="514"/>
      <c r="LE4" s="514"/>
      <c r="LF4" s="3556" t="s">
        <v>1625</v>
      </c>
      <c r="LG4" s="3556" t="s">
        <v>2523</v>
      </c>
      <c r="LH4" s="3556" t="s">
        <v>2524</v>
      </c>
      <c r="LI4" s="3556" t="s">
        <v>386</v>
      </c>
      <c r="LJ4" s="3556" t="s">
        <v>387</v>
      </c>
      <c r="LK4" s="3556" t="s">
        <v>388</v>
      </c>
      <c r="LL4" s="3556" t="s">
        <v>389</v>
      </c>
      <c r="LM4" s="3556" t="s">
        <v>390</v>
      </c>
      <c r="LN4" s="3556" t="s">
        <v>391</v>
      </c>
      <c r="LO4" s="3556" t="s">
        <v>392</v>
      </c>
      <c r="LP4" s="3556" t="s">
        <v>202</v>
      </c>
      <c r="LQ4" s="3556" t="s">
        <v>203</v>
      </c>
      <c r="LR4" s="3556" t="s">
        <v>204</v>
      </c>
      <c r="LS4" s="3556" t="s">
        <v>205</v>
      </c>
      <c r="LT4" s="3556" t="s">
        <v>206</v>
      </c>
      <c r="LU4" s="3556" t="s">
        <v>207</v>
      </c>
      <c r="LV4" s="3556" t="s">
        <v>208</v>
      </c>
      <c r="LW4" s="3556" t="s">
        <v>209</v>
      </c>
      <c r="LX4" s="3556" t="s">
        <v>210</v>
      </c>
      <c r="LY4" s="3556" t="s">
        <v>211</v>
      </c>
      <c r="LZ4" s="3556" t="s">
        <v>212</v>
      </c>
      <c r="MA4" s="3556" t="s">
        <v>213</v>
      </c>
      <c r="MB4" s="3556" t="s">
        <v>214</v>
      </c>
      <c r="MC4" s="3556" t="s">
        <v>215</v>
      </c>
      <c r="MD4" s="3556" t="s">
        <v>216</v>
      </c>
      <c r="ME4" s="3556"/>
      <c r="MF4" s="3556"/>
      <c r="MG4" s="3556"/>
      <c r="MH4" s="3556"/>
      <c r="MI4" s="3556"/>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75" t="str">
        <f>IF(A48&gt;0,"Finish Row!","")</f>
        <v/>
      </c>
      <c r="B5" s="4" t="s">
        <v>1846</v>
      </c>
      <c r="D5" s="1"/>
      <c r="E5" s="4"/>
      <c r="F5" s="1"/>
      <c r="G5" s="2542" t="s">
        <v>201</v>
      </c>
      <c r="J5" s="1255" t="s">
        <v>3565</v>
      </c>
      <c r="K5" s="3576" t="str">
        <f>'Part I-Project Information'!$B$6</f>
        <v>May 2019 Final</v>
      </c>
      <c r="L5" s="3577"/>
      <c r="M5" s="1260" t="s">
        <v>576</v>
      </c>
      <c r="O5" s="1257" t="s">
        <v>4722</v>
      </c>
      <c r="P5" s="3568"/>
      <c r="Q5" s="1254"/>
      <c r="R5" s="96"/>
      <c r="S5" s="96"/>
      <c r="T5" s="96"/>
      <c r="W5" s="3517"/>
      <c r="X5" s="3517"/>
      <c r="Y5" s="3517"/>
      <c r="Z5" s="3517"/>
      <c r="AA5" s="3517"/>
      <c r="AB5" s="3517"/>
      <c r="AC5" s="3517"/>
      <c r="AD5" s="3517"/>
      <c r="AE5" s="3517"/>
      <c r="AF5" s="3517"/>
      <c r="AG5" s="3517"/>
      <c r="AH5" s="3517"/>
      <c r="AI5" s="3517"/>
      <c r="AJ5" s="3517"/>
      <c r="AK5" s="3517"/>
      <c r="AL5" s="3517"/>
      <c r="AM5" s="3517"/>
      <c r="AN5" s="3517"/>
      <c r="AO5" s="3517"/>
      <c r="AP5" s="3517"/>
      <c r="AQ5" s="3517"/>
      <c r="AR5" s="3517"/>
      <c r="AS5" s="3517"/>
      <c r="AT5" s="3517"/>
      <c r="AU5" s="3517"/>
      <c r="AV5" s="3517"/>
      <c r="AW5" s="3517"/>
      <c r="AX5" s="3517"/>
      <c r="AY5" s="3517"/>
      <c r="AZ5" s="3517"/>
      <c r="BA5" s="3517"/>
      <c r="BB5" s="3517"/>
      <c r="BC5" s="3517"/>
      <c r="BD5" s="3517"/>
      <c r="BE5" s="3517"/>
      <c r="BF5" s="3517"/>
      <c r="BG5" s="3517"/>
      <c r="BH5" s="3517"/>
      <c r="BI5" s="3517"/>
      <c r="BJ5" s="3517"/>
      <c r="BK5" s="3517"/>
      <c r="BL5" s="3517"/>
      <c r="BM5" s="3517"/>
      <c r="BN5" s="3517"/>
      <c r="BO5" s="3517"/>
      <c r="BP5" s="3517"/>
      <c r="BQ5" s="3517"/>
      <c r="BR5" s="3517"/>
      <c r="BS5" s="3517"/>
      <c r="BT5" s="3517"/>
      <c r="BU5" s="3517"/>
      <c r="BV5" s="3517"/>
      <c r="BW5" s="3517"/>
      <c r="BX5" s="3517"/>
      <c r="BY5" s="3517"/>
      <c r="BZ5" s="3517"/>
      <c r="CA5" s="3517"/>
      <c r="CB5" s="3517"/>
      <c r="CC5" s="3517"/>
      <c r="CD5" s="3517"/>
      <c r="CE5" s="3517"/>
      <c r="CF5" s="3517"/>
      <c r="CG5" s="3517"/>
      <c r="CH5" s="3517"/>
      <c r="CI5" s="3517"/>
      <c r="CJ5" s="3517"/>
      <c r="CK5" s="3517"/>
      <c r="CL5" s="3517"/>
      <c r="CM5" s="3517"/>
      <c r="CN5" s="3517"/>
      <c r="CO5" s="3517"/>
      <c r="CP5" s="3517"/>
      <c r="CQ5" s="3517"/>
      <c r="CR5" s="3517"/>
      <c r="CS5" s="3517"/>
      <c r="CT5" s="3517"/>
      <c r="CU5" s="3517"/>
      <c r="CV5" s="3517"/>
      <c r="CW5" s="3517"/>
      <c r="CX5" s="3517"/>
      <c r="CY5" s="3517"/>
      <c r="CZ5" s="3517"/>
      <c r="DA5" s="3517"/>
      <c r="DB5" s="3517"/>
      <c r="DC5" s="3517"/>
      <c r="DD5" s="3517"/>
      <c r="DE5" s="3517"/>
      <c r="DF5" s="3517"/>
      <c r="DG5" s="3517"/>
      <c r="DH5" s="3517"/>
      <c r="DI5" s="3517"/>
      <c r="DJ5" s="3517"/>
      <c r="DK5" s="3517"/>
      <c r="DL5" s="3517"/>
      <c r="DM5" s="3517"/>
      <c r="DN5" s="3517"/>
      <c r="DO5" s="3517"/>
      <c r="DP5" s="3517"/>
      <c r="DQ5" s="3517"/>
      <c r="DR5" s="3517"/>
      <c r="DS5" s="3517"/>
      <c r="DT5" s="3517"/>
      <c r="DU5" s="3517"/>
      <c r="DV5" s="3517"/>
      <c r="DW5" s="3517"/>
      <c r="DX5" s="3517"/>
      <c r="DY5" s="3517"/>
      <c r="DZ5" s="3517"/>
      <c r="EA5" s="3517"/>
      <c r="EB5" s="3517"/>
      <c r="EC5" s="3517"/>
      <c r="ED5" s="3517"/>
      <c r="EE5" s="3517"/>
      <c r="EF5" s="3517"/>
      <c r="EG5" s="3517"/>
      <c r="EH5" s="3517"/>
      <c r="EI5" s="3517"/>
      <c r="EJ5" s="3517"/>
      <c r="EK5" s="3517"/>
      <c r="EL5" s="3517"/>
      <c r="EM5" s="3517"/>
      <c r="EN5" s="3517"/>
      <c r="EO5" s="3517"/>
      <c r="EP5" s="3517"/>
      <c r="EQ5" s="3517"/>
      <c r="ER5" s="3556"/>
      <c r="ES5" s="3556"/>
      <c r="ET5" s="3556"/>
      <c r="EU5" s="3556"/>
      <c r="EV5" s="3556"/>
      <c r="EW5" s="3556"/>
      <c r="EX5" s="3556"/>
      <c r="EY5" s="3556"/>
      <c r="EZ5" s="3556"/>
      <c r="FA5" s="3556"/>
      <c r="FB5" s="3517"/>
      <c r="FC5" s="3517"/>
      <c r="FD5" s="3517"/>
      <c r="FE5" s="3517"/>
      <c r="FF5" s="3517"/>
      <c r="FG5" s="3556"/>
      <c r="FH5" s="3556"/>
      <c r="FI5" s="3556"/>
      <c r="FJ5" s="3556"/>
      <c r="FK5" s="3556"/>
      <c r="FL5" s="3517"/>
      <c r="FM5" s="3517"/>
      <c r="FN5" s="3517"/>
      <c r="FO5" s="3517"/>
      <c r="FP5" s="3517"/>
      <c r="FQ5" s="3556"/>
      <c r="FR5" s="3556"/>
      <c r="FS5" s="3556"/>
      <c r="FT5" s="3556"/>
      <c r="FU5" s="3556"/>
      <c r="FV5" s="3556"/>
      <c r="FW5" s="3556"/>
      <c r="FX5" s="3556"/>
      <c r="FY5" s="3556"/>
      <c r="FZ5" s="3556"/>
      <c r="GA5" s="3556"/>
      <c r="GB5" s="3556"/>
      <c r="GC5" s="3556"/>
      <c r="GD5" s="3556"/>
      <c r="GE5" s="3556"/>
      <c r="GF5" s="3556"/>
      <c r="GG5" s="3556"/>
      <c r="GH5" s="3556"/>
      <c r="GI5" s="3556"/>
      <c r="GJ5" s="3556"/>
      <c r="GK5" s="3556"/>
      <c r="GL5" s="3556"/>
      <c r="GM5" s="3556"/>
      <c r="GN5" s="3556"/>
      <c r="GO5" s="3556"/>
      <c r="GP5" s="3556"/>
      <c r="GQ5" s="3556"/>
      <c r="GR5" s="3556"/>
      <c r="GS5" s="3556"/>
      <c r="GT5" s="3556"/>
      <c r="GU5" s="3556"/>
      <c r="GV5" s="3556"/>
      <c r="GW5" s="3556"/>
      <c r="GX5" s="3556"/>
      <c r="GY5" s="3556"/>
      <c r="GZ5" s="3556"/>
      <c r="HA5" s="3556"/>
      <c r="HB5" s="3556"/>
      <c r="HC5" s="3556"/>
      <c r="HD5" s="3556"/>
      <c r="HE5" s="3556"/>
      <c r="HF5" s="3556"/>
      <c r="HG5" s="3556"/>
      <c r="HH5" s="3556"/>
      <c r="HI5" s="3556"/>
      <c r="HJ5" s="3556"/>
      <c r="HK5" s="3556"/>
      <c r="HL5" s="3556"/>
      <c r="HM5" s="3556"/>
      <c r="HN5" s="3556"/>
      <c r="HO5" s="3556"/>
      <c r="HP5" s="3556"/>
      <c r="HQ5" s="3556"/>
      <c r="HR5" s="3556"/>
      <c r="HS5" s="3556"/>
      <c r="HT5" s="3556"/>
      <c r="HU5" s="3556"/>
      <c r="HV5" s="3556"/>
      <c r="HW5" s="3556"/>
      <c r="HX5" s="3556"/>
      <c r="HY5" s="2710"/>
      <c r="HZ5" s="2710"/>
      <c r="IA5" s="2710"/>
      <c r="IB5" s="2710"/>
      <c r="IC5" s="2710"/>
      <c r="ID5" s="2710"/>
      <c r="IE5" s="2710"/>
      <c r="IF5" s="2710"/>
      <c r="IG5" s="2710"/>
      <c r="IH5" s="2710"/>
      <c r="II5" s="2710"/>
      <c r="IJ5" s="2710"/>
      <c r="IK5" s="2710"/>
      <c r="IL5" s="2710"/>
      <c r="IM5" s="2710"/>
      <c r="IN5" s="2710"/>
      <c r="IO5" s="2710"/>
      <c r="IP5" s="2710"/>
      <c r="IQ5" s="2710"/>
      <c r="IR5" s="2710"/>
      <c r="IS5" s="2710"/>
      <c r="IT5" s="2710"/>
      <c r="IU5" s="2710"/>
      <c r="IV5" s="2710"/>
      <c r="IW5" s="2710"/>
      <c r="IX5" s="2710"/>
      <c r="IY5" s="2710"/>
      <c r="IZ5" s="2710"/>
      <c r="JA5" s="2710"/>
      <c r="JB5" s="2710"/>
      <c r="JC5" s="2710"/>
      <c r="JD5" s="2710"/>
      <c r="JE5" s="2710"/>
      <c r="JF5" s="2710"/>
      <c r="JG5" s="2710"/>
      <c r="JH5" s="2710"/>
      <c r="JI5" s="2710"/>
      <c r="JJ5" s="2710"/>
      <c r="JK5" s="2710"/>
      <c r="JL5" s="2710"/>
      <c r="JM5" s="2710"/>
      <c r="JN5" s="2710"/>
      <c r="JO5" s="2710"/>
      <c r="JP5" s="2710"/>
      <c r="JQ5" s="2710"/>
      <c r="JR5" s="2710"/>
      <c r="JS5" s="2710"/>
      <c r="JT5" s="2710"/>
      <c r="JU5" s="2710"/>
      <c r="JV5" s="2710"/>
      <c r="JW5" s="2710"/>
      <c r="JX5" s="2710"/>
      <c r="JY5" s="2710"/>
      <c r="JZ5" s="2710"/>
      <c r="KA5" s="2710"/>
      <c r="KB5" s="2710"/>
      <c r="KC5" s="2710"/>
      <c r="KD5" s="2710"/>
      <c r="KE5" s="2710"/>
      <c r="KF5" s="2710"/>
      <c r="KG5" s="2710"/>
      <c r="KH5" s="2710"/>
      <c r="KI5" s="2710"/>
      <c r="KJ5" s="2710"/>
      <c r="KK5" s="2710"/>
      <c r="KL5" s="2710"/>
      <c r="KM5" s="2710"/>
      <c r="KN5" s="2710"/>
      <c r="KO5" s="2710"/>
      <c r="KP5" s="2710"/>
      <c r="KQ5" s="2710"/>
      <c r="KR5" s="2710"/>
      <c r="KS5" s="2710"/>
      <c r="KT5" s="2710"/>
      <c r="KU5" s="2710"/>
      <c r="KV5" s="514"/>
      <c r="KW5" s="514"/>
      <c r="KX5" s="514"/>
      <c r="KY5" s="514"/>
      <c r="KZ5" s="514"/>
      <c r="LA5" s="514"/>
      <c r="LB5" s="514"/>
      <c r="LC5" s="514"/>
      <c r="LD5" s="514"/>
      <c r="LE5" s="514"/>
      <c r="LF5" s="3556"/>
      <c r="LG5" s="3556"/>
      <c r="LH5" s="3556"/>
      <c r="LI5" s="3556"/>
      <c r="LJ5" s="3556"/>
      <c r="LK5" s="3556"/>
      <c r="LL5" s="3556"/>
      <c r="LM5" s="3556"/>
      <c r="LN5" s="3556"/>
      <c r="LO5" s="3556"/>
      <c r="LP5" s="3556"/>
      <c r="LQ5" s="3556"/>
      <c r="LR5" s="3556"/>
      <c r="LS5" s="3556"/>
      <c r="LT5" s="3556"/>
      <c r="LU5" s="3556"/>
      <c r="LV5" s="3556"/>
      <c r="LW5" s="3556"/>
      <c r="LX5" s="3556"/>
      <c r="LY5" s="3556"/>
      <c r="LZ5" s="3556"/>
      <c r="MA5" s="3556"/>
      <c r="MB5" s="3556"/>
      <c r="MC5" s="3556"/>
      <c r="MD5" s="3556"/>
      <c r="ME5" s="3556"/>
      <c r="MF5" s="3556"/>
      <c r="MG5" s="3556"/>
      <c r="MH5" s="3556"/>
      <c r="MI5" s="3556"/>
      <c r="MJ5" s="3571" t="s">
        <v>3418</v>
      </c>
      <c r="MK5" s="3571" t="s">
        <v>3419</v>
      </c>
      <c r="ML5" s="3571" t="s">
        <v>3420</v>
      </c>
      <c r="MM5" s="3571" t="s">
        <v>3421</v>
      </c>
      <c r="MN5" s="3571" t="s">
        <v>3422</v>
      </c>
      <c r="MO5" s="3556" t="s">
        <v>3432</v>
      </c>
      <c r="MP5" s="3556" t="s">
        <v>3434</v>
      </c>
      <c r="MQ5" s="3556" t="s">
        <v>3435</v>
      </c>
      <c r="MR5" s="3556" t="s">
        <v>3436</v>
      </c>
      <c r="MS5" s="3556" t="s">
        <v>3437</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75"/>
      <c r="B6" s="29" t="s">
        <v>1805</v>
      </c>
      <c r="D6" s="1"/>
      <c r="E6" s="4"/>
      <c r="F6" s="2639" t="s">
        <v>201</v>
      </c>
      <c r="G6" s="1255" t="s">
        <v>3665</v>
      </c>
      <c r="H6" s="3568" t="s">
        <v>3892</v>
      </c>
      <c r="I6" s="1255" t="s">
        <v>798</v>
      </c>
      <c r="J6" s="1255" t="s">
        <v>3668</v>
      </c>
      <c r="K6" s="3577"/>
      <c r="L6" s="3577"/>
      <c r="M6" s="3573" t="str">
        <f>'Part I-Project Information'!$O$40</f>
        <v>Atlanta-Sandy Springs-Marietta</v>
      </c>
      <c r="N6" s="3573"/>
      <c r="O6" s="995">
        <f>VLOOKUP('Part I-Project Information'!$O$40,'DCA Underwriting Assumptions'!$C$158:$D$268,2)</f>
        <v>74800</v>
      </c>
      <c r="P6" s="3568"/>
      <c r="Q6" s="1254"/>
      <c r="R6" s="96"/>
      <c r="S6" s="3569" t="s">
        <v>2698</v>
      </c>
      <c r="T6" s="3569"/>
      <c r="W6" s="3517"/>
      <c r="X6" s="3517"/>
      <c r="Y6" s="3517"/>
      <c r="Z6" s="3517"/>
      <c r="AA6" s="3517"/>
      <c r="AB6" s="3517"/>
      <c r="AC6" s="3517"/>
      <c r="AD6" s="3517"/>
      <c r="AE6" s="3517"/>
      <c r="AF6" s="3517"/>
      <c r="AG6" s="3517"/>
      <c r="AH6" s="3517"/>
      <c r="AI6" s="3517"/>
      <c r="AJ6" s="3517"/>
      <c r="AK6" s="3517"/>
      <c r="AL6" s="3517"/>
      <c r="AM6" s="3517"/>
      <c r="AN6" s="3517"/>
      <c r="AO6" s="3517"/>
      <c r="AP6" s="3517"/>
      <c r="AQ6" s="3517"/>
      <c r="AR6" s="3517"/>
      <c r="AS6" s="3517"/>
      <c r="AT6" s="3517"/>
      <c r="AU6" s="3517"/>
      <c r="AV6" s="3517"/>
      <c r="AW6" s="3517"/>
      <c r="AX6" s="3517"/>
      <c r="AY6" s="3517"/>
      <c r="AZ6" s="3517"/>
      <c r="BA6" s="3517"/>
      <c r="BB6" s="3517"/>
      <c r="BC6" s="3517"/>
      <c r="BD6" s="3517"/>
      <c r="BE6" s="3517"/>
      <c r="BF6" s="3517"/>
      <c r="BG6" s="3517"/>
      <c r="BH6" s="3517"/>
      <c r="BI6" s="3517"/>
      <c r="BJ6" s="3517"/>
      <c r="BK6" s="3517"/>
      <c r="BL6" s="3517"/>
      <c r="BM6" s="3517"/>
      <c r="BN6" s="3517"/>
      <c r="BO6" s="3517"/>
      <c r="BP6" s="3517"/>
      <c r="BQ6" s="3517"/>
      <c r="BR6" s="3517"/>
      <c r="BS6" s="3517"/>
      <c r="BT6" s="3517"/>
      <c r="BU6" s="3517"/>
      <c r="BV6" s="3517"/>
      <c r="BW6" s="3517"/>
      <c r="BX6" s="3517"/>
      <c r="BY6" s="3517"/>
      <c r="BZ6" s="3517"/>
      <c r="CA6" s="3517"/>
      <c r="CB6" s="3517"/>
      <c r="CC6" s="3517"/>
      <c r="CD6" s="3517"/>
      <c r="CE6" s="3517"/>
      <c r="CF6" s="3517"/>
      <c r="CG6" s="3517"/>
      <c r="CH6" s="3517"/>
      <c r="CI6" s="3517"/>
      <c r="CJ6" s="3517"/>
      <c r="CK6" s="3517"/>
      <c r="CL6" s="3517"/>
      <c r="CM6" s="3517"/>
      <c r="CN6" s="3517"/>
      <c r="CO6" s="3517"/>
      <c r="CP6" s="3517"/>
      <c r="CQ6" s="3517"/>
      <c r="CR6" s="3517"/>
      <c r="CS6" s="3517"/>
      <c r="CT6" s="3517"/>
      <c r="CU6" s="3517"/>
      <c r="CV6" s="3517"/>
      <c r="CW6" s="3517"/>
      <c r="CX6" s="3517"/>
      <c r="CY6" s="3517"/>
      <c r="CZ6" s="3517"/>
      <c r="DA6" s="3517"/>
      <c r="DB6" s="3517"/>
      <c r="DC6" s="3517"/>
      <c r="DD6" s="3517"/>
      <c r="DE6" s="3517"/>
      <c r="DF6" s="3517"/>
      <c r="DG6" s="3517"/>
      <c r="DH6" s="3517"/>
      <c r="DI6" s="3517"/>
      <c r="DJ6" s="3517"/>
      <c r="DK6" s="3517"/>
      <c r="DL6" s="3517"/>
      <c r="DM6" s="3517"/>
      <c r="DN6" s="3517"/>
      <c r="DO6" s="3517"/>
      <c r="DP6" s="3517"/>
      <c r="DQ6" s="3517"/>
      <c r="DR6" s="3517"/>
      <c r="DS6" s="3517"/>
      <c r="DT6" s="3517"/>
      <c r="DU6" s="3517"/>
      <c r="DV6" s="3517"/>
      <c r="DW6" s="3517"/>
      <c r="DX6" s="3517"/>
      <c r="DY6" s="3517"/>
      <c r="DZ6" s="3517"/>
      <c r="EA6" s="3517"/>
      <c r="EB6" s="3517"/>
      <c r="EC6" s="3517"/>
      <c r="ED6" s="3517"/>
      <c r="EE6" s="3517"/>
      <c r="EF6" s="3517"/>
      <c r="EG6" s="3517"/>
      <c r="EH6" s="3517"/>
      <c r="EI6" s="3517"/>
      <c r="EJ6" s="3517"/>
      <c r="EK6" s="3517"/>
      <c r="EL6" s="3517"/>
      <c r="EM6" s="3517"/>
      <c r="EN6" s="3517"/>
      <c r="EO6" s="3517"/>
      <c r="EP6" s="3517"/>
      <c r="EQ6" s="3517"/>
      <c r="ER6" s="3556"/>
      <c r="ES6" s="3556"/>
      <c r="ET6" s="3556"/>
      <c r="EU6" s="3556"/>
      <c r="EV6" s="3556"/>
      <c r="EW6" s="3556"/>
      <c r="EX6" s="3556"/>
      <c r="EY6" s="3556"/>
      <c r="EZ6" s="3556"/>
      <c r="FA6" s="3556"/>
      <c r="FB6" s="3517"/>
      <c r="FC6" s="3517"/>
      <c r="FD6" s="3517"/>
      <c r="FE6" s="3517"/>
      <c r="FF6" s="3517"/>
      <c r="FG6" s="3556"/>
      <c r="FH6" s="3556"/>
      <c r="FI6" s="3556"/>
      <c r="FJ6" s="3556"/>
      <c r="FK6" s="3556"/>
      <c r="FL6" s="3517"/>
      <c r="FM6" s="3517"/>
      <c r="FN6" s="3517"/>
      <c r="FO6" s="3517"/>
      <c r="FP6" s="3517"/>
      <c r="FQ6" s="3556"/>
      <c r="FR6" s="3556"/>
      <c r="FS6" s="3556"/>
      <c r="FT6" s="3556"/>
      <c r="FU6" s="3556"/>
      <c r="FV6" s="3556"/>
      <c r="FW6" s="3556"/>
      <c r="FX6" s="3556"/>
      <c r="FY6" s="3556"/>
      <c r="FZ6" s="3556"/>
      <c r="GA6" s="3556"/>
      <c r="GB6" s="3556"/>
      <c r="GC6" s="3556"/>
      <c r="GD6" s="3556"/>
      <c r="GE6" s="3556"/>
      <c r="GF6" s="3556"/>
      <c r="GG6" s="3556"/>
      <c r="GH6" s="3556"/>
      <c r="GI6" s="3556"/>
      <c r="GJ6" s="3556"/>
      <c r="GK6" s="3556"/>
      <c r="GL6" s="3556"/>
      <c r="GM6" s="3556"/>
      <c r="GN6" s="3556"/>
      <c r="GO6" s="3556"/>
      <c r="GP6" s="3556"/>
      <c r="GQ6" s="3556"/>
      <c r="GR6" s="3556"/>
      <c r="GS6" s="3556"/>
      <c r="GT6" s="3556"/>
      <c r="GU6" s="3556"/>
      <c r="GV6" s="3556"/>
      <c r="GW6" s="3556"/>
      <c r="GX6" s="3556"/>
      <c r="GY6" s="3556"/>
      <c r="GZ6" s="3556"/>
      <c r="HA6" s="3556"/>
      <c r="HB6" s="3556"/>
      <c r="HC6" s="3556"/>
      <c r="HD6" s="3556"/>
      <c r="HE6" s="3556"/>
      <c r="HF6" s="3556"/>
      <c r="HG6" s="3556"/>
      <c r="HH6" s="3556"/>
      <c r="HI6" s="3556"/>
      <c r="HJ6" s="3556"/>
      <c r="HK6" s="3556"/>
      <c r="HL6" s="3556"/>
      <c r="HM6" s="3556"/>
      <c r="HN6" s="3556"/>
      <c r="HO6" s="3556"/>
      <c r="HP6" s="3556"/>
      <c r="HQ6" s="3556"/>
      <c r="HR6" s="3556"/>
      <c r="HS6" s="3556"/>
      <c r="HT6" s="3556"/>
      <c r="HU6" s="3556"/>
      <c r="HV6" s="3556"/>
      <c r="HW6" s="3556"/>
      <c r="HX6" s="3556"/>
      <c r="HY6" s="2710"/>
      <c r="HZ6" s="2710"/>
      <c r="IA6" s="2710"/>
      <c r="IB6" s="2710"/>
      <c r="IC6" s="2710"/>
      <c r="ID6" s="2710"/>
      <c r="IE6" s="2710"/>
      <c r="IF6" s="2710"/>
      <c r="IG6" s="2710"/>
      <c r="IH6" s="2710"/>
      <c r="II6" s="2710"/>
      <c r="IJ6" s="2710"/>
      <c r="IK6" s="2710"/>
      <c r="IL6" s="2710"/>
      <c r="IM6" s="2710"/>
      <c r="IN6" s="2710"/>
      <c r="IO6" s="2710"/>
      <c r="IP6" s="2710"/>
      <c r="IQ6" s="2710"/>
      <c r="IR6" s="2710"/>
      <c r="IS6" s="2710"/>
      <c r="IT6" s="2710"/>
      <c r="IU6" s="2710"/>
      <c r="IV6" s="2710"/>
      <c r="IW6" s="2710"/>
      <c r="IX6" s="2710"/>
      <c r="IY6" s="2710"/>
      <c r="IZ6" s="2710"/>
      <c r="JA6" s="2710"/>
      <c r="JB6" s="2710"/>
      <c r="JC6" s="2710"/>
      <c r="JD6" s="2710"/>
      <c r="JE6" s="2710"/>
      <c r="JF6" s="2710"/>
      <c r="JG6" s="2710"/>
      <c r="JH6" s="2710"/>
      <c r="JI6" s="2710"/>
      <c r="JJ6" s="2710"/>
      <c r="JK6" s="2710"/>
      <c r="JL6" s="2710"/>
      <c r="JM6" s="2710"/>
      <c r="JN6" s="2710"/>
      <c r="JO6" s="2710"/>
      <c r="JP6" s="2710"/>
      <c r="JQ6" s="2710"/>
      <c r="JR6" s="2710"/>
      <c r="JS6" s="2710"/>
      <c r="JT6" s="2710"/>
      <c r="JU6" s="2710"/>
      <c r="JV6" s="2710"/>
      <c r="JW6" s="2710"/>
      <c r="JX6" s="2710"/>
      <c r="JY6" s="2710"/>
      <c r="JZ6" s="2710"/>
      <c r="KA6" s="2710"/>
      <c r="KB6" s="2710"/>
      <c r="KC6" s="2710"/>
      <c r="KD6" s="2710"/>
      <c r="KE6" s="2710"/>
      <c r="KF6" s="2710"/>
      <c r="KG6" s="2710"/>
      <c r="KH6" s="2710"/>
      <c r="KI6" s="2710"/>
      <c r="KJ6" s="2710"/>
      <c r="KK6" s="2710"/>
      <c r="KL6" s="2710"/>
      <c r="KM6" s="2710"/>
      <c r="KN6" s="2710"/>
      <c r="KO6" s="2710"/>
      <c r="KP6" s="2710"/>
      <c r="KQ6" s="2710"/>
      <c r="KR6" s="2710"/>
      <c r="KS6" s="2710"/>
      <c r="KT6" s="2710"/>
      <c r="KU6" s="2710"/>
      <c r="KV6" s="514"/>
      <c r="KW6" s="514"/>
      <c r="KX6" s="514"/>
      <c r="KY6" s="514"/>
      <c r="KZ6" s="514"/>
      <c r="LA6" s="514"/>
      <c r="LB6" s="514"/>
      <c r="LC6" s="514"/>
      <c r="LD6" s="514"/>
      <c r="LE6" s="514"/>
      <c r="LF6" s="3556"/>
      <c r="LG6" s="3556"/>
      <c r="LH6" s="3556"/>
      <c r="LI6" s="3556"/>
      <c r="LJ6" s="3556"/>
      <c r="LK6" s="3556"/>
      <c r="LL6" s="3556"/>
      <c r="LM6" s="3556"/>
      <c r="LN6" s="3556"/>
      <c r="LO6" s="3556"/>
      <c r="LP6" s="3556"/>
      <c r="LQ6" s="3556"/>
      <c r="LR6" s="3556"/>
      <c r="LS6" s="3556"/>
      <c r="LT6" s="3556"/>
      <c r="LU6" s="3556"/>
      <c r="LV6" s="3556"/>
      <c r="LW6" s="3556"/>
      <c r="LX6" s="3556"/>
      <c r="LY6" s="3556"/>
      <c r="LZ6" s="3556"/>
      <c r="MA6" s="3556"/>
      <c r="MB6" s="3556"/>
      <c r="MC6" s="3556"/>
      <c r="MD6" s="3556"/>
      <c r="ME6" s="3556"/>
      <c r="MF6" s="3556"/>
      <c r="MG6" s="3556"/>
      <c r="MH6" s="3556"/>
      <c r="MI6" s="3556"/>
      <c r="MJ6" s="3571"/>
      <c r="MK6" s="3571"/>
      <c r="ML6" s="3571"/>
      <c r="MM6" s="3571"/>
      <c r="MN6" s="3571"/>
      <c r="MO6" s="3556"/>
      <c r="MP6" s="3556"/>
      <c r="MQ6" s="3556"/>
      <c r="MR6" s="3556"/>
      <c r="MS6" s="3556"/>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75"/>
      <c r="B7" s="1256" t="s">
        <v>4709</v>
      </c>
      <c r="C7" s="1"/>
      <c r="D7" s="4"/>
      <c r="E7" s="1"/>
      <c r="F7" s="1"/>
      <c r="G7" s="1255" t="s">
        <v>3666</v>
      </c>
      <c r="H7" s="3568"/>
      <c r="I7" s="1255" t="s">
        <v>799</v>
      </c>
      <c r="J7" s="1255" t="s">
        <v>3669</v>
      </c>
      <c r="K7" s="987"/>
      <c r="L7" s="987"/>
      <c r="M7" s="3573"/>
      <c r="N7" s="3573"/>
      <c r="P7" s="3568"/>
      <c r="Q7" s="1254"/>
      <c r="R7" s="987"/>
      <c r="S7" s="988"/>
      <c r="T7" s="992" t="s">
        <v>2695</v>
      </c>
      <c r="U7" s="479"/>
      <c r="V7" s="480"/>
      <c r="W7" s="3517"/>
      <c r="X7" s="3517"/>
      <c r="Y7" s="3517"/>
      <c r="Z7" s="3517"/>
      <c r="AA7" s="3517"/>
      <c r="AB7" s="3517"/>
      <c r="AC7" s="3517"/>
      <c r="AD7" s="3517"/>
      <c r="AE7" s="3517"/>
      <c r="AF7" s="3517"/>
      <c r="AG7" s="3517"/>
      <c r="AH7" s="3517"/>
      <c r="AI7" s="3517"/>
      <c r="AJ7" s="3517"/>
      <c r="AK7" s="3517"/>
      <c r="AL7" s="3517"/>
      <c r="AM7" s="3517"/>
      <c r="AN7" s="3517"/>
      <c r="AO7" s="3517"/>
      <c r="AP7" s="3517"/>
      <c r="AQ7" s="3517"/>
      <c r="AR7" s="3517"/>
      <c r="AS7" s="3517"/>
      <c r="AT7" s="3517"/>
      <c r="AU7" s="3517"/>
      <c r="AV7" s="3517"/>
      <c r="AW7" s="3517"/>
      <c r="AX7" s="3517"/>
      <c r="AY7" s="3517"/>
      <c r="AZ7" s="3517"/>
      <c r="BA7" s="3517"/>
      <c r="BB7" s="3517"/>
      <c r="BC7" s="3517"/>
      <c r="BD7" s="3517"/>
      <c r="BE7" s="3517"/>
      <c r="BF7" s="3517"/>
      <c r="BG7" s="3517"/>
      <c r="BH7" s="3517"/>
      <c r="BI7" s="3517"/>
      <c r="BJ7" s="3517"/>
      <c r="BK7" s="3517"/>
      <c r="BL7" s="3517"/>
      <c r="BM7" s="3517"/>
      <c r="BN7" s="3517"/>
      <c r="BO7" s="3517"/>
      <c r="BP7" s="3517"/>
      <c r="BQ7" s="3517"/>
      <c r="BR7" s="3517"/>
      <c r="BS7" s="3517"/>
      <c r="BT7" s="3517"/>
      <c r="BU7" s="3517"/>
      <c r="BV7" s="3517"/>
      <c r="BW7" s="3517"/>
      <c r="BX7" s="3517"/>
      <c r="BY7" s="3517"/>
      <c r="BZ7" s="3517"/>
      <c r="CA7" s="3517"/>
      <c r="CB7" s="3517"/>
      <c r="CC7" s="3517"/>
      <c r="CD7" s="3517"/>
      <c r="CE7" s="3517"/>
      <c r="CF7" s="3517"/>
      <c r="CG7" s="3517"/>
      <c r="CH7" s="3517"/>
      <c r="CI7" s="3517"/>
      <c r="CJ7" s="3517"/>
      <c r="CK7" s="3517"/>
      <c r="CL7" s="3517"/>
      <c r="CM7" s="3517"/>
      <c r="CN7" s="3517"/>
      <c r="CO7" s="3517"/>
      <c r="CP7" s="3517"/>
      <c r="CQ7" s="3517"/>
      <c r="CR7" s="3517"/>
      <c r="CS7" s="3517"/>
      <c r="CT7" s="3517"/>
      <c r="CU7" s="3517"/>
      <c r="CV7" s="3517"/>
      <c r="CW7" s="3517"/>
      <c r="CX7" s="3517"/>
      <c r="CY7" s="3517"/>
      <c r="CZ7" s="3517"/>
      <c r="DA7" s="3517"/>
      <c r="DB7" s="3517"/>
      <c r="DC7" s="3517"/>
      <c r="DD7" s="3517"/>
      <c r="DE7" s="3517"/>
      <c r="DF7" s="3517"/>
      <c r="DG7" s="3517"/>
      <c r="DH7" s="3517"/>
      <c r="DI7" s="3517"/>
      <c r="DJ7" s="3517"/>
      <c r="DK7" s="3517"/>
      <c r="DL7" s="3517"/>
      <c r="DM7" s="3517"/>
      <c r="DN7" s="3517"/>
      <c r="DO7" s="3517"/>
      <c r="DP7" s="3517"/>
      <c r="DQ7" s="3517"/>
      <c r="DR7" s="3517"/>
      <c r="DS7" s="3517"/>
      <c r="DT7" s="3517"/>
      <c r="DU7" s="3517"/>
      <c r="DV7" s="3517"/>
      <c r="DW7" s="3517"/>
      <c r="DX7" s="3517"/>
      <c r="DY7" s="3517"/>
      <c r="DZ7" s="3517"/>
      <c r="EA7" s="3517"/>
      <c r="EB7" s="3517"/>
      <c r="EC7" s="3517"/>
      <c r="ED7" s="3517"/>
      <c r="EE7" s="3517"/>
      <c r="EF7" s="3517"/>
      <c r="EG7" s="3517"/>
      <c r="EH7" s="3517"/>
      <c r="EI7" s="3517"/>
      <c r="EJ7" s="3517"/>
      <c r="EK7" s="3517"/>
      <c r="EL7" s="3517"/>
      <c r="EM7" s="3517"/>
      <c r="EN7" s="3517"/>
      <c r="EO7" s="3517"/>
      <c r="EP7" s="3517"/>
      <c r="EQ7" s="3517"/>
      <c r="ER7" s="3556"/>
      <c r="ES7" s="3556"/>
      <c r="ET7" s="3556"/>
      <c r="EU7" s="3556"/>
      <c r="EV7" s="3556"/>
      <c r="EW7" s="3556"/>
      <c r="EX7" s="3556"/>
      <c r="EY7" s="3556"/>
      <c r="EZ7" s="3556"/>
      <c r="FA7" s="3556"/>
      <c r="FB7" s="3517"/>
      <c r="FC7" s="3517"/>
      <c r="FD7" s="3517"/>
      <c r="FE7" s="3517"/>
      <c r="FF7" s="3517"/>
      <c r="FG7" s="3556"/>
      <c r="FH7" s="3556"/>
      <c r="FI7" s="3556"/>
      <c r="FJ7" s="3556"/>
      <c r="FK7" s="3556"/>
      <c r="FL7" s="3517"/>
      <c r="FM7" s="3517"/>
      <c r="FN7" s="3517"/>
      <c r="FO7" s="3517"/>
      <c r="FP7" s="3517"/>
      <c r="FQ7" s="3556"/>
      <c r="FR7" s="3556"/>
      <c r="FS7" s="3556"/>
      <c r="FT7" s="3556"/>
      <c r="FU7" s="3556"/>
      <c r="FV7" s="3556"/>
      <c r="FW7" s="3556"/>
      <c r="FX7" s="3556"/>
      <c r="FY7" s="3556"/>
      <c r="FZ7" s="3556"/>
      <c r="GA7" s="3556"/>
      <c r="GB7" s="3556"/>
      <c r="GC7" s="3556"/>
      <c r="GD7" s="3556"/>
      <c r="GE7" s="3556"/>
      <c r="GF7" s="3556"/>
      <c r="GG7" s="3556"/>
      <c r="GH7" s="3556"/>
      <c r="GI7" s="3556"/>
      <c r="GJ7" s="3556"/>
      <c r="GK7" s="3556"/>
      <c r="GL7" s="3556"/>
      <c r="GM7" s="3556"/>
      <c r="GN7" s="3556"/>
      <c r="GO7" s="3556"/>
      <c r="GP7" s="3556"/>
      <c r="GQ7" s="3556"/>
      <c r="GR7" s="3556"/>
      <c r="GS7" s="3556"/>
      <c r="GT7" s="3556"/>
      <c r="GU7" s="3556"/>
      <c r="GV7" s="3556"/>
      <c r="GW7" s="3556"/>
      <c r="GX7" s="3556"/>
      <c r="GY7" s="3556"/>
      <c r="GZ7" s="3556"/>
      <c r="HA7" s="3556"/>
      <c r="HB7" s="3556"/>
      <c r="HC7" s="3556"/>
      <c r="HD7" s="3556"/>
      <c r="HE7" s="3556"/>
      <c r="HF7" s="3556"/>
      <c r="HG7" s="3556"/>
      <c r="HH7" s="3556"/>
      <c r="HI7" s="3556"/>
      <c r="HJ7" s="3556"/>
      <c r="HK7" s="3556"/>
      <c r="HL7" s="3556"/>
      <c r="HM7" s="3556"/>
      <c r="HN7" s="3556"/>
      <c r="HO7" s="3556"/>
      <c r="HP7" s="3556"/>
      <c r="HQ7" s="3556"/>
      <c r="HR7" s="3556"/>
      <c r="HS7" s="3556"/>
      <c r="HT7" s="3556"/>
      <c r="HU7" s="3556"/>
      <c r="HV7" s="3556"/>
      <c r="HW7" s="3556"/>
      <c r="HX7" s="3556"/>
      <c r="HY7" s="2710"/>
      <c r="HZ7" s="2710"/>
      <c r="IA7" s="2710"/>
      <c r="IB7" s="2710"/>
      <c r="IC7" s="2710"/>
      <c r="ID7" s="2710"/>
      <c r="IE7" s="2710"/>
      <c r="IF7" s="2710"/>
      <c r="IG7" s="2710"/>
      <c r="IH7" s="2710"/>
      <c r="II7" s="2710"/>
      <c r="IJ7" s="2710"/>
      <c r="IK7" s="2710"/>
      <c r="IL7" s="2710"/>
      <c r="IM7" s="2710"/>
      <c r="IN7" s="2710"/>
      <c r="IO7" s="2710"/>
      <c r="IP7" s="2710"/>
      <c r="IQ7" s="2710"/>
      <c r="IR7" s="2710"/>
      <c r="IS7" s="2710"/>
      <c r="IT7" s="2710"/>
      <c r="IU7" s="2710"/>
      <c r="IV7" s="2710"/>
      <c r="IW7" s="2710"/>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56"/>
      <c r="LG7" s="3556"/>
      <c r="LH7" s="3556"/>
      <c r="LI7" s="3556"/>
      <c r="LJ7" s="3556"/>
      <c r="LK7" s="3556"/>
      <c r="LL7" s="3556"/>
      <c r="LM7" s="3556"/>
      <c r="LN7" s="3556"/>
      <c r="LO7" s="3556"/>
      <c r="LP7" s="3556"/>
      <c r="LQ7" s="3556"/>
      <c r="LR7" s="3556"/>
      <c r="LS7" s="3556"/>
      <c r="LT7" s="3556"/>
      <c r="LU7" s="3556"/>
      <c r="LV7" s="3556"/>
      <c r="LW7" s="3556"/>
      <c r="LX7" s="3556"/>
      <c r="LY7" s="3556"/>
      <c r="LZ7" s="3556"/>
      <c r="MA7" s="3556"/>
      <c r="MB7" s="3556"/>
      <c r="MC7" s="3556"/>
      <c r="MD7" s="3556"/>
      <c r="ME7" s="3556"/>
      <c r="MF7" s="3556"/>
      <c r="MG7" s="3556"/>
      <c r="MH7" s="3556"/>
      <c r="MI7" s="3556"/>
      <c r="MJ7" s="3571"/>
      <c r="MK7" s="3571"/>
      <c r="ML7" s="3571"/>
      <c r="MM7" s="3571"/>
      <c r="MN7" s="3571"/>
      <c r="MO7" s="3556"/>
      <c r="MP7" s="3556"/>
      <c r="MQ7" s="3556"/>
      <c r="MR7" s="3556"/>
      <c r="MS7" s="3556"/>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75"/>
      <c r="B8" s="2312" t="s">
        <v>4710</v>
      </c>
      <c r="C8" s="1255" t="s">
        <v>172</v>
      </c>
      <c r="D8" s="1255" t="s">
        <v>545</v>
      </c>
      <c r="E8" s="1255" t="s">
        <v>1476</v>
      </c>
      <c r="F8" s="1255" t="s">
        <v>1476</v>
      </c>
      <c r="G8" s="1255" t="s">
        <v>1478</v>
      </c>
      <c r="H8" s="1255" t="s">
        <v>3666</v>
      </c>
      <c r="I8" s="3578" t="s">
        <v>5074</v>
      </c>
      <c r="J8" s="1255" t="s">
        <v>2406</v>
      </c>
      <c r="K8" s="3570" t="s">
        <v>145</v>
      </c>
      <c r="L8" s="3570"/>
      <c r="M8" s="1255" t="s">
        <v>2367</v>
      </c>
      <c r="N8" s="1255" t="s">
        <v>532</v>
      </c>
      <c r="O8" s="1255" t="s">
        <v>383</v>
      </c>
      <c r="P8" s="3568"/>
      <c r="Q8" s="3570" t="s">
        <v>3574</v>
      </c>
      <c r="R8" s="3570"/>
      <c r="S8" s="1255" t="s">
        <v>2694</v>
      </c>
      <c r="T8" s="1255" t="s">
        <v>2696</v>
      </c>
      <c r="U8" s="481"/>
      <c r="V8" s="482"/>
      <c r="W8" s="3517"/>
      <c r="X8" s="3517"/>
      <c r="Y8" s="3517"/>
      <c r="Z8" s="3517"/>
      <c r="AA8" s="3517"/>
      <c r="AB8" s="3517"/>
      <c r="AC8" s="3517"/>
      <c r="AD8" s="3517"/>
      <c r="AE8" s="3517"/>
      <c r="AF8" s="3517"/>
      <c r="AG8" s="3517"/>
      <c r="AH8" s="3517"/>
      <c r="AI8" s="3517"/>
      <c r="AJ8" s="3517"/>
      <c r="AK8" s="3517"/>
      <c r="AL8" s="3517"/>
      <c r="AM8" s="3517"/>
      <c r="AN8" s="3517"/>
      <c r="AO8" s="3517"/>
      <c r="AP8" s="3517"/>
      <c r="AQ8" s="3517"/>
      <c r="AR8" s="3517"/>
      <c r="AS8" s="3517"/>
      <c r="AT8" s="3517"/>
      <c r="AU8" s="3517"/>
      <c r="AV8" s="3517"/>
      <c r="AW8" s="3517"/>
      <c r="AX8" s="3517"/>
      <c r="AY8" s="3517"/>
      <c r="AZ8" s="3517"/>
      <c r="BA8" s="3517"/>
      <c r="BB8" s="3517"/>
      <c r="BC8" s="3517"/>
      <c r="BD8" s="3517"/>
      <c r="BE8" s="3517"/>
      <c r="BF8" s="3517"/>
      <c r="BG8" s="3517"/>
      <c r="BH8" s="3517"/>
      <c r="BI8" s="3517"/>
      <c r="BJ8" s="3517"/>
      <c r="BK8" s="3517"/>
      <c r="BL8" s="3517"/>
      <c r="BM8" s="3517"/>
      <c r="BN8" s="3517"/>
      <c r="BO8" s="3517"/>
      <c r="BP8" s="3517"/>
      <c r="BQ8" s="3517"/>
      <c r="BR8" s="3517"/>
      <c r="BS8" s="3517"/>
      <c r="BT8" s="3517"/>
      <c r="BU8" s="3517"/>
      <c r="BV8" s="3517"/>
      <c r="BW8" s="3517"/>
      <c r="BX8" s="3517"/>
      <c r="BY8" s="3517"/>
      <c r="BZ8" s="3517"/>
      <c r="CA8" s="3517"/>
      <c r="CB8" s="3517"/>
      <c r="CC8" s="3517"/>
      <c r="CD8" s="3517"/>
      <c r="CE8" s="3517"/>
      <c r="CF8" s="3517"/>
      <c r="CG8" s="3517"/>
      <c r="CH8" s="3517"/>
      <c r="CI8" s="3517"/>
      <c r="CJ8" s="3517"/>
      <c r="CK8" s="3517"/>
      <c r="CL8" s="3517"/>
      <c r="CM8" s="3517"/>
      <c r="CN8" s="3517"/>
      <c r="CO8" s="3517"/>
      <c r="CP8" s="3517"/>
      <c r="CQ8" s="3517"/>
      <c r="CR8" s="3517"/>
      <c r="CS8" s="3517"/>
      <c r="CT8" s="3517"/>
      <c r="CU8" s="3517"/>
      <c r="CV8" s="3517"/>
      <c r="CW8" s="3517"/>
      <c r="CX8" s="3517"/>
      <c r="CY8" s="3517"/>
      <c r="CZ8" s="3517"/>
      <c r="DA8" s="3517"/>
      <c r="DB8" s="3517"/>
      <c r="DC8" s="3517"/>
      <c r="DD8" s="3517"/>
      <c r="DE8" s="3517"/>
      <c r="DF8" s="3517"/>
      <c r="DG8" s="3517"/>
      <c r="DH8" s="3517"/>
      <c r="DI8" s="3517"/>
      <c r="DJ8" s="3517"/>
      <c r="DK8" s="3517"/>
      <c r="DL8" s="3517"/>
      <c r="DM8" s="3517"/>
      <c r="DN8" s="3517"/>
      <c r="DO8" s="3517"/>
      <c r="DP8" s="3517"/>
      <c r="DQ8" s="3517"/>
      <c r="DR8" s="3517"/>
      <c r="DS8" s="3517"/>
      <c r="DT8" s="3517"/>
      <c r="DU8" s="3517"/>
      <c r="DV8" s="3517"/>
      <c r="DW8" s="3517"/>
      <c r="DX8" s="3517"/>
      <c r="DY8" s="3517"/>
      <c r="DZ8" s="3517"/>
      <c r="EA8" s="3517"/>
      <c r="EB8" s="3517"/>
      <c r="EC8" s="3517"/>
      <c r="ED8" s="3517"/>
      <c r="EE8" s="3517"/>
      <c r="EF8" s="3517"/>
      <c r="EG8" s="3517"/>
      <c r="EH8" s="3517"/>
      <c r="EI8" s="3517"/>
      <c r="EJ8" s="3517"/>
      <c r="EK8" s="3517"/>
      <c r="EL8" s="3517"/>
      <c r="EM8" s="3517"/>
      <c r="EN8" s="3517"/>
      <c r="EO8" s="3517"/>
      <c r="EP8" s="3517"/>
      <c r="EQ8" s="3517"/>
      <c r="ER8" s="3556"/>
      <c r="ES8" s="3556"/>
      <c r="ET8" s="3556"/>
      <c r="EU8" s="3556"/>
      <c r="EV8" s="3556"/>
      <c r="EW8" s="3556"/>
      <c r="EX8" s="3556"/>
      <c r="EY8" s="3556"/>
      <c r="EZ8" s="3556"/>
      <c r="FA8" s="3556"/>
      <c r="FB8" s="3517"/>
      <c r="FC8" s="3517"/>
      <c r="FD8" s="3517"/>
      <c r="FE8" s="3517"/>
      <c r="FF8" s="3517"/>
      <c r="FG8" s="3556"/>
      <c r="FH8" s="3556"/>
      <c r="FI8" s="3556"/>
      <c r="FJ8" s="3556"/>
      <c r="FK8" s="3556"/>
      <c r="FL8" s="3517"/>
      <c r="FM8" s="3517"/>
      <c r="FN8" s="3517"/>
      <c r="FO8" s="3517"/>
      <c r="FP8" s="3517"/>
      <c r="FQ8" s="3556"/>
      <c r="FR8" s="3556"/>
      <c r="FS8" s="3556"/>
      <c r="FT8" s="3556"/>
      <c r="FU8" s="3556"/>
      <c r="FV8" s="3556"/>
      <c r="FW8" s="3556"/>
      <c r="FX8" s="3556"/>
      <c r="FY8" s="3556"/>
      <c r="FZ8" s="3556"/>
      <c r="GA8" s="3556"/>
      <c r="GB8" s="3556"/>
      <c r="GC8" s="3556"/>
      <c r="GD8" s="3556"/>
      <c r="GE8" s="3556"/>
      <c r="GF8" s="3556"/>
      <c r="GG8" s="3556"/>
      <c r="GH8" s="3556"/>
      <c r="GI8" s="3556"/>
      <c r="GJ8" s="3556"/>
      <c r="GK8" s="3556"/>
      <c r="GL8" s="3556"/>
      <c r="GM8" s="3556"/>
      <c r="GN8" s="3556"/>
      <c r="GO8" s="3556"/>
      <c r="GP8" s="3556"/>
      <c r="GQ8" s="3556"/>
      <c r="GR8" s="3556"/>
      <c r="GS8" s="3556"/>
      <c r="GT8" s="3556"/>
      <c r="GU8" s="3556"/>
      <c r="GV8" s="3556"/>
      <c r="GW8" s="3556"/>
      <c r="GX8" s="3556"/>
      <c r="GY8" s="3556"/>
      <c r="GZ8" s="3556"/>
      <c r="HA8" s="3556"/>
      <c r="HB8" s="3556"/>
      <c r="HC8" s="3556"/>
      <c r="HD8" s="3556"/>
      <c r="HE8" s="3556"/>
      <c r="HF8" s="3556"/>
      <c r="HG8" s="3556"/>
      <c r="HH8" s="3556"/>
      <c r="HI8" s="3556"/>
      <c r="HJ8" s="3556"/>
      <c r="HK8" s="3556"/>
      <c r="HL8" s="3556"/>
      <c r="HM8" s="3556"/>
      <c r="HN8" s="3556"/>
      <c r="HO8" s="3556"/>
      <c r="HP8" s="3556"/>
      <c r="HQ8" s="3556"/>
      <c r="HR8" s="3556"/>
      <c r="HS8" s="3556"/>
      <c r="HT8" s="3556"/>
      <c r="HU8" s="3556"/>
      <c r="HV8" s="3556"/>
      <c r="HW8" s="3556"/>
      <c r="HX8" s="3556"/>
      <c r="HY8" s="3556" t="s">
        <v>1462</v>
      </c>
      <c r="HZ8" s="517" t="s">
        <v>2440</v>
      </c>
      <c r="IA8" s="517" t="s">
        <v>2441</v>
      </c>
      <c r="IB8" s="517" t="s">
        <v>2442</v>
      </c>
      <c r="IC8" s="517" t="s">
        <v>2443</v>
      </c>
      <c r="ID8" s="3556" t="s">
        <v>2497</v>
      </c>
      <c r="IE8" s="3556" t="s">
        <v>2497</v>
      </c>
      <c r="IF8" s="3556" t="s">
        <v>2497</v>
      </c>
      <c r="IG8" s="3556" t="s">
        <v>2497</v>
      </c>
      <c r="IH8" s="3556" t="s">
        <v>2497</v>
      </c>
      <c r="II8" s="3556" t="s">
        <v>3366</v>
      </c>
      <c r="IJ8" s="3556" t="s">
        <v>3366</v>
      </c>
      <c r="IK8" s="3556" t="s">
        <v>3366</v>
      </c>
      <c r="IL8" s="3556" t="s">
        <v>3366</v>
      </c>
      <c r="IM8" s="3556" t="s">
        <v>3366</v>
      </c>
      <c r="IN8" s="517" t="s">
        <v>568</v>
      </c>
      <c r="IO8" s="517" t="s">
        <v>2440</v>
      </c>
      <c r="IP8" s="517" t="s">
        <v>2441</v>
      </c>
      <c r="IQ8" s="517" t="s">
        <v>2442</v>
      </c>
      <c r="IR8" s="517" t="s">
        <v>2443</v>
      </c>
      <c r="IS8" s="517" t="s">
        <v>568</v>
      </c>
      <c r="IT8" s="517" t="s">
        <v>2440</v>
      </c>
      <c r="IU8" s="517" t="s">
        <v>2441</v>
      </c>
      <c r="IV8" s="517" t="s">
        <v>2442</v>
      </c>
      <c r="IW8" s="517" t="s">
        <v>2443</v>
      </c>
      <c r="IX8" s="3556" t="s">
        <v>2499</v>
      </c>
      <c r="IY8" s="3556" t="s">
        <v>2499</v>
      </c>
      <c r="IZ8" s="3556" t="s">
        <v>2499</v>
      </c>
      <c r="JA8" s="3556" t="s">
        <v>2499</v>
      </c>
      <c r="JB8" s="3556" t="s">
        <v>2499</v>
      </c>
      <c r="JC8" s="3556" t="s">
        <v>3362</v>
      </c>
      <c r="JD8" s="3556" t="s">
        <v>3362</v>
      </c>
      <c r="JE8" s="3556" t="s">
        <v>3362</v>
      </c>
      <c r="JF8" s="3556" t="s">
        <v>3362</v>
      </c>
      <c r="JG8" s="3556" t="s">
        <v>3362</v>
      </c>
      <c r="JH8" s="3556" t="s">
        <v>358</v>
      </c>
      <c r="JI8" s="3556" t="s">
        <v>358</v>
      </c>
      <c r="JJ8" s="3556" t="s">
        <v>358</v>
      </c>
      <c r="JK8" s="3556" t="s">
        <v>358</v>
      </c>
      <c r="JL8" s="3556" t="s">
        <v>358</v>
      </c>
      <c r="JM8" s="3556" t="s">
        <v>3361</v>
      </c>
      <c r="JN8" s="3556" t="s">
        <v>3361</v>
      </c>
      <c r="JO8" s="3556" t="s">
        <v>3361</v>
      </c>
      <c r="JP8" s="3556" t="s">
        <v>3361</v>
      </c>
      <c r="JQ8" s="3556" t="s">
        <v>3361</v>
      </c>
      <c r="JR8" s="3556" t="s">
        <v>359</v>
      </c>
      <c r="JS8" s="3556" t="s">
        <v>359</v>
      </c>
      <c r="JT8" s="3556" t="s">
        <v>359</v>
      </c>
      <c r="JU8" s="3556" t="s">
        <v>359</v>
      </c>
      <c r="JV8" s="3556" t="s">
        <v>359</v>
      </c>
      <c r="JW8" s="3556" t="s">
        <v>3360</v>
      </c>
      <c r="JX8" s="3556" t="s">
        <v>3360</v>
      </c>
      <c r="JY8" s="3556" t="s">
        <v>3360</v>
      </c>
      <c r="JZ8" s="3556" t="s">
        <v>3360</v>
      </c>
      <c r="KA8" s="3556" t="s">
        <v>3360</v>
      </c>
      <c r="KB8" s="3556" t="s">
        <v>360</v>
      </c>
      <c r="KC8" s="3556" t="s">
        <v>360</v>
      </c>
      <c r="KD8" s="3556" t="s">
        <v>360</v>
      </c>
      <c r="KE8" s="3556" t="s">
        <v>360</v>
      </c>
      <c r="KF8" s="3556" t="s">
        <v>360</v>
      </c>
      <c r="KG8" s="3556" t="s">
        <v>3363</v>
      </c>
      <c r="KH8" s="3556" t="s">
        <v>3363</v>
      </c>
      <c r="KI8" s="3556" t="s">
        <v>3363</v>
      </c>
      <c r="KJ8" s="3556" t="s">
        <v>3363</v>
      </c>
      <c r="KK8" s="3556" t="s">
        <v>3363</v>
      </c>
      <c r="KL8" s="3556" t="s">
        <v>361</v>
      </c>
      <c r="KM8" s="3556" t="s">
        <v>361</v>
      </c>
      <c r="KN8" s="3556" t="s">
        <v>361</v>
      </c>
      <c r="KO8" s="3556" t="s">
        <v>361</v>
      </c>
      <c r="KP8" s="3556" t="s">
        <v>361</v>
      </c>
      <c r="KQ8" s="3556" t="s">
        <v>3364</v>
      </c>
      <c r="KR8" s="3556" t="s">
        <v>3364</v>
      </c>
      <c r="KS8" s="3556" t="s">
        <v>3364</v>
      </c>
      <c r="KT8" s="3556" t="s">
        <v>3364</v>
      </c>
      <c r="KU8" s="3556" t="s">
        <v>3364</v>
      </c>
      <c r="KV8" s="3556" t="s">
        <v>1461</v>
      </c>
      <c r="KW8" s="3556" t="s">
        <v>1461</v>
      </c>
      <c r="KX8" s="3556" t="s">
        <v>1461</v>
      </c>
      <c r="KY8" s="3556" t="s">
        <v>1461</v>
      </c>
      <c r="KZ8" s="3556" t="s">
        <v>1461</v>
      </c>
      <c r="LA8" s="3556" t="s">
        <v>3365</v>
      </c>
      <c r="LB8" s="3556" t="s">
        <v>3365</v>
      </c>
      <c r="LC8" s="3556" t="s">
        <v>3365</v>
      </c>
      <c r="LD8" s="3556" t="s">
        <v>3365</v>
      </c>
      <c r="LE8" s="3556" t="s">
        <v>3365</v>
      </c>
      <c r="LF8" s="3556"/>
      <c r="LG8" s="3556"/>
      <c r="LH8" s="3556"/>
      <c r="LI8" s="3556"/>
      <c r="LJ8" s="3556"/>
      <c r="LK8" s="3556"/>
      <c r="LL8" s="3556"/>
      <c r="LM8" s="3556"/>
      <c r="LN8" s="3556"/>
      <c r="LO8" s="3556"/>
      <c r="LP8" s="3556"/>
      <c r="LQ8" s="3556"/>
      <c r="LR8" s="3556"/>
      <c r="LS8" s="3556"/>
      <c r="LT8" s="3556"/>
      <c r="LU8" s="3556"/>
      <c r="LV8" s="3556"/>
      <c r="LW8" s="3556"/>
      <c r="LX8" s="3556"/>
      <c r="LY8" s="3556"/>
      <c r="LZ8" s="3556"/>
      <c r="MA8" s="3556"/>
      <c r="MB8" s="3556"/>
      <c r="MC8" s="3556"/>
      <c r="MD8" s="3556"/>
      <c r="ME8" s="3556"/>
      <c r="MF8" s="3556"/>
      <c r="MG8" s="3556"/>
      <c r="MH8" s="3556"/>
      <c r="MI8" s="3556"/>
      <c r="MJ8" s="3571"/>
      <c r="MK8" s="3571"/>
      <c r="ML8" s="3571"/>
      <c r="MM8" s="3571"/>
      <c r="MN8" s="3571"/>
      <c r="MO8" s="3556"/>
      <c r="MP8" s="3556"/>
      <c r="MQ8" s="3556"/>
      <c r="MR8" s="3556"/>
      <c r="MS8" s="3556"/>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75"/>
      <c r="B9" s="2682" t="s">
        <v>5076</v>
      </c>
      <c r="C9" s="1255" t="s">
        <v>171</v>
      </c>
      <c r="D9" s="1255" t="s">
        <v>173</v>
      </c>
      <c r="E9" s="1255" t="s">
        <v>1477</v>
      </c>
      <c r="F9" s="1255" t="s">
        <v>1279</v>
      </c>
      <c r="G9" s="1255" t="s">
        <v>3667</v>
      </c>
      <c r="H9" s="1255" t="s">
        <v>1478</v>
      </c>
      <c r="I9" s="3579"/>
      <c r="J9" s="513" t="s">
        <v>350</v>
      </c>
      <c r="K9" s="1255" t="s">
        <v>1530</v>
      </c>
      <c r="L9" s="1255" t="s">
        <v>539</v>
      </c>
      <c r="M9" s="1255" t="s">
        <v>1476</v>
      </c>
      <c r="N9" s="1255" t="s">
        <v>3315</v>
      </c>
      <c r="O9" s="1255" t="s">
        <v>384</v>
      </c>
      <c r="P9" s="3574"/>
      <c r="Q9" s="1255" t="s">
        <v>3575</v>
      </c>
      <c r="R9" s="1255" t="s">
        <v>1040</v>
      </c>
      <c r="S9" s="1255" t="s">
        <v>1478</v>
      </c>
      <c r="T9" s="1255" t="s">
        <v>2697</v>
      </c>
      <c r="U9" s="3225" t="s">
        <v>1845</v>
      </c>
      <c r="V9" s="3225"/>
      <c r="W9" s="3517"/>
      <c r="X9" s="3517"/>
      <c r="Y9" s="3517"/>
      <c r="Z9" s="3517"/>
      <c r="AA9" s="3517"/>
      <c r="AB9" s="3517"/>
      <c r="AC9" s="3517"/>
      <c r="AD9" s="3517"/>
      <c r="AE9" s="3517"/>
      <c r="AF9" s="3517"/>
      <c r="AG9" s="3517"/>
      <c r="AH9" s="3517"/>
      <c r="AI9" s="3517"/>
      <c r="AJ9" s="3517"/>
      <c r="AK9" s="3517"/>
      <c r="AL9" s="3517"/>
      <c r="AM9" s="3517"/>
      <c r="AN9" s="3517"/>
      <c r="AO9" s="3517"/>
      <c r="AP9" s="3517"/>
      <c r="AQ9" s="3517"/>
      <c r="AR9" s="3517"/>
      <c r="AS9" s="3517"/>
      <c r="AT9" s="3517"/>
      <c r="AU9" s="3517"/>
      <c r="AV9" s="3517"/>
      <c r="AW9" s="3517"/>
      <c r="AX9" s="3517"/>
      <c r="AY9" s="3517"/>
      <c r="AZ9" s="3517"/>
      <c r="BA9" s="3517"/>
      <c r="BB9" s="3517"/>
      <c r="BC9" s="3517"/>
      <c r="BD9" s="3517"/>
      <c r="BE9" s="3517"/>
      <c r="BF9" s="3517"/>
      <c r="BG9" s="3517"/>
      <c r="BH9" s="3517"/>
      <c r="BI9" s="3517"/>
      <c r="BJ9" s="3517"/>
      <c r="BK9" s="3517"/>
      <c r="BL9" s="3517"/>
      <c r="BM9" s="3517"/>
      <c r="BN9" s="3517"/>
      <c r="BO9" s="3517"/>
      <c r="BP9" s="3517"/>
      <c r="BQ9" s="3517"/>
      <c r="BR9" s="3517"/>
      <c r="BS9" s="3517"/>
      <c r="BT9" s="3517"/>
      <c r="BU9" s="3517"/>
      <c r="BV9" s="3517"/>
      <c r="BW9" s="3517"/>
      <c r="BX9" s="3517"/>
      <c r="BY9" s="3517"/>
      <c r="BZ9" s="3517"/>
      <c r="CA9" s="3517"/>
      <c r="CB9" s="3517"/>
      <c r="CC9" s="3517"/>
      <c r="CD9" s="3517"/>
      <c r="CE9" s="3517"/>
      <c r="CF9" s="3517"/>
      <c r="CG9" s="3517"/>
      <c r="CH9" s="3517"/>
      <c r="CI9" s="3517"/>
      <c r="CJ9" s="3517"/>
      <c r="CK9" s="3517"/>
      <c r="CL9" s="3517"/>
      <c r="CM9" s="3517"/>
      <c r="CN9" s="3517"/>
      <c r="CO9" s="3517"/>
      <c r="CP9" s="3517"/>
      <c r="CQ9" s="3517"/>
      <c r="CR9" s="3517"/>
      <c r="CS9" s="3517"/>
      <c r="CT9" s="3517"/>
      <c r="CU9" s="3517"/>
      <c r="CV9" s="3517"/>
      <c r="CW9" s="3517"/>
      <c r="CX9" s="3517"/>
      <c r="CY9" s="3517"/>
      <c r="CZ9" s="3517"/>
      <c r="DA9" s="3517"/>
      <c r="DB9" s="3517"/>
      <c r="DC9" s="3517"/>
      <c r="DD9" s="3517"/>
      <c r="DE9" s="3517"/>
      <c r="DF9" s="3517"/>
      <c r="DG9" s="3517"/>
      <c r="DH9" s="3517"/>
      <c r="DI9" s="3517"/>
      <c r="DJ9" s="3517"/>
      <c r="DK9" s="3517"/>
      <c r="DL9" s="3517"/>
      <c r="DM9" s="3517"/>
      <c r="DN9" s="3517"/>
      <c r="DO9" s="3517"/>
      <c r="DP9" s="3517"/>
      <c r="DQ9" s="3517"/>
      <c r="DR9" s="3517"/>
      <c r="DS9" s="3517"/>
      <c r="DT9" s="3517"/>
      <c r="DU9" s="3517"/>
      <c r="DV9" s="3517"/>
      <c r="DW9" s="3517"/>
      <c r="DX9" s="3517"/>
      <c r="DY9" s="3517"/>
      <c r="DZ9" s="3517"/>
      <c r="EA9" s="3517"/>
      <c r="EB9" s="3517"/>
      <c r="EC9" s="3517"/>
      <c r="ED9" s="3517"/>
      <c r="EE9" s="3517"/>
      <c r="EF9" s="3517"/>
      <c r="EG9" s="3517"/>
      <c r="EH9" s="3517"/>
      <c r="EI9" s="3517"/>
      <c r="EJ9" s="3517"/>
      <c r="EK9" s="3517"/>
      <c r="EL9" s="3517"/>
      <c r="EM9" s="3517"/>
      <c r="EN9" s="3517"/>
      <c r="EO9" s="3517"/>
      <c r="EP9" s="3517"/>
      <c r="EQ9" s="3517"/>
      <c r="ER9" s="3556"/>
      <c r="ES9" s="3556"/>
      <c r="ET9" s="3556"/>
      <c r="EU9" s="3556"/>
      <c r="EV9" s="3556"/>
      <c r="EW9" s="3556"/>
      <c r="EX9" s="3556"/>
      <c r="EY9" s="3556"/>
      <c r="EZ9" s="3556"/>
      <c r="FA9" s="3556"/>
      <c r="FB9" s="3517"/>
      <c r="FC9" s="3517"/>
      <c r="FD9" s="3517"/>
      <c r="FE9" s="3517"/>
      <c r="FF9" s="3517"/>
      <c r="FG9" s="3556"/>
      <c r="FH9" s="3556"/>
      <c r="FI9" s="3556"/>
      <c r="FJ9" s="3556"/>
      <c r="FK9" s="3556"/>
      <c r="FL9" s="3517"/>
      <c r="FM9" s="3517"/>
      <c r="FN9" s="3517"/>
      <c r="FO9" s="3517"/>
      <c r="FP9" s="3517"/>
      <c r="FQ9" s="3556"/>
      <c r="FR9" s="3556"/>
      <c r="FS9" s="3556"/>
      <c r="FT9" s="3556"/>
      <c r="FU9" s="3556"/>
      <c r="FV9" s="3556"/>
      <c r="FW9" s="3556"/>
      <c r="FX9" s="3556"/>
      <c r="FY9" s="3556"/>
      <c r="FZ9" s="3556"/>
      <c r="GA9" s="3556"/>
      <c r="GB9" s="3556"/>
      <c r="GC9" s="3556"/>
      <c r="GD9" s="3556"/>
      <c r="GE9" s="3556"/>
      <c r="GF9" s="3556"/>
      <c r="GG9" s="3556"/>
      <c r="GH9" s="3556"/>
      <c r="GI9" s="3556"/>
      <c r="GJ9" s="3556"/>
      <c r="GK9" s="3556"/>
      <c r="GL9" s="3556"/>
      <c r="GM9" s="3556"/>
      <c r="GN9" s="3556"/>
      <c r="GO9" s="3556"/>
      <c r="GP9" s="3556"/>
      <c r="GQ9" s="3556"/>
      <c r="GR9" s="3556"/>
      <c r="GS9" s="3556"/>
      <c r="GT9" s="3556"/>
      <c r="GU9" s="3556"/>
      <c r="GV9" s="3556"/>
      <c r="GW9" s="3556"/>
      <c r="GX9" s="3556"/>
      <c r="GY9" s="3556"/>
      <c r="GZ9" s="3556"/>
      <c r="HA9" s="3556"/>
      <c r="HB9" s="3556"/>
      <c r="HC9" s="3556"/>
      <c r="HD9" s="3556"/>
      <c r="HE9" s="3556"/>
      <c r="HF9" s="3556"/>
      <c r="HG9" s="3556"/>
      <c r="HH9" s="3556"/>
      <c r="HI9" s="3556"/>
      <c r="HJ9" s="3556"/>
      <c r="HK9" s="3556"/>
      <c r="HL9" s="3556"/>
      <c r="HM9" s="3556"/>
      <c r="HN9" s="3556"/>
      <c r="HO9" s="3556"/>
      <c r="HP9" s="3556"/>
      <c r="HQ9" s="3556"/>
      <c r="HR9" s="3556"/>
      <c r="HS9" s="3556"/>
      <c r="HT9" s="3556"/>
      <c r="HU9" s="3556"/>
      <c r="HV9" s="3556"/>
      <c r="HW9" s="3556"/>
      <c r="HX9" s="3556"/>
      <c r="HY9" s="3556"/>
      <c r="HZ9" s="517" t="s">
        <v>2496</v>
      </c>
      <c r="IA9" s="517" t="s">
        <v>2496</v>
      </c>
      <c r="IB9" s="517" t="s">
        <v>2496</v>
      </c>
      <c r="IC9" s="517" t="s">
        <v>2496</v>
      </c>
      <c r="ID9" s="3556"/>
      <c r="IE9" s="3556"/>
      <c r="IF9" s="3556"/>
      <c r="IG9" s="3556"/>
      <c r="IH9" s="3556"/>
      <c r="II9" s="3556"/>
      <c r="IJ9" s="3556"/>
      <c r="IK9" s="3556"/>
      <c r="IL9" s="3556"/>
      <c r="IM9" s="3556"/>
      <c r="IN9" s="517" t="s">
        <v>2498</v>
      </c>
      <c r="IO9" s="517" t="s">
        <v>2498</v>
      </c>
      <c r="IP9" s="517" t="s">
        <v>2498</v>
      </c>
      <c r="IQ9" s="517" t="s">
        <v>2498</v>
      </c>
      <c r="IR9" s="517" t="s">
        <v>2498</v>
      </c>
      <c r="IS9" s="517" t="s">
        <v>3367</v>
      </c>
      <c r="IT9" s="517" t="s">
        <v>3367</v>
      </c>
      <c r="IU9" s="517" t="s">
        <v>3367</v>
      </c>
      <c r="IV9" s="517" t="s">
        <v>3367</v>
      </c>
      <c r="IW9" s="517" t="s">
        <v>3367</v>
      </c>
      <c r="IX9" s="3556"/>
      <c r="IY9" s="3556"/>
      <c r="IZ9" s="3556"/>
      <c r="JA9" s="3556"/>
      <c r="JB9" s="3556"/>
      <c r="JC9" s="3556"/>
      <c r="JD9" s="3556"/>
      <c r="JE9" s="3556"/>
      <c r="JF9" s="3556"/>
      <c r="JG9" s="3556"/>
      <c r="JH9" s="3556"/>
      <c r="JI9" s="3556"/>
      <c r="JJ9" s="3556"/>
      <c r="JK9" s="3556"/>
      <c r="JL9" s="3556"/>
      <c r="JM9" s="3556"/>
      <c r="JN9" s="3556"/>
      <c r="JO9" s="3556"/>
      <c r="JP9" s="3556"/>
      <c r="JQ9" s="3556"/>
      <c r="JR9" s="3556"/>
      <c r="JS9" s="3556"/>
      <c r="JT9" s="3556"/>
      <c r="JU9" s="3556"/>
      <c r="JV9" s="3556"/>
      <c r="JW9" s="3556"/>
      <c r="JX9" s="3556"/>
      <c r="JY9" s="3556"/>
      <c r="JZ9" s="3556"/>
      <c r="KA9" s="3556"/>
      <c r="KB9" s="3556"/>
      <c r="KC9" s="3556"/>
      <c r="KD9" s="3556"/>
      <c r="KE9" s="3556"/>
      <c r="KF9" s="3556"/>
      <c r="KG9" s="3556"/>
      <c r="KH9" s="3556"/>
      <c r="KI9" s="3556"/>
      <c r="KJ9" s="3556"/>
      <c r="KK9" s="3556"/>
      <c r="KL9" s="3556"/>
      <c r="KM9" s="3556"/>
      <c r="KN9" s="3556"/>
      <c r="KO9" s="3556"/>
      <c r="KP9" s="3556"/>
      <c r="KQ9" s="3556"/>
      <c r="KR9" s="3556"/>
      <c r="KS9" s="3556"/>
      <c r="KT9" s="3556"/>
      <c r="KU9" s="3556"/>
      <c r="KV9" s="3556"/>
      <c r="KW9" s="3556"/>
      <c r="KX9" s="3556"/>
      <c r="KY9" s="3556"/>
      <c r="KZ9" s="3556"/>
      <c r="LA9" s="3556"/>
      <c r="LB9" s="3556"/>
      <c r="LC9" s="3556"/>
      <c r="LD9" s="3556"/>
      <c r="LE9" s="3556"/>
      <c r="LF9" s="3556"/>
      <c r="LG9" s="3556"/>
      <c r="LH9" s="3556"/>
      <c r="LI9" s="3556"/>
      <c r="LJ9" s="3556"/>
      <c r="LK9" s="3556"/>
      <c r="LL9" s="3556"/>
      <c r="LM9" s="3556"/>
      <c r="LN9" s="3556"/>
      <c r="LO9" s="3556"/>
      <c r="LP9" s="3556"/>
      <c r="LQ9" s="3556"/>
      <c r="LR9" s="3556"/>
      <c r="LS9" s="3556"/>
      <c r="LT9" s="3556"/>
      <c r="LU9" s="3556"/>
      <c r="LV9" s="3556"/>
      <c r="LW9" s="3556"/>
      <c r="LX9" s="3556"/>
      <c r="LY9" s="3556"/>
      <c r="LZ9" s="3556"/>
      <c r="MA9" s="3556"/>
      <c r="MB9" s="3556"/>
      <c r="MC9" s="3556"/>
      <c r="MD9" s="3556"/>
      <c r="ME9" s="3556"/>
      <c r="MF9" s="3556"/>
      <c r="MG9" s="3556"/>
      <c r="MH9" s="3556"/>
      <c r="MI9" s="3556"/>
      <c r="MJ9" s="3571"/>
      <c r="MK9" s="3571"/>
      <c r="ML9" s="3571"/>
      <c r="MM9" s="3571"/>
      <c r="MN9" s="3571"/>
      <c r="MO9" s="3556"/>
      <c r="MP9" s="3556"/>
      <c r="MQ9" s="3556"/>
      <c r="MR9" s="3556"/>
      <c r="MS9" s="3556"/>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8" t="s">
        <v>4620</v>
      </c>
      <c r="C10" s="168"/>
      <c r="D10" s="169"/>
      <c r="E10" s="170"/>
      <c r="F10" s="170"/>
      <c r="G10" s="170"/>
      <c r="H10" s="170"/>
      <c r="I10" s="1126">
        <f>IF(C10="",0,HLOOKUP(C10,'Part V-Utility Allowances'!$I$11:$M$22,12))</f>
        <v>0</v>
      </c>
      <c r="J10" s="952"/>
      <c r="K10" s="684">
        <f t="shared" ref="K10:K47" si="1">MAX(0,H10-I10)</f>
        <v>0</v>
      </c>
      <c r="L10" s="684">
        <f t="shared" ref="L10:L47" si="2">MAX(0,E10*K10)</f>
        <v>0</v>
      </c>
      <c r="M10" s="1044"/>
      <c r="N10" s="1044"/>
      <c r="O10" s="1044"/>
      <c r="P10" s="171"/>
      <c r="Q10" s="1029" t="str">
        <f t="shared" ref="Q10:Q47" si="3">IF(H10="","",H10*12/0.3)</f>
        <v/>
      </c>
      <c r="R10" s="1030" t="str">
        <f>IF(H10="","",IF(C10="Efficiency",Q10/($O$6*VLOOKUP(0,'DCA Underwriting Assumptions'!$J$146:$K$151,2,FALSE)),Q10/($O$6*VLOOKUP(C10,'DCA Underwriting Assumptions'!$J$146:$K$151,2,FALSE))))</f>
        <v/>
      </c>
      <c r="S10" s="1101"/>
      <c r="T10" s="1102"/>
      <c r="U10" s="3500"/>
      <c r="V10" s="3502"/>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9" t="s">
        <v>4620</v>
      </c>
      <c r="C11" s="172"/>
      <c r="D11" s="173"/>
      <c r="E11" s="174"/>
      <c r="F11" s="174"/>
      <c r="G11" s="174"/>
      <c r="H11" s="174"/>
      <c r="I11" s="1127">
        <f>IF(C11="",0,HLOOKUP(C11,'Part V-Utility Allowances'!$I$11:$M$22,12))</f>
        <v>0</v>
      </c>
      <c r="J11" s="953"/>
      <c r="K11" s="685">
        <f t="shared" si="1"/>
        <v>0</v>
      </c>
      <c r="L11" s="685">
        <f t="shared" si="2"/>
        <v>0</v>
      </c>
      <c r="M11" s="1045"/>
      <c r="N11" s="1045"/>
      <c r="O11" s="1045"/>
      <c r="P11" s="175"/>
      <c r="Q11" s="1031" t="str">
        <f t="shared" si="3"/>
        <v/>
      </c>
      <c r="R11" s="1032" t="str">
        <f>IF(H11="","",IF(C11="Efficiency",Q11/($O$6*VLOOKUP(0,'DCA Underwriting Assumptions'!$J$146:$K$151,2,FALSE)),Q11/($O$6*VLOOKUP(C11,'DCA Underwriting Assumptions'!$J$146:$K$151,2,FALSE))))</f>
        <v/>
      </c>
      <c r="S11" s="1103"/>
      <c r="T11" s="1104"/>
      <c r="U11" s="3505"/>
      <c r="V11" s="3507"/>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9" t="s">
        <v>303</v>
      </c>
      <c r="C12" s="172"/>
      <c r="D12" s="173"/>
      <c r="E12" s="174"/>
      <c r="F12" s="174"/>
      <c r="G12" s="174"/>
      <c r="H12" s="174"/>
      <c r="I12" s="1127">
        <f>IF(C12="",0,HLOOKUP(C12,'Part V-Utility Allowances'!$I$11:$M$22,12))</f>
        <v>0</v>
      </c>
      <c r="J12" s="953"/>
      <c r="K12" s="685">
        <f t="shared" si="1"/>
        <v>0</v>
      </c>
      <c r="L12" s="685">
        <f t="shared" si="2"/>
        <v>0</v>
      </c>
      <c r="M12" s="1045"/>
      <c r="N12" s="1045"/>
      <c r="O12" s="1045"/>
      <c r="P12" s="175"/>
      <c r="Q12" s="1031" t="str">
        <f t="shared" si="3"/>
        <v/>
      </c>
      <c r="R12" s="1032" t="str">
        <f>IF(H12="","",IF(C12="Efficiency",Q12/($O$6*VLOOKUP(0,'DCA Underwriting Assumptions'!$J$146:$K$151,2,FALSE)),Q12/($O$6*VLOOKUP(C12,'DCA Underwriting Assumptions'!$J$146:$K$151,2,FALSE))))</f>
        <v/>
      </c>
      <c r="S12" s="1103"/>
      <c r="T12" s="1104"/>
      <c r="U12" s="3505"/>
      <c r="V12" s="3507"/>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9" t="s">
        <v>303</v>
      </c>
      <c r="C13" s="172"/>
      <c r="D13" s="173"/>
      <c r="E13" s="174"/>
      <c r="F13" s="174"/>
      <c r="G13" s="174"/>
      <c r="H13" s="174"/>
      <c r="I13" s="1127">
        <f>IF(C13="",0,HLOOKUP(C13,'Part V-Utility Allowances'!$I$11:$M$22,12))</f>
        <v>0</v>
      </c>
      <c r="J13" s="953"/>
      <c r="K13" s="685">
        <f t="shared" si="1"/>
        <v>0</v>
      </c>
      <c r="L13" s="685">
        <f t="shared" si="2"/>
        <v>0</v>
      </c>
      <c r="M13" s="1045"/>
      <c r="N13" s="1045"/>
      <c r="O13" s="1045"/>
      <c r="P13" s="175"/>
      <c r="Q13" s="1031" t="str">
        <f t="shared" si="3"/>
        <v/>
      </c>
      <c r="R13" s="1032" t="str">
        <f>IF(H13="","",IF(C13="Efficiency",Q13/($O$6*VLOOKUP(0,'DCA Underwriting Assumptions'!$J$146:$K$151,2,FALSE)),Q13/($O$6*VLOOKUP(C13,'DCA Underwriting Assumptions'!$J$146:$K$151,2,FALSE))))</f>
        <v/>
      </c>
      <c r="S13" s="1103"/>
      <c r="T13" s="1104"/>
      <c r="U13" s="3505"/>
      <c r="V13" s="3507"/>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9" t="s">
        <v>303</v>
      </c>
      <c r="C14" s="172"/>
      <c r="D14" s="173"/>
      <c r="E14" s="174"/>
      <c r="F14" s="174"/>
      <c r="G14" s="174"/>
      <c r="H14" s="174"/>
      <c r="I14" s="1127">
        <f>IF(C14="",0,HLOOKUP(C14,'Part V-Utility Allowances'!$I$11:$M$22,12))</f>
        <v>0</v>
      </c>
      <c r="J14" s="953"/>
      <c r="K14" s="685">
        <f t="shared" si="1"/>
        <v>0</v>
      </c>
      <c r="L14" s="685">
        <f t="shared" si="2"/>
        <v>0</v>
      </c>
      <c r="M14" s="1045"/>
      <c r="N14" s="1045"/>
      <c r="O14" s="1045"/>
      <c r="P14" s="175"/>
      <c r="Q14" s="1031" t="str">
        <f t="shared" si="3"/>
        <v/>
      </c>
      <c r="R14" s="1032" t="str">
        <f>IF(H14="","",IF(C14="Efficiency",Q14/($O$6*VLOOKUP(0,'DCA Underwriting Assumptions'!$J$146:$K$151,2,FALSE)),Q14/($O$6*VLOOKUP(C14,'DCA Underwriting Assumptions'!$J$146:$K$151,2,FALSE))))</f>
        <v/>
      </c>
      <c r="S14" s="1103"/>
      <c r="T14" s="1104"/>
      <c r="U14" s="3505"/>
      <c r="V14" s="3507"/>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9" t="s">
        <v>303</v>
      </c>
      <c r="C15" s="172"/>
      <c r="D15" s="173"/>
      <c r="E15" s="174"/>
      <c r="F15" s="174"/>
      <c r="G15" s="174"/>
      <c r="H15" s="174"/>
      <c r="I15" s="1127">
        <f>IF(C15="",0,HLOOKUP(C15,'Part V-Utility Allowances'!$I$11:$M$22,12))</f>
        <v>0</v>
      </c>
      <c r="J15" s="953"/>
      <c r="K15" s="685">
        <f t="shared" si="1"/>
        <v>0</v>
      </c>
      <c r="L15" s="685">
        <f t="shared" si="2"/>
        <v>0</v>
      </c>
      <c r="M15" s="1045"/>
      <c r="N15" s="1045"/>
      <c r="O15" s="1045"/>
      <c r="P15" s="175"/>
      <c r="Q15" s="1031" t="str">
        <f t="shared" si="3"/>
        <v/>
      </c>
      <c r="R15" s="1032" t="str">
        <f>IF(H15="","",IF(C15="Efficiency",Q15/($O$6*VLOOKUP(0,'DCA Underwriting Assumptions'!$J$146:$K$151,2,FALSE)),Q15/($O$6*VLOOKUP(C15,'DCA Underwriting Assumptions'!$J$146:$K$151,2,FALSE))))</f>
        <v/>
      </c>
      <c r="S15" s="1103"/>
      <c r="T15" s="1104"/>
      <c r="U15" s="3505"/>
      <c r="V15" s="3507"/>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80" t="s">
        <v>303</v>
      </c>
      <c r="C16" s="2284"/>
      <c r="D16" s="2285"/>
      <c r="E16" s="2286"/>
      <c r="F16" s="2286"/>
      <c r="G16" s="2286"/>
      <c r="H16" s="2286"/>
      <c r="I16" s="2307">
        <f>IF(C16="",0,HLOOKUP(C16,'Part V-Utility Allowances'!$I$11:$M$22,12))</f>
        <v>0</v>
      </c>
      <c r="J16" s="2308"/>
      <c r="K16" s="2309">
        <f t="shared" si="1"/>
        <v>0</v>
      </c>
      <c r="L16" s="2309">
        <f t="shared" si="2"/>
        <v>0</v>
      </c>
      <c r="M16" s="2310"/>
      <c r="N16" s="2310"/>
      <c r="O16" s="2310"/>
      <c r="P16" s="2311"/>
      <c r="Q16" s="1031" t="str">
        <f t="shared" si="3"/>
        <v/>
      </c>
      <c r="R16" s="1032" t="str">
        <f>IF(H16="","",IF(C16="Efficiency",Q16/($O$6*VLOOKUP(0,'DCA Underwriting Assumptions'!$J$146:$K$151,2,FALSE)),Q16/($O$6*VLOOKUP(C16,'DCA Underwriting Assumptions'!$J$146:$K$151,2,FALSE))))</f>
        <v/>
      </c>
      <c r="S16" s="1103"/>
      <c r="T16" s="1104"/>
      <c r="U16" s="3505"/>
      <c r="V16" s="3507"/>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323">
        <v>60</v>
      </c>
      <c r="C17" s="2281">
        <v>1</v>
      </c>
      <c r="D17" s="2282">
        <v>1</v>
      </c>
      <c r="E17" s="2283">
        <v>8</v>
      </c>
      <c r="F17" s="2283">
        <v>745</v>
      </c>
      <c r="G17" s="2283">
        <v>897</v>
      </c>
      <c r="H17" s="2283">
        <v>801</v>
      </c>
      <c r="I17" s="2302">
        <f>IF(C17="",0,HLOOKUP(C17,'Part V-Utility Allowances'!$I$11:$M$22,12))</f>
        <v>61</v>
      </c>
      <c r="J17" s="2303"/>
      <c r="K17" s="2304">
        <f t="shared" si="1"/>
        <v>740</v>
      </c>
      <c r="L17" s="2304">
        <f t="shared" si="2"/>
        <v>5920</v>
      </c>
      <c r="M17" s="2305" t="s">
        <v>2993</v>
      </c>
      <c r="N17" s="2305" t="s">
        <v>5315</v>
      </c>
      <c r="O17" s="2305" t="s">
        <v>2295</v>
      </c>
      <c r="P17" s="2306" t="s">
        <v>2993</v>
      </c>
      <c r="Q17" s="1031">
        <f t="shared" si="3"/>
        <v>32040</v>
      </c>
      <c r="R17" s="1032">
        <f>IF(H17="","",IF(C17="Efficiency",Q17/($O$6*VLOOKUP(0,'DCA Underwriting Assumptions'!$J$146:$K$151,2,FALSE)),Q17/($O$6*VLOOKUP(C17,'DCA Underwriting Assumptions'!$J$146:$K$151,2,FALSE))))</f>
        <v>0.57112299465240646</v>
      </c>
      <c r="S17" s="1103"/>
      <c r="T17" s="1104"/>
      <c r="U17" s="3505"/>
      <c r="V17" s="3507"/>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f t="shared" si="15"/>
        <v>8</v>
      </c>
      <c r="AI17" s="512" t="str">
        <f t="shared" si="16"/>
        <v/>
      </c>
      <c r="AJ17" s="512" t="str">
        <f t="shared" si="17"/>
        <v/>
      </c>
      <c r="AK17" s="512" t="str">
        <f t="shared" si="18"/>
        <v/>
      </c>
      <c r="AL17" s="512" t="str">
        <f t="shared" si="19"/>
        <v/>
      </c>
      <c r="AM17" s="512" t="str">
        <f t="shared" si="20"/>
        <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t="str">
        <f t="shared" si="65"/>
        <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f t="shared" si="129"/>
        <v>5960</v>
      </c>
      <c r="ET17" s="512" t="str">
        <f t="shared" si="130"/>
        <v/>
      </c>
      <c r="EU17" s="512" t="str">
        <f t="shared" si="131"/>
        <v/>
      </c>
      <c r="EV17" s="512" t="str">
        <f t="shared" si="132"/>
        <v/>
      </c>
      <c r="EW17" s="512" t="str">
        <f t="shared" si="314"/>
        <v/>
      </c>
      <c r="EX17" s="512" t="str">
        <f t="shared" si="315"/>
        <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t="str">
        <f t="shared" si="149"/>
        <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f t="shared" si="159"/>
        <v>8</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t="str">
        <f t="shared" si="174"/>
        <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f t="shared" si="204"/>
        <v>8</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t="str">
        <f t="shared" si="269"/>
        <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f t="shared" si="279"/>
        <v>8</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0</v>
      </c>
      <c r="MG17" s="517">
        <f t="shared" si="326"/>
        <v>0</v>
      </c>
      <c r="MH17" s="517">
        <f t="shared" si="327"/>
        <v>0</v>
      </c>
      <c r="MI17" s="517">
        <f t="shared" si="328"/>
        <v>0</v>
      </c>
      <c r="MJ17" s="517">
        <f t="shared" si="329"/>
        <v>0</v>
      </c>
      <c r="MK17" s="517">
        <f t="shared" si="330"/>
        <v>8</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324">
        <v>60</v>
      </c>
      <c r="C18" s="172">
        <v>1</v>
      </c>
      <c r="D18" s="173">
        <v>1</v>
      </c>
      <c r="E18" s="174">
        <v>2</v>
      </c>
      <c r="F18" s="174">
        <v>814</v>
      </c>
      <c r="G18" s="174">
        <v>897</v>
      </c>
      <c r="H18" s="174">
        <v>801</v>
      </c>
      <c r="I18" s="1127">
        <f>IF(C18="",0,HLOOKUP(C18,'Part V-Utility Allowances'!$I$11:$M$22,12))</f>
        <v>61</v>
      </c>
      <c r="J18" s="953"/>
      <c r="K18" s="685">
        <f t="shared" si="1"/>
        <v>740</v>
      </c>
      <c r="L18" s="685">
        <f t="shared" si="2"/>
        <v>1480</v>
      </c>
      <c r="M18" s="1045" t="s">
        <v>2993</v>
      </c>
      <c r="N18" s="1045" t="s">
        <v>5315</v>
      </c>
      <c r="O18" s="1045" t="s">
        <v>2295</v>
      </c>
      <c r="P18" s="175" t="s">
        <v>2993</v>
      </c>
      <c r="Q18" s="1031">
        <f t="shared" si="3"/>
        <v>32040</v>
      </c>
      <c r="R18" s="1032">
        <f>IF(H18="","",IF(C18="Efficiency",Q18/($O$6*VLOOKUP(0,'DCA Underwriting Assumptions'!$J$146:$K$151,2,FALSE)),Q18/($O$6*VLOOKUP(C18,'DCA Underwriting Assumptions'!$J$146:$K$151,2,FALSE))))</f>
        <v>0.57112299465240646</v>
      </c>
      <c r="S18" s="1103"/>
      <c r="T18" s="1104"/>
      <c r="U18" s="3505"/>
      <c r="V18" s="3507"/>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f t="shared" si="15"/>
        <v>2</v>
      </c>
      <c r="AI18" s="512" t="str">
        <f t="shared" si="16"/>
        <v/>
      </c>
      <c r="AJ18" s="512" t="str">
        <f t="shared" si="17"/>
        <v/>
      </c>
      <c r="AK18" s="512" t="str">
        <f t="shared" si="18"/>
        <v/>
      </c>
      <c r="AL18" s="512" t="str">
        <f t="shared" si="19"/>
        <v/>
      </c>
      <c r="AM18" s="512" t="str">
        <f t="shared" si="20"/>
        <v/>
      </c>
      <c r="AN18" s="512" t="str">
        <f t="shared" si="21"/>
        <v/>
      </c>
      <c r="AO18" s="512" t="str">
        <f t="shared" si="22"/>
        <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f t="shared" si="129"/>
        <v>1628</v>
      </c>
      <c r="ET18" s="512" t="str">
        <f t="shared" si="130"/>
        <v/>
      </c>
      <c r="EU18" s="512" t="str">
        <f t="shared" si="131"/>
        <v/>
      </c>
      <c r="EV18" s="512" t="str">
        <f t="shared" si="132"/>
        <v/>
      </c>
      <c r="EW18" s="512" t="str">
        <f t="shared" si="314"/>
        <v/>
      </c>
      <c r="EX18" s="512" t="str">
        <f t="shared" si="315"/>
        <v/>
      </c>
      <c r="EY18" s="512" t="str">
        <f t="shared" si="316"/>
        <v/>
      </c>
      <c r="EZ18" s="512" t="str">
        <f t="shared" si="317"/>
        <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t="str">
        <f t="shared" si="149"/>
        <v/>
      </c>
      <c r="FX18" s="512" t="str">
        <f t="shared" si="150"/>
        <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f t="shared" si="159"/>
        <v>2</v>
      </c>
      <c r="GH18" s="512" t="str">
        <f t="shared" si="160"/>
        <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t="str">
        <f t="shared" si="175"/>
        <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f t="shared" si="204"/>
        <v>2</v>
      </c>
      <c r="IA18" s="518" t="str">
        <f t="shared" si="205"/>
        <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t="str">
        <f t="shared" si="270"/>
        <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f t="shared" si="279"/>
        <v>2</v>
      </c>
      <c r="KX18" s="518" t="str">
        <f t="shared" si="280"/>
        <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0</v>
      </c>
      <c r="MH18" s="517">
        <f t="shared" si="327"/>
        <v>0</v>
      </c>
      <c r="MI18" s="517">
        <f t="shared" si="328"/>
        <v>0</v>
      </c>
      <c r="MJ18" s="517">
        <f t="shared" si="329"/>
        <v>0</v>
      </c>
      <c r="MK18" s="517">
        <f t="shared" si="330"/>
        <v>2</v>
      </c>
      <c r="ML18" s="517">
        <f t="shared" si="331"/>
        <v>0</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324">
        <v>60</v>
      </c>
      <c r="C19" s="172">
        <v>1</v>
      </c>
      <c r="D19" s="173">
        <v>1</v>
      </c>
      <c r="E19" s="174">
        <v>2</v>
      </c>
      <c r="F19" s="174">
        <v>926</v>
      </c>
      <c r="G19" s="174">
        <v>897</v>
      </c>
      <c r="H19" s="174">
        <v>801</v>
      </c>
      <c r="I19" s="1127">
        <f>IF(C19="",0,HLOOKUP(C19,'Part V-Utility Allowances'!$I$11:$M$22,12))</f>
        <v>61</v>
      </c>
      <c r="J19" s="953"/>
      <c r="K19" s="685">
        <f t="shared" si="1"/>
        <v>740</v>
      </c>
      <c r="L19" s="685">
        <f t="shared" si="2"/>
        <v>1480</v>
      </c>
      <c r="M19" s="1045" t="s">
        <v>2993</v>
      </c>
      <c r="N19" s="1045" t="s">
        <v>5315</v>
      </c>
      <c r="O19" s="1045" t="s">
        <v>2295</v>
      </c>
      <c r="P19" s="175" t="s">
        <v>2993</v>
      </c>
      <c r="Q19" s="1031">
        <f t="shared" si="3"/>
        <v>32040</v>
      </c>
      <c r="R19" s="1032">
        <f>IF(H19="","",IF(C19="Efficiency",Q19/($O$6*VLOOKUP(0,'DCA Underwriting Assumptions'!$J$146:$K$151,2,FALSE)),Q19/($O$6*VLOOKUP(C19,'DCA Underwriting Assumptions'!$J$146:$K$151,2,FALSE))))</f>
        <v>0.57112299465240646</v>
      </c>
      <c r="S19" s="1103"/>
      <c r="T19" s="1104"/>
      <c r="U19" s="3505"/>
      <c r="V19" s="3507"/>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f t="shared" si="15"/>
        <v>2</v>
      </c>
      <c r="AI19" s="512" t="str">
        <f t="shared" si="16"/>
        <v/>
      </c>
      <c r="AJ19" s="512" t="str">
        <f t="shared" si="17"/>
        <v/>
      </c>
      <c r="AK19" s="512" t="str">
        <f t="shared" si="18"/>
        <v/>
      </c>
      <c r="AL19" s="512" t="str">
        <f t="shared" si="19"/>
        <v/>
      </c>
      <c r="AM19" s="512" t="str">
        <f t="shared" si="20"/>
        <v/>
      </c>
      <c r="AN19" s="512" t="str">
        <f t="shared" si="21"/>
        <v/>
      </c>
      <c r="AO19" s="512" t="str">
        <f t="shared" si="22"/>
        <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f t="shared" si="129"/>
        <v>1852</v>
      </c>
      <c r="ET19" s="512" t="str">
        <f t="shared" si="130"/>
        <v/>
      </c>
      <c r="EU19" s="512" t="str">
        <f t="shared" si="131"/>
        <v/>
      </c>
      <c r="EV19" s="512" t="str">
        <f t="shared" si="132"/>
        <v/>
      </c>
      <c r="EW19" s="512" t="str">
        <f t="shared" si="314"/>
        <v/>
      </c>
      <c r="EX19" s="512" t="str">
        <f t="shared" si="315"/>
        <v/>
      </c>
      <c r="EY19" s="512" t="str">
        <f t="shared" si="316"/>
        <v/>
      </c>
      <c r="EZ19" s="512" t="str">
        <f t="shared" si="317"/>
        <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f t="shared" si="159"/>
        <v>2</v>
      </c>
      <c r="GH19" s="512" t="str">
        <f t="shared" si="160"/>
        <v/>
      </c>
      <c r="GI19" s="512" t="str">
        <f t="shared" si="161"/>
        <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t="str">
        <f t="shared" si="175"/>
        <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f t="shared" si="204"/>
        <v>2</v>
      </c>
      <c r="IA19" s="518" t="str">
        <f t="shared" si="205"/>
        <v/>
      </c>
      <c r="IB19" s="518" t="str">
        <f t="shared" si="206"/>
        <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t="str">
        <f t="shared" si="271"/>
        <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f t="shared" si="279"/>
        <v>2</v>
      </c>
      <c r="KX19" s="518" t="str">
        <f t="shared" si="280"/>
        <v/>
      </c>
      <c r="KY19" s="518" t="str">
        <f t="shared" si="281"/>
        <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0</v>
      </c>
      <c r="MI19" s="517">
        <f t="shared" si="328"/>
        <v>0</v>
      </c>
      <c r="MJ19" s="517">
        <f t="shared" si="329"/>
        <v>0</v>
      </c>
      <c r="MK19" s="517">
        <f t="shared" si="330"/>
        <v>2</v>
      </c>
      <c r="ML19" s="517">
        <f t="shared" si="331"/>
        <v>0</v>
      </c>
      <c r="MM19" s="517">
        <f t="shared" si="332"/>
        <v>0</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324">
        <v>60</v>
      </c>
      <c r="C20" s="172">
        <v>2</v>
      </c>
      <c r="D20" s="173">
        <v>2</v>
      </c>
      <c r="E20" s="174">
        <v>56</v>
      </c>
      <c r="F20" s="174">
        <v>981</v>
      </c>
      <c r="G20" s="174">
        <v>1077</v>
      </c>
      <c r="H20" s="174">
        <v>993</v>
      </c>
      <c r="I20" s="1127">
        <f>IF(C20="",0,HLOOKUP(C20,'Part V-Utility Allowances'!$I$11:$M$22,12))</f>
        <v>78</v>
      </c>
      <c r="J20" s="953"/>
      <c r="K20" s="685">
        <f t="shared" si="1"/>
        <v>915</v>
      </c>
      <c r="L20" s="685">
        <f t="shared" si="2"/>
        <v>51240</v>
      </c>
      <c r="M20" s="1045" t="s">
        <v>2993</v>
      </c>
      <c r="N20" s="1045" t="s">
        <v>5315</v>
      </c>
      <c r="O20" s="1045" t="s">
        <v>2295</v>
      </c>
      <c r="P20" s="175" t="s">
        <v>2993</v>
      </c>
      <c r="Q20" s="1031">
        <f t="shared" si="3"/>
        <v>39720</v>
      </c>
      <c r="R20" s="1032">
        <f>IF(H20="","",IF(C20="Efficiency",Q20/($O$6*VLOOKUP(0,'DCA Underwriting Assumptions'!$J$146:$K$151,2,FALSE)),Q20/($O$6*VLOOKUP(C20,'DCA Underwriting Assumptions'!$J$146:$K$151,2,FALSE))))</f>
        <v>0.59001782531194291</v>
      </c>
      <c r="S20" s="1103"/>
      <c r="T20" s="1104"/>
      <c r="U20" s="3505"/>
      <c r="V20" s="3507"/>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t="str">
        <f t="shared" si="15"/>
        <v/>
      </c>
      <c r="AI20" s="512">
        <f t="shared" si="16"/>
        <v>56</v>
      </c>
      <c r="AJ20" s="512" t="str">
        <f t="shared" si="17"/>
        <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t="str">
        <f t="shared" si="129"/>
        <v/>
      </c>
      <c r="ET20" s="512">
        <f t="shared" si="130"/>
        <v>54936</v>
      </c>
      <c r="EU20" s="512" t="str">
        <f t="shared" si="131"/>
        <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t="str">
        <f t="shared" si="159"/>
        <v/>
      </c>
      <c r="GH20" s="512">
        <f t="shared" si="160"/>
        <v>56</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t="str">
        <f t="shared" si="175"/>
        <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t="str">
        <f t="shared" si="204"/>
        <v/>
      </c>
      <c r="IA20" s="518">
        <f t="shared" si="205"/>
        <v>56</v>
      </c>
      <c r="IB20" s="518" t="str">
        <f t="shared" si="206"/>
        <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t="str">
        <f t="shared" si="279"/>
        <v/>
      </c>
      <c r="KX20" s="518">
        <f t="shared" si="280"/>
        <v>56</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0</v>
      </c>
      <c r="MI20" s="517">
        <f t="shared" si="328"/>
        <v>0</v>
      </c>
      <c r="MJ20" s="517">
        <f t="shared" si="329"/>
        <v>0</v>
      </c>
      <c r="MK20" s="517">
        <f t="shared" si="330"/>
        <v>0</v>
      </c>
      <c r="ML20" s="517">
        <f t="shared" si="331"/>
        <v>56</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t="str">
        <f t="shared" si="0"/>
        <v/>
      </c>
      <c r="B21" s="2324">
        <v>60</v>
      </c>
      <c r="C21" s="172">
        <v>3</v>
      </c>
      <c r="D21" s="173">
        <v>2</v>
      </c>
      <c r="E21" s="174">
        <v>8</v>
      </c>
      <c r="F21" s="174">
        <v>1231</v>
      </c>
      <c r="G21" s="174">
        <v>1243</v>
      </c>
      <c r="H21" s="174">
        <v>1133</v>
      </c>
      <c r="I21" s="1127">
        <f>IF(C21="",0,HLOOKUP(C21,'Part V-Utility Allowances'!$I$11:$M$22,12))</f>
        <v>93</v>
      </c>
      <c r="J21" s="953"/>
      <c r="K21" s="685">
        <f t="shared" si="1"/>
        <v>1040</v>
      </c>
      <c r="L21" s="685">
        <f t="shared" si="2"/>
        <v>8320</v>
      </c>
      <c r="M21" s="1045" t="s">
        <v>2993</v>
      </c>
      <c r="N21" s="1045" t="s">
        <v>5315</v>
      </c>
      <c r="O21" s="1045" t="s">
        <v>2295</v>
      </c>
      <c r="P21" s="175" t="s">
        <v>2993</v>
      </c>
      <c r="Q21" s="1031">
        <f t="shared" si="3"/>
        <v>45320</v>
      </c>
      <c r="R21" s="1032">
        <f>IF(H21="","",IF(C21="Efficiency",Q21/($O$6*VLOOKUP(0,'DCA Underwriting Assumptions'!$J$146:$K$151,2,FALSE)),Q21/($O$6*VLOOKUP(C21,'DCA Underwriting Assumptions'!$J$146:$K$151,2,FALSE))))</f>
        <v>0.58257918552036203</v>
      </c>
      <c r="S21" s="1103"/>
      <c r="T21" s="1104"/>
      <c r="U21" s="3505"/>
      <c r="V21" s="3507"/>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t="str">
        <f t="shared" si="16"/>
        <v/>
      </c>
      <c r="AJ21" s="512">
        <f t="shared" si="17"/>
        <v>8</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t="str">
        <f t="shared" si="130"/>
        <v/>
      </c>
      <c r="EU21" s="512">
        <f t="shared" si="131"/>
        <v>9848</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t="str">
        <f t="shared" si="160"/>
        <v/>
      </c>
      <c r="GI21" s="512">
        <f t="shared" si="161"/>
        <v>8</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t="str">
        <f t="shared" si="205"/>
        <v/>
      </c>
      <c r="IB21" s="518">
        <f t="shared" si="206"/>
        <v>8</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t="str">
        <f t="shared" si="280"/>
        <v/>
      </c>
      <c r="KY21" s="518">
        <f t="shared" si="281"/>
        <v>8</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0</v>
      </c>
      <c r="MJ21" s="517">
        <f t="shared" si="329"/>
        <v>0</v>
      </c>
      <c r="MK21" s="517">
        <f t="shared" si="330"/>
        <v>0</v>
      </c>
      <c r="ML21" s="517">
        <f t="shared" si="331"/>
        <v>0</v>
      </c>
      <c r="MM21" s="517">
        <f t="shared" si="332"/>
        <v>8</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324">
        <v>60</v>
      </c>
      <c r="C22" s="172">
        <v>4</v>
      </c>
      <c r="D22" s="173">
        <v>2</v>
      </c>
      <c r="E22" s="174">
        <v>8</v>
      </c>
      <c r="F22" s="174">
        <v>1435</v>
      </c>
      <c r="G22" s="174">
        <v>1387</v>
      </c>
      <c r="H22" s="174">
        <v>1284</v>
      </c>
      <c r="I22" s="1127">
        <f>IF(C22="",0,HLOOKUP(C22,'Part V-Utility Allowances'!$I$11:$M$22,12))</f>
        <v>109</v>
      </c>
      <c r="J22" s="953"/>
      <c r="K22" s="685">
        <f t="shared" si="1"/>
        <v>1175</v>
      </c>
      <c r="L22" s="685">
        <f t="shared" si="2"/>
        <v>9400</v>
      </c>
      <c r="M22" s="1045" t="s">
        <v>2993</v>
      </c>
      <c r="N22" s="1045" t="s">
        <v>5315</v>
      </c>
      <c r="O22" s="1045" t="s">
        <v>2295</v>
      </c>
      <c r="P22" s="175" t="s">
        <v>2993</v>
      </c>
      <c r="Q22" s="1031">
        <f t="shared" si="3"/>
        <v>51360</v>
      </c>
      <c r="R22" s="1032">
        <f>IF(H22="","",IF(C22="Efficiency",Q22/($O$6*VLOOKUP(0,'DCA Underwriting Assumptions'!$J$146:$K$151,2,FALSE)),Q22/($O$6*VLOOKUP(C22,'DCA Underwriting Assumptions'!$J$146:$K$151,2,FALSE))))</f>
        <v>0.59192328969205232</v>
      </c>
      <c r="S22" s="1103"/>
      <c r="T22" s="1104"/>
      <c r="U22" s="3505"/>
      <c r="V22" s="3507"/>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t="str">
        <f t="shared" si="17"/>
        <v/>
      </c>
      <c r="AK22" s="512">
        <f t="shared" si="18"/>
        <v>8</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t="str">
        <f t="shared" si="131"/>
        <v/>
      </c>
      <c r="EV22" s="512">
        <f t="shared" si="132"/>
        <v>11480</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t="str">
        <f t="shared" si="161"/>
        <v/>
      </c>
      <c r="GJ22" s="512">
        <f t="shared" si="162"/>
        <v>8</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t="str">
        <f t="shared" si="205"/>
        <v/>
      </c>
      <c r="IB22" s="518" t="str">
        <f t="shared" si="206"/>
        <v/>
      </c>
      <c r="IC22" s="518">
        <f t="shared" si="207"/>
        <v>8</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t="str">
        <f t="shared" si="280"/>
        <v/>
      </c>
      <c r="KY22" s="518" t="str">
        <f t="shared" si="281"/>
        <v/>
      </c>
      <c r="KZ22" s="518">
        <f t="shared" si="282"/>
        <v>8</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0</v>
      </c>
      <c r="MK22" s="517">
        <f t="shared" si="330"/>
        <v>0</v>
      </c>
      <c r="ML22" s="517">
        <f t="shared" si="331"/>
        <v>0</v>
      </c>
      <c r="MM22" s="517">
        <f t="shared" si="332"/>
        <v>0</v>
      </c>
      <c r="MN22" s="517">
        <f t="shared" si="333"/>
        <v>8</v>
      </c>
      <c r="MO22" s="517">
        <f t="shared" si="334"/>
        <v>0</v>
      </c>
      <c r="MP22" s="517">
        <f t="shared" si="335"/>
        <v>0</v>
      </c>
      <c r="MQ22" s="517">
        <f t="shared" si="336"/>
        <v>0</v>
      </c>
      <c r="MR22" s="517">
        <f t="shared" si="337"/>
        <v>0</v>
      </c>
      <c r="MS22" s="517">
        <f t="shared" si="338"/>
        <v>0</v>
      </c>
    </row>
    <row r="23" spans="1:357" ht="12" customHeight="1">
      <c r="A23" s="112" t="str">
        <f t="shared" si="0"/>
        <v/>
      </c>
      <c r="B23" s="2324"/>
      <c r="C23" s="172"/>
      <c r="D23" s="173"/>
      <c r="E23" s="174"/>
      <c r="F23" s="174"/>
      <c r="G23" s="174"/>
      <c r="H23" s="174"/>
      <c r="I23" s="1127">
        <f>IF(C23="",0,HLOOKUP(C23,'Part V-Utility Allowances'!$I$11:$M$22,12))</f>
        <v>0</v>
      </c>
      <c r="J23" s="953"/>
      <c r="K23" s="685">
        <f t="shared" si="1"/>
        <v>0</v>
      </c>
      <c r="L23" s="685">
        <f t="shared" si="2"/>
        <v>0</v>
      </c>
      <c r="M23" s="1045"/>
      <c r="N23" s="1045"/>
      <c r="O23" s="1045"/>
      <c r="P23" s="175"/>
      <c r="Q23" s="1031" t="str">
        <f t="shared" si="3"/>
        <v/>
      </c>
      <c r="R23" s="1032" t="str">
        <f>IF(H23="","",IF(C23="Efficiency",Q23/($O$6*VLOOKUP(0,'DCA Underwriting Assumptions'!$J$146:$K$151,2,FALSE)),Q23/($O$6*VLOOKUP(C23,'DCA Underwriting Assumptions'!$J$146:$K$151,2,FALSE))))</f>
        <v/>
      </c>
      <c r="S23" s="1103"/>
      <c r="T23" s="1104"/>
      <c r="U23" s="3505"/>
      <c r="V23" s="3507"/>
      <c r="W23" s="512" t="str">
        <f t="shared" si="4"/>
        <v/>
      </c>
      <c r="X23" s="512" t="str">
        <f t="shared" si="5"/>
        <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t="str">
        <f t="shared" si="159"/>
        <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t="str">
        <f t="shared" si="204"/>
        <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t="str">
        <f t="shared" si="279"/>
        <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0</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24"/>
      <c r="C24" s="172"/>
      <c r="D24" s="173"/>
      <c r="E24" s="174"/>
      <c r="F24" s="174"/>
      <c r="G24" s="174"/>
      <c r="H24" s="174"/>
      <c r="I24" s="1127">
        <f>IF(C24="",0,HLOOKUP(C24,'Part V-Utility Allowances'!$I$11:$M$22,12))</f>
        <v>0</v>
      </c>
      <c r="J24" s="953"/>
      <c r="K24" s="685">
        <f t="shared" si="1"/>
        <v>0</v>
      </c>
      <c r="L24" s="685">
        <f t="shared" si="2"/>
        <v>0</v>
      </c>
      <c r="M24" s="1045"/>
      <c r="N24" s="1045"/>
      <c r="O24" s="1045"/>
      <c r="P24" s="175"/>
      <c r="Q24" s="1031" t="str">
        <f t="shared" si="3"/>
        <v/>
      </c>
      <c r="R24" s="1032" t="str">
        <f>IF(H24="","",IF(C24="Efficiency",Q24/($O$6*VLOOKUP(0,'DCA Underwriting Assumptions'!$J$146:$K$151,2,FALSE)),Q24/($O$6*VLOOKUP(C24,'DCA Underwriting Assumptions'!$J$146:$K$151,2,FALSE))))</f>
        <v/>
      </c>
      <c r="S24" s="1103"/>
      <c r="T24" s="1104"/>
      <c r="U24" s="3505"/>
      <c r="V24" s="3507"/>
      <c r="W24" s="512" t="str">
        <f t="shared" si="4"/>
        <v/>
      </c>
      <c r="X24" s="512" t="str">
        <f t="shared" si="5"/>
        <v/>
      </c>
      <c r="Y24" s="512" t="str">
        <f t="shared" si="6"/>
        <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t="str">
        <f t="shared" si="160"/>
        <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t="str">
        <f t="shared" si="205"/>
        <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t="str">
        <f t="shared" si="280"/>
        <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0</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24"/>
      <c r="C25" s="172"/>
      <c r="D25" s="173"/>
      <c r="E25" s="174"/>
      <c r="F25" s="174"/>
      <c r="G25" s="174"/>
      <c r="H25" s="174"/>
      <c r="I25" s="1127">
        <f>IF(C25="",0,HLOOKUP(C25,'Part V-Utility Allowances'!$I$11:$M$22,12))</f>
        <v>0</v>
      </c>
      <c r="J25" s="953"/>
      <c r="K25" s="685">
        <f t="shared" si="1"/>
        <v>0</v>
      </c>
      <c r="L25" s="685">
        <f t="shared" si="2"/>
        <v>0</v>
      </c>
      <c r="M25" s="1045"/>
      <c r="N25" s="1045"/>
      <c r="O25" s="1045"/>
      <c r="P25" s="175"/>
      <c r="Q25" s="1031" t="str">
        <f t="shared" si="3"/>
        <v/>
      </c>
      <c r="R25" s="1032" t="str">
        <f>IF(H25="","",IF(C25="Efficiency",Q25/($O$6*VLOOKUP(0,'DCA Underwriting Assumptions'!$J$146:$K$151,2,FALSE)),Q25/($O$6*VLOOKUP(C25,'DCA Underwriting Assumptions'!$J$146:$K$151,2,FALSE))))</f>
        <v/>
      </c>
      <c r="S25" s="1103"/>
      <c r="T25" s="1104"/>
      <c r="U25" s="3505"/>
      <c r="V25" s="3507"/>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t="str">
        <f t="shared" si="161"/>
        <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t="str">
        <f t="shared" si="206"/>
        <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t="str">
        <f t="shared" si="281"/>
        <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0</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24"/>
      <c r="C26" s="172"/>
      <c r="D26" s="173"/>
      <c r="E26" s="174"/>
      <c r="F26" s="174"/>
      <c r="G26" s="174"/>
      <c r="H26" s="174"/>
      <c r="I26" s="1127">
        <f>IF(C26="",0,HLOOKUP(C26,'Part V-Utility Allowances'!$I$11:$M$22,12))</f>
        <v>0</v>
      </c>
      <c r="J26" s="953"/>
      <c r="K26" s="685">
        <f t="shared" si="1"/>
        <v>0</v>
      </c>
      <c r="L26" s="685">
        <f t="shared" si="2"/>
        <v>0</v>
      </c>
      <c r="M26" s="1045"/>
      <c r="N26" s="1045"/>
      <c r="O26" s="1045"/>
      <c r="P26" s="175"/>
      <c r="Q26" s="1031" t="str">
        <f t="shared" si="3"/>
        <v/>
      </c>
      <c r="R26" s="1032" t="str">
        <f>IF(H26="","",IF(C26="Efficiency",Q26/($O$6*VLOOKUP(0,'DCA Underwriting Assumptions'!$J$146:$K$151,2,FALSE)),Q26/($O$6*VLOOKUP(C26,'DCA Underwriting Assumptions'!$J$146:$K$151,2,FALSE))))</f>
        <v/>
      </c>
      <c r="S26" s="1103"/>
      <c r="T26" s="1104"/>
      <c r="U26" s="3505"/>
      <c r="V26" s="3507"/>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24"/>
      <c r="C27" s="172"/>
      <c r="D27" s="173"/>
      <c r="E27" s="174"/>
      <c r="F27" s="174"/>
      <c r="G27" s="174"/>
      <c r="H27" s="174"/>
      <c r="I27" s="1127">
        <f>IF(C27="",0,HLOOKUP(C27,'Part V-Utility Allowances'!$I$11:$M$22,12))</f>
        <v>0</v>
      </c>
      <c r="J27" s="953"/>
      <c r="K27" s="685">
        <f t="shared" si="1"/>
        <v>0</v>
      </c>
      <c r="L27" s="685">
        <f t="shared" si="2"/>
        <v>0</v>
      </c>
      <c r="M27" s="1045"/>
      <c r="N27" s="1045"/>
      <c r="O27" s="1045"/>
      <c r="P27" s="175"/>
      <c r="Q27" s="1031" t="str">
        <f t="shared" si="3"/>
        <v/>
      </c>
      <c r="R27" s="1032" t="str">
        <f>IF(H27="","",IF(C27="Efficiency",Q27/($O$6*VLOOKUP(0,'DCA Underwriting Assumptions'!$J$146:$K$151,2,FALSE)),Q27/($O$6*VLOOKUP(C27,'DCA Underwriting Assumptions'!$J$146:$K$151,2,FALSE))))</f>
        <v/>
      </c>
      <c r="S27" s="1103"/>
      <c r="T27" s="1104"/>
      <c r="U27" s="3505"/>
      <c r="V27" s="3507"/>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24"/>
      <c r="C28" s="172"/>
      <c r="D28" s="173"/>
      <c r="E28" s="174"/>
      <c r="F28" s="174"/>
      <c r="G28" s="174"/>
      <c r="H28" s="174"/>
      <c r="I28" s="1127">
        <f>IF(C28="",0,HLOOKUP(C28,'Part V-Utility Allowances'!$I$11:$M$22,12))</f>
        <v>0</v>
      </c>
      <c r="J28" s="953"/>
      <c r="K28" s="685">
        <f t="shared" si="1"/>
        <v>0</v>
      </c>
      <c r="L28" s="685">
        <f t="shared" si="2"/>
        <v>0</v>
      </c>
      <c r="M28" s="1045"/>
      <c r="N28" s="1045"/>
      <c r="O28" s="1045"/>
      <c r="P28" s="175"/>
      <c r="Q28" s="1031" t="str">
        <f t="shared" si="3"/>
        <v/>
      </c>
      <c r="R28" s="1032" t="str">
        <f>IF(H28="","",IF(C28="Efficiency",Q28/($O$6*VLOOKUP(0,'DCA Underwriting Assumptions'!$J$146:$K$151,2,FALSE)),Q28/($O$6*VLOOKUP(C28,'DCA Underwriting Assumptions'!$J$146:$K$151,2,FALSE))))</f>
        <v/>
      </c>
      <c r="S28" s="1103"/>
      <c r="T28" s="1104"/>
      <c r="U28" s="3505"/>
      <c r="V28" s="3507"/>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24"/>
      <c r="C29" s="172"/>
      <c r="D29" s="173"/>
      <c r="E29" s="174"/>
      <c r="F29" s="174"/>
      <c r="G29" s="174"/>
      <c r="H29" s="174"/>
      <c r="I29" s="1127">
        <f>IF(C29="",0,HLOOKUP(C29,'Part V-Utility Allowances'!$I$11:$M$22,12))</f>
        <v>0</v>
      </c>
      <c r="J29" s="953"/>
      <c r="K29" s="685">
        <f t="shared" si="1"/>
        <v>0</v>
      </c>
      <c r="L29" s="685">
        <f t="shared" si="2"/>
        <v>0</v>
      </c>
      <c r="M29" s="1045"/>
      <c r="N29" s="1045"/>
      <c r="O29" s="1045"/>
      <c r="P29" s="175"/>
      <c r="Q29" s="1031" t="str">
        <f t="shared" si="3"/>
        <v/>
      </c>
      <c r="R29" s="1032" t="str">
        <f>IF(H29="","",IF(C29="Efficiency",Q29/($O$6*VLOOKUP(0,'DCA Underwriting Assumptions'!$J$146:$K$151,2,FALSE)),Q29/($O$6*VLOOKUP(C29,'DCA Underwriting Assumptions'!$J$146:$K$151,2,FALSE))))</f>
        <v/>
      </c>
      <c r="S29" s="1103"/>
      <c r="T29" s="1104"/>
      <c r="U29" s="3505"/>
      <c r="V29" s="3507"/>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24"/>
      <c r="C30" s="172"/>
      <c r="D30" s="173"/>
      <c r="E30" s="174"/>
      <c r="F30" s="174"/>
      <c r="G30" s="174"/>
      <c r="H30" s="174"/>
      <c r="I30" s="1127">
        <f>IF(C30="",0,HLOOKUP(C30,'Part V-Utility Allowances'!$I$11:$M$22,12))</f>
        <v>0</v>
      </c>
      <c r="J30" s="953"/>
      <c r="K30" s="685">
        <f t="shared" si="1"/>
        <v>0</v>
      </c>
      <c r="L30" s="685">
        <f t="shared" si="2"/>
        <v>0</v>
      </c>
      <c r="M30" s="1045"/>
      <c r="N30" s="1045"/>
      <c r="O30" s="1045"/>
      <c r="P30" s="175"/>
      <c r="Q30" s="1031" t="str">
        <f t="shared" si="3"/>
        <v/>
      </c>
      <c r="R30" s="1032" t="str">
        <f>IF(H30="","",IF(C30="Efficiency",Q30/($O$6*VLOOKUP(0,'DCA Underwriting Assumptions'!$J$146:$K$151,2,FALSE)),Q30/($O$6*VLOOKUP(C30,'DCA Underwriting Assumptions'!$J$146:$K$151,2,FALSE))))</f>
        <v/>
      </c>
      <c r="S30" s="1103"/>
      <c r="T30" s="1104"/>
      <c r="U30" s="3505"/>
      <c r="V30" s="3507"/>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24"/>
      <c r="C31" s="172"/>
      <c r="D31" s="173"/>
      <c r="E31" s="174"/>
      <c r="F31" s="174"/>
      <c r="G31" s="174"/>
      <c r="H31" s="174"/>
      <c r="I31" s="1127">
        <f>IF(C31="",0,HLOOKUP(C31,'Part V-Utility Allowances'!$I$11:$M$22,12))</f>
        <v>0</v>
      </c>
      <c r="J31" s="953"/>
      <c r="K31" s="685">
        <f t="shared" si="1"/>
        <v>0</v>
      </c>
      <c r="L31" s="685">
        <f t="shared" si="2"/>
        <v>0</v>
      </c>
      <c r="M31" s="1045"/>
      <c r="N31" s="1045"/>
      <c r="O31" s="1045"/>
      <c r="P31" s="175"/>
      <c r="Q31" s="1031" t="str">
        <f t="shared" si="3"/>
        <v/>
      </c>
      <c r="R31" s="1032" t="str">
        <f>IF(H31="","",IF(C31="Efficiency",Q31/($O$6*VLOOKUP(0,'DCA Underwriting Assumptions'!$J$146:$K$151,2,FALSE)),Q31/($O$6*VLOOKUP(C31,'DCA Underwriting Assumptions'!$J$146:$K$151,2,FALSE))))</f>
        <v/>
      </c>
      <c r="S31" s="1103"/>
      <c r="T31" s="1104"/>
      <c r="U31" s="3505"/>
      <c r="V31" s="3507"/>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24"/>
      <c r="C32" s="172"/>
      <c r="D32" s="173"/>
      <c r="E32" s="174"/>
      <c r="F32" s="174"/>
      <c r="G32" s="174"/>
      <c r="H32" s="174"/>
      <c r="I32" s="1127">
        <f>IF(C32="",0,HLOOKUP(C32,'Part V-Utility Allowances'!$I$11:$M$22,12))</f>
        <v>0</v>
      </c>
      <c r="J32" s="953"/>
      <c r="K32" s="685">
        <f t="shared" si="1"/>
        <v>0</v>
      </c>
      <c r="L32" s="685">
        <f t="shared" si="2"/>
        <v>0</v>
      </c>
      <c r="M32" s="1045"/>
      <c r="N32" s="1045"/>
      <c r="O32" s="1045"/>
      <c r="P32" s="175"/>
      <c r="Q32" s="1031" t="str">
        <f t="shared" si="3"/>
        <v/>
      </c>
      <c r="R32" s="1032" t="str">
        <f>IF(H32="","",IF(C32="Efficiency",Q32/($O$6*VLOOKUP(0,'DCA Underwriting Assumptions'!$J$146:$K$151,2,FALSE)),Q32/($O$6*VLOOKUP(C32,'DCA Underwriting Assumptions'!$J$146:$K$151,2,FALSE))))</f>
        <v/>
      </c>
      <c r="S32" s="1103"/>
      <c r="T32" s="1104"/>
      <c r="U32" s="3505"/>
      <c r="V32" s="3507"/>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24"/>
      <c r="C33" s="172"/>
      <c r="D33" s="173"/>
      <c r="E33" s="174"/>
      <c r="F33" s="174"/>
      <c r="G33" s="174"/>
      <c r="H33" s="174"/>
      <c r="I33" s="1127">
        <f>IF(C33="",0,HLOOKUP(C33,'Part V-Utility Allowances'!$I$11:$M$22,12))</f>
        <v>0</v>
      </c>
      <c r="J33" s="953"/>
      <c r="K33" s="685">
        <f t="shared" si="1"/>
        <v>0</v>
      </c>
      <c r="L33" s="685">
        <f t="shared" si="2"/>
        <v>0</v>
      </c>
      <c r="M33" s="1045"/>
      <c r="N33" s="1045"/>
      <c r="O33" s="1045"/>
      <c r="P33" s="175"/>
      <c r="Q33" s="1031" t="str">
        <f t="shared" si="3"/>
        <v/>
      </c>
      <c r="R33" s="1032" t="str">
        <f>IF(H33="","",IF(C33="Efficiency",Q33/($O$6*VLOOKUP(0,'DCA Underwriting Assumptions'!$J$146:$K$151,2,FALSE)),Q33/($O$6*VLOOKUP(C33,'DCA Underwriting Assumptions'!$J$146:$K$151,2,FALSE))))</f>
        <v/>
      </c>
      <c r="S33" s="1103"/>
      <c r="T33" s="1104"/>
      <c r="U33" s="3505"/>
      <c r="V33" s="3507"/>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24"/>
      <c r="C34" s="172"/>
      <c r="D34" s="173"/>
      <c r="E34" s="174"/>
      <c r="F34" s="174"/>
      <c r="G34" s="174"/>
      <c r="H34" s="174"/>
      <c r="I34" s="1127">
        <f>IF(C34="",0,HLOOKUP(C34,'Part V-Utility Allowances'!$I$11:$M$22,12))</f>
        <v>0</v>
      </c>
      <c r="J34" s="953"/>
      <c r="K34" s="685">
        <f t="shared" si="1"/>
        <v>0</v>
      </c>
      <c r="L34" s="685">
        <f t="shared" si="2"/>
        <v>0</v>
      </c>
      <c r="M34" s="1045"/>
      <c r="N34" s="1045"/>
      <c r="O34" s="1045"/>
      <c r="P34" s="175"/>
      <c r="Q34" s="1031" t="str">
        <f t="shared" si="3"/>
        <v/>
      </c>
      <c r="R34" s="1032" t="str">
        <f>IF(H34="","",IF(C34="Efficiency",Q34/($O$6*VLOOKUP(0,'DCA Underwriting Assumptions'!$J$146:$K$151,2,FALSE)),Q34/($O$6*VLOOKUP(C34,'DCA Underwriting Assumptions'!$J$146:$K$151,2,FALSE))))</f>
        <v/>
      </c>
      <c r="S34" s="1103"/>
      <c r="T34" s="1104"/>
      <c r="U34" s="3505"/>
      <c r="V34" s="3507"/>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24"/>
      <c r="C35" s="172"/>
      <c r="D35" s="173"/>
      <c r="E35" s="174"/>
      <c r="F35" s="174"/>
      <c r="G35" s="174"/>
      <c r="H35" s="174"/>
      <c r="I35" s="1127">
        <f>IF(C35="",0,HLOOKUP(C35,'Part V-Utility Allowances'!$I$11:$M$22,12))</f>
        <v>0</v>
      </c>
      <c r="J35" s="953"/>
      <c r="K35" s="685">
        <f t="shared" si="1"/>
        <v>0</v>
      </c>
      <c r="L35" s="685">
        <f t="shared" si="2"/>
        <v>0</v>
      </c>
      <c r="M35" s="1045"/>
      <c r="N35" s="1045"/>
      <c r="O35" s="1045"/>
      <c r="P35" s="175"/>
      <c r="Q35" s="1031" t="str">
        <f t="shared" si="3"/>
        <v/>
      </c>
      <c r="R35" s="1032" t="str">
        <f>IF(H35="","",IF(C35="Efficiency",Q35/($O$6*VLOOKUP(0,'DCA Underwriting Assumptions'!$J$146:$K$151,2,FALSE)),Q35/($O$6*VLOOKUP(C35,'DCA Underwriting Assumptions'!$J$146:$K$151,2,FALSE))))</f>
        <v/>
      </c>
      <c r="S35" s="1103"/>
      <c r="T35" s="1104"/>
      <c r="U35" s="3505"/>
      <c r="V35" s="3507"/>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24"/>
      <c r="C36" s="172"/>
      <c r="D36" s="173"/>
      <c r="E36" s="174"/>
      <c r="F36" s="174"/>
      <c r="G36" s="174"/>
      <c r="H36" s="174"/>
      <c r="I36" s="1127">
        <f>IF(C36="",0,HLOOKUP(C36,'Part V-Utility Allowances'!$I$11:$M$22,12))</f>
        <v>0</v>
      </c>
      <c r="J36" s="953"/>
      <c r="K36" s="685">
        <f t="shared" si="1"/>
        <v>0</v>
      </c>
      <c r="L36" s="685">
        <f t="shared" si="2"/>
        <v>0</v>
      </c>
      <c r="M36" s="1045"/>
      <c r="N36" s="1045"/>
      <c r="O36" s="1045"/>
      <c r="P36" s="175"/>
      <c r="Q36" s="1031" t="str">
        <f t="shared" si="3"/>
        <v/>
      </c>
      <c r="R36" s="1032" t="str">
        <f>IF(H36="","",IF(C36="Efficiency",Q36/($O$6*VLOOKUP(0,'DCA Underwriting Assumptions'!$J$146:$K$151,2,FALSE)),Q36/($O$6*VLOOKUP(C36,'DCA Underwriting Assumptions'!$J$146:$K$151,2,FALSE))))</f>
        <v/>
      </c>
      <c r="S36" s="1103"/>
      <c r="T36" s="1104"/>
      <c r="U36" s="3505"/>
      <c r="V36" s="3507"/>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24"/>
      <c r="C37" s="172"/>
      <c r="D37" s="173"/>
      <c r="E37" s="174"/>
      <c r="F37" s="174"/>
      <c r="G37" s="174"/>
      <c r="H37" s="174"/>
      <c r="I37" s="1127">
        <f>IF(C37="",0,HLOOKUP(C37,'Part V-Utility Allowances'!$I$11:$M$22,12))</f>
        <v>0</v>
      </c>
      <c r="J37" s="953"/>
      <c r="K37" s="685">
        <f t="shared" si="1"/>
        <v>0</v>
      </c>
      <c r="L37" s="685">
        <f t="shared" si="2"/>
        <v>0</v>
      </c>
      <c r="M37" s="1045"/>
      <c r="N37" s="1045"/>
      <c r="O37" s="1045"/>
      <c r="P37" s="175"/>
      <c r="Q37" s="1031" t="str">
        <f t="shared" si="3"/>
        <v/>
      </c>
      <c r="R37" s="1032" t="str">
        <f>IF(H37="","",IF(C37="Efficiency",Q37/($O$6*VLOOKUP(0,'DCA Underwriting Assumptions'!$J$146:$K$151,2,FALSE)),Q37/($O$6*VLOOKUP(C37,'DCA Underwriting Assumptions'!$J$146:$K$151,2,FALSE))))</f>
        <v/>
      </c>
      <c r="S37" s="1103"/>
      <c r="T37" s="1104"/>
      <c r="U37" s="3505"/>
      <c r="V37" s="3507"/>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24"/>
      <c r="C38" s="172"/>
      <c r="D38" s="173"/>
      <c r="E38" s="174"/>
      <c r="F38" s="174"/>
      <c r="G38" s="174"/>
      <c r="H38" s="174"/>
      <c r="I38" s="1127">
        <f>IF(C38="",0,HLOOKUP(C38,'Part V-Utility Allowances'!$I$11:$M$22,12))</f>
        <v>0</v>
      </c>
      <c r="J38" s="953"/>
      <c r="K38" s="685">
        <f t="shared" si="1"/>
        <v>0</v>
      </c>
      <c r="L38" s="685">
        <f t="shared" si="2"/>
        <v>0</v>
      </c>
      <c r="M38" s="1045"/>
      <c r="N38" s="1045"/>
      <c r="O38" s="1045"/>
      <c r="P38" s="175"/>
      <c r="Q38" s="1031" t="str">
        <f t="shared" si="3"/>
        <v/>
      </c>
      <c r="R38" s="1032" t="str">
        <f>IF(H38="","",IF(C38="Efficiency",Q38/($O$6*VLOOKUP(0,'DCA Underwriting Assumptions'!$J$146:$K$151,2,FALSE)),Q38/($O$6*VLOOKUP(C38,'DCA Underwriting Assumptions'!$J$146:$K$151,2,FALSE))))</f>
        <v/>
      </c>
      <c r="S38" s="1103"/>
      <c r="T38" s="1104"/>
      <c r="U38" s="3505"/>
      <c r="V38" s="3507"/>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24"/>
      <c r="C39" s="172"/>
      <c r="D39" s="173"/>
      <c r="E39" s="174"/>
      <c r="F39" s="174"/>
      <c r="G39" s="174"/>
      <c r="H39" s="174"/>
      <c r="I39" s="1127">
        <f>IF(C39="",0,HLOOKUP(C39,'Part V-Utility Allowances'!$I$11:$M$22,12))</f>
        <v>0</v>
      </c>
      <c r="J39" s="953"/>
      <c r="K39" s="685">
        <f t="shared" si="1"/>
        <v>0</v>
      </c>
      <c r="L39" s="685">
        <f t="shared" si="2"/>
        <v>0</v>
      </c>
      <c r="M39" s="1045"/>
      <c r="N39" s="1045"/>
      <c r="O39" s="1045"/>
      <c r="P39" s="175"/>
      <c r="Q39" s="1031" t="str">
        <f t="shared" si="3"/>
        <v/>
      </c>
      <c r="R39" s="1032" t="str">
        <f>IF(H39="","",IF(C39="Efficiency",Q39/($O$6*VLOOKUP(0,'DCA Underwriting Assumptions'!$J$146:$K$151,2,FALSE)),Q39/($O$6*VLOOKUP(C39,'DCA Underwriting Assumptions'!$J$146:$K$151,2,FALSE))))</f>
        <v/>
      </c>
      <c r="S39" s="1103"/>
      <c r="T39" s="1104"/>
      <c r="U39" s="3505"/>
      <c r="V39" s="3507"/>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24"/>
      <c r="C40" s="172"/>
      <c r="D40" s="173"/>
      <c r="E40" s="174"/>
      <c r="F40" s="174"/>
      <c r="G40" s="174"/>
      <c r="H40" s="174"/>
      <c r="I40" s="1127">
        <f>IF(C40="",0,HLOOKUP(C40,'Part V-Utility Allowances'!$I$11:$M$22,12))</f>
        <v>0</v>
      </c>
      <c r="J40" s="953"/>
      <c r="K40" s="685">
        <f t="shared" si="1"/>
        <v>0</v>
      </c>
      <c r="L40" s="685">
        <f t="shared" si="2"/>
        <v>0</v>
      </c>
      <c r="M40" s="1045"/>
      <c r="N40" s="1045"/>
      <c r="O40" s="1045"/>
      <c r="P40" s="175"/>
      <c r="Q40" s="1031" t="str">
        <f t="shared" si="3"/>
        <v/>
      </c>
      <c r="R40" s="1032" t="str">
        <f>IF(H40="","",IF(C40="Efficiency",Q40/($O$6*VLOOKUP(0,'DCA Underwriting Assumptions'!$J$146:$K$151,2,FALSE)),Q40/($O$6*VLOOKUP(C40,'DCA Underwriting Assumptions'!$J$146:$K$151,2,FALSE))))</f>
        <v/>
      </c>
      <c r="S40" s="1103"/>
      <c r="T40" s="1104"/>
      <c r="U40" s="3505"/>
      <c r="V40" s="3507"/>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24"/>
      <c r="C41" s="172"/>
      <c r="D41" s="173"/>
      <c r="E41" s="174"/>
      <c r="F41" s="174"/>
      <c r="G41" s="174"/>
      <c r="H41" s="174"/>
      <c r="I41" s="1127">
        <f>IF(C41="",0,HLOOKUP(C41,'Part V-Utility Allowances'!$I$11:$M$22,12))</f>
        <v>0</v>
      </c>
      <c r="J41" s="953"/>
      <c r="K41" s="685">
        <f t="shared" si="1"/>
        <v>0</v>
      </c>
      <c r="L41" s="685">
        <f t="shared" si="2"/>
        <v>0</v>
      </c>
      <c r="M41" s="1045"/>
      <c r="N41" s="1045"/>
      <c r="O41" s="1045"/>
      <c r="P41" s="175"/>
      <c r="Q41" s="1031" t="str">
        <f t="shared" si="3"/>
        <v/>
      </c>
      <c r="R41" s="1032" t="str">
        <f>IF(H41="","",IF(C41="Efficiency",Q41/($O$6*VLOOKUP(0,'DCA Underwriting Assumptions'!$J$146:$K$151,2,FALSE)),Q41/($O$6*VLOOKUP(C41,'DCA Underwriting Assumptions'!$J$146:$K$151,2,FALSE))))</f>
        <v/>
      </c>
      <c r="S41" s="1103"/>
      <c r="T41" s="1104"/>
      <c r="U41" s="3505"/>
      <c r="V41" s="3507"/>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24"/>
      <c r="C42" s="172"/>
      <c r="D42" s="173"/>
      <c r="E42" s="174"/>
      <c r="F42" s="174"/>
      <c r="G42" s="174"/>
      <c r="H42" s="174"/>
      <c r="I42" s="1127">
        <f>IF(C42="",0,HLOOKUP(C42,'Part V-Utility Allowances'!$I$11:$M$22,12))</f>
        <v>0</v>
      </c>
      <c r="J42" s="953"/>
      <c r="K42" s="685">
        <f t="shared" si="1"/>
        <v>0</v>
      </c>
      <c r="L42" s="685">
        <f t="shared" si="2"/>
        <v>0</v>
      </c>
      <c r="M42" s="1045"/>
      <c r="N42" s="1045"/>
      <c r="O42" s="1045"/>
      <c r="P42" s="175"/>
      <c r="Q42" s="1031" t="str">
        <f t="shared" si="3"/>
        <v/>
      </c>
      <c r="R42" s="1032" t="str">
        <f>IF(H42="","",IF(C42="Efficiency",Q42/($O$6*VLOOKUP(0,'DCA Underwriting Assumptions'!$J$146:$K$151,2,FALSE)),Q42/($O$6*VLOOKUP(C42,'DCA Underwriting Assumptions'!$J$146:$K$151,2,FALSE))))</f>
        <v/>
      </c>
      <c r="S42" s="1103"/>
      <c r="T42" s="1104"/>
      <c r="U42" s="3505"/>
      <c r="V42" s="3507"/>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24"/>
      <c r="C43" s="172"/>
      <c r="D43" s="173"/>
      <c r="E43" s="174"/>
      <c r="F43" s="174"/>
      <c r="G43" s="174"/>
      <c r="H43" s="174"/>
      <c r="I43" s="1127">
        <f>IF(C43="",0,HLOOKUP(C43,'Part V-Utility Allowances'!$I$11:$M$22,12))</f>
        <v>0</v>
      </c>
      <c r="J43" s="953"/>
      <c r="K43" s="685">
        <f t="shared" si="1"/>
        <v>0</v>
      </c>
      <c r="L43" s="685">
        <f t="shared" si="2"/>
        <v>0</v>
      </c>
      <c r="M43" s="1045"/>
      <c r="N43" s="1045"/>
      <c r="O43" s="1045"/>
      <c r="P43" s="175"/>
      <c r="Q43" s="1031" t="str">
        <f t="shared" si="3"/>
        <v/>
      </c>
      <c r="R43" s="1032" t="str">
        <f>IF(H43="","",IF(C43="Efficiency",Q43/($O$6*VLOOKUP(0,'DCA Underwriting Assumptions'!$J$146:$K$151,2,FALSE)),Q43/($O$6*VLOOKUP(C43,'DCA Underwriting Assumptions'!$J$146:$K$151,2,FALSE))))</f>
        <v/>
      </c>
      <c r="S43" s="1103"/>
      <c r="T43" s="1104"/>
      <c r="U43" s="3505"/>
      <c r="V43" s="3507"/>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24"/>
      <c r="C44" s="172"/>
      <c r="D44" s="173"/>
      <c r="E44" s="174"/>
      <c r="F44" s="174"/>
      <c r="G44" s="174"/>
      <c r="H44" s="174"/>
      <c r="I44" s="1127">
        <f>IF(C44="",0,HLOOKUP(C44,'Part V-Utility Allowances'!$I$11:$M$22,12))</f>
        <v>0</v>
      </c>
      <c r="J44" s="953"/>
      <c r="K44" s="685">
        <f t="shared" si="1"/>
        <v>0</v>
      </c>
      <c r="L44" s="685">
        <f t="shared" si="2"/>
        <v>0</v>
      </c>
      <c r="M44" s="1045"/>
      <c r="N44" s="1045"/>
      <c r="O44" s="1045"/>
      <c r="P44" s="175"/>
      <c r="Q44" s="1031" t="str">
        <f t="shared" si="3"/>
        <v/>
      </c>
      <c r="R44" s="1032" t="str">
        <f>IF(H44="","",IF(C44="Efficiency",Q44/($O$6*VLOOKUP(0,'DCA Underwriting Assumptions'!$J$146:$K$151,2,FALSE)),Q44/($O$6*VLOOKUP(C44,'DCA Underwriting Assumptions'!$J$146:$K$151,2,FALSE))))</f>
        <v/>
      </c>
      <c r="S44" s="1103"/>
      <c r="T44" s="1104"/>
      <c r="U44" s="3505"/>
      <c r="V44" s="3507"/>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24"/>
      <c r="C45" s="172"/>
      <c r="D45" s="173"/>
      <c r="E45" s="174"/>
      <c r="F45" s="174"/>
      <c r="G45" s="174"/>
      <c r="H45" s="174"/>
      <c r="I45" s="1127">
        <f>IF(C45="",0,HLOOKUP(C45,'Part V-Utility Allowances'!$I$11:$M$22,12))</f>
        <v>0</v>
      </c>
      <c r="J45" s="953"/>
      <c r="K45" s="685">
        <f t="shared" si="1"/>
        <v>0</v>
      </c>
      <c r="L45" s="685">
        <f t="shared" si="2"/>
        <v>0</v>
      </c>
      <c r="M45" s="1045"/>
      <c r="N45" s="1045"/>
      <c r="O45" s="1045"/>
      <c r="P45" s="175"/>
      <c r="Q45" s="1031" t="str">
        <f t="shared" si="3"/>
        <v/>
      </c>
      <c r="R45" s="1032" t="str">
        <f>IF(H45="","",IF(C45="Efficiency",Q45/($O$6*VLOOKUP(0,'DCA Underwriting Assumptions'!$J$146:$K$151,2,FALSE)),Q45/($O$6*VLOOKUP(C45,'DCA Underwriting Assumptions'!$J$146:$K$151,2,FALSE))))</f>
        <v/>
      </c>
      <c r="S45" s="1103"/>
      <c r="T45" s="1104"/>
      <c r="U45" s="3505"/>
      <c r="V45" s="3507"/>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24"/>
      <c r="C46" s="172"/>
      <c r="D46" s="173"/>
      <c r="E46" s="174"/>
      <c r="F46" s="174"/>
      <c r="G46" s="174"/>
      <c r="H46" s="174"/>
      <c r="I46" s="1127">
        <f>IF(C46="",0,HLOOKUP(C46,'Part V-Utility Allowances'!$I$11:$M$22,12))</f>
        <v>0</v>
      </c>
      <c r="J46" s="953"/>
      <c r="K46" s="685">
        <f t="shared" si="1"/>
        <v>0</v>
      </c>
      <c r="L46" s="685">
        <f t="shared" si="2"/>
        <v>0</v>
      </c>
      <c r="M46" s="1045"/>
      <c r="N46" s="1045"/>
      <c r="O46" s="1045"/>
      <c r="P46" s="175"/>
      <c r="Q46" s="1031" t="str">
        <f t="shared" si="3"/>
        <v/>
      </c>
      <c r="R46" s="1032" t="str">
        <f>IF(H46="","",IF(C46="Efficiency",Q46/($O$6*VLOOKUP(0,'DCA Underwriting Assumptions'!$J$146:$K$151,2,FALSE)),Q46/($O$6*VLOOKUP(C46,'DCA Underwriting Assumptions'!$J$146:$K$151,2,FALSE))))</f>
        <v/>
      </c>
      <c r="S46" s="1103"/>
      <c r="T46" s="1104"/>
      <c r="U46" s="3505"/>
      <c r="V46" s="3507"/>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25"/>
      <c r="C47" s="176"/>
      <c r="D47" s="177"/>
      <c r="E47" s="178"/>
      <c r="F47" s="178"/>
      <c r="G47" s="178"/>
      <c r="H47" s="178"/>
      <c r="I47" s="1128">
        <f>IF(C47="",0,HLOOKUP(C47,'Part V-Utility Allowances'!$I$11:$M$22,12))</f>
        <v>0</v>
      </c>
      <c r="J47" s="954"/>
      <c r="K47" s="686">
        <f t="shared" si="1"/>
        <v>0</v>
      </c>
      <c r="L47" s="686">
        <f t="shared" si="2"/>
        <v>0</v>
      </c>
      <c r="M47" s="1046"/>
      <c r="N47" s="1046"/>
      <c r="O47" s="1046"/>
      <c r="P47" s="179"/>
      <c r="Q47" s="1033" t="str">
        <f t="shared" si="3"/>
        <v/>
      </c>
      <c r="R47" s="1034" t="str">
        <f>IF(H47="","",IF(C47="Efficiency",Q47/($O$6*VLOOKUP(0,'DCA Underwriting Assumptions'!$J$146:$K$151,2,FALSE)),Q47/($O$6*VLOOKUP(C47,'DCA Underwriting Assumptions'!$J$146:$K$151,2,FALSE))))</f>
        <v/>
      </c>
      <c r="S47" s="1105"/>
      <c r="T47" s="1106"/>
      <c r="U47" s="3509"/>
      <c r="V47" s="3511"/>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11">
        <f>COUNT(A10,A11,A12,A13,A14,A15,A16,A17,A18,A19,A20,A21,A22,A23,A24,A25,A26,A27,A28,A29,A30,A31,A32,A33,A34,A35,A36,A37,A38,A39)</f>
        <v>0</v>
      </c>
      <c r="B48" s="3564" t="s">
        <v>4714</v>
      </c>
      <c r="C48" s="3565"/>
      <c r="D48" s="142" t="s">
        <v>1018</v>
      </c>
      <c r="E48" s="2316">
        <f>SUM(E10:E47)</f>
        <v>84</v>
      </c>
      <c r="F48" s="2314">
        <f>(E10*F10+E11*F11+E12*F12+E13*F13+E14*F14+E15*F15+E16*F16+E17*F17+E18*F18+E19*F19+E20*F20+E21*F21+E22*F22+E23*F23+E24*F24+E25*F25+E26*F26+E27*F27+E28*F28+E29*F29+E30*F30+E31*F31+E32*F32+E33*F33+E34*F34+E35*F35+E36*F36+E37*F37+E38*F38+E39*F39+E40*F40+E41*F41+E42*F42+E43*F43+E44*F44+E45*F45+E46*F46+E47*F47)</f>
        <v>85704</v>
      </c>
      <c r="G48" s="3515" t="s">
        <v>4711</v>
      </c>
      <c r="H48" s="2317" t="s">
        <v>4712</v>
      </c>
      <c r="I48" s="2318" t="str">
        <f>IF(O67=0,"",IF(SUM(O56:O62)/O67&gt;=0.4,"Pass","Fail"))</f>
        <v>Pass</v>
      </c>
      <c r="J48" s="659"/>
      <c r="K48" s="1049" t="s">
        <v>1302</v>
      </c>
      <c r="L48" s="127">
        <f>SUM(L10:L47)</f>
        <v>77840</v>
      </c>
      <c r="M48" s="96"/>
      <c r="N48" s="660"/>
      <c r="O48" s="96"/>
      <c r="P48" s="533"/>
      <c r="Q48" s="533"/>
      <c r="R48" s="533"/>
      <c r="S48" s="533"/>
      <c r="T48" s="533"/>
      <c r="U48" s="1020"/>
      <c r="V48" s="661"/>
      <c r="W48" s="2714">
        <f t="shared" ref="W48:EZ48" si="339">SUM(W10:W47)</f>
        <v>0</v>
      </c>
      <c r="X48" s="2714">
        <f t="shared" si="339"/>
        <v>0</v>
      </c>
      <c r="Y48" s="2714">
        <f t="shared" si="339"/>
        <v>0</v>
      </c>
      <c r="Z48" s="2714">
        <f t="shared" si="339"/>
        <v>0</v>
      </c>
      <c r="AA48" s="2714">
        <f t="shared" si="339"/>
        <v>0</v>
      </c>
      <c r="AB48" s="2714">
        <f t="shared" ref="AB48:AK48" si="340">SUM(AB10:AB47)</f>
        <v>0</v>
      </c>
      <c r="AC48" s="2714">
        <f t="shared" si="340"/>
        <v>0</v>
      </c>
      <c r="AD48" s="2714">
        <f t="shared" si="340"/>
        <v>0</v>
      </c>
      <c r="AE48" s="2714">
        <f t="shared" si="340"/>
        <v>0</v>
      </c>
      <c r="AF48" s="2714">
        <f t="shared" si="340"/>
        <v>0</v>
      </c>
      <c r="AG48" s="2714">
        <f t="shared" si="340"/>
        <v>0</v>
      </c>
      <c r="AH48" s="2714">
        <f t="shared" si="340"/>
        <v>12</v>
      </c>
      <c r="AI48" s="2714">
        <f t="shared" si="340"/>
        <v>56</v>
      </c>
      <c r="AJ48" s="2714">
        <f t="shared" si="340"/>
        <v>8</v>
      </c>
      <c r="AK48" s="2714">
        <f t="shared" si="340"/>
        <v>8</v>
      </c>
      <c r="AL48" s="2714">
        <f>SUM(AL10:AL47)</f>
        <v>0</v>
      </c>
      <c r="AM48" s="2714">
        <f>SUM(AM10:AM47)</f>
        <v>0</v>
      </c>
      <c r="AN48" s="2714">
        <f>SUM(AN10:AN47)</f>
        <v>0</v>
      </c>
      <c r="AO48" s="2714">
        <f>SUM(AO10:AO47)</f>
        <v>0</v>
      </c>
      <c r="AP48" s="2714">
        <f>SUM(AP10:AP47)</f>
        <v>0</v>
      </c>
      <c r="AQ48" s="2714">
        <f t="shared" si="339"/>
        <v>0</v>
      </c>
      <c r="AR48" s="2714">
        <f t="shared" si="339"/>
        <v>0</v>
      </c>
      <c r="AS48" s="2714">
        <f t="shared" si="339"/>
        <v>0</v>
      </c>
      <c r="AT48" s="2714">
        <f t="shared" si="339"/>
        <v>0</v>
      </c>
      <c r="AU48" s="2714">
        <f t="shared" si="339"/>
        <v>0</v>
      </c>
      <c r="AV48" s="2714">
        <f t="shared" si="339"/>
        <v>0</v>
      </c>
      <c r="AW48" s="2714">
        <f t="shared" si="339"/>
        <v>0</v>
      </c>
      <c r="AX48" s="2714">
        <f t="shared" si="339"/>
        <v>0</v>
      </c>
      <c r="AY48" s="2714">
        <f t="shared" si="339"/>
        <v>0</v>
      </c>
      <c r="AZ48" s="2714">
        <f t="shared" si="339"/>
        <v>0</v>
      </c>
      <c r="BA48" s="2714">
        <f>SUM(BA10:BA47)</f>
        <v>0</v>
      </c>
      <c r="BB48" s="2714">
        <f>SUM(BB10:BB47)</f>
        <v>0</v>
      </c>
      <c r="BC48" s="2714">
        <f>SUM(BC10:BC47)</f>
        <v>0</v>
      </c>
      <c r="BD48" s="2714">
        <f>SUM(BD10:BD47)</f>
        <v>0</v>
      </c>
      <c r="BE48" s="2714">
        <f>SUM(BE10:BE47)</f>
        <v>0</v>
      </c>
      <c r="BF48" s="2714">
        <f t="shared" si="339"/>
        <v>0</v>
      </c>
      <c r="BG48" s="2714">
        <f t="shared" si="339"/>
        <v>0</v>
      </c>
      <c r="BH48" s="2714">
        <f t="shared" si="339"/>
        <v>0</v>
      </c>
      <c r="BI48" s="2714">
        <f t="shared" si="339"/>
        <v>0</v>
      </c>
      <c r="BJ48" s="2714">
        <f t="shared" si="339"/>
        <v>0</v>
      </c>
      <c r="BK48" s="2714">
        <f>SUM(BK10:BK47)</f>
        <v>0</v>
      </c>
      <c r="BL48" s="2714">
        <f>SUM(BL10:BL47)</f>
        <v>0</v>
      </c>
      <c r="BM48" s="2714">
        <f>SUM(BM10:BM47)</f>
        <v>0</v>
      </c>
      <c r="BN48" s="2714">
        <f>SUM(BN10:BN47)</f>
        <v>0</v>
      </c>
      <c r="BO48" s="2714">
        <f>SUM(BO10:BO47)</f>
        <v>0</v>
      </c>
      <c r="BP48" s="2714">
        <f t="shared" si="339"/>
        <v>0</v>
      </c>
      <c r="BQ48" s="2714">
        <f t="shared" si="339"/>
        <v>0</v>
      </c>
      <c r="BR48" s="2714">
        <f t="shared" si="339"/>
        <v>0</v>
      </c>
      <c r="BS48" s="2714">
        <f t="shared" si="339"/>
        <v>0</v>
      </c>
      <c r="BT48" s="2714">
        <f t="shared" si="339"/>
        <v>0</v>
      </c>
      <c r="BU48" s="2714">
        <f>SUM(BU10:BU47)</f>
        <v>0</v>
      </c>
      <c r="BV48" s="2714">
        <f>SUM(BV10:BV47)</f>
        <v>0</v>
      </c>
      <c r="BW48" s="2714">
        <f>SUM(BW10:BW47)</f>
        <v>0</v>
      </c>
      <c r="BX48" s="2714">
        <f>SUM(BX10:BX47)</f>
        <v>0</v>
      </c>
      <c r="BY48" s="2714">
        <f>SUM(BY10:BY47)</f>
        <v>0</v>
      </c>
      <c r="BZ48" s="2714">
        <f t="shared" si="339"/>
        <v>0</v>
      </c>
      <c r="CA48" s="2714">
        <f t="shared" si="339"/>
        <v>0</v>
      </c>
      <c r="CB48" s="2714">
        <f t="shared" si="339"/>
        <v>0</v>
      </c>
      <c r="CC48" s="2714">
        <f t="shared" si="339"/>
        <v>0</v>
      </c>
      <c r="CD48" s="2714">
        <f t="shared" si="339"/>
        <v>0</v>
      </c>
      <c r="CE48" s="2714">
        <f t="shared" si="339"/>
        <v>0</v>
      </c>
      <c r="CF48" s="2714">
        <f t="shared" si="339"/>
        <v>0</v>
      </c>
      <c r="CG48" s="2714">
        <f t="shared" si="339"/>
        <v>0</v>
      </c>
      <c r="CH48" s="2714">
        <f t="shared" si="339"/>
        <v>0</v>
      </c>
      <c r="CI48" s="2714">
        <f t="shared" si="339"/>
        <v>0</v>
      </c>
      <c r="CJ48" s="2714">
        <f>SUM(CJ10:CJ47)</f>
        <v>0</v>
      </c>
      <c r="CK48" s="2714">
        <f>SUM(CK10:CK47)</f>
        <v>0</v>
      </c>
      <c r="CL48" s="2714">
        <f>SUM(CL10:CL47)</f>
        <v>0</v>
      </c>
      <c r="CM48" s="2714">
        <f>SUM(CM10:CM47)</f>
        <v>0</v>
      </c>
      <c r="CN48" s="2714">
        <f>SUM(CN10:CN47)</f>
        <v>0</v>
      </c>
      <c r="CO48" s="2714">
        <f t="shared" ref="CO48:CX48" si="341">SUM(CO10:CO47)</f>
        <v>0</v>
      </c>
      <c r="CP48" s="2714">
        <f t="shared" si="341"/>
        <v>0</v>
      </c>
      <c r="CQ48" s="2714">
        <f t="shared" si="341"/>
        <v>0</v>
      </c>
      <c r="CR48" s="2714">
        <f t="shared" si="341"/>
        <v>0</v>
      </c>
      <c r="CS48" s="2714">
        <f t="shared" si="341"/>
        <v>0</v>
      </c>
      <c r="CT48" s="2714">
        <f t="shared" si="341"/>
        <v>0</v>
      </c>
      <c r="CU48" s="2714">
        <f t="shared" si="341"/>
        <v>0</v>
      </c>
      <c r="CV48" s="2714">
        <f t="shared" si="341"/>
        <v>0</v>
      </c>
      <c r="CW48" s="2714">
        <f t="shared" si="341"/>
        <v>0</v>
      </c>
      <c r="CX48" s="2714">
        <f t="shared" si="341"/>
        <v>0</v>
      </c>
      <c r="CY48" s="2714">
        <f t="shared" si="339"/>
        <v>0</v>
      </c>
      <c r="CZ48" s="2714">
        <f t="shared" si="339"/>
        <v>0</v>
      </c>
      <c r="DA48" s="2714">
        <f t="shared" si="339"/>
        <v>0</v>
      </c>
      <c r="DB48" s="2714">
        <f t="shared" si="339"/>
        <v>0</v>
      </c>
      <c r="DC48" s="2714">
        <f t="shared" si="339"/>
        <v>0</v>
      </c>
      <c r="DD48" s="2714">
        <f t="shared" si="339"/>
        <v>0</v>
      </c>
      <c r="DE48" s="2714">
        <f t="shared" si="339"/>
        <v>0</v>
      </c>
      <c r="DF48" s="2714">
        <f t="shared" si="339"/>
        <v>0</v>
      </c>
      <c r="DG48" s="2714">
        <f t="shared" si="339"/>
        <v>0</v>
      </c>
      <c r="DH48" s="2714">
        <f t="shared" si="339"/>
        <v>0</v>
      </c>
      <c r="DI48" s="2714">
        <f t="shared" si="339"/>
        <v>0</v>
      </c>
      <c r="DJ48" s="2714">
        <f t="shared" si="339"/>
        <v>0</v>
      </c>
      <c r="DK48" s="2714">
        <f t="shared" si="339"/>
        <v>0</v>
      </c>
      <c r="DL48" s="2714">
        <f t="shared" si="339"/>
        <v>0</v>
      </c>
      <c r="DM48" s="2714">
        <f t="shared" si="339"/>
        <v>0</v>
      </c>
      <c r="DN48" s="2714">
        <f t="shared" si="339"/>
        <v>0</v>
      </c>
      <c r="DO48" s="2714">
        <f t="shared" si="339"/>
        <v>0</v>
      </c>
      <c r="DP48" s="2714">
        <f t="shared" si="339"/>
        <v>0</v>
      </c>
      <c r="DQ48" s="2714">
        <f t="shared" si="339"/>
        <v>0</v>
      </c>
      <c r="DR48" s="2714">
        <f t="shared" si="339"/>
        <v>0</v>
      </c>
      <c r="DS48" s="2714">
        <f t="shared" ref="DS48:EB48" si="342">SUM(DS10:DS47)</f>
        <v>0</v>
      </c>
      <c r="DT48" s="2714">
        <f t="shared" si="342"/>
        <v>0</v>
      </c>
      <c r="DU48" s="2714">
        <f t="shared" si="342"/>
        <v>0</v>
      </c>
      <c r="DV48" s="2714">
        <f t="shared" si="342"/>
        <v>0</v>
      </c>
      <c r="DW48" s="2714">
        <f t="shared" si="342"/>
        <v>0</v>
      </c>
      <c r="DX48" s="2714">
        <f t="shared" si="342"/>
        <v>0</v>
      </c>
      <c r="DY48" s="2714">
        <f t="shared" si="342"/>
        <v>0</v>
      </c>
      <c r="DZ48" s="2714">
        <f t="shared" si="342"/>
        <v>0</v>
      </c>
      <c r="EA48" s="2714">
        <f t="shared" si="342"/>
        <v>0</v>
      </c>
      <c r="EB48" s="2714">
        <f t="shared" si="342"/>
        <v>0</v>
      </c>
      <c r="EC48" s="2714">
        <f t="shared" si="339"/>
        <v>0</v>
      </c>
      <c r="ED48" s="2714">
        <f t="shared" si="339"/>
        <v>0</v>
      </c>
      <c r="EE48" s="2714">
        <f t="shared" si="339"/>
        <v>0</v>
      </c>
      <c r="EF48" s="2714">
        <f t="shared" si="339"/>
        <v>0</v>
      </c>
      <c r="EG48" s="2714">
        <f t="shared" si="339"/>
        <v>0</v>
      </c>
      <c r="EH48" s="2714">
        <f t="shared" si="339"/>
        <v>0</v>
      </c>
      <c r="EI48" s="2714">
        <f t="shared" si="339"/>
        <v>0</v>
      </c>
      <c r="EJ48" s="2714">
        <f t="shared" si="339"/>
        <v>0</v>
      </c>
      <c r="EK48" s="2714">
        <f t="shared" si="339"/>
        <v>0</v>
      </c>
      <c r="EL48" s="2714">
        <f t="shared" si="339"/>
        <v>0</v>
      </c>
      <c r="EM48" s="2714">
        <f t="shared" ref="EM48:EV48" si="343">SUM(EM10:EM47)</f>
        <v>0</v>
      </c>
      <c r="EN48" s="2714">
        <f t="shared" si="343"/>
        <v>0</v>
      </c>
      <c r="EO48" s="2714">
        <f t="shared" si="343"/>
        <v>0</v>
      </c>
      <c r="EP48" s="2714">
        <f t="shared" si="343"/>
        <v>0</v>
      </c>
      <c r="EQ48" s="2714">
        <f t="shared" si="343"/>
        <v>0</v>
      </c>
      <c r="ER48" s="2714">
        <f t="shared" si="343"/>
        <v>0</v>
      </c>
      <c r="ES48" s="2714">
        <f t="shared" si="343"/>
        <v>9440</v>
      </c>
      <c r="ET48" s="2714">
        <f t="shared" si="343"/>
        <v>54936</v>
      </c>
      <c r="EU48" s="2714">
        <f t="shared" si="343"/>
        <v>9848</v>
      </c>
      <c r="EV48" s="2714">
        <f t="shared" si="343"/>
        <v>11480</v>
      </c>
      <c r="EW48" s="2714">
        <f t="shared" si="339"/>
        <v>0</v>
      </c>
      <c r="EX48" s="2714">
        <f t="shared" si="339"/>
        <v>0</v>
      </c>
      <c r="EY48" s="2714">
        <f t="shared" si="339"/>
        <v>0</v>
      </c>
      <c r="EZ48" s="2714">
        <f t="shared" si="339"/>
        <v>0</v>
      </c>
      <c r="FA48" s="2714">
        <f t="shared" ref="FA48:HV48" si="344">SUM(FA10:FA47)</f>
        <v>0</v>
      </c>
      <c r="FB48" s="2714">
        <f>SUM(FB10:FB47)</f>
        <v>0</v>
      </c>
      <c r="FC48" s="2714">
        <f>SUM(FC10:FC47)</f>
        <v>0</v>
      </c>
      <c r="FD48" s="2714">
        <f>SUM(FD10:FD47)</f>
        <v>0</v>
      </c>
      <c r="FE48" s="2714">
        <f>SUM(FE10:FE47)</f>
        <v>0</v>
      </c>
      <c r="FF48" s="2714">
        <f>SUM(FF10:FF47)</f>
        <v>0</v>
      </c>
      <c r="FG48" s="2714">
        <f t="shared" si="344"/>
        <v>0</v>
      </c>
      <c r="FH48" s="2714">
        <f t="shared" si="344"/>
        <v>0</v>
      </c>
      <c r="FI48" s="2714">
        <f t="shared" si="344"/>
        <v>0</v>
      </c>
      <c r="FJ48" s="2714">
        <f t="shared" si="344"/>
        <v>0</v>
      </c>
      <c r="FK48" s="2714">
        <f t="shared" si="344"/>
        <v>0</v>
      </c>
      <c r="FL48" s="2714">
        <f>SUM(FL10:FL47)</f>
        <v>0</v>
      </c>
      <c r="FM48" s="2714">
        <f>SUM(FM10:FM47)</f>
        <v>0</v>
      </c>
      <c r="FN48" s="2714">
        <f>SUM(FN10:FN47)</f>
        <v>0</v>
      </c>
      <c r="FO48" s="2714">
        <f>SUM(FO10:FO47)</f>
        <v>0</v>
      </c>
      <c r="FP48" s="2714">
        <f>SUM(FP10:FP47)</f>
        <v>0</v>
      </c>
      <c r="FQ48" s="2714">
        <f t="shared" si="344"/>
        <v>0</v>
      </c>
      <c r="FR48" s="2714">
        <f t="shared" si="344"/>
        <v>0</v>
      </c>
      <c r="FS48" s="2714">
        <f t="shared" si="344"/>
        <v>0</v>
      </c>
      <c r="FT48" s="2714">
        <f t="shared" si="344"/>
        <v>0</v>
      </c>
      <c r="FU48" s="2714">
        <f t="shared" si="344"/>
        <v>0</v>
      </c>
      <c r="FV48" s="2714">
        <f t="shared" si="344"/>
        <v>0</v>
      </c>
      <c r="FW48" s="2714">
        <f t="shared" si="344"/>
        <v>0</v>
      </c>
      <c r="FX48" s="2714">
        <f t="shared" si="344"/>
        <v>0</v>
      </c>
      <c r="FY48" s="2714">
        <f t="shared" si="344"/>
        <v>0</v>
      </c>
      <c r="FZ48" s="2714">
        <f t="shared" si="344"/>
        <v>0</v>
      </c>
      <c r="GA48" s="2714">
        <f t="shared" si="344"/>
        <v>0</v>
      </c>
      <c r="GB48" s="2714">
        <f t="shared" si="344"/>
        <v>0</v>
      </c>
      <c r="GC48" s="2714">
        <f t="shared" si="344"/>
        <v>0</v>
      </c>
      <c r="GD48" s="2714">
        <f t="shared" si="344"/>
        <v>0</v>
      </c>
      <c r="GE48" s="2714">
        <f t="shared" si="344"/>
        <v>0</v>
      </c>
      <c r="GF48" s="2714">
        <f t="shared" si="344"/>
        <v>0</v>
      </c>
      <c r="GG48" s="2714">
        <f t="shared" si="344"/>
        <v>12</v>
      </c>
      <c r="GH48" s="2714">
        <f t="shared" si="344"/>
        <v>56</v>
      </c>
      <c r="GI48" s="2714">
        <f t="shared" si="344"/>
        <v>8</v>
      </c>
      <c r="GJ48" s="2714">
        <f t="shared" si="344"/>
        <v>8</v>
      </c>
      <c r="GK48" s="2714">
        <f t="shared" si="344"/>
        <v>0</v>
      </c>
      <c r="GL48" s="2714">
        <f t="shared" si="344"/>
        <v>0</v>
      </c>
      <c r="GM48" s="2714">
        <f t="shared" si="344"/>
        <v>0</v>
      </c>
      <c r="GN48" s="2714">
        <f t="shared" si="344"/>
        <v>0</v>
      </c>
      <c r="GO48" s="2714">
        <f t="shared" si="344"/>
        <v>0</v>
      </c>
      <c r="GP48" s="2714">
        <f t="shared" si="344"/>
        <v>0</v>
      </c>
      <c r="GQ48" s="2714">
        <f t="shared" si="344"/>
        <v>0</v>
      </c>
      <c r="GR48" s="2714">
        <f t="shared" si="344"/>
        <v>0</v>
      </c>
      <c r="GS48" s="2714">
        <f t="shared" si="344"/>
        <v>0</v>
      </c>
      <c r="GT48" s="2714">
        <f t="shared" si="344"/>
        <v>0</v>
      </c>
      <c r="GU48" s="2714">
        <f t="shared" si="344"/>
        <v>0</v>
      </c>
      <c r="GV48" s="2714">
        <f t="shared" si="344"/>
        <v>0</v>
      </c>
      <c r="GW48" s="2714">
        <f t="shared" si="344"/>
        <v>0</v>
      </c>
      <c r="GX48" s="2714">
        <f t="shared" si="344"/>
        <v>0</v>
      </c>
      <c r="GY48" s="2714">
        <f t="shared" si="344"/>
        <v>0</v>
      </c>
      <c r="GZ48" s="2714">
        <f t="shared" si="344"/>
        <v>0</v>
      </c>
      <c r="HA48" s="2714">
        <f t="shared" si="344"/>
        <v>0</v>
      </c>
      <c r="HB48" s="2714">
        <f t="shared" si="344"/>
        <v>0</v>
      </c>
      <c r="HC48" s="2714">
        <f t="shared" si="344"/>
        <v>0</v>
      </c>
      <c r="HD48" s="2714">
        <f t="shared" si="344"/>
        <v>0</v>
      </c>
      <c r="HE48" s="2714">
        <f t="shared" si="344"/>
        <v>0</v>
      </c>
      <c r="HF48" s="2714">
        <f t="shared" si="344"/>
        <v>0</v>
      </c>
      <c r="HG48" s="2714">
        <f t="shared" si="344"/>
        <v>0</v>
      </c>
      <c r="HH48" s="2714">
        <f t="shared" si="344"/>
        <v>0</v>
      </c>
      <c r="HI48" s="2714">
        <f t="shared" si="344"/>
        <v>0</v>
      </c>
      <c r="HJ48" s="2714">
        <f t="shared" si="344"/>
        <v>0</v>
      </c>
      <c r="HK48" s="2714">
        <f t="shared" si="344"/>
        <v>0</v>
      </c>
      <c r="HL48" s="2714">
        <f t="shared" si="344"/>
        <v>0</v>
      </c>
      <c r="HM48" s="2714">
        <f t="shared" si="344"/>
        <v>0</v>
      </c>
      <c r="HN48" s="2714">
        <f t="shared" si="344"/>
        <v>0</v>
      </c>
      <c r="HO48" s="2714">
        <f t="shared" si="344"/>
        <v>0</v>
      </c>
      <c r="HP48" s="2714">
        <f t="shared" si="344"/>
        <v>0</v>
      </c>
      <c r="HQ48" s="2714">
        <f t="shared" si="344"/>
        <v>0</v>
      </c>
      <c r="HR48" s="2714">
        <f t="shared" si="344"/>
        <v>0</v>
      </c>
      <c r="HS48" s="2714">
        <f t="shared" si="344"/>
        <v>0</v>
      </c>
      <c r="HT48" s="2714">
        <f t="shared" si="344"/>
        <v>0</v>
      </c>
      <c r="HU48" s="2714">
        <f t="shared" si="344"/>
        <v>0</v>
      </c>
      <c r="HV48" s="2714">
        <f t="shared" si="344"/>
        <v>0</v>
      </c>
      <c r="HW48" s="2714">
        <f t="shared" ref="HW48:KH48" si="345">SUM(HW10:HW47)</f>
        <v>0</v>
      </c>
      <c r="HX48" s="2714">
        <f t="shared" si="345"/>
        <v>0</v>
      </c>
      <c r="HY48" s="2714">
        <f t="shared" si="345"/>
        <v>0</v>
      </c>
      <c r="HZ48" s="2714">
        <f t="shared" si="345"/>
        <v>12</v>
      </c>
      <c r="IA48" s="2714">
        <f t="shared" si="345"/>
        <v>56</v>
      </c>
      <c r="IB48" s="2714">
        <f t="shared" si="345"/>
        <v>8</v>
      </c>
      <c r="IC48" s="2714">
        <f t="shared" si="345"/>
        <v>8</v>
      </c>
      <c r="ID48" s="2714">
        <f t="shared" si="345"/>
        <v>0</v>
      </c>
      <c r="IE48" s="2714">
        <f t="shared" si="345"/>
        <v>0</v>
      </c>
      <c r="IF48" s="2714">
        <f t="shared" si="345"/>
        <v>0</v>
      </c>
      <c r="IG48" s="2714">
        <f t="shared" si="345"/>
        <v>0</v>
      </c>
      <c r="IH48" s="2714">
        <f t="shared" si="345"/>
        <v>0</v>
      </c>
      <c r="II48" s="2714">
        <f t="shared" si="345"/>
        <v>0</v>
      </c>
      <c r="IJ48" s="2714">
        <f t="shared" si="345"/>
        <v>0</v>
      </c>
      <c r="IK48" s="2714">
        <f t="shared" si="345"/>
        <v>0</v>
      </c>
      <c r="IL48" s="2714">
        <f t="shared" si="345"/>
        <v>0</v>
      </c>
      <c r="IM48" s="2714">
        <f t="shared" si="345"/>
        <v>0</v>
      </c>
      <c r="IN48" s="2714">
        <f t="shared" si="345"/>
        <v>0</v>
      </c>
      <c r="IO48" s="2714">
        <f t="shared" si="345"/>
        <v>0</v>
      </c>
      <c r="IP48" s="2714">
        <f t="shared" si="345"/>
        <v>0</v>
      </c>
      <c r="IQ48" s="2714">
        <f t="shared" si="345"/>
        <v>0</v>
      </c>
      <c r="IR48" s="2714">
        <f t="shared" si="345"/>
        <v>0</v>
      </c>
      <c r="IS48" s="2714">
        <f t="shared" si="345"/>
        <v>0</v>
      </c>
      <c r="IT48" s="2714">
        <f t="shared" si="345"/>
        <v>0</v>
      </c>
      <c r="IU48" s="2714">
        <f t="shared" si="345"/>
        <v>0</v>
      </c>
      <c r="IV48" s="2714">
        <f t="shared" si="345"/>
        <v>0</v>
      </c>
      <c r="IW48" s="2714">
        <f t="shared" si="345"/>
        <v>0</v>
      </c>
      <c r="IX48" s="2714">
        <f t="shared" si="345"/>
        <v>0</v>
      </c>
      <c r="IY48" s="2714">
        <f t="shared" si="345"/>
        <v>0</v>
      </c>
      <c r="IZ48" s="2714">
        <f t="shared" si="345"/>
        <v>0</v>
      </c>
      <c r="JA48" s="2714">
        <f t="shared" si="345"/>
        <v>0</v>
      </c>
      <c r="JB48" s="2714">
        <f t="shared" si="345"/>
        <v>0</v>
      </c>
      <c r="JC48" s="2714">
        <f t="shared" si="345"/>
        <v>0</v>
      </c>
      <c r="JD48" s="2714">
        <f t="shared" si="345"/>
        <v>0</v>
      </c>
      <c r="JE48" s="2714">
        <f t="shared" si="345"/>
        <v>0</v>
      </c>
      <c r="JF48" s="2714">
        <f t="shared" si="345"/>
        <v>0</v>
      </c>
      <c r="JG48" s="2714">
        <f t="shared" si="345"/>
        <v>0</v>
      </c>
      <c r="JH48" s="2714">
        <f t="shared" si="345"/>
        <v>0</v>
      </c>
      <c r="JI48" s="2714">
        <f t="shared" si="345"/>
        <v>0</v>
      </c>
      <c r="JJ48" s="2714">
        <f t="shared" si="345"/>
        <v>0</v>
      </c>
      <c r="JK48" s="2714">
        <f t="shared" si="345"/>
        <v>0</v>
      </c>
      <c r="JL48" s="2714">
        <f t="shared" si="345"/>
        <v>0</v>
      </c>
      <c r="JM48" s="2714">
        <f t="shared" si="345"/>
        <v>0</v>
      </c>
      <c r="JN48" s="2714">
        <f t="shared" si="345"/>
        <v>0</v>
      </c>
      <c r="JO48" s="2714">
        <f t="shared" si="345"/>
        <v>0</v>
      </c>
      <c r="JP48" s="2714">
        <f t="shared" si="345"/>
        <v>0</v>
      </c>
      <c r="JQ48" s="2714">
        <f t="shared" si="345"/>
        <v>0</v>
      </c>
      <c r="JR48" s="2714">
        <f t="shared" si="345"/>
        <v>0</v>
      </c>
      <c r="JS48" s="2714">
        <f t="shared" si="345"/>
        <v>0</v>
      </c>
      <c r="JT48" s="2714">
        <f t="shared" si="345"/>
        <v>0</v>
      </c>
      <c r="JU48" s="2714">
        <f t="shared" si="345"/>
        <v>0</v>
      </c>
      <c r="JV48" s="2714">
        <f t="shared" si="345"/>
        <v>0</v>
      </c>
      <c r="JW48" s="2714">
        <f t="shared" si="345"/>
        <v>0</v>
      </c>
      <c r="JX48" s="2714">
        <f t="shared" si="345"/>
        <v>0</v>
      </c>
      <c r="JY48" s="2714">
        <f t="shared" si="345"/>
        <v>0</v>
      </c>
      <c r="JZ48" s="2714">
        <f t="shared" si="345"/>
        <v>0</v>
      </c>
      <c r="KA48" s="2714">
        <f t="shared" si="345"/>
        <v>0</v>
      </c>
      <c r="KB48" s="2714">
        <f t="shared" si="345"/>
        <v>0</v>
      </c>
      <c r="KC48" s="2714">
        <f t="shared" si="345"/>
        <v>0</v>
      </c>
      <c r="KD48" s="2714">
        <f t="shared" si="345"/>
        <v>0</v>
      </c>
      <c r="KE48" s="2714">
        <f t="shared" si="345"/>
        <v>0</v>
      </c>
      <c r="KF48" s="2714">
        <f t="shared" si="345"/>
        <v>0</v>
      </c>
      <c r="KG48" s="2714">
        <f t="shared" si="345"/>
        <v>0</v>
      </c>
      <c r="KH48" s="2714">
        <f t="shared" si="345"/>
        <v>0</v>
      </c>
      <c r="KI48" s="2714">
        <f t="shared" ref="KI48:MT48" si="346">SUM(KI10:KI47)</f>
        <v>0</v>
      </c>
      <c r="KJ48" s="2714">
        <f t="shared" si="346"/>
        <v>0</v>
      </c>
      <c r="KK48" s="2714">
        <f t="shared" si="346"/>
        <v>0</v>
      </c>
      <c r="KL48" s="2714">
        <f t="shared" si="346"/>
        <v>0</v>
      </c>
      <c r="KM48" s="2714">
        <f t="shared" si="346"/>
        <v>0</v>
      </c>
      <c r="KN48" s="2714">
        <f t="shared" si="346"/>
        <v>0</v>
      </c>
      <c r="KO48" s="2714">
        <f t="shared" si="346"/>
        <v>0</v>
      </c>
      <c r="KP48" s="2714">
        <f t="shared" si="346"/>
        <v>0</v>
      </c>
      <c r="KQ48" s="2714">
        <f t="shared" si="346"/>
        <v>0</v>
      </c>
      <c r="KR48" s="2714">
        <f t="shared" si="346"/>
        <v>0</v>
      </c>
      <c r="KS48" s="2714">
        <f t="shared" si="346"/>
        <v>0</v>
      </c>
      <c r="KT48" s="2714">
        <f t="shared" si="346"/>
        <v>0</v>
      </c>
      <c r="KU48" s="2714">
        <f t="shared" si="346"/>
        <v>0</v>
      </c>
      <c r="KV48" s="2714">
        <f t="shared" si="346"/>
        <v>0</v>
      </c>
      <c r="KW48" s="2714">
        <f t="shared" si="346"/>
        <v>12</v>
      </c>
      <c r="KX48" s="2714">
        <f t="shared" si="346"/>
        <v>56</v>
      </c>
      <c r="KY48" s="2714">
        <f t="shared" si="346"/>
        <v>8</v>
      </c>
      <c r="KZ48" s="2714">
        <f t="shared" si="346"/>
        <v>8</v>
      </c>
      <c r="LA48" s="2714">
        <f t="shared" si="346"/>
        <v>0</v>
      </c>
      <c r="LB48" s="2714">
        <f t="shared" si="346"/>
        <v>0</v>
      </c>
      <c r="LC48" s="2714">
        <f t="shared" si="346"/>
        <v>0</v>
      </c>
      <c r="LD48" s="2714">
        <f t="shared" si="346"/>
        <v>0</v>
      </c>
      <c r="LE48" s="2714">
        <f t="shared" si="346"/>
        <v>0</v>
      </c>
      <c r="LF48" s="2714">
        <f t="shared" si="346"/>
        <v>0</v>
      </c>
      <c r="LG48" s="2714">
        <f t="shared" si="346"/>
        <v>0</v>
      </c>
      <c r="LH48" s="2714">
        <f t="shared" si="346"/>
        <v>0</v>
      </c>
      <c r="LI48" s="2714">
        <f t="shared" si="346"/>
        <v>0</v>
      </c>
      <c r="LJ48" s="2714">
        <f t="shared" si="346"/>
        <v>0</v>
      </c>
      <c r="LK48" s="2714">
        <f t="shared" si="346"/>
        <v>0</v>
      </c>
      <c r="LL48" s="2714">
        <f t="shared" si="346"/>
        <v>0</v>
      </c>
      <c r="LM48" s="2714">
        <f t="shared" si="346"/>
        <v>0</v>
      </c>
      <c r="LN48" s="2714">
        <f t="shared" si="346"/>
        <v>0</v>
      </c>
      <c r="LO48" s="2714">
        <f t="shared" si="346"/>
        <v>0</v>
      </c>
      <c r="LP48" s="2714">
        <f t="shared" si="346"/>
        <v>0</v>
      </c>
      <c r="LQ48" s="2714">
        <f t="shared" si="346"/>
        <v>0</v>
      </c>
      <c r="LR48" s="2714">
        <f t="shared" si="346"/>
        <v>0</v>
      </c>
      <c r="LS48" s="2714">
        <f t="shared" si="346"/>
        <v>0</v>
      </c>
      <c r="LT48" s="2714">
        <f t="shared" si="346"/>
        <v>0</v>
      </c>
      <c r="LU48" s="2714">
        <f t="shared" si="346"/>
        <v>0</v>
      </c>
      <c r="LV48" s="2714">
        <f t="shared" si="346"/>
        <v>0</v>
      </c>
      <c r="LW48" s="2714">
        <f t="shared" si="346"/>
        <v>0</v>
      </c>
      <c r="LX48" s="2714">
        <f t="shared" si="346"/>
        <v>0</v>
      </c>
      <c r="LY48" s="2714">
        <f t="shared" si="346"/>
        <v>0</v>
      </c>
      <c r="LZ48" s="2714">
        <f t="shared" si="346"/>
        <v>0</v>
      </c>
      <c r="MA48" s="2714">
        <f t="shared" si="346"/>
        <v>0</v>
      </c>
      <c r="MB48" s="2714">
        <f t="shared" si="346"/>
        <v>0</v>
      </c>
      <c r="MC48" s="2714">
        <f t="shared" si="346"/>
        <v>0</v>
      </c>
      <c r="MD48" s="2714">
        <f t="shared" si="346"/>
        <v>0</v>
      </c>
      <c r="ME48" s="2714">
        <f t="shared" si="346"/>
        <v>0</v>
      </c>
      <c r="MF48" s="2714">
        <f t="shared" si="346"/>
        <v>0</v>
      </c>
      <c r="MG48" s="2714">
        <f t="shared" si="346"/>
        <v>0</v>
      </c>
      <c r="MH48" s="2714">
        <f t="shared" si="346"/>
        <v>0</v>
      </c>
      <c r="MI48" s="2714">
        <f t="shared" si="346"/>
        <v>0</v>
      </c>
      <c r="MJ48" s="2714">
        <f t="shared" si="346"/>
        <v>0</v>
      </c>
      <c r="MK48" s="2714">
        <f t="shared" si="346"/>
        <v>12</v>
      </c>
      <c r="ML48" s="2714">
        <f t="shared" si="346"/>
        <v>56</v>
      </c>
      <c r="MM48" s="2714">
        <f t="shared" si="346"/>
        <v>8</v>
      </c>
      <c r="MN48" s="2714">
        <f t="shared" si="346"/>
        <v>8</v>
      </c>
      <c r="MO48" s="2714">
        <f t="shared" si="346"/>
        <v>0</v>
      </c>
      <c r="MP48" s="2714">
        <f t="shared" si="346"/>
        <v>0</v>
      </c>
      <c r="MQ48" s="2714">
        <f t="shared" si="346"/>
        <v>0</v>
      </c>
      <c r="MR48" s="2714">
        <f t="shared" si="346"/>
        <v>0</v>
      </c>
      <c r="MS48" s="2714">
        <f t="shared" si="346"/>
        <v>0</v>
      </c>
      <c r="MT48" s="2714">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66">
        <f>IF(SUM(E17:E47)=0,"",(B17*E17+B18*E18+B19*E19+B20*E20+B21*E21+B22*E22+B23*E23+B24*E24+B25*E25+B26*E26+B27*E27+B28*E28+B29*E29+B30*E30+B31*E31+B32*E32+B33*E33+B34*E34+B35*E35+B36*E36+B37*E37+B38*E38+B39*E39+B40*E40+B41*E41+B42*E42+B43*E43+B44*E44+B45*E45+B46*E46+B47*E47)/SUM(E17:E47))</f>
        <v>60</v>
      </c>
      <c r="C49" s="3567"/>
      <c r="D49" s="2276" t="s">
        <v>4621</v>
      </c>
      <c r="E49" s="2313">
        <f>SUM(E17:E47)</f>
        <v>84</v>
      </c>
      <c r="F49" s="2315">
        <f>(E17*F17+E18*F18+E19*F19+E20*F20+E21*F21+E22*F22+E23*F23+E24*F24+E25*F25+E26*F26+E27*F27+E28*F28+E29*F29+E30*F30+E31*F31+E32*F32+E33*F33+E34*F34+E35*F35+E36*F36+E37*F37+E38*F38+E39*F39+E40*F40+E41*F41+E42*F42+E43*F43+E44*F44+E45*F45+E46*F46+E47*F47)</f>
        <v>85704</v>
      </c>
      <c r="G49" s="3516"/>
      <c r="H49" s="2319" t="s">
        <v>4713</v>
      </c>
      <c r="I49" s="2320" t="str">
        <f>IF(O67=0,"",IF(SUM(O56:O62)/O67&gt;=0.2,"Pass","Fail"))</f>
        <v>Pass</v>
      </c>
      <c r="J49" s="659"/>
      <c r="K49" s="142" t="s">
        <v>814</v>
      </c>
      <c r="L49" s="127">
        <f>L48*12</f>
        <v>934080</v>
      </c>
      <c r="M49" s="96"/>
      <c r="N49" s="660"/>
      <c r="O49" s="96"/>
      <c r="P49" s="96"/>
      <c r="Q49" s="96"/>
      <c r="R49" s="96"/>
      <c r="S49" s="96"/>
      <c r="T49" s="96"/>
      <c r="U49" s="96"/>
      <c r="V49" s="662"/>
      <c r="W49" s="2714"/>
      <c r="X49" s="2714"/>
      <c r="Y49" s="2714"/>
      <c r="Z49" s="2714"/>
      <c r="AA49" s="2714"/>
      <c r="AB49" s="2714"/>
      <c r="AC49" s="2714"/>
      <c r="AD49" s="2714"/>
      <c r="AE49" s="2714"/>
      <c r="AF49" s="2714"/>
      <c r="AG49" s="2714"/>
      <c r="AH49" s="2714"/>
      <c r="AI49" s="2714"/>
      <c r="AJ49" s="2714"/>
      <c r="AK49" s="2714"/>
      <c r="AL49" s="2714"/>
      <c r="AM49" s="2714"/>
      <c r="AN49" s="2714"/>
      <c r="AO49" s="2714"/>
      <c r="AP49" s="2714"/>
      <c r="AQ49" s="2714"/>
      <c r="AR49" s="2714"/>
      <c r="AS49" s="2714"/>
      <c r="AT49" s="2714"/>
      <c r="AU49" s="2714"/>
      <c r="AV49" s="2714"/>
      <c r="AW49" s="2714"/>
      <c r="AX49" s="2714"/>
      <c r="AY49" s="2714"/>
      <c r="AZ49" s="2714"/>
      <c r="BA49" s="2714"/>
      <c r="BB49" s="2714"/>
      <c r="BC49" s="2714"/>
      <c r="BD49" s="2714"/>
      <c r="BE49" s="2714"/>
      <c r="BF49" s="2714"/>
      <c r="BG49" s="2714"/>
      <c r="BH49" s="2714"/>
      <c r="BI49" s="2714"/>
      <c r="BJ49" s="2714"/>
      <c r="BK49" s="2714"/>
      <c r="BL49" s="2714"/>
      <c r="BM49" s="2714"/>
      <c r="BN49" s="2714"/>
      <c r="BO49" s="2714"/>
      <c r="BP49" s="2714"/>
      <c r="BQ49" s="2714"/>
      <c r="BR49" s="2714"/>
      <c r="BS49" s="2714"/>
      <c r="BT49" s="2714"/>
      <c r="BU49" s="2714"/>
      <c r="BV49" s="2714"/>
      <c r="BW49" s="2714"/>
      <c r="BX49" s="2714"/>
      <c r="BY49" s="2714"/>
      <c r="BZ49" s="2714"/>
      <c r="CA49" s="2714"/>
      <c r="CB49" s="2714"/>
      <c r="CC49" s="2714"/>
      <c r="CD49" s="2714"/>
      <c r="CE49" s="2714"/>
      <c r="CF49" s="2714"/>
      <c r="CG49" s="2714"/>
      <c r="CH49" s="2714"/>
      <c r="CI49" s="2714"/>
      <c r="CJ49" s="2714"/>
      <c r="CK49" s="2714"/>
      <c r="CL49" s="2714"/>
      <c r="CM49" s="2714"/>
      <c r="CN49" s="2714"/>
      <c r="CO49" s="2714"/>
      <c r="CP49" s="2714"/>
      <c r="CQ49" s="2714"/>
      <c r="CR49" s="2714"/>
      <c r="CS49" s="2714"/>
      <c r="CT49" s="2714"/>
      <c r="CU49" s="2714"/>
      <c r="CV49" s="2714"/>
      <c r="CW49" s="2714"/>
      <c r="CX49" s="2714"/>
      <c r="CY49" s="2714"/>
      <c r="CZ49" s="2714"/>
      <c r="DA49" s="2714"/>
      <c r="DB49" s="2714"/>
      <c r="DC49" s="2714"/>
      <c r="DD49" s="2714"/>
      <c r="DE49" s="2714"/>
      <c r="DF49" s="2714"/>
      <c r="DG49" s="2714"/>
      <c r="DH49" s="2714"/>
      <c r="DI49" s="2714"/>
      <c r="DJ49" s="2714"/>
      <c r="DK49" s="2714"/>
      <c r="DL49" s="2714"/>
      <c r="DM49" s="2714"/>
      <c r="DN49" s="2714"/>
      <c r="DO49" s="2714"/>
      <c r="DP49" s="2714"/>
      <c r="DQ49" s="2714"/>
      <c r="DR49" s="2714"/>
      <c r="DS49" s="2714"/>
      <c r="DT49" s="2714"/>
      <c r="DU49" s="2714"/>
      <c r="DV49" s="2714"/>
      <c r="DW49" s="2714"/>
      <c r="DX49" s="2714"/>
      <c r="DY49" s="2714"/>
      <c r="DZ49" s="2714"/>
      <c r="EA49" s="2714"/>
      <c r="EB49" s="2714"/>
      <c r="EC49" s="2714"/>
      <c r="ED49" s="2714"/>
      <c r="EE49" s="2714"/>
      <c r="EF49" s="2714"/>
      <c r="EG49" s="2714"/>
      <c r="EH49" s="2714"/>
      <c r="EI49" s="2714"/>
      <c r="EJ49" s="2714"/>
      <c r="EK49" s="2714"/>
      <c r="EL49" s="2714"/>
      <c r="EM49" s="2714"/>
      <c r="EN49" s="2714"/>
      <c r="EO49" s="2714"/>
      <c r="EP49" s="2714"/>
      <c r="EQ49" s="2714"/>
      <c r="ER49" s="2714"/>
      <c r="ES49" s="2714"/>
      <c r="ET49" s="2714"/>
      <c r="EU49" s="2714"/>
      <c r="EV49" s="2714"/>
      <c r="EW49" s="2714"/>
      <c r="EX49" s="2714"/>
      <c r="EY49" s="2714"/>
      <c r="EZ49" s="2714"/>
      <c r="FA49" s="2714"/>
      <c r="FB49" s="2714"/>
      <c r="FC49" s="2714"/>
      <c r="FD49" s="2714"/>
      <c r="FE49" s="2714"/>
      <c r="FF49" s="2714"/>
      <c r="FG49" s="2714"/>
      <c r="FH49" s="2714"/>
      <c r="FI49" s="2714"/>
      <c r="FJ49" s="2714"/>
      <c r="FK49" s="2714"/>
      <c r="FL49" s="2714"/>
      <c r="FM49" s="2714"/>
      <c r="FN49" s="2714"/>
      <c r="FO49" s="2714"/>
      <c r="FP49" s="2714"/>
      <c r="FQ49" s="2714"/>
      <c r="FR49" s="2714"/>
      <c r="FS49" s="2714"/>
      <c r="FT49" s="2714"/>
      <c r="FU49" s="2714"/>
      <c r="FV49" s="2714"/>
      <c r="FW49" s="2714"/>
      <c r="FX49" s="2714"/>
      <c r="FY49" s="2714"/>
      <c r="FZ49" s="2714"/>
      <c r="GA49" s="2714"/>
      <c r="GB49" s="2714"/>
      <c r="GC49" s="2714"/>
      <c r="GD49" s="2714"/>
      <c r="GE49" s="2714"/>
      <c r="GF49" s="2714"/>
      <c r="GG49" s="2714"/>
      <c r="GH49" s="2714"/>
      <c r="GI49" s="2714"/>
      <c r="GJ49" s="2714"/>
      <c r="GK49" s="2714"/>
      <c r="GL49" s="2714"/>
      <c r="GM49" s="2714"/>
      <c r="GN49" s="2714"/>
      <c r="GO49" s="2714"/>
      <c r="GP49" s="2714"/>
      <c r="GQ49" s="2714"/>
      <c r="GR49" s="2714"/>
      <c r="GS49" s="2714"/>
      <c r="GT49" s="2714"/>
      <c r="GU49" s="2714"/>
      <c r="GV49" s="2714"/>
      <c r="GW49" s="2714"/>
      <c r="GX49" s="2714"/>
      <c r="GY49" s="2714"/>
      <c r="GZ49" s="2714"/>
      <c r="HA49" s="2714"/>
      <c r="HB49" s="2714"/>
      <c r="HC49" s="2714"/>
      <c r="HD49" s="2714"/>
      <c r="HE49" s="2714"/>
      <c r="HF49" s="2714"/>
      <c r="HG49" s="2714"/>
      <c r="HH49" s="2714"/>
      <c r="HI49" s="2714"/>
      <c r="HJ49" s="2714"/>
      <c r="HK49" s="2714"/>
      <c r="HL49" s="2714"/>
      <c r="HM49" s="2714"/>
      <c r="HN49" s="2714"/>
      <c r="HO49" s="2714"/>
      <c r="HP49" s="2714"/>
      <c r="HQ49" s="2714"/>
      <c r="HR49" s="2714"/>
      <c r="HS49" s="2714"/>
      <c r="HT49" s="2714"/>
      <c r="HU49" s="2714"/>
      <c r="HV49" s="2714"/>
      <c r="HW49" s="2714"/>
      <c r="HX49" s="2714"/>
      <c r="HY49" s="2714"/>
      <c r="HZ49" s="2714"/>
      <c r="IA49" s="2714"/>
      <c r="IB49" s="2714"/>
      <c r="IC49" s="2714"/>
      <c r="ID49" s="2714"/>
      <c r="IE49" s="2714"/>
      <c r="IF49" s="2714"/>
      <c r="IG49" s="2714"/>
      <c r="IH49" s="2714"/>
      <c r="II49" s="2714"/>
      <c r="IJ49" s="2714"/>
      <c r="IK49" s="2714"/>
      <c r="IL49" s="2714"/>
      <c r="IM49" s="2714"/>
      <c r="IN49" s="2714"/>
      <c r="IO49" s="2714"/>
      <c r="IP49" s="2714"/>
      <c r="IQ49" s="2714"/>
      <c r="IR49" s="2714"/>
      <c r="IS49" s="2714"/>
      <c r="IT49" s="2714"/>
      <c r="IU49" s="2714"/>
      <c r="IV49" s="2714"/>
      <c r="IW49" s="2714"/>
      <c r="IX49" s="2714"/>
      <c r="IY49" s="2714"/>
      <c r="IZ49" s="2714"/>
      <c r="JA49" s="2714"/>
      <c r="JB49" s="2714"/>
      <c r="JC49" s="2714"/>
      <c r="JD49" s="2714"/>
      <c r="JE49" s="2714"/>
      <c r="JF49" s="2714"/>
      <c r="JG49" s="2714"/>
      <c r="JH49" s="2714"/>
      <c r="JI49" s="2714"/>
      <c r="JJ49" s="2714"/>
      <c r="JK49" s="2714"/>
      <c r="JL49" s="2714"/>
      <c r="JM49" s="2714"/>
      <c r="JN49" s="2714"/>
      <c r="JO49" s="2714"/>
      <c r="JP49" s="2714"/>
      <c r="JQ49" s="2714"/>
      <c r="JR49" s="2714"/>
      <c r="JS49" s="2714"/>
      <c r="JT49" s="2714"/>
      <c r="JU49" s="2714"/>
      <c r="JV49" s="2714"/>
      <c r="JW49" s="2714"/>
      <c r="JX49" s="2714"/>
      <c r="JY49" s="2714"/>
      <c r="JZ49" s="2714"/>
      <c r="KA49" s="2714"/>
      <c r="KB49" s="2714"/>
      <c r="KC49" s="2714"/>
      <c r="KD49" s="2714"/>
      <c r="KE49" s="2714"/>
      <c r="KF49" s="2714"/>
      <c r="KG49" s="2714"/>
      <c r="KH49" s="2714"/>
      <c r="KI49" s="2714"/>
      <c r="KJ49" s="2714"/>
      <c r="KK49" s="2714"/>
      <c r="KL49" s="2714"/>
      <c r="KM49" s="2714"/>
      <c r="KN49" s="2714"/>
      <c r="KO49" s="2714"/>
      <c r="KP49" s="2714"/>
      <c r="KQ49" s="2714"/>
      <c r="KR49" s="2714"/>
      <c r="KS49" s="2714"/>
      <c r="KT49" s="2714"/>
      <c r="KU49" s="2714"/>
      <c r="KV49" s="2714"/>
      <c r="KW49" s="2714"/>
      <c r="KX49" s="2714"/>
      <c r="KY49" s="2714"/>
      <c r="KZ49" s="2714"/>
      <c r="LA49" s="2714"/>
      <c r="LB49" s="2714"/>
      <c r="LC49" s="2714"/>
      <c r="LD49" s="2714"/>
      <c r="LE49" s="2714"/>
      <c r="LF49" s="2714"/>
      <c r="LG49" s="2714"/>
      <c r="LH49" s="2714"/>
      <c r="LI49" s="2714"/>
      <c r="LJ49" s="2714"/>
      <c r="LK49" s="2714"/>
      <c r="LL49" s="2714"/>
      <c r="LM49" s="2714"/>
      <c r="LN49" s="2714"/>
      <c r="LO49" s="2714"/>
      <c r="LP49" s="2714"/>
      <c r="LQ49" s="2714"/>
      <c r="LR49" s="2714"/>
      <c r="LS49" s="2714"/>
      <c r="LT49" s="2714"/>
      <c r="LU49" s="2714"/>
      <c r="LV49" s="2714"/>
      <c r="LW49" s="2714"/>
      <c r="LX49" s="2714"/>
      <c r="LY49" s="2714"/>
      <c r="LZ49" s="2714"/>
      <c r="MA49" s="2714"/>
      <c r="MB49" s="2714"/>
      <c r="MC49" s="2714"/>
      <c r="MD49" s="2714"/>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14"/>
      <c r="X50" s="2714"/>
      <c r="Y50" s="2714"/>
      <c r="Z50" s="2714"/>
      <c r="AA50" s="2714"/>
      <c r="AB50" s="2714"/>
      <c r="AC50" s="2714"/>
      <c r="AD50" s="2714"/>
      <c r="AE50" s="2714"/>
      <c r="AF50" s="2714"/>
      <c r="AG50" s="2714"/>
      <c r="AH50" s="2714"/>
      <c r="AI50" s="2714"/>
      <c r="AJ50" s="2714"/>
      <c r="AK50" s="2714"/>
      <c r="AL50" s="2714"/>
      <c r="AM50" s="2714"/>
      <c r="AN50" s="2714"/>
      <c r="AO50" s="2714"/>
      <c r="AP50" s="2714"/>
      <c r="AQ50" s="2714"/>
      <c r="AR50" s="2714"/>
      <c r="AS50" s="2714"/>
      <c r="AT50" s="2714"/>
      <c r="AU50" s="2714"/>
      <c r="AV50" s="2714"/>
      <c r="AW50" s="2714"/>
      <c r="AX50" s="2714"/>
      <c r="AY50" s="2714"/>
      <c r="AZ50" s="2714"/>
      <c r="BA50" s="2714"/>
      <c r="BB50" s="2714"/>
      <c r="BC50" s="2714"/>
      <c r="BD50" s="2714"/>
      <c r="BE50" s="2714"/>
      <c r="BF50" s="2714"/>
      <c r="BG50" s="2714"/>
      <c r="BH50" s="2714"/>
      <c r="BI50" s="2714"/>
      <c r="BJ50" s="2714"/>
      <c r="BK50" s="2714"/>
      <c r="BL50" s="2714"/>
      <c r="BM50" s="2714"/>
      <c r="BN50" s="2714"/>
      <c r="BO50" s="2714"/>
      <c r="BP50" s="2714"/>
      <c r="BQ50" s="2714"/>
      <c r="BR50" s="2714"/>
      <c r="BS50" s="2714"/>
      <c r="BT50" s="2714"/>
      <c r="BU50" s="2714"/>
      <c r="BV50" s="2714"/>
      <c r="BW50" s="2714"/>
      <c r="BX50" s="2714"/>
      <c r="BY50" s="2714"/>
      <c r="BZ50" s="2714"/>
      <c r="CA50" s="2714"/>
      <c r="CB50" s="2714"/>
      <c r="CC50" s="2714"/>
      <c r="CD50" s="2714"/>
      <c r="CE50" s="2714"/>
      <c r="CF50" s="2714"/>
      <c r="CG50" s="2714"/>
      <c r="CH50" s="2714"/>
      <c r="CI50" s="2714"/>
      <c r="CJ50" s="2714"/>
      <c r="CK50" s="2714"/>
      <c r="CL50" s="2714"/>
      <c r="CM50" s="2714"/>
      <c r="CN50" s="2714"/>
      <c r="CO50" s="2714"/>
      <c r="CP50" s="2714"/>
      <c r="CQ50" s="2714"/>
      <c r="CR50" s="2714"/>
      <c r="CS50" s="2714"/>
      <c r="CT50" s="2714"/>
      <c r="CU50" s="2714"/>
      <c r="CV50" s="2714"/>
      <c r="CW50" s="2714"/>
      <c r="CX50" s="2714"/>
      <c r="CY50" s="2714"/>
      <c r="CZ50" s="2714"/>
      <c r="DA50" s="2714"/>
      <c r="DB50" s="2714"/>
      <c r="DC50" s="2714"/>
      <c r="DD50" s="2714"/>
      <c r="DE50" s="2714"/>
      <c r="DF50" s="2714"/>
      <c r="DG50" s="2714"/>
      <c r="DH50" s="2714"/>
      <c r="DI50" s="2714"/>
      <c r="DJ50" s="2714"/>
      <c r="DK50" s="2714"/>
      <c r="DL50" s="2714"/>
      <c r="DM50" s="2714"/>
      <c r="DN50" s="2714"/>
      <c r="DO50" s="2714"/>
      <c r="DP50" s="2714"/>
      <c r="DQ50" s="2714"/>
      <c r="DR50" s="2714"/>
      <c r="DS50" s="2714"/>
      <c r="DT50" s="2714"/>
      <c r="DU50" s="2714"/>
      <c r="DV50" s="2714"/>
      <c r="DW50" s="2714"/>
      <c r="DX50" s="2714"/>
      <c r="DY50" s="2714"/>
      <c r="DZ50" s="2714"/>
      <c r="EA50" s="2714"/>
      <c r="EB50" s="2714"/>
      <c r="EC50" s="2714"/>
      <c r="ED50" s="2714"/>
      <c r="EE50" s="2714"/>
      <c r="EF50" s="2714"/>
      <c r="EG50" s="2714"/>
      <c r="EH50" s="2714"/>
      <c r="EI50" s="2714"/>
      <c r="EJ50" s="2714"/>
      <c r="EK50" s="2714"/>
      <c r="EL50" s="2714"/>
      <c r="EM50" s="2714"/>
      <c r="EN50" s="2714"/>
      <c r="EO50" s="2714"/>
      <c r="EP50" s="2714"/>
      <c r="EQ50" s="2714"/>
      <c r="ER50" s="2714"/>
      <c r="ES50" s="2714"/>
      <c r="ET50" s="2714"/>
      <c r="EU50" s="2714"/>
      <c r="EV50" s="2714"/>
      <c r="EW50" s="2714"/>
      <c r="EX50" s="2714"/>
      <c r="EY50" s="2714"/>
      <c r="EZ50" s="2714"/>
      <c r="FA50" s="2714"/>
      <c r="FB50" s="2714"/>
      <c r="FC50" s="2714"/>
      <c r="FD50" s="2714"/>
      <c r="FE50" s="2714"/>
      <c r="FF50" s="2714"/>
      <c r="FG50" s="2714"/>
      <c r="FH50" s="2714"/>
      <c r="FI50" s="2714"/>
      <c r="FJ50" s="2714"/>
      <c r="FK50" s="2714"/>
      <c r="FL50" s="2714"/>
      <c r="FM50" s="2714"/>
      <c r="FN50" s="2714"/>
      <c r="FO50" s="2714"/>
      <c r="FP50" s="2714"/>
      <c r="FQ50" s="2714"/>
      <c r="FR50" s="2714"/>
      <c r="FS50" s="2714"/>
      <c r="FT50" s="2714"/>
      <c r="FU50" s="2714"/>
      <c r="FV50" s="2714"/>
      <c r="FW50" s="2714"/>
      <c r="FX50" s="2714"/>
      <c r="FY50" s="2714"/>
      <c r="FZ50" s="2714"/>
      <c r="GA50" s="2714"/>
      <c r="GB50" s="2714"/>
      <c r="GC50" s="2714"/>
      <c r="GD50" s="2714"/>
      <c r="GE50" s="2714"/>
      <c r="GF50" s="2714"/>
      <c r="GG50" s="2714"/>
      <c r="GH50" s="2714"/>
      <c r="GI50" s="2714"/>
      <c r="GJ50" s="2714"/>
      <c r="GK50" s="2714"/>
      <c r="GL50" s="2714"/>
      <c r="GM50" s="2714"/>
      <c r="GN50" s="2714"/>
      <c r="GO50" s="2714"/>
      <c r="GP50" s="2714"/>
      <c r="GQ50" s="2714"/>
      <c r="GR50" s="2714"/>
      <c r="GS50" s="2714"/>
      <c r="GT50" s="2714"/>
      <c r="GU50" s="2714"/>
      <c r="GV50" s="2714"/>
      <c r="GW50" s="2714"/>
      <c r="GX50" s="2714"/>
      <c r="GY50" s="2714"/>
      <c r="GZ50" s="2714"/>
      <c r="HA50" s="2714"/>
      <c r="HB50" s="2714"/>
      <c r="HC50" s="2714"/>
      <c r="HD50" s="2714"/>
      <c r="HE50" s="2714"/>
      <c r="HF50" s="2714"/>
      <c r="HG50" s="2714"/>
      <c r="HH50" s="2714"/>
      <c r="HI50" s="2714"/>
      <c r="HJ50" s="2714"/>
      <c r="HK50" s="2714"/>
      <c r="HL50" s="2714"/>
      <c r="HM50" s="2714"/>
      <c r="HN50" s="2714"/>
      <c r="HO50" s="2714"/>
      <c r="HP50" s="2714"/>
      <c r="HQ50" s="2714"/>
      <c r="HR50" s="2714"/>
      <c r="HS50" s="2714"/>
      <c r="HT50" s="2714"/>
      <c r="HU50" s="2714"/>
      <c r="HV50" s="2714"/>
      <c r="HW50" s="2714"/>
      <c r="HX50" s="2714"/>
      <c r="HY50" s="2714"/>
      <c r="HZ50" s="2714"/>
      <c r="IA50" s="2714"/>
      <c r="IB50" s="2714"/>
      <c r="IC50" s="2714"/>
      <c r="ID50" s="2714"/>
      <c r="IE50" s="2714"/>
      <c r="IF50" s="2714"/>
      <c r="IG50" s="2714"/>
      <c r="IH50" s="2714"/>
      <c r="II50" s="2714"/>
      <c r="IJ50" s="2714"/>
      <c r="IK50" s="2714"/>
      <c r="IL50" s="2714"/>
      <c r="IM50" s="2714"/>
      <c r="IN50" s="2714"/>
      <c r="IO50" s="2714"/>
      <c r="IP50" s="2714"/>
      <c r="IQ50" s="2714"/>
      <c r="IR50" s="2714"/>
      <c r="IS50" s="2714"/>
      <c r="IT50" s="2714"/>
      <c r="IU50" s="2714"/>
      <c r="IV50" s="2714"/>
      <c r="IW50" s="2714"/>
      <c r="IX50" s="2714"/>
      <c r="IY50" s="2714"/>
      <c r="IZ50" s="2714"/>
      <c r="JA50" s="2714"/>
      <c r="JB50" s="2714"/>
      <c r="JC50" s="2714"/>
      <c r="JD50" s="2714"/>
      <c r="JE50" s="2714"/>
      <c r="JF50" s="2714"/>
      <c r="JG50" s="2714"/>
      <c r="JH50" s="2714"/>
      <c r="JI50" s="2714"/>
      <c r="JJ50" s="2714"/>
      <c r="JK50" s="2714"/>
      <c r="JL50" s="2714"/>
      <c r="JM50" s="2714"/>
      <c r="JN50" s="2714"/>
      <c r="JO50" s="2714"/>
      <c r="JP50" s="2714"/>
      <c r="JQ50" s="2714"/>
      <c r="JR50" s="2714"/>
      <c r="JS50" s="2714"/>
      <c r="JT50" s="2714"/>
      <c r="JU50" s="2714"/>
      <c r="JV50" s="2714"/>
      <c r="JW50" s="2714"/>
      <c r="JX50" s="2714"/>
      <c r="JY50" s="2714"/>
      <c r="JZ50" s="2714"/>
      <c r="KA50" s="2714"/>
      <c r="KB50" s="2714"/>
      <c r="KC50" s="2714"/>
      <c r="KD50" s="2714"/>
      <c r="KE50" s="2714"/>
      <c r="KF50" s="2714"/>
      <c r="KG50" s="2714"/>
      <c r="KH50" s="2714"/>
      <c r="KI50" s="2714"/>
      <c r="KJ50" s="2714"/>
      <c r="KK50" s="2714"/>
      <c r="KL50" s="2714"/>
      <c r="KM50" s="2714"/>
      <c r="KN50" s="2714"/>
      <c r="KO50" s="2714"/>
      <c r="KP50" s="2714"/>
      <c r="KQ50" s="2714"/>
      <c r="KR50" s="2714"/>
      <c r="KS50" s="2714"/>
      <c r="KT50" s="2714"/>
      <c r="KU50" s="2714"/>
      <c r="KV50" s="2714"/>
      <c r="KW50" s="2714"/>
      <c r="KX50" s="2714"/>
      <c r="KY50" s="2714"/>
      <c r="KZ50" s="2714"/>
      <c r="LA50" s="2714"/>
      <c r="LB50" s="2714"/>
      <c r="LC50" s="2714"/>
      <c r="LD50" s="2714"/>
      <c r="LE50" s="2714"/>
      <c r="LF50" s="2714"/>
      <c r="LG50" s="2714"/>
      <c r="LH50" s="2714"/>
      <c r="LI50" s="2714"/>
      <c r="LJ50" s="2714"/>
      <c r="LK50" s="2714"/>
      <c r="LL50" s="2714"/>
      <c r="LM50" s="2714"/>
      <c r="LN50" s="2714"/>
      <c r="LO50" s="2714"/>
      <c r="LP50" s="2714"/>
      <c r="LQ50" s="2714"/>
      <c r="LR50" s="2714"/>
      <c r="LS50" s="2714"/>
      <c r="LT50" s="2714"/>
      <c r="LU50" s="2714"/>
      <c r="LV50" s="2714"/>
      <c r="LW50" s="2714"/>
      <c r="LX50" s="2714"/>
      <c r="LY50" s="2714"/>
      <c r="LZ50" s="2714"/>
      <c r="MA50" s="2714"/>
      <c r="MB50" s="2714"/>
      <c r="MC50" s="2714"/>
      <c r="MD50" s="2714"/>
    </row>
    <row r="51" spans="1:393" ht="12" customHeight="1">
      <c r="A51" s="3562" t="s">
        <v>2621</v>
      </c>
      <c r="B51" s="3563"/>
      <c r="C51" s="3563"/>
      <c r="D51" s="3563"/>
      <c r="E51" s="3563"/>
      <c r="F51" s="3563"/>
      <c r="G51" s="3563"/>
      <c r="H51" s="3563"/>
      <c r="I51" s="3563"/>
      <c r="J51" s="3563"/>
      <c r="K51" s="3563"/>
      <c r="L51" s="3563"/>
      <c r="M51" s="3563"/>
      <c r="N51" s="3563"/>
      <c r="O51" s="3563"/>
      <c r="P51" s="3563"/>
      <c r="Q51" s="1258"/>
      <c r="R51" s="92"/>
      <c r="S51" s="92"/>
      <c r="T51" s="92"/>
      <c r="U51" s="92"/>
      <c r="V51" s="322"/>
      <c r="W51" s="2714"/>
      <c r="X51" s="2714"/>
      <c r="Y51" s="2714"/>
      <c r="Z51" s="2714"/>
      <c r="AA51" s="2714"/>
      <c r="AB51" s="2714"/>
      <c r="AC51" s="2714"/>
      <c r="AD51" s="2714"/>
      <c r="AE51" s="2714"/>
      <c r="AF51" s="2714"/>
      <c r="AG51" s="2714"/>
      <c r="AH51" s="2714"/>
      <c r="AI51" s="2714"/>
      <c r="AJ51" s="2714"/>
      <c r="AK51" s="2714"/>
      <c r="AL51" s="2714"/>
      <c r="AM51" s="2714"/>
      <c r="AN51" s="2714"/>
      <c r="AO51" s="2714"/>
      <c r="AP51" s="2714"/>
      <c r="AQ51" s="2714"/>
      <c r="AR51" s="2714"/>
      <c r="AS51" s="2714"/>
      <c r="AT51" s="2714"/>
      <c r="AU51" s="2714"/>
      <c r="AV51" s="2714"/>
      <c r="AW51" s="2714"/>
      <c r="AX51" s="2714"/>
      <c r="AY51" s="2714"/>
      <c r="AZ51" s="2714"/>
      <c r="BA51" s="2714"/>
      <c r="BB51" s="2714"/>
      <c r="BC51" s="2714"/>
      <c r="BD51" s="2714"/>
      <c r="BE51" s="2714"/>
      <c r="BF51" s="2714"/>
      <c r="BG51" s="2714"/>
      <c r="BH51" s="2714"/>
      <c r="BI51" s="2714"/>
      <c r="BJ51" s="2714"/>
      <c r="BK51" s="2714"/>
      <c r="BL51" s="2714"/>
      <c r="BM51" s="2714"/>
      <c r="BN51" s="2714"/>
      <c r="BO51" s="2714"/>
      <c r="BP51" s="2714"/>
      <c r="BQ51" s="2714"/>
      <c r="BR51" s="2714"/>
      <c r="BS51" s="2714"/>
      <c r="BT51" s="2714"/>
      <c r="BU51" s="2714"/>
      <c r="BV51" s="2714"/>
      <c r="BW51" s="2714"/>
      <c r="BX51" s="2714"/>
      <c r="BY51" s="2714"/>
      <c r="BZ51" s="2714"/>
      <c r="CA51" s="2714"/>
      <c r="CB51" s="2714"/>
      <c r="CC51" s="2714"/>
      <c r="CD51" s="2714"/>
      <c r="CE51" s="2714"/>
      <c r="CF51" s="2714"/>
      <c r="CG51" s="2714"/>
      <c r="CH51" s="2714"/>
      <c r="CI51" s="2714"/>
      <c r="CJ51" s="2714"/>
      <c r="CK51" s="2714"/>
      <c r="CL51" s="2714"/>
      <c r="CM51" s="2714"/>
      <c r="CN51" s="2714"/>
      <c r="CO51" s="2714"/>
      <c r="CP51" s="2714"/>
      <c r="CQ51" s="2714"/>
      <c r="CR51" s="2714"/>
      <c r="CS51" s="2714"/>
      <c r="CT51" s="2714"/>
      <c r="CU51" s="2714"/>
      <c r="CV51" s="2714"/>
      <c r="CW51" s="2714"/>
      <c r="CX51" s="2714"/>
      <c r="CY51" s="2714"/>
      <c r="CZ51" s="2714"/>
      <c r="DA51" s="2714"/>
      <c r="DB51" s="2714"/>
      <c r="DC51" s="2714"/>
      <c r="DD51" s="2714"/>
      <c r="DE51" s="2714"/>
      <c r="DF51" s="2714"/>
      <c r="DG51" s="2714"/>
      <c r="DH51" s="2714"/>
      <c r="DI51" s="2714"/>
      <c r="DJ51" s="2714"/>
      <c r="DK51" s="2714"/>
      <c r="DL51" s="2714"/>
      <c r="DM51" s="2714"/>
      <c r="DN51" s="2714"/>
      <c r="DO51" s="2714"/>
      <c r="DP51" s="2714"/>
      <c r="DQ51" s="2714"/>
      <c r="DR51" s="2714"/>
      <c r="DS51" s="2714"/>
      <c r="DT51" s="2714"/>
      <c r="DU51" s="2714"/>
      <c r="DV51" s="2714"/>
      <c r="DW51" s="2714"/>
      <c r="DX51" s="2714"/>
      <c r="DY51" s="2714"/>
      <c r="DZ51" s="2714"/>
      <c r="EA51" s="2714"/>
      <c r="EB51" s="2714"/>
      <c r="EC51" s="2714"/>
      <c r="ED51" s="2714"/>
      <c r="EE51" s="2714"/>
      <c r="EF51" s="2714"/>
      <c r="EG51" s="2714"/>
      <c r="EH51" s="2714"/>
      <c r="EI51" s="2714"/>
      <c r="EJ51" s="2714"/>
      <c r="EK51" s="2714"/>
      <c r="EL51" s="2714"/>
      <c r="EM51" s="2714"/>
      <c r="EN51" s="2714"/>
      <c r="EO51" s="2714"/>
      <c r="EP51" s="2714"/>
      <c r="EQ51" s="2714"/>
      <c r="ER51" s="2714"/>
      <c r="ES51" s="2714"/>
      <c r="ET51" s="2714"/>
      <c r="EU51" s="2714"/>
      <c r="EV51" s="2714"/>
      <c r="EW51" s="2714"/>
      <c r="EX51" s="2714"/>
      <c r="EY51" s="2714"/>
      <c r="EZ51" s="2714"/>
      <c r="FA51" s="2714"/>
      <c r="FB51" s="2714"/>
      <c r="FC51" s="2714"/>
      <c r="FD51" s="2714"/>
      <c r="FE51" s="2714"/>
      <c r="FF51" s="2714"/>
      <c r="FG51" s="2714"/>
      <c r="FH51" s="2714"/>
      <c r="FI51" s="2714"/>
      <c r="FJ51" s="2714"/>
      <c r="FK51" s="2714"/>
      <c r="FL51" s="2714"/>
      <c r="FM51" s="2714"/>
      <c r="FN51" s="2714"/>
      <c r="FO51" s="2714"/>
      <c r="FP51" s="2714"/>
      <c r="FQ51" s="2714"/>
      <c r="FR51" s="2714"/>
      <c r="FS51" s="2714"/>
      <c r="FT51" s="2714"/>
      <c r="FU51" s="2714"/>
      <c r="FV51" s="2714"/>
      <c r="FW51" s="2714"/>
      <c r="FX51" s="2714"/>
      <c r="FY51" s="2714"/>
      <c r="FZ51" s="2714"/>
      <c r="GA51" s="2714"/>
      <c r="GB51" s="2714"/>
      <c r="GC51" s="2714"/>
      <c r="GD51" s="2714"/>
      <c r="GE51" s="2714"/>
      <c r="GF51" s="2714"/>
      <c r="GG51" s="2714"/>
      <c r="GH51" s="2714"/>
      <c r="GI51" s="2714"/>
      <c r="GJ51" s="2714"/>
      <c r="GK51" s="2714"/>
      <c r="GL51" s="2714"/>
      <c r="GM51" s="2714"/>
      <c r="GN51" s="2714"/>
      <c r="GO51" s="2714"/>
      <c r="GP51" s="2714"/>
      <c r="GQ51" s="2714"/>
      <c r="GR51" s="2714"/>
      <c r="GS51" s="2714"/>
      <c r="GT51" s="2714"/>
      <c r="GU51" s="2714"/>
      <c r="GV51" s="2714"/>
      <c r="GW51" s="2714"/>
      <c r="GX51" s="2714"/>
      <c r="GY51" s="2714"/>
      <c r="GZ51" s="2714"/>
      <c r="HA51" s="2714"/>
      <c r="HB51" s="2714"/>
      <c r="HC51" s="2714"/>
      <c r="HD51" s="2714"/>
      <c r="HE51" s="2714"/>
      <c r="HF51" s="2714"/>
      <c r="HG51" s="2714"/>
      <c r="HH51" s="2714"/>
      <c r="HI51" s="2714"/>
      <c r="HJ51" s="2714"/>
      <c r="HK51" s="2714"/>
      <c r="HL51" s="2714"/>
      <c r="HM51" s="2714"/>
      <c r="HN51" s="2714"/>
      <c r="HO51" s="2714"/>
      <c r="HP51" s="2714"/>
      <c r="HQ51" s="2714"/>
      <c r="HR51" s="2714"/>
      <c r="HS51" s="2714"/>
      <c r="HT51" s="2714"/>
      <c r="HU51" s="2714"/>
      <c r="HV51" s="2714"/>
      <c r="HW51" s="2714"/>
      <c r="HX51" s="2714"/>
      <c r="HY51" s="2714"/>
      <c r="HZ51" s="2714"/>
      <c r="IA51" s="2714"/>
      <c r="IB51" s="2714"/>
      <c r="IC51" s="2714"/>
      <c r="ID51" s="2714"/>
      <c r="IE51" s="2714"/>
      <c r="IF51" s="2714"/>
      <c r="IG51" s="2714"/>
      <c r="IH51" s="2714"/>
      <c r="II51" s="2714"/>
      <c r="IJ51" s="2714"/>
      <c r="IK51" s="2714"/>
      <c r="IL51" s="2714"/>
      <c r="IM51" s="2714"/>
      <c r="IN51" s="2714"/>
      <c r="IO51" s="2714"/>
      <c r="IP51" s="2714"/>
      <c r="IQ51" s="2714"/>
      <c r="IR51" s="2714"/>
      <c r="IS51" s="2714"/>
      <c r="IT51" s="2714"/>
      <c r="IU51" s="2714"/>
      <c r="IV51" s="2714"/>
      <c r="IW51" s="2714"/>
      <c r="IX51" s="2714"/>
      <c r="IY51" s="2714"/>
      <c r="IZ51" s="2714"/>
      <c r="JA51" s="2714"/>
      <c r="JB51" s="2714"/>
      <c r="JC51" s="2714"/>
      <c r="JD51" s="2714"/>
      <c r="JE51" s="2714"/>
      <c r="JF51" s="2714"/>
      <c r="JG51" s="2714"/>
      <c r="JH51" s="2714"/>
      <c r="JI51" s="2714"/>
      <c r="JJ51" s="2714"/>
      <c r="JK51" s="2714"/>
      <c r="JL51" s="2714"/>
      <c r="JM51" s="2714"/>
      <c r="JN51" s="2714"/>
      <c r="JO51" s="2714"/>
      <c r="JP51" s="2714"/>
      <c r="JQ51" s="2714"/>
      <c r="JR51" s="2714"/>
      <c r="JS51" s="2714"/>
      <c r="JT51" s="2714"/>
      <c r="JU51" s="2714"/>
      <c r="JV51" s="2714"/>
      <c r="JW51" s="2714"/>
      <c r="JX51" s="2714"/>
      <c r="JY51" s="2714"/>
      <c r="JZ51" s="2714"/>
      <c r="KA51" s="2714"/>
      <c r="KB51" s="2714"/>
      <c r="KC51" s="2714"/>
      <c r="KD51" s="2714"/>
      <c r="KE51" s="2714"/>
      <c r="KF51" s="2714"/>
      <c r="KG51" s="2714"/>
      <c r="KH51" s="2714"/>
      <c r="KI51" s="2714"/>
      <c r="KJ51" s="2714"/>
      <c r="KK51" s="2714"/>
      <c r="KL51" s="2714"/>
      <c r="KM51" s="2714"/>
      <c r="KN51" s="2714"/>
      <c r="KO51" s="2714"/>
      <c r="KP51" s="2714"/>
      <c r="KQ51" s="2714"/>
      <c r="KR51" s="2714"/>
      <c r="KS51" s="2714"/>
      <c r="KT51" s="2714"/>
      <c r="KU51" s="2714"/>
      <c r="KV51" s="2714"/>
      <c r="KW51" s="2714"/>
      <c r="KX51" s="2714"/>
      <c r="KY51" s="2714"/>
      <c r="KZ51" s="2714"/>
      <c r="LA51" s="2714"/>
      <c r="LB51" s="2714"/>
      <c r="LC51" s="2714"/>
      <c r="LD51" s="2714"/>
      <c r="LE51" s="2714"/>
      <c r="LF51" s="2714"/>
      <c r="LG51" s="2714"/>
      <c r="LH51" s="2714"/>
      <c r="LI51" s="2714"/>
      <c r="LJ51" s="2714"/>
      <c r="LK51" s="2714"/>
      <c r="LL51" s="2714"/>
      <c r="LM51" s="2714"/>
      <c r="LN51" s="2714"/>
      <c r="LO51" s="2714"/>
      <c r="LP51" s="2714"/>
      <c r="LQ51" s="2714"/>
      <c r="LR51" s="2714"/>
      <c r="LS51" s="2714"/>
      <c r="LT51" s="2714"/>
      <c r="LU51" s="2714"/>
      <c r="LV51" s="2714"/>
      <c r="LW51" s="2714"/>
      <c r="LX51" s="2714"/>
      <c r="LY51" s="2714"/>
      <c r="LZ51" s="2714"/>
      <c r="MA51" s="2714"/>
      <c r="MB51" s="2714"/>
      <c r="MC51" s="2714"/>
      <c r="MD51" s="2714"/>
    </row>
    <row r="52" spans="1:393" ht="12" customHeight="1" thickBot="1">
      <c r="A52" s="3563"/>
      <c r="B52" s="3563"/>
      <c r="C52" s="3563"/>
      <c r="D52" s="3563"/>
      <c r="E52" s="3563"/>
      <c r="F52" s="3563"/>
      <c r="G52" s="3563"/>
      <c r="H52" s="3563"/>
      <c r="I52" s="3563"/>
      <c r="J52" s="3563"/>
      <c r="K52" s="3563"/>
      <c r="L52" s="3563"/>
      <c r="M52" s="3563"/>
      <c r="N52" s="3563"/>
      <c r="O52" s="3563"/>
      <c r="P52" s="3563"/>
      <c r="Q52" s="1258"/>
      <c r="R52" s="92"/>
      <c r="S52" s="92"/>
      <c r="T52" s="92"/>
      <c r="U52" s="92"/>
      <c r="V52" s="322"/>
      <c r="W52" s="2714"/>
      <c r="X52" s="2714"/>
      <c r="Y52" s="2714"/>
      <c r="Z52" s="2714"/>
      <c r="AA52" s="2714"/>
      <c r="AB52" s="2714"/>
      <c r="AC52" s="2714"/>
      <c r="AD52" s="2714"/>
      <c r="AE52" s="2714"/>
      <c r="AF52" s="2714"/>
      <c r="AG52" s="2714"/>
      <c r="AH52" s="2714"/>
      <c r="AI52" s="2714"/>
      <c r="AJ52" s="2714"/>
      <c r="AK52" s="2714"/>
      <c r="AL52" s="2714"/>
      <c r="AM52" s="2714"/>
      <c r="AN52" s="2714"/>
      <c r="AO52" s="2714"/>
      <c r="AP52" s="2714"/>
      <c r="AQ52" s="2714"/>
      <c r="AR52" s="2714"/>
      <c r="AS52" s="2714"/>
      <c r="AT52" s="2714"/>
      <c r="AU52" s="2714"/>
      <c r="AV52" s="2714"/>
      <c r="AW52" s="2714"/>
      <c r="AX52" s="2714"/>
      <c r="AY52" s="2714"/>
      <c r="AZ52" s="2714"/>
      <c r="BA52" s="2714"/>
      <c r="BB52" s="2714"/>
      <c r="BC52" s="2714"/>
      <c r="BD52" s="2714"/>
      <c r="BE52" s="2714"/>
      <c r="BF52" s="2714"/>
      <c r="BG52" s="2714"/>
      <c r="BH52" s="2714"/>
      <c r="BI52" s="2714"/>
      <c r="BJ52" s="2714"/>
      <c r="BK52" s="2714"/>
      <c r="BL52" s="2714"/>
      <c r="BM52" s="2714"/>
      <c r="BN52" s="2714"/>
      <c r="BO52" s="2714"/>
      <c r="BP52" s="2714"/>
      <c r="BQ52" s="2714"/>
      <c r="BR52" s="2714"/>
      <c r="BS52" s="2714"/>
      <c r="BT52" s="2714"/>
      <c r="BU52" s="2714"/>
      <c r="BV52" s="2714"/>
      <c r="BW52" s="2714"/>
      <c r="BX52" s="2714"/>
      <c r="BY52" s="2714"/>
      <c r="BZ52" s="2714"/>
      <c r="CA52" s="2714"/>
      <c r="CB52" s="2714"/>
      <c r="CC52" s="2714"/>
      <c r="CD52" s="2714"/>
      <c r="CE52" s="2714"/>
      <c r="CF52" s="2714"/>
      <c r="CG52" s="2714"/>
      <c r="CH52" s="2714"/>
      <c r="CI52" s="2714"/>
      <c r="CJ52" s="2714"/>
      <c r="CK52" s="2714"/>
      <c r="CL52" s="2714"/>
      <c r="CM52" s="2714"/>
      <c r="CN52" s="2714"/>
      <c r="CO52" s="2714"/>
      <c r="CP52" s="2714"/>
      <c r="CQ52" s="2714"/>
      <c r="CR52" s="2714"/>
      <c r="CS52" s="2714"/>
      <c r="CT52" s="2714"/>
      <c r="CU52" s="2714"/>
      <c r="CV52" s="2714"/>
      <c r="CW52" s="2714"/>
      <c r="CX52" s="2714"/>
      <c r="CY52" s="2714"/>
      <c r="CZ52" s="2714"/>
      <c r="DA52" s="2714"/>
      <c r="DB52" s="2714"/>
      <c r="DC52" s="2714"/>
      <c r="DD52" s="2714"/>
      <c r="DE52" s="2714"/>
      <c r="DF52" s="2714"/>
      <c r="DG52" s="2714"/>
      <c r="DH52" s="2714"/>
      <c r="DI52" s="2714"/>
      <c r="DJ52" s="2714"/>
      <c r="DK52" s="2714"/>
      <c r="DL52" s="2714"/>
      <c r="DM52" s="2714"/>
      <c r="DN52" s="2714"/>
      <c r="DO52" s="2714"/>
      <c r="DP52" s="2714"/>
      <c r="DQ52" s="2714"/>
      <c r="DR52" s="2714"/>
      <c r="DS52" s="2714"/>
      <c r="DT52" s="2714"/>
      <c r="DU52" s="2714"/>
      <c r="DV52" s="2714"/>
      <c r="DW52" s="2714"/>
      <c r="DX52" s="2714"/>
      <c r="DY52" s="2714"/>
      <c r="DZ52" s="2714"/>
      <c r="EA52" s="2714"/>
      <c r="EB52" s="2714"/>
      <c r="EC52" s="2714"/>
      <c r="ED52" s="2714"/>
      <c r="EE52" s="2714"/>
      <c r="EF52" s="2714"/>
      <c r="EG52" s="2714"/>
      <c r="EH52" s="2714"/>
      <c r="EI52" s="2714"/>
      <c r="EJ52" s="2714"/>
      <c r="EK52" s="2714"/>
      <c r="EL52" s="2714"/>
      <c r="EM52" s="2714"/>
      <c r="EN52" s="2714"/>
      <c r="EO52" s="2714"/>
      <c r="EP52" s="2714"/>
      <c r="EQ52" s="2714"/>
      <c r="ER52" s="2714"/>
      <c r="ES52" s="2714"/>
      <c r="ET52" s="2714"/>
      <c r="EU52" s="2714"/>
      <c r="EV52" s="2714"/>
      <c r="EW52" s="2714"/>
      <c r="EX52" s="2714"/>
      <c r="EY52" s="2714"/>
      <c r="EZ52" s="2714"/>
      <c r="FA52" s="2714"/>
      <c r="FB52" s="2714"/>
      <c r="FC52" s="2714"/>
      <c r="FD52" s="2714"/>
      <c r="FE52" s="2714"/>
      <c r="FF52" s="2714"/>
      <c r="FG52" s="2714"/>
      <c r="FH52" s="2714"/>
      <c r="FI52" s="2714"/>
      <c r="FJ52" s="2714"/>
      <c r="FK52" s="2714"/>
      <c r="FL52" s="2714"/>
      <c r="FM52" s="2714"/>
      <c r="FN52" s="2714"/>
      <c r="FO52" s="2714"/>
      <c r="FP52" s="2714"/>
      <c r="FQ52" s="2714"/>
      <c r="FR52" s="2714"/>
      <c r="FS52" s="2714"/>
      <c r="FT52" s="2714"/>
      <c r="FU52" s="2714"/>
      <c r="FV52" s="2714"/>
      <c r="FW52" s="2714"/>
      <c r="FX52" s="2714"/>
      <c r="FY52" s="2714"/>
      <c r="FZ52" s="2714"/>
      <c r="GA52" s="2714"/>
      <c r="GB52" s="2714"/>
      <c r="GC52" s="2714"/>
      <c r="GD52" s="2714"/>
      <c r="GE52" s="2714"/>
      <c r="GF52" s="2714"/>
      <c r="GG52" s="2714"/>
      <c r="GH52" s="2714"/>
      <c r="GI52" s="2714"/>
      <c r="GJ52" s="2714"/>
      <c r="GK52" s="2714"/>
      <c r="GL52" s="2714"/>
      <c r="GM52" s="2714"/>
      <c r="GN52" s="2714"/>
      <c r="GO52" s="2714"/>
      <c r="GP52" s="2714"/>
      <c r="GQ52" s="2714"/>
      <c r="GR52" s="2714"/>
      <c r="GS52" s="2714"/>
      <c r="GT52" s="2714"/>
      <c r="GU52" s="2714"/>
      <c r="GV52" s="2714"/>
      <c r="GW52" s="2714"/>
      <c r="GX52" s="2714"/>
      <c r="GY52" s="2714"/>
      <c r="GZ52" s="2714"/>
      <c r="HA52" s="2714"/>
      <c r="HB52" s="2714"/>
      <c r="HC52" s="2714"/>
      <c r="HD52" s="2714"/>
      <c r="HE52" s="2714"/>
      <c r="HF52" s="2714"/>
      <c r="HG52" s="2714"/>
      <c r="HH52" s="2714"/>
      <c r="HI52" s="2714"/>
      <c r="HJ52" s="2714"/>
      <c r="HK52" s="2714"/>
      <c r="HL52" s="2714"/>
      <c r="HM52" s="2714"/>
      <c r="HN52" s="2714"/>
      <c r="HO52" s="2714"/>
      <c r="HP52" s="2714"/>
      <c r="HQ52" s="2714"/>
      <c r="HR52" s="2714"/>
      <c r="HS52" s="2714"/>
      <c r="HT52" s="2714"/>
      <c r="HU52" s="2714"/>
      <c r="HV52" s="2714"/>
      <c r="HW52" s="2714"/>
      <c r="HX52" s="2714"/>
      <c r="HY52" s="2714"/>
      <c r="HZ52" s="2714"/>
      <c r="IA52" s="2714"/>
      <c r="IB52" s="2714"/>
      <c r="IC52" s="2714"/>
      <c r="ID52" s="2714"/>
      <c r="IE52" s="2714"/>
      <c r="IF52" s="2714"/>
      <c r="IG52" s="2714"/>
      <c r="IH52" s="2714"/>
      <c r="II52" s="2714"/>
      <c r="IJ52" s="2714"/>
      <c r="IK52" s="2714"/>
      <c r="IL52" s="2714"/>
      <c r="IM52" s="2714"/>
      <c r="IN52" s="2714"/>
      <c r="IO52" s="2714"/>
      <c r="IP52" s="2714"/>
      <c r="IQ52" s="2714"/>
      <c r="IR52" s="2714"/>
      <c r="IS52" s="2714"/>
      <c r="IT52" s="2714"/>
      <c r="IU52" s="2714"/>
      <c r="IV52" s="2714"/>
      <c r="IW52" s="2714"/>
      <c r="IX52" s="2714"/>
      <c r="IY52" s="2714"/>
      <c r="IZ52" s="2714"/>
      <c r="JA52" s="2714"/>
      <c r="JB52" s="2714"/>
      <c r="JC52" s="2714"/>
      <c r="JD52" s="2714"/>
      <c r="JE52" s="2714"/>
      <c r="JF52" s="2714"/>
      <c r="JG52" s="2714"/>
      <c r="JH52" s="2714"/>
      <c r="JI52" s="2714"/>
      <c r="JJ52" s="2714"/>
      <c r="JK52" s="2714"/>
      <c r="JL52" s="2714"/>
      <c r="JM52" s="2714"/>
      <c r="JN52" s="2714"/>
      <c r="JO52" s="2714"/>
      <c r="JP52" s="2714"/>
      <c r="JQ52" s="2714"/>
      <c r="JR52" s="2714"/>
      <c r="JS52" s="2714"/>
      <c r="JT52" s="2714"/>
      <c r="JU52" s="2714"/>
      <c r="JV52" s="2714"/>
      <c r="JW52" s="2714"/>
      <c r="JX52" s="2714"/>
      <c r="JY52" s="2714"/>
      <c r="JZ52" s="2714"/>
      <c r="KA52" s="2714"/>
      <c r="KB52" s="2714"/>
      <c r="KC52" s="2714"/>
      <c r="KD52" s="2714"/>
      <c r="KE52" s="2714"/>
      <c r="KF52" s="2714"/>
      <c r="KG52" s="2714"/>
      <c r="KH52" s="2714"/>
      <c r="KI52" s="2714"/>
      <c r="KJ52" s="2714"/>
      <c r="KK52" s="2714"/>
      <c r="KL52" s="2714"/>
      <c r="KM52" s="2714"/>
      <c r="KN52" s="2714"/>
      <c r="KO52" s="2714"/>
      <c r="KP52" s="2714"/>
      <c r="KQ52" s="2714"/>
      <c r="KR52" s="2714"/>
      <c r="KS52" s="2714"/>
      <c r="KT52" s="2714"/>
      <c r="KU52" s="2714"/>
      <c r="KV52" s="2714"/>
      <c r="KW52" s="2714"/>
      <c r="KX52" s="2714"/>
      <c r="KY52" s="2714"/>
      <c r="KZ52" s="2714"/>
      <c r="LA52" s="2714"/>
      <c r="LB52" s="2714"/>
      <c r="LC52" s="2714"/>
      <c r="LD52" s="2714"/>
      <c r="LE52" s="2714"/>
      <c r="LF52" s="2714"/>
      <c r="LG52" s="2714"/>
      <c r="LH52" s="2714"/>
      <c r="LI52" s="2714"/>
      <c r="LJ52" s="2714"/>
      <c r="LK52" s="2714"/>
      <c r="LL52" s="2714"/>
      <c r="LM52" s="2714"/>
      <c r="LN52" s="2714"/>
      <c r="LO52" s="2714"/>
      <c r="LP52" s="2714"/>
      <c r="LQ52" s="2714"/>
      <c r="LR52" s="2714"/>
      <c r="LS52" s="2714"/>
      <c r="LT52" s="2714"/>
      <c r="LU52" s="2714"/>
      <c r="LV52" s="2714"/>
      <c r="LW52" s="2714"/>
      <c r="LX52" s="2714"/>
      <c r="LY52" s="2714"/>
      <c r="LZ52" s="2714"/>
      <c r="MA52" s="2714"/>
      <c r="MB52" s="2714"/>
      <c r="MC52" s="2714"/>
      <c r="MD52" s="2714"/>
    </row>
    <row r="53" spans="1:393" ht="14.45" customHeight="1" thickBot="1">
      <c r="A53" s="13" t="s">
        <v>740</v>
      </c>
      <c r="B53" s="13" t="s">
        <v>534</v>
      </c>
      <c r="K53" s="3582" t="str">
        <f>'Part I-Project Information'!$K$94</f>
        <v>40% of Units at 60% of AMI</v>
      </c>
      <c r="L53" s="3583"/>
      <c r="M53" s="3583"/>
      <c r="N53" s="3584"/>
      <c r="O53" s="84"/>
      <c r="R53" s="3520" t="str">
        <f>B53</f>
        <v>UNIT SUMMARY</v>
      </c>
      <c r="S53" s="3520"/>
      <c r="T53" s="3520"/>
      <c r="U53" s="3520"/>
      <c r="W53" s="742"/>
      <c r="Z53" s="742"/>
      <c r="AA53" s="742"/>
      <c r="AB53" s="742"/>
      <c r="AE53" s="742"/>
      <c r="AF53" s="742"/>
      <c r="AG53" s="742"/>
      <c r="AJ53" s="742"/>
      <c r="AK53" s="742"/>
      <c r="AL53" s="742"/>
      <c r="AO53" s="742"/>
      <c r="AP53" s="742"/>
      <c r="AQ53" s="742"/>
      <c r="AR53" s="742"/>
      <c r="AS53" s="742"/>
      <c r="AT53" s="742"/>
      <c r="AU53" s="742"/>
      <c r="AV53" s="742"/>
      <c r="AW53" s="742"/>
      <c r="AX53" s="514"/>
      <c r="BA53" s="742"/>
      <c r="BB53" s="742"/>
      <c r="BC53" s="514"/>
      <c r="LN53" s="520"/>
      <c r="MC53" s="512"/>
    </row>
    <row r="54" spans="1:393" ht="6" customHeight="1">
      <c r="A54" s="13"/>
      <c r="B54" s="13"/>
      <c r="O54" s="84"/>
      <c r="R54" s="128"/>
      <c r="S54" s="465"/>
      <c r="T54" s="536"/>
      <c r="W54" s="742"/>
      <c r="Z54" s="742"/>
      <c r="AA54" s="742"/>
      <c r="AB54" s="742"/>
      <c r="AE54" s="742"/>
      <c r="AF54" s="742"/>
      <c r="AG54" s="742"/>
      <c r="AJ54" s="742"/>
      <c r="AK54" s="742"/>
      <c r="AL54" s="742"/>
      <c r="AO54" s="742"/>
      <c r="AP54" s="742"/>
      <c r="AQ54" s="742"/>
      <c r="AR54" s="742"/>
      <c r="AS54" s="742"/>
      <c r="AT54" s="742"/>
      <c r="AU54" s="742"/>
      <c r="AV54" s="742"/>
      <c r="AW54" s="742"/>
      <c r="AX54" s="514"/>
      <c r="BA54" s="742"/>
      <c r="BB54" s="742"/>
      <c r="BC54" s="514"/>
      <c r="LN54" s="520"/>
      <c r="MC54" s="512"/>
    </row>
    <row r="55" spans="1:393" ht="14.45" customHeight="1">
      <c r="A55" s="13"/>
      <c r="B55" s="13" t="s">
        <v>1136</v>
      </c>
      <c r="H55" s="84" t="s">
        <v>1040</v>
      </c>
      <c r="I55" s="84"/>
      <c r="J55" s="123" t="s">
        <v>568</v>
      </c>
      <c r="K55" s="123" t="s">
        <v>535</v>
      </c>
      <c r="L55" s="123" t="s">
        <v>536</v>
      </c>
      <c r="M55" s="123" t="s">
        <v>537</v>
      </c>
      <c r="N55" s="123" t="s">
        <v>538</v>
      </c>
      <c r="O55" s="123" t="s">
        <v>539</v>
      </c>
      <c r="R55" s="31" t="s">
        <v>1845</v>
      </c>
      <c r="S55" s="31"/>
      <c r="T55" s="536"/>
      <c r="W55" s="742"/>
      <c r="Z55" s="742"/>
      <c r="AA55" s="742"/>
      <c r="AB55" s="742"/>
      <c r="AE55" s="742"/>
      <c r="AF55" s="742"/>
      <c r="AG55" s="742"/>
      <c r="AJ55" s="742"/>
      <c r="AK55" s="742"/>
      <c r="AL55" s="742"/>
      <c r="AO55" s="742"/>
      <c r="AP55" s="742"/>
      <c r="AQ55" s="1832"/>
      <c r="AR55" s="1832"/>
      <c r="AS55" s="1832"/>
      <c r="AT55" s="1832"/>
      <c r="AU55" s="1832"/>
      <c r="AV55" s="1832"/>
      <c r="AW55" s="742"/>
      <c r="AX55" s="514"/>
      <c r="BA55" s="1832"/>
      <c r="BB55" s="742"/>
      <c r="BC55" s="514"/>
      <c r="LN55" s="520"/>
      <c r="MC55" s="512"/>
    </row>
    <row r="56" spans="1:393" ht="15" customHeight="1">
      <c r="A56" s="3586" t="s">
        <v>442</v>
      </c>
      <c r="B56" s="3586"/>
      <c r="C56" s="96" t="s">
        <v>1137</v>
      </c>
      <c r="D56" s="1"/>
      <c r="E56" s="1"/>
      <c r="F56" s="1"/>
      <c r="G56" s="84"/>
      <c r="H56" s="36" t="s">
        <v>4622</v>
      </c>
      <c r="I56" s="84"/>
      <c r="J56" s="2337">
        <f>W48</f>
        <v>0</v>
      </c>
      <c r="K56" s="2338">
        <f>X48</f>
        <v>0</v>
      </c>
      <c r="L56" s="2338">
        <f>Y48</f>
        <v>0</v>
      </c>
      <c r="M56" s="2338">
        <f>Z48</f>
        <v>0</v>
      </c>
      <c r="N56" s="2339">
        <f>AA48</f>
        <v>0</v>
      </c>
      <c r="O56" s="1115">
        <f t="shared" ref="O56:O67" si="347">SUM(J56:N56)</f>
        <v>0</v>
      </c>
      <c r="P56" s="3513" t="s">
        <v>3670</v>
      </c>
      <c r="Q56" s="1420"/>
      <c r="R56" s="3500"/>
      <c r="S56" s="3501"/>
      <c r="T56" s="3501"/>
      <c r="U56" s="3501"/>
      <c r="V56" s="3502"/>
      <c r="W56" s="1631"/>
      <c r="Z56" s="1631"/>
      <c r="AA56" s="521"/>
      <c r="AB56" s="1631"/>
      <c r="AE56" s="1631"/>
      <c r="AF56" s="521"/>
      <c r="AG56" s="1631"/>
      <c r="AJ56" s="1631"/>
      <c r="AK56" s="521"/>
      <c r="AL56" s="1631"/>
      <c r="AO56" s="1631"/>
      <c r="AP56" s="521"/>
      <c r="AQ56" s="522"/>
      <c r="AR56" s="522"/>
      <c r="AS56" s="522"/>
      <c r="AT56" s="522"/>
      <c r="AU56" s="522"/>
      <c r="AV56" s="522"/>
      <c r="AW56" s="521"/>
      <c r="AX56" s="514"/>
      <c r="BA56" s="522"/>
      <c r="BB56" s="521"/>
      <c r="BC56" s="514"/>
      <c r="LN56" s="520"/>
      <c r="MC56" s="512"/>
    </row>
    <row r="57" spans="1:393" ht="15" customHeight="1">
      <c r="A57" s="3586"/>
      <c r="B57" s="3586"/>
      <c r="C57" s="96"/>
      <c r="D57" s="1"/>
      <c r="E57" s="1"/>
      <c r="F57" s="1"/>
      <c r="G57" s="84"/>
      <c r="H57" s="36" t="s">
        <v>4623</v>
      </c>
      <c r="I57" s="84"/>
      <c r="J57" s="2340">
        <f>AB48</f>
        <v>0</v>
      </c>
      <c r="K57" s="2341">
        <f>AC48</f>
        <v>0</v>
      </c>
      <c r="L57" s="2341">
        <f>AD48</f>
        <v>0</v>
      </c>
      <c r="M57" s="2341">
        <f>AE48</f>
        <v>0</v>
      </c>
      <c r="N57" s="2342">
        <f>AF48</f>
        <v>0</v>
      </c>
      <c r="O57" s="1110">
        <f t="shared" si="347"/>
        <v>0</v>
      </c>
      <c r="P57" s="3513"/>
      <c r="Q57" s="2277"/>
      <c r="R57" s="3505"/>
      <c r="S57" s="3506"/>
      <c r="T57" s="3506"/>
      <c r="U57" s="3506"/>
      <c r="V57" s="3507"/>
      <c r="W57" s="1631"/>
      <c r="Z57" s="1631"/>
      <c r="AA57" s="521"/>
      <c r="AB57" s="1631"/>
      <c r="AE57" s="1631"/>
      <c r="AF57" s="521"/>
      <c r="AG57" s="1631"/>
      <c r="AJ57" s="1631"/>
      <c r="AK57" s="521"/>
      <c r="AL57" s="1631"/>
      <c r="AO57" s="1631"/>
      <c r="AP57" s="521"/>
      <c r="AQ57" s="522"/>
      <c r="AR57" s="522"/>
      <c r="AS57" s="522"/>
      <c r="AT57" s="522"/>
      <c r="AU57" s="522"/>
      <c r="AV57" s="522"/>
      <c r="AW57" s="521"/>
      <c r="AX57" s="514"/>
      <c r="BA57" s="522"/>
      <c r="BB57" s="521"/>
      <c r="BC57" s="514"/>
      <c r="LN57" s="520"/>
      <c r="MC57" s="512"/>
    </row>
    <row r="58" spans="1:393" ht="15" customHeight="1">
      <c r="A58" s="3586"/>
      <c r="B58" s="3586"/>
      <c r="C58" s="96"/>
      <c r="D58" s="1"/>
      <c r="E58" s="1"/>
      <c r="F58" s="1"/>
      <c r="G58" s="84"/>
      <c r="H58" s="36" t="s">
        <v>1149</v>
      </c>
      <c r="I58" s="84"/>
      <c r="J58" s="2340">
        <f>AG48</f>
        <v>0</v>
      </c>
      <c r="K58" s="2341">
        <f>AH48</f>
        <v>12</v>
      </c>
      <c r="L58" s="2341">
        <f>AI48</f>
        <v>56</v>
      </c>
      <c r="M58" s="2341">
        <f>AJ48</f>
        <v>8</v>
      </c>
      <c r="N58" s="2342">
        <f>AK48</f>
        <v>8</v>
      </c>
      <c r="O58" s="1110">
        <f t="shared" si="347"/>
        <v>84</v>
      </c>
      <c r="P58" s="3513"/>
      <c r="Q58" s="2277"/>
      <c r="R58" s="3505"/>
      <c r="S58" s="3506"/>
      <c r="T58" s="3506"/>
      <c r="U58" s="3506"/>
      <c r="V58" s="3507"/>
      <c r="W58" s="1631"/>
      <c r="Z58" s="1631"/>
      <c r="AA58" s="521"/>
      <c r="AB58" s="1631"/>
      <c r="AE58" s="1631"/>
      <c r="AF58" s="521"/>
      <c r="AG58" s="1631"/>
      <c r="AJ58" s="1631"/>
      <c r="AK58" s="521"/>
      <c r="AL58" s="1631"/>
      <c r="AO58" s="1631"/>
      <c r="AP58" s="521"/>
      <c r="AQ58" s="522"/>
      <c r="AR58" s="522"/>
      <c r="AS58" s="522"/>
      <c r="AT58" s="522"/>
      <c r="AU58" s="522"/>
      <c r="AV58" s="522"/>
      <c r="AW58" s="521"/>
      <c r="AX58" s="514"/>
      <c r="BA58" s="522"/>
      <c r="BB58" s="521"/>
      <c r="BC58" s="514"/>
      <c r="LN58" s="520"/>
      <c r="MC58" s="512"/>
    </row>
    <row r="59" spans="1:393" ht="15" customHeight="1">
      <c r="A59" s="3586"/>
      <c r="B59" s="3586"/>
      <c r="C59" s="96"/>
      <c r="D59" s="1"/>
      <c r="E59" s="1"/>
      <c r="F59" s="1"/>
      <c r="G59" s="84"/>
      <c r="H59" s="52" t="s">
        <v>118</v>
      </c>
      <c r="I59" s="1433"/>
      <c r="J59" s="2370">
        <f>AL48</f>
        <v>0</v>
      </c>
      <c r="K59" s="2371">
        <f>AM48</f>
        <v>0</v>
      </c>
      <c r="L59" s="2371">
        <f>AN48</f>
        <v>0</v>
      </c>
      <c r="M59" s="2371">
        <f>AO48</f>
        <v>0</v>
      </c>
      <c r="N59" s="2372">
        <f>AP48</f>
        <v>0</v>
      </c>
      <c r="O59" s="690">
        <f t="shared" si="347"/>
        <v>0</v>
      </c>
      <c r="P59" s="3513"/>
      <c r="Q59" s="2277"/>
      <c r="R59" s="3505"/>
      <c r="S59" s="3506"/>
      <c r="T59" s="3506"/>
      <c r="U59" s="3506"/>
      <c r="V59" s="3507"/>
      <c r="W59" s="1631"/>
      <c r="Z59" s="1631"/>
      <c r="AA59" s="521"/>
      <c r="AB59" s="1631"/>
      <c r="AE59" s="1631"/>
      <c r="AF59" s="521"/>
      <c r="AG59" s="1631"/>
      <c r="AJ59" s="1631"/>
      <c r="AK59" s="521"/>
      <c r="AL59" s="1631"/>
      <c r="AO59" s="1631"/>
      <c r="AP59" s="521"/>
      <c r="AQ59" s="522"/>
      <c r="AR59" s="522"/>
      <c r="AS59" s="522"/>
      <c r="AT59" s="522"/>
      <c r="AU59" s="522"/>
      <c r="AV59" s="522"/>
      <c r="AW59" s="521"/>
      <c r="AX59" s="514"/>
      <c r="BA59" s="522"/>
      <c r="BB59" s="521"/>
      <c r="BC59" s="514"/>
      <c r="LN59" s="520"/>
      <c r="MC59" s="512"/>
    </row>
    <row r="60" spans="1:393" ht="15" customHeight="1">
      <c r="A60" s="3586"/>
      <c r="B60" s="3586"/>
      <c r="C60" s="96"/>
      <c r="D60" s="1"/>
      <c r="E60" s="1"/>
      <c r="F60" s="1"/>
      <c r="G60" s="84"/>
      <c r="H60" s="52" t="s">
        <v>4624</v>
      </c>
      <c r="I60" s="1433"/>
      <c r="J60" s="2340">
        <f>AQ48</f>
        <v>0</v>
      </c>
      <c r="K60" s="2341">
        <f>AR48</f>
        <v>0</v>
      </c>
      <c r="L60" s="2341">
        <f>AS48</f>
        <v>0</v>
      </c>
      <c r="M60" s="2341">
        <f>AT48</f>
        <v>0</v>
      </c>
      <c r="N60" s="2342">
        <f>AU48</f>
        <v>0</v>
      </c>
      <c r="O60" s="1110">
        <f t="shared" si="347"/>
        <v>0</v>
      </c>
      <c r="P60" s="3513"/>
      <c r="Q60" s="2277"/>
      <c r="R60" s="3505"/>
      <c r="S60" s="3506"/>
      <c r="T60" s="3506"/>
      <c r="U60" s="3506"/>
      <c r="V60" s="3507"/>
      <c r="W60" s="1631"/>
      <c r="Z60" s="1631"/>
      <c r="AA60" s="521"/>
      <c r="AB60" s="1631"/>
      <c r="AE60" s="1631"/>
      <c r="AF60" s="521"/>
      <c r="AG60" s="1631"/>
      <c r="AJ60" s="1631"/>
      <c r="AK60" s="521"/>
      <c r="AL60" s="1631"/>
      <c r="AO60" s="1631"/>
      <c r="AP60" s="521"/>
      <c r="AQ60" s="522"/>
      <c r="AR60" s="522"/>
      <c r="AS60" s="522"/>
      <c r="AT60" s="522"/>
      <c r="AU60" s="522"/>
      <c r="AV60" s="522"/>
      <c r="AW60" s="521"/>
      <c r="AX60" s="514"/>
      <c r="BA60" s="522"/>
      <c r="BB60" s="521"/>
      <c r="BC60" s="514"/>
      <c r="LN60" s="520"/>
      <c r="MC60" s="512"/>
    </row>
    <row r="61" spans="1:393" ht="15" customHeight="1">
      <c r="A61" s="3586"/>
      <c r="B61" s="3586"/>
      <c r="C61" s="96"/>
      <c r="D61" s="1"/>
      <c r="E61" s="1"/>
      <c r="F61" s="1"/>
      <c r="G61" s="84"/>
      <c r="H61" s="36" t="s">
        <v>4625</v>
      </c>
      <c r="I61" s="84"/>
      <c r="J61" s="2340">
        <f>AV48</f>
        <v>0</v>
      </c>
      <c r="K61" s="2341">
        <f>AW48</f>
        <v>0</v>
      </c>
      <c r="L61" s="2341">
        <f>AX48</f>
        <v>0</v>
      </c>
      <c r="M61" s="2341">
        <f>AY48</f>
        <v>0</v>
      </c>
      <c r="N61" s="2342">
        <f>AZ48</f>
        <v>0</v>
      </c>
      <c r="O61" s="1110">
        <f t="shared" si="347"/>
        <v>0</v>
      </c>
      <c r="P61" s="3513"/>
      <c r="Q61" s="2277"/>
      <c r="R61" s="3505"/>
      <c r="S61" s="3506"/>
      <c r="T61" s="3506"/>
      <c r="U61" s="3506"/>
      <c r="V61" s="3507"/>
      <c r="W61" s="1631"/>
      <c r="Z61" s="1631"/>
      <c r="AA61" s="521"/>
      <c r="AB61" s="1631"/>
      <c r="AE61" s="1631"/>
      <c r="AF61" s="521"/>
      <c r="AG61" s="1631"/>
      <c r="AJ61" s="1631"/>
      <c r="AK61" s="521"/>
      <c r="AL61" s="1631"/>
      <c r="AO61" s="1631"/>
      <c r="AP61" s="521"/>
      <c r="AQ61" s="522"/>
      <c r="AR61" s="522"/>
      <c r="AS61" s="522"/>
      <c r="AT61" s="522"/>
      <c r="AU61" s="522"/>
      <c r="AV61" s="522"/>
      <c r="AW61" s="521"/>
      <c r="AX61" s="514"/>
      <c r="BA61" s="522"/>
      <c r="BB61" s="521"/>
      <c r="BC61" s="514"/>
      <c r="LN61" s="520"/>
      <c r="MC61" s="512"/>
    </row>
    <row r="62" spans="1:393" ht="15" customHeight="1">
      <c r="A62" s="3586"/>
      <c r="B62" s="3586"/>
      <c r="C62" s="4"/>
      <c r="D62" s="1"/>
      <c r="E62" s="1"/>
      <c r="F62" s="1"/>
      <c r="G62" s="84"/>
      <c r="H62" s="36" t="s">
        <v>4626</v>
      </c>
      <c r="I62" s="84"/>
      <c r="J62" s="2343">
        <f>BA48</f>
        <v>0</v>
      </c>
      <c r="K62" s="2344">
        <f>BB48</f>
        <v>0</v>
      </c>
      <c r="L62" s="2344">
        <f>BC48</f>
        <v>0</v>
      </c>
      <c r="M62" s="2344">
        <f>BD48</f>
        <v>0</v>
      </c>
      <c r="N62" s="2345">
        <f>BE48</f>
        <v>0</v>
      </c>
      <c r="O62" s="690">
        <f t="shared" si="347"/>
        <v>0</v>
      </c>
      <c r="P62" s="3513"/>
      <c r="Q62" s="1420"/>
      <c r="R62" s="3505"/>
      <c r="S62" s="3506"/>
      <c r="T62" s="3506"/>
      <c r="U62" s="3506"/>
      <c r="V62" s="3507"/>
      <c r="W62" s="1629"/>
      <c r="Z62" s="1631"/>
      <c r="AA62" s="521"/>
      <c r="AB62" s="1629"/>
      <c r="AE62" s="1631"/>
      <c r="AF62" s="521"/>
      <c r="AG62" s="1629"/>
      <c r="AJ62" s="1631"/>
      <c r="AK62" s="521"/>
      <c r="AL62" s="1629"/>
      <c r="AO62" s="1631"/>
      <c r="AP62" s="521"/>
      <c r="AQ62" s="522"/>
      <c r="AR62" s="522"/>
      <c r="AS62" s="522"/>
      <c r="AT62" s="522"/>
      <c r="AU62" s="522"/>
      <c r="AV62" s="522"/>
      <c r="AW62" s="521"/>
      <c r="AX62" s="514"/>
      <c r="BA62" s="522"/>
      <c r="BB62" s="521"/>
      <c r="BC62" s="514"/>
      <c r="LN62" s="520"/>
      <c r="MC62" s="512"/>
    </row>
    <row r="63" spans="1:393" ht="15" customHeight="1">
      <c r="A63" s="3586"/>
      <c r="B63" s="3586"/>
      <c r="C63" s="114" t="s">
        <v>4708</v>
      </c>
      <c r="D63" s="1"/>
      <c r="E63" s="1"/>
      <c r="F63" s="1"/>
      <c r="G63" s="84"/>
      <c r="H63" s="55"/>
      <c r="I63" s="84"/>
      <c r="J63" s="2292">
        <f>SUM(J56:J62)</f>
        <v>0</v>
      </c>
      <c r="K63" s="2292">
        <f>SUM(K56:K62)</f>
        <v>12</v>
      </c>
      <c r="L63" s="2292">
        <f>SUM(L56:L62)</f>
        <v>56</v>
      </c>
      <c r="M63" s="2292">
        <f>SUM(M56:M62)</f>
        <v>8</v>
      </c>
      <c r="N63" s="2292">
        <f>SUM(N56:N62)</f>
        <v>8</v>
      </c>
      <c r="O63" s="2292">
        <f t="shared" si="347"/>
        <v>84</v>
      </c>
      <c r="P63" s="3514"/>
      <c r="R63" s="3505"/>
      <c r="S63" s="3506"/>
      <c r="T63" s="3506"/>
      <c r="U63" s="3506"/>
      <c r="V63" s="3507"/>
      <c r="W63" s="1629"/>
      <c r="Z63" s="1631"/>
      <c r="AA63" s="521"/>
      <c r="AB63" s="1629"/>
      <c r="AE63" s="1631"/>
      <c r="AF63" s="521"/>
      <c r="AG63" s="1629"/>
      <c r="AJ63" s="1631"/>
      <c r="AK63" s="521"/>
      <c r="AL63" s="1629"/>
      <c r="AO63" s="1631"/>
      <c r="AP63" s="521"/>
      <c r="AQ63" s="522"/>
      <c r="AR63" s="522"/>
      <c r="AS63" s="522"/>
      <c r="AT63" s="522"/>
      <c r="AU63" s="522"/>
      <c r="AV63" s="522"/>
      <c r="AW63" s="521"/>
      <c r="AX63" s="514"/>
      <c r="BA63" s="522"/>
      <c r="BB63" s="521"/>
      <c r="BC63" s="514"/>
      <c r="LN63" s="520"/>
      <c r="MC63" s="512"/>
    </row>
    <row r="64" spans="1:393" ht="15" customHeight="1">
      <c r="A64" s="3586"/>
      <c r="B64" s="3586"/>
      <c r="D64" s="1"/>
      <c r="E64" s="1"/>
      <c r="F64" s="1"/>
      <c r="G64" s="84"/>
      <c r="H64" s="36" t="s">
        <v>303</v>
      </c>
      <c r="I64" s="84"/>
      <c r="J64" s="1111">
        <f>BF48</f>
        <v>0</v>
      </c>
      <c r="K64" s="1111">
        <f>BG48</f>
        <v>0</v>
      </c>
      <c r="L64" s="1111">
        <f>BH48</f>
        <v>0</v>
      </c>
      <c r="M64" s="1111">
        <f>BI48</f>
        <v>0</v>
      </c>
      <c r="N64" s="1111">
        <f>BJ48</f>
        <v>0</v>
      </c>
      <c r="O64" s="1111">
        <f t="shared" si="347"/>
        <v>0</v>
      </c>
      <c r="R64" s="3505"/>
      <c r="S64" s="3506"/>
      <c r="T64" s="3506"/>
      <c r="U64" s="3506"/>
      <c r="V64" s="3507"/>
      <c r="W64" s="514"/>
      <c r="Z64" s="1631"/>
      <c r="AA64" s="521"/>
      <c r="AB64" s="514"/>
      <c r="AE64" s="1631"/>
      <c r="AF64" s="521"/>
      <c r="AG64" s="514"/>
      <c r="AJ64" s="1631"/>
      <c r="AK64" s="521"/>
      <c r="AL64" s="514"/>
      <c r="AO64" s="1631"/>
      <c r="AP64" s="521"/>
      <c r="AQ64" s="522"/>
      <c r="AR64" s="522"/>
      <c r="AS64" s="522"/>
      <c r="AT64" s="522"/>
      <c r="AU64" s="522"/>
      <c r="AV64" s="522"/>
      <c r="AW64" s="1216"/>
      <c r="AX64" s="514"/>
      <c r="BA64" s="522"/>
      <c r="BB64" s="1216"/>
      <c r="BC64" s="514"/>
      <c r="LN64" s="520"/>
      <c r="MC64" s="512"/>
    </row>
    <row r="65" spans="1:341" ht="15" customHeight="1">
      <c r="A65" s="3586"/>
      <c r="B65" s="3586"/>
      <c r="C65" s="2299" t="s">
        <v>1138</v>
      </c>
      <c r="D65" s="2299"/>
      <c r="E65" s="2299"/>
      <c r="F65" s="2299"/>
      <c r="G65" s="2300"/>
      <c r="H65" s="49"/>
      <c r="I65" s="2300"/>
      <c r="J65" s="2301">
        <f>SUM(J63:J64)</f>
        <v>0</v>
      </c>
      <c r="K65" s="2301">
        <f>SUM(K63:K64)</f>
        <v>12</v>
      </c>
      <c r="L65" s="2301">
        <f>SUM(L63:L64)</f>
        <v>56</v>
      </c>
      <c r="M65" s="2301">
        <f>SUM(M63:M64)</f>
        <v>8</v>
      </c>
      <c r="N65" s="2301">
        <f>SUM(N63:N64)</f>
        <v>8</v>
      </c>
      <c r="O65" s="2301">
        <f t="shared" si="347"/>
        <v>84</v>
      </c>
      <c r="R65" s="3505"/>
      <c r="S65" s="3506"/>
      <c r="T65" s="3506"/>
      <c r="U65" s="3506"/>
      <c r="V65" s="3507"/>
      <c r="W65" s="1631"/>
      <c r="Z65" s="1631"/>
      <c r="AA65" s="521"/>
      <c r="AB65" s="1631"/>
      <c r="AE65" s="1631"/>
      <c r="AF65" s="521"/>
      <c r="AG65" s="1631"/>
      <c r="AJ65" s="1631"/>
      <c r="AK65" s="521"/>
      <c r="AL65" s="1631"/>
      <c r="AO65" s="1631"/>
      <c r="AP65" s="521"/>
      <c r="AQ65" s="522"/>
      <c r="AR65" s="522"/>
      <c r="AS65" s="522"/>
      <c r="AT65" s="522"/>
      <c r="AU65" s="522"/>
      <c r="AV65" s="522"/>
      <c r="AW65" s="1216"/>
      <c r="AX65" s="514"/>
      <c r="BA65" s="522"/>
      <c r="BB65" s="1216"/>
      <c r="BC65" s="514"/>
      <c r="LN65" s="520"/>
      <c r="MC65" s="512"/>
    </row>
    <row r="66" spans="1:341" ht="15" customHeight="1">
      <c r="A66" s="3586"/>
      <c r="B66" s="3586"/>
      <c r="D66" s="1"/>
      <c r="E66" s="1"/>
      <c r="F66" s="1"/>
      <c r="G66" s="84"/>
      <c r="H66" s="36" t="s">
        <v>2511</v>
      </c>
      <c r="I66" s="84"/>
      <c r="J66" s="1111">
        <f>EC48</f>
        <v>0</v>
      </c>
      <c r="K66" s="1111">
        <f>ED48</f>
        <v>0</v>
      </c>
      <c r="L66" s="1111">
        <f>EE48</f>
        <v>0</v>
      </c>
      <c r="M66" s="1111">
        <f>EF48</f>
        <v>0</v>
      </c>
      <c r="N66" s="1111">
        <f>EG48</f>
        <v>0</v>
      </c>
      <c r="O66" s="1111">
        <f t="shared" si="347"/>
        <v>0</v>
      </c>
      <c r="P66" s="563" t="s">
        <v>3671</v>
      </c>
      <c r="R66" s="3505"/>
      <c r="S66" s="3506"/>
      <c r="T66" s="3506"/>
      <c r="U66" s="3506"/>
      <c r="V66" s="3507"/>
      <c r="W66" s="1631"/>
      <c r="Z66" s="1631"/>
      <c r="AA66" s="521"/>
      <c r="AB66" s="1631"/>
      <c r="AE66" s="1631"/>
      <c r="AF66" s="521"/>
      <c r="AG66" s="1631"/>
      <c r="AJ66" s="1631"/>
      <c r="AK66" s="521"/>
      <c r="AL66" s="1631"/>
      <c r="AO66" s="1631"/>
      <c r="AP66" s="521"/>
      <c r="AQ66" s="522"/>
      <c r="AR66" s="522"/>
      <c r="AS66" s="522"/>
      <c r="AT66" s="522"/>
      <c r="AU66" s="522"/>
      <c r="AV66" s="522"/>
      <c r="AW66" s="521"/>
      <c r="AX66" s="514"/>
      <c r="BA66" s="522"/>
      <c r="BB66" s="521"/>
      <c r="BC66" s="514"/>
      <c r="LN66" s="520"/>
      <c r="MC66" s="512"/>
    </row>
    <row r="67" spans="1:341" ht="15" customHeight="1">
      <c r="A67" s="3586"/>
      <c r="B67" s="3586"/>
      <c r="C67" s="4" t="s">
        <v>1793</v>
      </c>
      <c r="D67" s="1"/>
      <c r="E67" s="1"/>
      <c r="F67" s="1"/>
      <c r="G67" s="84"/>
      <c r="H67" s="36"/>
      <c r="I67" s="84"/>
      <c r="J67" s="2291">
        <f>SUM(J65:J66)</f>
        <v>0</v>
      </c>
      <c r="K67" s="2291">
        <f>SUM(K65:K66)</f>
        <v>12</v>
      </c>
      <c r="L67" s="2291">
        <f>SUM(L65:L66)</f>
        <v>56</v>
      </c>
      <c r="M67" s="2291">
        <f>SUM(M65:M66)</f>
        <v>8</v>
      </c>
      <c r="N67" s="2291">
        <f>SUM(N65:N66)</f>
        <v>8</v>
      </c>
      <c r="O67" s="2291">
        <f t="shared" si="347"/>
        <v>84</v>
      </c>
      <c r="R67" s="3509"/>
      <c r="S67" s="3510"/>
      <c r="T67" s="3510"/>
      <c r="U67" s="3510"/>
      <c r="V67" s="3511"/>
      <c r="W67" s="1631"/>
      <c r="Z67" s="1631"/>
      <c r="AA67" s="521"/>
      <c r="AB67" s="1631"/>
      <c r="AE67" s="1631"/>
      <c r="AF67" s="521"/>
      <c r="AG67" s="1631"/>
      <c r="AJ67" s="1631"/>
      <c r="AK67" s="521"/>
      <c r="AL67" s="1631"/>
      <c r="AO67" s="1631"/>
      <c r="AP67" s="521"/>
      <c r="AQ67" s="522"/>
      <c r="AR67" s="522"/>
      <c r="AS67" s="522"/>
      <c r="AT67" s="522"/>
      <c r="AU67" s="522"/>
      <c r="AV67" s="522"/>
      <c r="AW67" s="742"/>
      <c r="AX67" s="514"/>
      <c r="BA67" s="522"/>
      <c r="BB67" s="742"/>
      <c r="BC67" s="514"/>
      <c r="LN67" s="520"/>
      <c r="MC67" s="512"/>
    </row>
    <row r="68" spans="1:341" ht="12" customHeight="1">
      <c r="A68" s="3586"/>
      <c r="B68" s="3586"/>
      <c r="C68" s="2643"/>
      <c r="D68" s="2643"/>
      <c r="E68" s="2643"/>
      <c r="F68" s="2643"/>
      <c r="G68" s="2643"/>
      <c r="H68" s="2643"/>
      <c r="I68" s="2643"/>
      <c r="J68" s="2643"/>
      <c r="K68" s="2643"/>
      <c r="L68" s="2643"/>
      <c r="M68" s="2643"/>
      <c r="N68" s="2643"/>
      <c r="O68" s="2643"/>
      <c r="P68" s="512"/>
      <c r="W68" s="1631"/>
      <c r="Z68" s="1631"/>
      <c r="AA68" s="521"/>
      <c r="AB68" s="1631"/>
      <c r="AE68" s="1631"/>
      <c r="AF68" s="521"/>
      <c r="AG68" s="1631"/>
      <c r="AJ68" s="1631"/>
      <c r="AK68" s="521"/>
      <c r="AL68" s="1631"/>
      <c r="AO68" s="1631"/>
      <c r="AP68" s="521"/>
      <c r="AQ68" s="1631"/>
      <c r="AR68" s="1631"/>
      <c r="AS68" s="1631"/>
      <c r="AT68" s="1631"/>
      <c r="AU68" s="1631"/>
      <c r="AV68" s="1631"/>
      <c r="AW68" s="742"/>
      <c r="AX68" s="514"/>
      <c r="BA68" s="1631"/>
      <c r="BB68" s="742"/>
      <c r="BC68" s="514"/>
      <c r="LN68" s="520"/>
      <c r="MC68" s="512"/>
    </row>
    <row r="69" spans="1:341" ht="9" customHeight="1">
      <c r="A69" s="3586"/>
      <c r="B69" s="3586"/>
      <c r="C69" s="96"/>
      <c r="D69" s="1"/>
      <c r="E69" s="1"/>
      <c r="F69" s="1"/>
      <c r="G69" s="84"/>
      <c r="H69" s="36"/>
      <c r="I69" s="84"/>
      <c r="J69" s="689"/>
      <c r="K69" s="689"/>
      <c r="L69" s="689"/>
      <c r="M69" s="689"/>
      <c r="N69" s="689"/>
      <c r="O69" s="689"/>
      <c r="S69" s="156"/>
      <c r="T69" s="466"/>
      <c r="W69" s="1631"/>
      <c r="Z69" s="1631"/>
      <c r="AA69" s="521"/>
      <c r="AB69" s="1631"/>
      <c r="AE69" s="1631"/>
      <c r="AF69" s="521"/>
      <c r="AG69" s="1631"/>
      <c r="AJ69" s="1631"/>
      <c r="AK69" s="521"/>
      <c r="AL69" s="1631"/>
      <c r="AO69" s="1631"/>
      <c r="AP69" s="521"/>
      <c r="AQ69" s="1631"/>
      <c r="AR69" s="1631"/>
      <c r="AS69" s="1631"/>
      <c r="AT69" s="1631"/>
      <c r="AU69" s="1631"/>
      <c r="AV69" s="1631"/>
      <c r="AW69" s="742"/>
      <c r="AX69" s="514"/>
      <c r="BA69" s="1631"/>
      <c r="BB69" s="742"/>
      <c r="BC69" s="514"/>
      <c r="LN69" s="520"/>
      <c r="MC69" s="512"/>
    </row>
    <row r="70" spans="1:341" ht="12" customHeight="1">
      <c r="A70" s="3586"/>
      <c r="B70" s="3586"/>
      <c r="C70" s="3499" t="s">
        <v>4729</v>
      </c>
      <c r="D70" s="3499"/>
      <c r="E70" s="3499"/>
      <c r="F70" s="3499"/>
      <c r="G70" s="106"/>
      <c r="H70" s="52"/>
      <c r="I70" s="2641" t="s">
        <v>4728</v>
      </c>
      <c r="J70" s="2644"/>
      <c r="K70" s="2645"/>
      <c r="L70" s="2645"/>
      <c r="M70" s="2645"/>
      <c r="N70" s="2645"/>
      <c r="O70" s="2644"/>
      <c r="P70" s="1207" t="s">
        <v>4727</v>
      </c>
      <c r="R70" s="3500"/>
      <c r="S70" s="3501"/>
      <c r="T70" s="3501"/>
      <c r="U70" s="3501"/>
      <c r="V70" s="3502"/>
      <c r="W70" s="1631"/>
      <c r="Z70" s="1631"/>
      <c r="AA70" s="521"/>
      <c r="AB70" s="1631"/>
      <c r="AE70" s="1631"/>
      <c r="AF70" s="521"/>
      <c r="AG70" s="1631"/>
      <c r="AJ70" s="1631"/>
      <c r="AK70" s="521"/>
      <c r="AL70" s="1631"/>
      <c r="AO70" s="1631"/>
      <c r="AP70" s="521"/>
      <c r="AQ70" s="1631"/>
      <c r="AR70" s="1631"/>
      <c r="AS70" s="1631"/>
      <c r="AT70" s="1631"/>
      <c r="AU70" s="1631"/>
      <c r="AV70" s="1631"/>
      <c r="AW70" s="742"/>
      <c r="AX70" s="514"/>
      <c r="BA70" s="1631"/>
      <c r="BB70" s="742"/>
      <c r="BC70" s="514"/>
      <c r="LN70" s="520"/>
      <c r="MC70" s="512"/>
    </row>
    <row r="71" spans="1:341" ht="15" customHeight="1">
      <c r="A71" s="3586"/>
      <c r="B71" s="3586"/>
      <c r="C71" s="3499"/>
      <c r="D71" s="3499"/>
      <c r="E71" s="3499"/>
      <c r="F71" s="3499"/>
      <c r="G71" s="106"/>
      <c r="H71" s="52" t="s">
        <v>4622</v>
      </c>
      <c r="I71" s="2640" t="str">
        <f>IF(OR(NOT(K53="Income Averaging"),O71=0),"",IF(OR(AND(J71&gt;0,ABS(J71-P71)&gt;0.01),AND(K71&gt;0,ABS(K71-P71)&gt;0.01),AND(L71&gt;0,ABS(L71-P71)&gt;0.01),AND(M71&gt;0,ABS(M71-P71)&gt;0.01),AND(N71&gt;0,ABS(N71-P71)&gt;0.01)), "No", "Yes"))</f>
        <v/>
      </c>
      <c r="J71" s="2346">
        <f t="shared" ref="J71:O71" si="348">IF(OR(J63=0,J56=0),0,J56/J63)</f>
        <v>0</v>
      </c>
      <c r="K71" s="2347">
        <f t="shared" si="348"/>
        <v>0</v>
      </c>
      <c r="L71" s="2347">
        <f t="shared" si="348"/>
        <v>0</v>
      </c>
      <c r="M71" s="2347">
        <f t="shared" si="348"/>
        <v>0</v>
      </c>
      <c r="N71" s="2348">
        <f t="shared" si="348"/>
        <v>0</v>
      </c>
      <c r="O71" s="2334">
        <f t="shared" si="348"/>
        <v>0</v>
      </c>
      <c r="P71" s="2332" t="str">
        <f>IF(O71=0,"",AVERAGEIF(J71:N71,"&gt;0"))</f>
        <v/>
      </c>
      <c r="R71" s="3505"/>
      <c r="S71" s="3506"/>
      <c r="T71" s="3506"/>
      <c r="U71" s="3506"/>
      <c r="V71" s="3507"/>
      <c r="W71" s="1631"/>
      <c r="Z71" s="1631"/>
      <c r="AA71" s="521"/>
      <c r="AB71" s="1631"/>
      <c r="AE71" s="1631"/>
      <c r="AF71" s="521"/>
      <c r="AG71" s="1631"/>
      <c r="AJ71" s="1631"/>
      <c r="AK71" s="521"/>
      <c r="AL71" s="1631"/>
      <c r="AO71" s="1631"/>
      <c r="AP71" s="521"/>
      <c r="AQ71" s="1631"/>
      <c r="AR71" s="1631"/>
      <c r="AS71" s="1631"/>
      <c r="AT71" s="1631"/>
      <c r="AU71" s="1631"/>
      <c r="AV71" s="1631"/>
      <c r="AW71" s="742"/>
      <c r="AX71" s="514"/>
      <c r="BA71" s="1631"/>
      <c r="BB71" s="742"/>
      <c r="BC71" s="514"/>
      <c r="LN71" s="520"/>
      <c r="MC71" s="512"/>
    </row>
    <row r="72" spans="1:341" ht="15" customHeight="1">
      <c r="A72" s="3586"/>
      <c r="B72" s="3586"/>
      <c r="C72" s="3499"/>
      <c r="D72" s="3499"/>
      <c r="E72" s="3499"/>
      <c r="F72" s="3499"/>
      <c r="G72" s="106"/>
      <c r="H72" s="52" t="s">
        <v>4623</v>
      </c>
      <c r="I72" s="2640" t="str">
        <f>IF(OR(NOT(K53="Income Averaging"),O72=0),"",IF(OR(AND(J72&gt;0,ABS(J72-P72)&gt;0.01),AND(K72&gt;0,ABS(K72-P72)&gt;0.01),AND(L72&gt;0,ABS(L72-P72)&gt;0.01),AND(M72&gt;0,ABS(M72-P72)&gt;0.01),AND(N72&gt;0,ABS(N72-P72)&gt;0.01)), "No", "Yes"))</f>
        <v/>
      </c>
      <c r="J72" s="2349">
        <f t="shared" ref="J72:O72" si="349">IF(OR(J63=0,J57=0),0,J57/J63)</f>
        <v>0</v>
      </c>
      <c r="K72" s="2350">
        <f t="shared" si="349"/>
        <v>0</v>
      </c>
      <c r="L72" s="2350">
        <f t="shared" si="349"/>
        <v>0</v>
      </c>
      <c r="M72" s="2350">
        <f t="shared" si="349"/>
        <v>0</v>
      </c>
      <c r="N72" s="2351">
        <f t="shared" si="349"/>
        <v>0</v>
      </c>
      <c r="O72" s="2335">
        <f t="shared" si="349"/>
        <v>0</v>
      </c>
      <c r="P72" s="2332" t="str">
        <f t="shared" ref="P72:P77" si="350">IF(O72=0,"",AVERAGEIF(J72:N72,"&gt;0"))</f>
        <v/>
      </c>
      <c r="R72" s="3505"/>
      <c r="S72" s="3506"/>
      <c r="T72" s="3506"/>
      <c r="U72" s="3506"/>
      <c r="V72" s="3507"/>
      <c r="W72" s="1631"/>
      <c r="Z72" s="1631"/>
      <c r="AA72" s="521"/>
      <c r="AB72" s="1631"/>
      <c r="AE72" s="1631"/>
      <c r="AF72" s="521"/>
      <c r="AG72" s="1631"/>
      <c r="AJ72" s="1631"/>
      <c r="AK72" s="521"/>
      <c r="AL72" s="1631"/>
      <c r="AO72" s="1631"/>
      <c r="AP72" s="521"/>
      <c r="AQ72" s="1631"/>
      <c r="AR72" s="1631"/>
      <c r="AS72" s="1631"/>
      <c r="AT72" s="1631"/>
      <c r="AU72" s="1631"/>
      <c r="AV72" s="1631"/>
      <c r="AW72" s="742"/>
      <c r="AX72" s="514"/>
      <c r="BA72" s="1631"/>
      <c r="BB72" s="742"/>
      <c r="BC72" s="514"/>
      <c r="LN72" s="520"/>
      <c r="MC72" s="512"/>
    </row>
    <row r="73" spans="1:341" ht="15" customHeight="1">
      <c r="A73" s="3586"/>
      <c r="B73" s="3586"/>
      <c r="C73" s="2642"/>
      <c r="D73" s="3503" t="s">
        <v>5050</v>
      </c>
      <c r="E73" s="3504"/>
      <c r="F73" s="3504"/>
      <c r="G73" s="3504"/>
      <c r="H73" s="52" t="s">
        <v>1149</v>
      </c>
      <c r="I73" s="2640" t="str">
        <f>IF(OR(NOT(K53="Income Averaging"),O73=0),"",IF(OR(AND(J73&gt;0,ABS(J73-P73)&gt;0.01),AND(K73&gt;0,ABS(K73-P73)&gt;0.01),AND(L73&gt;0,ABS(L73-P73)&gt;0.01),AND(M73&gt;0,ABS(M73-P73)&gt;0.01),AND(N73&gt;0,ABS(N73-P73)&gt;0.01)), "No", "Yes"))</f>
        <v/>
      </c>
      <c r="J73" s="2349">
        <f t="shared" ref="J73:O73" si="351">IF(OR(J63=0,J58=0),0,J58/J63)</f>
        <v>0</v>
      </c>
      <c r="K73" s="2350">
        <f t="shared" si="351"/>
        <v>1</v>
      </c>
      <c r="L73" s="2350">
        <f t="shared" si="351"/>
        <v>1</v>
      </c>
      <c r="M73" s="2350">
        <f t="shared" si="351"/>
        <v>1</v>
      </c>
      <c r="N73" s="2351">
        <f t="shared" si="351"/>
        <v>1</v>
      </c>
      <c r="O73" s="2335">
        <f t="shared" si="351"/>
        <v>1</v>
      </c>
      <c r="P73" s="2332">
        <f t="shared" si="350"/>
        <v>1</v>
      </c>
      <c r="R73" s="3505"/>
      <c r="S73" s="3506"/>
      <c r="T73" s="3506"/>
      <c r="U73" s="3506"/>
      <c r="V73" s="3507"/>
      <c r="W73" s="1631"/>
      <c r="Z73" s="1631"/>
      <c r="AA73" s="521"/>
      <c r="AB73" s="1631"/>
      <c r="AE73" s="1631"/>
      <c r="AF73" s="521"/>
      <c r="AG73" s="1631"/>
      <c r="AJ73" s="1631"/>
      <c r="AK73" s="521"/>
      <c r="AL73" s="1631"/>
      <c r="AO73" s="1631"/>
      <c r="AP73" s="521"/>
      <c r="AQ73" s="1631"/>
      <c r="AR73" s="1631"/>
      <c r="AS73" s="1631"/>
      <c r="AT73" s="1631"/>
      <c r="AU73" s="1631"/>
      <c r="AV73" s="1631"/>
      <c r="AW73" s="742"/>
      <c r="AX73" s="514"/>
      <c r="BA73" s="1631"/>
      <c r="BB73" s="742"/>
      <c r="BC73" s="514"/>
      <c r="LN73" s="520"/>
      <c r="MC73" s="512"/>
    </row>
    <row r="74" spans="1:341" ht="15" customHeight="1">
      <c r="A74" s="3586"/>
      <c r="B74" s="3586"/>
      <c r="C74" s="2642"/>
      <c r="D74" s="3504"/>
      <c r="E74" s="3504"/>
      <c r="F74" s="3504"/>
      <c r="G74" s="3504"/>
      <c r="H74" s="52" t="s">
        <v>118</v>
      </c>
      <c r="I74" s="2640" t="str">
        <f>IF(OR(NOT(K53="Income Averaging"),O74=0),"",IF(OR(AND(J74&gt;0,ABS(J74-P74)&gt;0.01),AND(K74&gt;0,ABS(K74-P74)&gt;0.01),AND(L74&gt;0,ABS(L74-P74)&gt;0.01),AND(M74&gt;0,ABS(M74-P74)&gt;0.01),AND(N74&gt;0,ABS(N74-P74)&gt;0.01)), "No", "Yes"))</f>
        <v/>
      </c>
      <c r="J74" s="2583">
        <f t="shared" ref="J74:O74" si="352">IF(OR(J63=0,J59=0),0,J59/J63)</f>
        <v>0</v>
      </c>
      <c r="K74" s="2584">
        <f t="shared" si="352"/>
        <v>0</v>
      </c>
      <c r="L74" s="2584">
        <f t="shared" si="352"/>
        <v>0</v>
      </c>
      <c r="M74" s="2584">
        <f t="shared" si="352"/>
        <v>0</v>
      </c>
      <c r="N74" s="2585">
        <f t="shared" si="352"/>
        <v>0</v>
      </c>
      <c r="O74" s="2586">
        <f t="shared" si="352"/>
        <v>0</v>
      </c>
      <c r="P74" s="2332" t="str">
        <f t="shared" si="350"/>
        <v/>
      </c>
      <c r="R74" s="3505"/>
      <c r="S74" s="3506"/>
      <c r="T74" s="3506"/>
      <c r="U74" s="3506"/>
      <c r="V74" s="3507"/>
      <c r="W74" s="1631"/>
      <c r="Z74" s="1631"/>
      <c r="AA74" s="521"/>
      <c r="AB74" s="1631"/>
      <c r="AE74" s="1631"/>
      <c r="AF74" s="521"/>
      <c r="AG74" s="1631"/>
      <c r="AJ74" s="1631"/>
      <c r="AK74" s="521"/>
      <c r="AL74" s="1631"/>
      <c r="AO74" s="1631"/>
      <c r="AP74" s="521"/>
      <c r="AQ74" s="1631"/>
      <c r="AR74" s="1631"/>
      <c r="AS74" s="1631"/>
      <c r="AT74" s="1631"/>
      <c r="AU74" s="1631"/>
      <c r="AV74" s="1631"/>
      <c r="AW74" s="742"/>
      <c r="AX74" s="514"/>
      <c r="BA74" s="1631"/>
      <c r="BB74" s="742"/>
      <c r="BC74" s="514"/>
      <c r="LN74" s="520"/>
      <c r="MC74" s="512"/>
    </row>
    <row r="75" spans="1:341" ht="15" customHeight="1">
      <c r="A75" s="2546"/>
      <c r="B75" s="2546"/>
      <c r="C75" s="2642"/>
      <c r="D75" s="3504"/>
      <c r="E75" s="3504"/>
      <c r="F75" s="3504"/>
      <c r="G75" s="3504"/>
      <c r="H75" s="52" t="s">
        <v>4624</v>
      </c>
      <c r="I75" s="2640" t="str">
        <f>IF(OR(NOT(K53="Income Averaging"),O75=0),"",IF(OR(AND(J75&gt;0,ABS(J75-P75)&gt;0.01),AND(K75&gt;0,ABS(K75-P75)&gt;0.01),AND(L75&gt;0,ABS(L75-P75)&gt;0.01),AND(M75&gt;0,ABS(M75-P75)&gt;0.01),AND(N75&gt;0,ABS(N75-P75)&gt;0.01)), "No", "Yes"))</f>
        <v/>
      </c>
      <c r="J75" s="2349">
        <f t="shared" ref="J75:O75" si="353">IF(OR(J63=0,J60=0),0,J60/J63)</f>
        <v>0</v>
      </c>
      <c r="K75" s="2350">
        <f t="shared" si="353"/>
        <v>0</v>
      </c>
      <c r="L75" s="2350">
        <f t="shared" si="353"/>
        <v>0</v>
      </c>
      <c r="M75" s="2350">
        <f t="shared" si="353"/>
        <v>0</v>
      </c>
      <c r="N75" s="2351">
        <f t="shared" si="353"/>
        <v>0</v>
      </c>
      <c r="O75" s="2335">
        <f t="shared" si="353"/>
        <v>0</v>
      </c>
      <c r="P75" s="2332" t="str">
        <f t="shared" si="350"/>
        <v/>
      </c>
      <c r="R75" s="3505"/>
      <c r="S75" s="3506"/>
      <c r="T75" s="3506"/>
      <c r="U75" s="3506"/>
      <c r="V75" s="3507"/>
      <c r="W75" s="1631"/>
      <c r="Z75" s="1631"/>
      <c r="AA75" s="521"/>
      <c r="AB75" s="1631"/>
      <c r="AE75" s="1631"/>
      <c r="AF75" s="521"/>
      <c r="AG75" s="1631"/>
      <c r="AJ75" s="1631"/>
      <c r="AK75" s="521"/>
      <c r="AL75" s="1631"/>
      <c r="AO75" s="1631"/>
      <c r="AP75" s="521"/>
      <c r="AQ75" s="1631"/>
      <c r="AR75" s="1631"/>
      <c r="AS75" s="1631"/>
      <c r="AT75" s="1631"/>
      <c r="AU75" s="1631"/>
      <c r="AV75" s="1631"/>
      <c r="AW75" s="742"/>
      <c r="AX75" s="514"/>
      <c r="BA75" s="1631"/>
      <c r="BB75" s="742"/>
      <c r="BC75" s="514"/>
      <c r="LN75" s="520"/>
      <c r="MC75" s="512"/>
    </row>
    <row r="76" spans="1:341" ht="15" customHeight="1">
      <c r="A76" s="2546"/>
      <c r="B76" s="2546"/>
      <c r="C76" s="2642"/>
      <c r="D76" s="3504"/>
      <c r="E76" s="3504"/>
      <c r="F76" s="3504"/>
      <c r="G76" s="3504"/>
      <c r="H76" s="52" t="s">
        <v>4625</v>
      </c>
      <c r="I76" s="2640" t="str">
        <f>IF(OR(NOT(K53="Income Averaging"),O76=0),"",IF(OR(AND(J76&gt;0,ABS(J76-P76)&gt;0.01),AND(K76&gt;0,ABS(K76-P76)&gt;0.01),AND(L76&gt;0,ABS(L76-P76)&gt;0.01),AND(M76&gt;0,ABS(M76-P76)&gt;0.01),AND(N76&gt;0,ABS(N76-P76)&gt;0.01)), "No", "Yes"))</f>
        <v/>
      </c>
      <c r="J76" s="2349">
        <f t="shared" ref="J76:O76" si="354">IF(OR(J63=0,J61=0),0,J61/J63)</f>
        <v>0</v>
      </c>
      <c r="K76" s="2350">
        <f t="shared" si="354"/>
        <v>0</v>
      </c>
      <c r="L76" s="2350">
        <f t="shared" si="354"/>
        <v>0</v>
      </c>
      <c r="M76" s="2350">
        <f t="shared" si="354"/>
        <v>0</v>
      </c>
      <c r="N76" s="2351">
        <f t="shared" si="354"/>
        <v>0</v>
      </c>
      <c r="O76" s="2335">
        <f t="shared" si="354"/>
        <v>0</v>
      </c>
      <c r="P76" s="2332" t="str">
        <f t="shared" si="350"/>
        <v/>
      </c>
      <c r="R76" s="3505"/>
      <c r="S76" s="3506"/>
      <c r="T76" s="3506"/>
      <c r="U76" s="3506"/>
      <c r="V76" s="3507"/>
      <c r="W76" s="1631"/>
      <c r="Z76" s="1631"/>
      <c r="AA76" s="521"/>
      <c r="AB76" s="1631"/>
      <c r="AE76" s="1631"/>
      <c r="AF76" s="521"/>
      <c r="AG76" s="1631"/>
      <c r="AJ76" s="1631"/>
      <c r="AK76" s="521"/>
      <c r="AL76" s="1631"/>
      <c r="AO76" s="1631"/>
      <c r="AP76" s="521"/>
      <c r="AQ76" s="1631"/>
      <c r="AR76" s="1631"/>
      <c r="AS76" s="1631"/>
      <c r="AT76" s="1631"/>
      <c r="AU76" s="1631"/>
      <c r="AV76" s="1631"/>
      <c r="AW76" s="742"/>
      <c r="AX76" s="514"/>
      <c r="BA76" s="1631"/>
      <c r="BB76" s="742"/>
      <c r="BC76" s="514"/>
      <c r="LN76" s="520"/>
      <c r="MC76" s="512"/>
    </row>
    <row r="77" spans="1:341" ht="15" customHeight="1">
      <c r="A77" s="2546"/>
      <c r="B77" s="2546"/>
      <c r="C77" s="2642"/>
      <c r="D77" s="3504"/>
      <c r="E77" s="3504"/>
      <c r="F77" s="3504"/>
      <c r="G77" s="3504"/>
      <c r="H77" s="52" t="s">
        <v>4626</v>
      </c>
      <c r="I77" s="2640" t="str">
        <f>IF(OR(NOT(K53="Income Averaging"),O77=0),"",IF(OR(AND(J77&gt;0,ABS(J77-P77)&gt;0.01),AND(K77&gt;0,ABS(K77-P77)&gt;0.01),AND(L77&gt;0,ABS(L77-P77)&gt;0.01),AND(M77&gt;0,ABS(M77-P77)&gt;0.01),AND(N77&gt;0,ABS(N77-P77)&gt;0.01)), "No", "Yes"))</f>
        <v/>
      </c>
      <c r="J77" s="2352">
        <f t="shared" ref="J77:O77" si="355">IF(OR(J63=0,J62=0),0,J62/J63)</f>
        <v>0</v>
      </c>
      <c r="K77" s="2353">
        <f t="shared" si="355"/>
        <v>0</v>
      </c>
      <c r="L77" s="2353">
        <f t="shared" si="355"/>
        <v>0</v>
      </c>
      <c r="M77" s="2353">
        <f t="shared" si="355"/>
        <v>0</v>
      </c>
      <c r="N77" s="2354">
        <f t="shared" si="355"/>
        <v>0</v>
      </c>
      <c r="O77" s="2336">
        <f t="shared" si="355"/>
        <v>0</v>
      </c>
      <c r="P77" s="2332" t="str">
        <f t="shared" si="350"/>
        <v/>
      </c>
      <c r="R77" s="3509"/>
      <c r="S77" s="3510"/>
      <c r="T77" s="3510"/>
      <c r="U77" s="3510"/>
      <c r="V77" s="3511"/>
      <c r="W77" s="1631"/>
      <c r="Z77" s="1631"/>
      <c r="AA77" s="521"/>
      <c r="AB77" s="1631"/>
      <c r="AE77" s="1631"/>
      <c r="AF77" s="521"/>
      <c r="AG77" s="1631"/>
      <c r="AJ77" s="1631"/>
      <c r="AK77" s="521"/>
      <c r="AL77" s="1631"/>
      <c r="AO77" s="1631"/>
      <c r="AP77" s="521"/>
      <c r="AQ77" s="1631"/>
      <c r="AR77" s="1631"/>
      <c r="AS77" s="1631"/>
      <c r="AT77" s="1631"/>
      <c r="AU77" s="1631"/>
      <c r="AV77" s="1631"/>
      <c r="AW77" s="742"/>
      <c r="AX77" s="514"/>
      <c r="BA77" s="1631"/>
      <c r="BB77" s="742"/>
      <c r="BC77" s="514"/>
      <c r="LN77" s="520"/>
      <c r="MC77" s="512"/>
    </row>
    <row r="78" spans="1:341" ht="12" customHeight="1">
      <c r="A78" s="2546"/>
      <c r="B78" s="2546"/>
      <c r="C78" s="2643"/>
      <c r="D78" s="2643"/>
      <c r="E78" s="2643"/>
      <c r="F78" s="2643"/>
      <c r="G78" s="2643"/>
      <c r="H78" s="2643"/>
      <c r="I78" s="2643"/>
      <c r="J78" s="2646"/>
      <c r="K78" s="2646"/>
      <c r="L78" s="2646"/>
      <c r="M78" s="2646"/>
      <c r="N78" s="2646"/>
      <c r="O78" s="2646"/>
      <c r="P78" s="512"/>
      <c r="W78" s="1631"/>
      <c r="Z78" s="1631"/>
      <c r="AA78" s="521"/>
      <c r="AB78" s="1631"/>
      <c r="AE78" s="1631"/>
      <c r="AF78" s="521"/>
      <c r="AG78" s="1631"/>
      <c r="AJ78" s="1631"/>
      <c r="AK78" s="521"/>
      <c r="AL78" s="1631"/>
      <c r="AO78" s="1631"/>
      <c r="AP78" s="521"/>
      <c r="AQ78" s="1631"/>
      <c r="AR78" s="1631"/>
      <c r="AS78" s="1631"/>
      <c r="AT78" s="1631"/>
      <c r="AU78" s="1631"/>
      <c r="AV78" s="1631"/>
      <c r="AW78" s="742"/>
      <c r="AX78" s="514"/>
      <c r="BA78" s="1631"/>
      <c r="BB78" s="742"/>
      <c r="BC78" s="514"/>
      <c r="LN78" s="520"/>
      <c r="MC78" s="512"/>
    </row>
    <row r="79" spans="1:341" ht="12" customHeight="1">
      <c r="A79" s="2333"/>
      <c r="B79" s="2333"/>
      <c r="C79" s="96"/>
      <c r="D79" s="1"/>
      <c r="E79" s="1"/>
      <c r="F79" s="1"/>
      <c r="G79" s="84"/>
      <c r="H79" s="36"/>
      <c r="I79" s="84"/>
      <c r="J79" s="689"/>
      <c r="K79" s="689"/>
      <c r="L79" s="689"/>
      <c r="M79" s="689"/>
      <c r="N79" s="689"/>
      <c r="O79" s="689"/>
      <c r="S79" s="156"/>
      <c r="T79" s="466"/>
      <c r="W79" s="1631"/>
      <c r="Z79" s="1631"/>
      <c r="AA79" s="521"/>
      <c r="AB79" s="1631"/>
      <c r="AE79" s="1631"/>
      <c r="AF79" s="521"/>
      <c r="AG79" s="1631"/>
      <c r="AJ79" s="1631"/>
      <c r="AK79" s="521"/>
      <c r="AL79" s="1631"/>
      <c r="AO79" s="1631"/>
      <c r="AP79" s="521"/>
      <c r="AQ79" s="1631"/>
      <c r="AR79" s="1631"/>
      <c r="AS79" s="1631"/>
      <c r="AT79" s="1631"/>
      <c r="AU79" s="1631"/>
      <c r="AV79" s="1631"/>
      <c r="AW79" s="742"/>
      <c r="AX79" s="514"/>
      <c r="BA79" s="1631"/>
      <c r="BB79" s="742"/>
      <c r="BC79" s="514"/>
      <c r="LN79" s="520"/>
      <c r="MC79" s="512"/>
    </row>
    <row r="80" spans="1:341" ht="9" customHeight="1">
      <c r="A80" s="2333"/>
      <c r="B80" s="2333"/>
      <c r="C80" s="96"/>
      <c r="D80" s="1"/>
      <c r="E80" s="1"/>
      <c r="F80" s="1"/>
      <c r="G80" s="84"/>
      <c r="H80" s="36"/>
      <c r="I80" s="84"/>
      <c r="J80" s="689"/>
      <c r="K80" s="689"/>
      <c r="L80" s="689"/>
      <c r="M80" s="689"/>
      <c r="N80" s="689"/>
      <c r="O80" s="689"/>
      <c r="R80" s="346" t="str">
        <f>C81</f>
        <v>PBRA-Assisted</v>
      </c>
      <c r="S80" s="156"/>
      <c r="T80" s="466"/>
      <c r="W80" s="1631"/>
      <c r="Z80" s="1631"/>
      <c r="AA80" s="521"/>
      <c r="AB80" s="1631"/>
      <c r="AE80" s="1631"/>
      <c r="AF80" s="521"/>
      <c r="AG80" s="1631"/>
      <c r="AJ80" s="1631"/>
      <c r="AK80" s="521"/>
      <c r="AL80" s="1631"/>
      <c r="AO80" s="1631"/>
      <c r="AP80" s="521"/>
      <c r="AQ80" s="1631"/>
      <c r="AR80" s="1631"/>
      <c r="AS80" s="1631"/>
      <c r="AT80" s="1631"/>
      <c r="AU80" s="1631"/>
      <c r="AV80" s="1631"/>
      <c r="AW80" s="742"/>
      <c r="AX80" s="514"/>
      <c r="BA80" s="1631"/>
      <c r="BB80" s="742"/>
      <c r="BC80" s="514"/>
      <c r="LN80" s="520"/>
      <c r="MC80" s="512"/>
    </row>
    <row r="81" spans="1:341" ht="15" customHeight="1">
      <c r="A81" s="2333"/>
      <c r="B81" s="2333"/>
      <c r="C81" s="96" t="s">
        <v>934</v>
      </c>
      <c r="D81" s="1"/>
      <c r="E81" s="114"/>
      <c r="F81" s="1"/>
      <c r="G81" s="84"/>
      <c r="H81" s="36" t="s">
        <v>4622</v>
      </c>
      <c r="I81" s="84"/>
      <c r="J81" s="2355">
        <f>CO48</f>
        <v>0</v>
      </c>
      <c r="K81" s="2356">
        <f>CP48</f>
        <v>0</v>
      </c>
      <c r="L81" s="2356">
        <f>CQ48</f>
        <v>0</v>
      </c>
      <c r="M81" s="2356">
        <f>CR48</f>
        <v>0</v>
      </c>
      <c r="N81" s="2357">
        <f>CS48</f>
        <v>0</v>
      </c>
      <c r="O81" s="1112">
        <f t="shared" ref="O81:O88" si="356">SUM(J81:N81)</f>
        <v>0</v>
      </c>
      <c r="R81" s="3500"/>
      <c r="S81" s="3501"/>
      <c r="T81" s="3501"/>
      <c r="U81" s="3501"/>
      <c r="V81" s="3502"/>
      <c r="W81" s="1631"/>
      <c r="Z81" s="1631"/>
      <c r="AA81" s="521"/>
      <c r="AB81" s="1631"/>
      <c r="AE81" s="1631"/>
      <c r="AF81" s="521"/>
      <c r="AG81" s="1631"/>
      <c r="AJ81" s="1631"/>
      <c r="AK81" s="521"/>
      <c r="AL81" s="1631"/>
      <c r="AO81" s="1631"/>
      <c r="AP81" s="521"/>
      <c r="AQ81" s="522"/>
      <c r="AR81" s="522"/>
      <c r="AS81" s="522"/>
      <c r="AT81" s="522"/>
      <c r="AU81" s="522"/>
      <c r="AV81" s="522"/>
      <c r="AW81" s="521"/>
      <c r="AX81" s="514"/>
      <c r="BA81" s="522"/>
      <c r="BB81" s="521"/>
      <c r="BC81" s="514"/>
      <c r="LN81" s="520"/>
      <c r="MC81" s="512"/>
    </row>
    <row r="82" spans="1:341" ht="15" customHeight="1">
      <c r="A82" s="2333"/>
      <c r="B82" s="2333"/>
      <c r="C82" s="36" t="s">
        <v>2512</v>
      </c>
      <c r="D82" s="1"/>
      <c r="E82" s="114"/>
      <c r="F82" s="1"/>
      <c r="G82" s="84"/>
      <c r="H82" s="36" t="s">
        <v>4623</v>
      </c>
      <c r="I82" s="84"/>
      <c r="J82" s="2358">
        <f>CJ48</f>
        <v>0</v>
      </c>
      <c r="K82" s="2359">
        <f>CK48</f>
        <v>0</v>
      </c>
      <c r="L82" s="2359">
        <f>CL48</f>
        <v>0</v>
      </c>
      <c r="M82" s="2359">
        <f>CM48</f>
        <v>0</v>
      </c>
      <c r="N82" s="2360">
        <f>CN48</f>
        <v>0</v>
      </c>
      <c r="O82" s="2290">
        <f t="shared" si="356"/>
        <v>0</v>
      </c>
      <c r="R82" s="3505"/>
      <c r="S82" s="3506"/>
      <c r="T82" s="3506"/>
      <c r="U82" s="3506"/>
      <c r="V82" s="3507"/>
      <c r="W82" s="1631"/>
      <c r="Z82" s="1631"/>
      <c r="AA82" s="521"/>
      <c r="AB82" s="1631"/>
      <c r="AE82" s="1631"/>
      <c r="AF82" s="521"/>
      <c r="AG82" s="1631"/>
      <c r="AJ82" s="1631"/>
      <c r="AK82" s="521"/>
      <c r="AL82" s="1631"/>
      <c r="AO82" s="1631"/>
      <c r="AP82" s="521"/>
      <c r="AQ82" s="522"/>
      <c r="AR82" s="522"/>
      <c r="AS82" s="522"/>
      <c r="AT82" s="522"/>
      <c r="AU82" s="522"/>
      <c r="AV82" s="522"/>
      <c r="AW82" s="521"/>
      <c r="AX82" s="514"/>
      <c r="BA82" s="522"/>
      <c r="BB82" s="521"/>
      <c r="BC82" s="514"/>
      <c r="LN82" s="520"/>
      <c r="MC82" s="512"/>
    </row>
    <row r="83" spans="1:341" ht="15" customHeight="1">
      <c r="A83" s="2333"/>
      <c r="B83" s="2333"/>
      <c r="C83" s="96"/>
      <c r="D83" s="1"/>
      <c r="E83" s="114"/>
      <c r="F83" s="1"/>
      <c r="G83" s="84"/>
      <c r="H83" s="36" t="s">
        <v>1149</v>
      </c>
      <c r="I83" s="84"/>
      <c r="J83" s="2358">
        <f>CE48</f>
        <v>0</v>
      </c>
      <c r="K83" s="2359">
        <f>CF48</f>
        <v>0</v>
      </c>
      <c r="L83" s="2359">
        <f>CG48</f>
        <v>0</v>
      </c>
      <c r="M83" s="2359">
        <f>CH48</f>
        <v>0</v>
      </c>
      <c r="N83" s="2360">
        <f>CI48</f>
        <v>0</v>
      </c>
      <c r="O83" s="2290">
        <f t="shared" si="356"/>
        <v>0</v>
      </c>
      <c r="R83" s="3505"/>
      <c r="S83" s="3506"/>
      <c r="T83" s="3506"/>
      <c r="U83" s="3506"/>
      <c r="V83" s="3507"/>
      <c r="W83" s="1631"/>
      <c r="Z83" s="1631"/>
      <c r="AA83" s="521"/>
      <c r="AB83" s="1631"/>
      <c r="AE83" s="1631"/>
      <c r="AF83" s="521"/>
      <c r="AG83" s="1631"/>
      <c r="AJ83" s="1631"/>
      <c r="AK83" s="521"/>
      <c r="AL83" s="1631"/>
      <c r="AO83" s="1631"/>
      <c r="AP83" s="521"/>
      <c r="AQ83" s="522"/>
      <c r="AR83" s="522"/>
      <c r="AS83" s="522"/>
      <c r="AT83" s="522"/>
      <c r="AU83" s="522"/>
      <c r="AV83" s="522"/>
      <c r="AW83" s="521"/>
      <c r="AX83" s="514"/>
      <c r="BA83" s="522"/>
      <c r="BB83" s="521"/>
      <c r="BC83" s="514"/>
      <c r="LN83" s="520"/>
      <c r="MC83" s="512"/>
    </row>
    <row r="84" spans="1:341" ht="15" customHeight="1">
      <c r="A84" s="2333"/>
      <c r="B84" s="2333"/>
      <c r="C84" s="96"/>
      <c r="D84" s="1"/>
      <c r="E84" s="114"/>
      <c r="F84" s="1"/>
      <c r="G84" s="84"/>
      <c r="H84" s="52" t="s">
        <v>118</v>
      </c>
      <c r="I84" s="1433"/>
      <c r="J84" s="2379">
        <f>BZ48</f>
        <v>0</v>
      </c>
      <c r="K84" s="2380">
        <f>CA48</f>
        <v>0</v>
      </c>
      <c r="L84" s="2380">
        <f>CB48</f>
        <v>0</v>
      </c>
      <c r="M84" s="2380">
        <f>CC48</f>
        <v>0</v>
      </c>
      <c r="N84" s="2381">
        <f>CD48</f>
        <v>0</v>
      </c>
      <c r="O84" s="695">
        <f t="shared" si="356"/>
        <v>0</v>
      </c>
      <c r="R84" s="3505"/>
      <c r="S84" s="3506"/>
      <c r="T84" s="3506"/>
      <c r="U84" s="3506"/>
      <c r="V84" s="3507"/>
      <c r="W84" s="1631"/>
      <c r="Z84" s="1631"/>
      <c r="AA84" s="521"/>
      <c r="AB84" s="1631"/>
      <c r="AE84" s="1631"/>
      <c r="AF84" s="521"/>
      <c r="AG84" s="1631"/>
      <c r="AJ84" s="1631"/>
      <c r="AK84" s="521"/>
      <c r="AL84" s="1631"/>
      <c r="AO84" s="1631"/>
      <c r="AP84" s="521"/>
      <c r="AQ84" s="522"/>
      <c r="AR84" s="522"/>
      <c r="AS84" s="522"/>
      <c r="AT84" s="522"/>
      <c r="AU84" s="522"/>
      <c r="AV84" s="522"/>
      <c r="AW84" s="521"/>
      <c r="AX84" s="514"/>
      <c r="BA84" s="522"/>
      <c r="BB84" s="521"/>
      <c r="BC84" s="514"/>
      <c r="LN84" s="520"/>
      <c r="MC84" s="512"/>
    </row>
    <row r="85" spans="1:341" ht="15" customHeight="1">
      <c r="A85" s="2333"/>
      <c r="B85" s="2333"/>
      <c r="C85" s="96"/>
      <c r="D85" s="1"/>
      <c r="E85" s="114"/>
      <c r="F85" s="1"/>
      <c r="G85" s="84"/>
      <c r="H85" s="52" t="s">
        <v>4624</v>
      </c>
      <c r="I85" s="1433"/>
      <c r="J85" s="2358">
        <f>BU48</f>
        <v>0</v>
      </c>
      <c r="K85" s="2359">
        <f>BV48</f>
        <v>0</v>
      </c>
      <c r="L85" s="2359">
        <f>BW48</f>
        <v>0</v>
      </c>
      <c r="M85" s="2359">
        <f>BX48</f>
        <v>0</v>
      </c>
      <c r="N85" s="2360">
        <f>BY48</f>
        <v>0</v>
      </c>
      <c r="O85" s="2290">
        <f t="shared" si="356"/>
        <v>0</v>
      </c>
      <c r="R85" s="3505"/>
      <c r="S85" s="3506"/>
      <c r="T85" s="3506"/>
      <c r="U85" s="3506"/>
      <c r="V85" s="3507"/>
      <c r="W85" s="1631"/>
      <c r="Z85" s="1631"/>
      <c r="AA85" s="521"/>
      <c r="AB85" s="1631"/>
      <c r="AE85" s="1631"/>
      <c r="AF85" s="521"/>
      <c r="AG85" s="1631"/>
      <c r="AJ85" s="1631"/>
      <c r="AK85" s="521"/>
      <c r="AL85" s="1631"/>
      <c r="AO85" s="1631"/>
      <c r="AP85" s="521"/>
      <c r="AQ85" s="522"/>
      <c r="AR85" s="522"/>
      <c r="AS85" s="522"/>
      <c r="AT85" s="522"/>
      <c r="AU85" s="522"/>
      <c r="AV85" s="522"/>
      <c r="AW85" s="521"/>
      <c r="AX85" s="514"/>
      <c r="BA85" s="522"/>
      <c r="BB85" s="521"/>
      <c r="BC85" s="514"/>
      <c r="LN85" s="520"/>
      <c r="MC85" s="512"/>
    </row>
    <row r="86" spans="1:341" ht="15" customHeight="1">
      <c r="A86" s="2331"/>
      <c r="B86" s="2331"/>
      <c r="C86" s="96"/>
      <c r="D86" s="1"/>
      <c r="E86" s="114"/>
      <c r="F86" s="1"/>
      <c r="G86" s="84"/>
      <c r="H86" s="36" t="s">
        <v>4625</v>
      </c>
      <c r="I86" s="84"/>
      <c r="J86" s="2358">
        <f>BP48</f>
        <v>0</v>
      </c>
      <c r="K86" s="2359">
        <f>BQ48</f>
        <v>0</v>
      </c>
      <c r="L86" s="2359">
        <f>BR48</f>
        <v>0</v>
      </c>
      <c r="M86" s="2359">
        <f>BS48</f>
        <v>0</v>
      </c>
      <c r="N86" s="2360">
        <f>BT48</f>
        <v>0</v>
      </c>
      <c r="O86" s="2290">
        <f t="shared" si="356"/>
        <v>0</v>
      </c>
      <c r="R86" s="3505"/>
      <c r="S86" s="3506"/>
      <c r="T86" s="3506"/>
      <c r="U86" s="3506"/>
      <c r="V86" s="3507"/>
      <c r="W86" s="1631"/>
      <c r="Z86" s="1631"/>
      <c r="AA86" s="521"/>
      <c r="AB86" s="1631"/>
      <c r="AE86" s="1631"/>
      <c r="AF86" s="521"/>
      <c r="AG86" s="1631"/>
      <c r="AJ86" s="1631"/>
      <c r="AK86" s="521"/>
      <c r="AL86" s="1631"/>
      <c r="AO86" s="1631"/>
      <c r="AP86" s="521"/>
      <c r="AQ86" s="522"/>
      <c r="AR86" s="522"/>
      <c r="AS86" s="522"/>
      <c r="AT86" s="522"/>
      <c r="AU86" s="522"/>
      <c r="AV86" s="522"/>
      <c r="AW86" s="521"/>
      <c r="AX86" s="514"/>
      <c r="BA86" s="522"/>
      <c r="BB86" s="521"/>
      <c r="BC86" s="514"/>
      <c r="LN86" s="520"/>
      <c r="MC86" s="512"/>
    </row>
    <row r="87" spans="1:341" ht="15" customHeight="1">
      <c r="A87" s="2331"/>
      <c r="B87" s="2331"/>
      <c r="D87" s="1"/>
      <c r="E87" s="114"/>
      <c r="F87" s="1"/>
      <c r="G87" s="84"/>
      <c r="H87" s="36" t="s">
        <v>4626</v>
      </c>
      <c r="I87" s="84"/>
      <c r="J87" s="2361">
        <f>BK48</f>
        <v>0</v>
      </c>
      <c r="K87" s="2362">
        <f>BL48</f>
        <v>0</v>
      </c>
      <c r="L87" s="2362">
        <f>BM48</f>
        <v>0</v>
      </c>
      <c r="M87" s="2362">
        <f>BN48</f>
        <v>0</v>
      </c>
      <c r="N87" s="2363">
        <f>BO48</f>
        <v>0</v>
      </c>
      <c r="O87" s="1114">
        <f t="shared" si="356"/>
        <v>0</v>
      </c>
      <c r="R87" s="3505"/>
      <c r="S87" s="3506"/>
      <c r="T87" s="3506"/>
      <c r="U87" s="3506"/>
      <c r="V87" s="3507"/>
      <c r="W87" s="521"/>
      <c r="Z87" s="1631"/>
      <c r="AA87" s="521"/>
      <c r="AB87" s="521"/>
      <c r="AE87" s="1631"/>
      <c r="AF87" s="521"/>
      <c r="AG87" s="521"/>
      <c r="AJ87" s="1631"/>
      <c r="AK87" s="521"/>
      <c r="AL87" s="521"/>
      <c r="AO87" s="1631"/>
      <c r="AP87" s="521"/>
      <c r="AQ87" s="522"/>
      <c r="AR87" s="522"/>
      <c r="AS87" s="522"/>
      <c r="AT87" s="522"/>
      <c r="AU87" s="522"/>
      <c r="AV87" s="522"/>
      <c r="AW87" s="521"/>
      <c r="AX87" s="514"/>
      <c r="BA87" s="522"/>
      <c r="BB87" s="521"/>
      <c r="BC87" s="514"/>
      <c r="LN87" s="520"/>
      <c r="MC87" s="512"/>
    </row>
    <row r="88" spans="1:341" ht="15" customHeight="1">
      <c r="A88" s="2331"/>
      <c r="B88" s="2331"/>
      <c r="C88" s="4"/>
      <c r="D88" s="1"/>
      <c r="E88" s="114"/>
      <c r="F88" s="1"/>
      <c r="G88" s="84"/>
      <c r="H88" s="88" t="s">
        <v>539</v>
      </c>
      <c r="I88" s="84"/>
      <c r="J88" s="2291">
        <f>SUM(J81:J87)</f>
        <v>0</v>
      </c>
      <c r="K88" s="2291">
        <f>SUM(K81:K87)</f>
        <v>0</v>
      </c>
      <c r="L88" s="2291">
        <f>SUM(L81:L87)</f>
        <v>0</v>
      </c>
      <c r="M88" s="2291">
        <f>SUM(M81:M87)</f>
        <v>0</v>
      </c>
      <c r="N88" s="2291">
        <f>SUM(N81:N87)</f>
        <v>0</v>
      </c>
      <c r="O88" s="2291">
        <f t="shared" si="356"/>
        <v>0</v>
      </c>
      <c r="R88" s="3509"/>
      <c r="S88" s="3510"/>
      <c r="T88" s="3510"/>
      <c r="U88" s="3510"/>
      <c r="V88" s="3511"/>
      <c r="W88" s="1629"/>
      <c r="Z88" s="1631"/>
      <c r="AA88" s="521"/>
      <c r="AB88" s="1629"/>
      <c r="AE88" s="1631"/>
      <c r="AF88" s="521"/>
      <c r="AG88" s="1629"/>
      <c r="AJ88" s="1631"/>
      <c r="AK88" s="521"/>
      <c r="AL88" s="1629"/>
      <c r="AO88" s="1631"/>
      <c r="AP88" s="521"/>
      <c r="AQ88" s="522"/>
      <c r="AR88" s="522"/>
      <c r="AS88" s="522"/>
      <c r="AT88" s="522"/>
      <c r="AU88" s="522"/>
      <c r="AV88" s="522"/>
      <c r="AW88" s="521"/>
      <c r="AX88" s="514"/>
      <c r="BA88" s="522"/>
      <c r="BB88" s="521"/>
      <c r="BC88" s="514"/>
      <c r="LN88" s="520"/>
      <c r="MC88" s="512"/>
    </row>
    <row r="89" spans="1:341" ht="9" customHeight="1" thickBot="1">
      <c r="A89" s="2331"/>
      <c r="B89" s="2331"/>
      <c r="C89" s="1"/>
      <c r="D89" s="1"/>
      <c r="E89" s="1"/>
      <c r="F89" s="1"/>
      <c r="G89" s="84"/>
      <c r="H89" s="36"/>
      <c r="I89" s="84"/>
      <c r="J89" s="689"/>
      <c r="K89" s="689"/>
      <c r="L89" s="689"/>
      <c r="M89" s="689"/>
      <c r="N89" s="689"/>
      <c r="O89" s="689"/>
      <c r="S89" s="156"/>
      <c r="T89" s="466"/>
      <c r="W89" s="1631"/>
      <c r="Z89" s="1631"/>
      <c r="AA89" s="521"/>
      <c r="AB89" s="1631"/>
      <c r="AE89" s="1631"/>
      <c r="AF89" s="521"/>
      <c r="AG89" s="1631"/>
      <c r="AJ89" s="1631"/>
      <c r="AK89" s="521"/>
      <c r="AL89" s="1631"/>
      <c r="AO89" s="1631"/>
      <c r="AP89" s="521"/>
      <c r="AQ89" s="1631"/>
      <c r="AR89" s="1631"/>
      <c r="AS89" s="1631"/>
      <c r="AT89" s="1631"/>
      <c r="AU89" s="1631"/>
      <c r="AV89" s="1631"/>
      <c r="AW89" s="742"/>
      <c r="AX89" s="514"/>
      <c r="BA89" s="1631"/>
      <c r="BB89" s="742"/>
      <c r="BC89" s="514"/>
      <c r="LN89" s="520"/>
      <c r="MC89" s="512"/>
    </row>
    <row r="90" spans="1:341" ht="14.45" customHeight="1" thickBot="1">
      <c r="A90" s="13" t="s">
        <v>740</v>
      </c>
      <c r="B90" s="13" t="s">
        <v>5007</v>
      </c>
      <c r="K90" s="3582" t="str">
        <f>K53</f>
        <v>40% of Units at 60% of AMI</v>
      </c>
      <c r="L90" s="3583"/>
      <c r="M90" s="3583"/>
      <c r="N90" s="3584"/>
      <c r="O90" s="84"/>
      <c r="R90" s="3585" t="str">
        <f>B90</f>
        <v>UNIT SUMMARY (Continued)</v>
      </c>
      <c r="S90" s="3585"/>
      <c r="T90" s="3585"/>
      <c r="U90" s="3585"/>
      <c r="W90" s="742"/>
      <c r="Z90" s="742"/>
      <c r="AA90" s="742"/>
      <c r="AB90" s="742"/>
      <c r="AE90" s="742"/>
      <c r="AF90" s="742"/>
      <c r="AG90" s="742"/>
      <c r="AJ90" s="742"/>
      <c r="AK90" s="742"/>
      <c r="AL90" s="742"/>
      <c r="AO90" s="742"/>
      <c r="AP90" s="742"/>
      <c r="AQ90" s="742"/>
      <c r="AR90" s="742"/>
      <c r="AS90" s="742"/>
      <c r="AT90" s="742"/>
      <c r="AU90" s="742"/>
      <c r="AV90" s="742"/>
      <c r="AW90" s="742"/>
      <c r="AX90" s="514"/>
      <c r="BA90" s="742"/>
      <c r="BB90" s="742"/>
      <c r="BC90" s="514"/>
      <c r="LN90" s="520"/>
      <c r="MC90" s="512"/>
    </row>
    <row r="91" spans="1:341" ht="9" customHeight="1">
      <c r="A91" s="13"/>
      <c r="B91" s="13"/>
      <c r="O91" s="84"/>
      <c r="R91" s="346" t="str">
        <f>C92</f>
        <v>PHA Operating Subsidy-Assisted</v>
      </c>
      <c r="S91" s="465"/>
      <c r="T91" s="536"/>
      <c r="W91" s="742"/>
      <c r="Z91" s="742"/>
      <c r="AA91" s="742"/>
      <c r="AB91" s="742"/>
      <c r="AE91" s="742"/>
      <c r="AF91" s="742"/>
      <c r="AG91" s="742"/>
      <c r="AJ91" s="742"/>
      <c r="AK91" s="742"/>
      <c r="AL91" s="742"/>
      <c r="AO91" s="742"/>
      <c r="AP91" s="742"/>
      <c r="AQ91" s="742"/>
      <c r="AR91" s="742"/>
      <c r="AS91" s="742"/>
      <c r="AT91" s="742"/>
      <c r="AU91" s="742"/>
      <c r="AV91" s="742"/>
      <c r="AW91" s="742"/>
      <c r="AX91" s="514"/>
      <c r="BA91" s="742"/>
      <c r="BB91" s="742"/>
      <c r="BC91" s="514"/>
      <c r="LN91" s="520"/>
      <c r="MC91" s="512"/>
    </row>
    <row r="92" spans="1:341" ht="15" customHeight="1">
      <c r="A92" s="2331"/>
      <c r="B92" s="2331"/>
      <c r="C92" s="474" t="s">
        <v>890</v>
      </c>
      <c r="D92" s="474"/>
      <c r="E92" s="474"/>
      <c r="F92" s="1"/>
      <c r="G92" s="84"/>
      <c r="H92" s="36" t="s">
        <v>4622</v>
      </c>
      <c r="I92" s="84"/>
      <c r="J92" s="2355">
        <f>DX48</f>
        <v>0</v>
      </c>
      <c r="K92" s="2356">
        <f>DY48</f>
        <v>0</v>
      </c>
      <c r="L92" s="2356">
        <f>DZ48</f>
        <v>0</v>
      </c>
      <c r="M92" s="2356">
        <f>EA48</f>
        <v>0</v>
      </c>
      <c r="N92" s="2357">
        <f>EB48</f>
        <v>0</v>
      </c>
      <c r="O92" s="1115">
        <f t="shared" ref="O92:O99" si="357">SUM(J92:N92)</f>
        <v>0</v>
      </c>
      <c r="R92" s="3500"/>
      <c r="S92" s="3501"/>
      <c r="T92" s="3501"/>
      <c r="U92" s="3501"/>
      <c r="V92" s="3502"/>
      <c r="W92" s="514"/>
      <c r="Z92" s="1631"/>
      <c r="AA92" s="521"/>
      <c r="AB92" s="514"/>
      <c r="AE92" s="1631"/>
      <c r="AF92" s="521"/>
      <c r="AG92" s="514"/>
      <c r="AJ92" s="1631"/>
      <c r="AK92" s="521"/>
      <c r="AL92" s="514"/>
      <c r="AO92" s="1631"/>
      <c r="AP92" s="521"/>
      <c r="AQ92" s="522"/>
      <c r="AR92" s="522"/>
      <c r="AS92" s="522"/>
      <c r="AT92" s="522"/>
      <c r="AU92" s="522"/>
      <c r="AV92" s="522"/>
      <c r="AW92" s="521"/>
      <c r="AX92" s="514"/>
      <c r="BA92" s="522"/>
      <c r="BB92" s="521"/>
      <c r="BC92" s="514"/>
      <c r="LN92" s="520"/>
      <c r="MC92" s="512"/>
    </row>
    <row r="93" spans="1:341" ht="15" customHeight="1">
      <c r="A93" s="2331"/>
      <c r="B93" s="2331"/>
      <c r="C93" s="36" t="s">
        <v>2512</v>
      </c>
      <c r="D93" s="474"/>
      <c r="E93" s="474"/>
      <c r="F93" s="1"/>
      <c r="G93" s="84"/>
      <c r="H93" s="36" t="s">
        <v>4623</v>
      </c>
      <c r="I93" s="84"/>
      <c r="J93" s="2358">
        <f>DS48</f>
        <v>0</v>
      </c>
      <c r="K93" s="2359">
        <f>DT48</f>
        <v>0</v>
      </c>
      <c r="L93" s="2359">
        <f>DU48</f>
        <v>0</v>
      </c>
      <c r="M93" s="2359">
        <f>DV48</f>
        <v>0</v>
      </c>
      <c r="N93" s="2360">
        <f>DW48</f>
        <v>0</v>
      </c>
      <c r="O93" s="1110">
        <f t="shared" si="357"/>
        <v>0</v>
      </c>
      <c r="R93" s="3505"/>
      <c r="S93" s="3506"/>
      <c r="T93" s="3506"/>
      <c r="U93" s="3506"/>
      <c r="V93" s="3507"/>
      <c r="W93" s="514"/>
      <c r="Z93" s="1631"/>
      <c r="AA93" s="521"/>
      <c r="AB93" s="514"/>
      <c r="AE93" s="1631"/>
      <c r="AF93" s="521"/>
      <c r="AG93" s="514"/>
      <c r="AJ93" s="1631"/>
      <c r="AK93" s="521"/>
      <c r="AL93" s="514"/>
      <c r="AO93" s="1631"/>
      <c r="AP93" s="521"/>
      <c r="AQ93" s="522"/>
      <c r="AR93" s="522"/>
      <c r="AS93" s="522"/>
      <c r="AT93" s="522"/>
      <c r="AU93" s="522"/>
      <c r="AV93" s="522"/>
      <c r="AW93" s="521"/>
      <c r="AX93" s="514"/>
      <c r="BA93" s="522"/>
      <c r="BB93" s="521"/>
      <c r="BC93" s="514"/>
      <c r="LN93" s="520"/>
      <c r="MC93" s="512"/>
    </row>
    <row r="94" spans="1:341" ht="15" customHeight="1">
      <c r="A94" s="2331"/>
      <c r="B94" s="2331"/>
      <c r="C94" s="474"/>
      <c r="D94" s="474"/>
      <c r="E94" s="474"/>
      <c r="F94" s="1"/>
      <c r="G94" s="84"/>
      <c r="H94" s="36" t="s">
        <v>1149</v>
      </c>
      <c r="I94" s="84"/>
      <c r="J94" s="2358">
        <f>DN48</f>
        <v>0</v>
      </c>
      <c r="K94" s="2359">
        <f>DO48</f>
        <v>0</v>
      </c>
      <c r="L94" s="2359">
        <f>DP48</f>
        <v>0</v>
      </c>
      <c r="M94" s="2359">
        <f>DQ48</f>
        <v>0</v>
      </c>
      <c r="N94" s="2360">
        <f>DR48</f>
        <v>0</v>
      </c>
      <c r="O94" s="1110">
        <f t="shared" si="357"/>
        <v>0</v>
      </c>
      <c r="R94" s="3505"/>
      <c r="S94" s="3506"/>
      <c r="T94" s="3506"/>
      <c r="U94" s="3506"/>
      <c r="V94" s="3507"/>
      <c r="W94" s="514"/>
      <c r="Z94" s="1631"/>
      <c r="AA94" s="521"/>
      <c r="AB94" s="514"/>
      <c r="AE94" s="1631"/>
      <c r="AF94" s="521"/>
      <c r="AG94" s="514"/>
      <c r="AJ94" s="1631"/>
      <c r="AK94" s="521"/>
      <c r="AL94" s="514"/>
      <c r="AO94" s="1631"/>
      <c r="AP94" s="521"/>
      <c r="AQ94" s="522"/>
      <c r="AR94" s="522"/>
      <c r="AS94" s="522"/>
      <c r="AT94" s="522"/>
      <c r="AU94" s="522"/>
      <c r="AV94" s="522"/>
      <c r="AW94" s="521"/>
      <c r="AX94" s="514"/>
      <c r="BA94" s="522"/>
      <c r="BB94" s="521"/>
      <c r="BC94" s="514"/>
      <c r="LN94" s="520"/>
      <c r="MC94" s="512"/>
    </row>
    <row r="95" spans="1:341" ht="15" customHeight="1">
      <c r="A95" s="2331"/>
      <c r="B95" s="2331"/>
      <c r="C95" s="474"/>
      <c r="D95" s="474"/>
      <c r="E95" s="474"/>
      <c r="F95" s="1"/>
      <c r="G95" s="84"/>
      <c r="H95" s="52" t="s">
        <v>118</v>
      </c>
      <c r="I95" s="1433"/>
      <c r="J95" s="2379">
        <f>DI48</f>
        <v>0</v>
      </c>
      <c r="K95" s="2380">
        <f>DJ48</f>
        <v>0</v>
      </c>
      <c r="L95" s="2380">
        <f>DK48</f>
        <v>0</v>
      </c>
      <c r="M95" s="2380">
        <f>DL48</f>
        <v>0</v>
      </c>
      <c r="N95" s="2381">
        <f>DM48</f>
        <v>0</v>
      </c>
      <c r="O95" s="690">
        <f t="shared" si="357"/>
        <v>0</v>
      </c>
      <c r="R95" s="3505"/>
      <c r="S95" s="3506"/>
      <c r="T95" s="3506"/>
      <c r="U95" s="3506"/>
      <c r="V95" s="3507"/>
      <c r="W95" s="514"/>
      <c r="Z95" s="1631"/>
      <c r="AA95" s="521"/>
      <c r="AB95" s="514"/>
      <c r="AE95" s="1631"/>
      <c r="AF95" s="521"/>
      <c r="AG95" s="514"/>
      <c r="AJ95" s="1631"/>
      <c r="AK95" s="521"/>
      <c r="AL95" s="514"/>
      <c r="AO95" s="1631"/>
      <c r="AP95" s="521"/>
      <c r="AQ95" s="522"/>
      <c r="AR95" s="522"/>
      <c r="AS95" s="522"/>
      <c r="AT95" s="522"/>
      <c r="AU95" s="522"/>
      <c r="AV95" s="522"/>
      <c r="AW95" s="521"/>
      <c r="AX95" s="514"/>
      <c r="BA95" s="522"/>
      <c r="BB95" s="521"/>
      <c r="BC95" s="514"/>
      <c r="LN95" s="520"/>
      <c r="MC95" s="512"/>
    </row>
    <row r="96" spans="1:341" ht="15" customHeight="1">
      <c r="A96" s="2331"/>
      <c r="B96" s="2331"/>
      <c r="C96" s="474"/>
      <c r="D96" s="474"/>
      <c r="E96" s="474"/>
      <c r="F96" s="1"/>
      <c r="G96" s="84"/>
      <c r="H96" s="52" t="s">
        <v>4624</v>
      </c>
      <c r="I96" s="1433"/>
      <c r="J96" s="2358">
        <f>DD48</f>
        <v>0</v>
      </c>
      <c r="K96" s="2359">
        <f>DE48</f>
        <v>0</v>
      </c>
      <c r="L96" s="2359">
        <f>DF48</f>
        <v>0</v>
      </c>
      <c r="M96" s="2359">
        <f>DG48</f>
        <v>0</v>
      </c>
      <c r="N96" s="2360">
        <f>DH48</f>
        <v>0</v>
      </c>
      <c r="O96" s="1110">
        <f t="shared" si="357"/>
        <v>0</v>
      </c>
      <c r="R96" s="3505"/>
      <c r="S96" s="3506"/>
      <c r="T96" s="3506"/>
      <c r="U96" s="3506"/>
      <c r="V96" s="3507"/>
      <c r="W96" s="514"/>
      <c r="Z96" s="1631"/>
      <c r="AA96" s="521"/>
      <c r="AB96" s="514"/>
      <c r="AE96" s="1631"/>
      <c r="AF96" s="521"/>
      <c r="AG96" s="514"/>
      <c r="AJ96" s="1631"/>
      <c r="AK96" s="521"/>
      <c r="AL96" s="514"/>
      <c r="AO96" s="1631"/>
      <c r="AP96" s="521"/>
      <c r="AQ96" s="522"/>
      <c r="AR96" s="522"/>
      <c r="AS96" s="522"/>
      <c r="AT96" s="522"/>
      <c r="AU96" s="522"/>
      <c r="AV96" s="522"/>
      <c r="AW96" s="521"/>
      <c r="AX96" s="514"/>
      <c r="BA96" s="522"/>
      <c r="BB96" s="521"/>
      <c r="BC96" s="514"/>
      <c r="LN96" s="520"/>
      <c r="MC96" s="512"/>
    </row>
    <row r="97" spans="1:341" ht="15" customHeight="1">
      <c r="A97" s="2331"/>
      <c r="B97" s="2331"/>
      <c r="C97" s="474"/>
      <c r="D97" s="474"/>
      <c r="E97" s="474"/>
      <c r="F97" s="1"/>
      <c r="G97" s="84"/>
      <c r="H97" s="36" t="s">
        <v>4625</v>
      </c>
      <c r="I97" s="84"/>
      <c r="J97" s="2358">
        <f>CY48</f>
        <v>0</v>
      </c>
      <c r="K97" s="2359">
        <f>CZ48</f>
        <v>0</v>
      </c>
      <c r="L97" s="2359">
        <f>DA48</f>
        <v>0</v>
      </c>
      <c r="M97" s="2359">
        <f>DB48</f>
        <v>0</v>
      </c>
      <c r="N97" s="2360">
        <f>DC48</f>
        <v>0</v>
      </c>
      <c r="O97" s="1110">
        <f t="shared" si="357"/>
        <v>0</v>
      </c>
      <c r="R97" s="3505"/>
      <c r="S97" s="3506"/>
      <c r="T97" s="3506"/>
      <c r="U97" s="3506"/>
      <c r="V97" s="3507"/>
      <c r="W97" s="514"/>
      <c r="Z97" s="1631"/>
      <c r="AA97" s="521"/>
      <c r="AB97" s="514"/>
      <c r="AE97" s="1631"/>
      <c r="AF97" s="521"/>
      <c r="AG97" s="514"/>
      <c r="AJ97" s="1631"/>
      <c r="AK97" s="521"/>
      <c r="AL97" s="514"/>
      <c r="AO97" s="1631"/>
      <c r="AP97" s="521"/>
      <c r="AQ97" s="522"/>
      <c r="AR97" s="522"/>
      <c r="AS97" s="522"/>
      <c r="AT97" s="522"/>
      <c r="AU97" s="522"/>
      <c r="AV97" s="522"/>
      <c r="AW97" s="521"/>
      <c r="AX97" s="514"/>
      <c r="BA97" s="522"/>
      <c r="BB97" s="521"/>
      <c r="BC97" s="514"/>
      <c r="LN97" s="520"/>
      <c r="MC97" s="512"/>
    </row>
    <row r="98" spans="1:341" ht="15" customHeight="1">
      <c r="A98" s="2331"/>
      <c r="B98" s="2331"/>
      <c r="C98" s="474"/>
      <c r="D98" s="474"/>
      <c r="E98" s="474"/>
      <c r="F98" s="1"/>
      <c r="G98" s="84"/>
      <c r="H98" s="36" t="s">
        <v>4626</v>
      </c>
      <c r="I98" s="84"/>
      <c r="J98" s="2361">
        <f>CT48</f>
        <v>0</v>
      </c>
      <c r="K98" s="2362">
        <f>CU48</f>
        <v>0</v>
      </c>
      <c r="L98" s="2362">
        <f>CV48</f>
        <v>0</v>
      </c>
      <c r="M98" s="2362">
        <f>CW48</f>
        <v>0</v>
      </c>
      <c r="N98" s="2363">
        <f>CX48</f>
        <v>0</v>
      </c>
      <c r="O98" s="1111">
        <f t="shared" si="357"/>
        <v>0</v>
      </c>
      <c r="R98" s="3505"/>
      <c r="S98" s="3506"/>
      <c r="T98" s="3506"/>
      <c r="U98" s="3506"/>
      <c r="V98" s="3507"/>
      <c r="W98" s="2715"/>
      <c r="Z98" s="1631"/>
      <c r="AA98" s="521"/>
      <c r="AB98" s="2715"/>
      <c r="AE98" s="1631"/>
      <c r="AF98" s="521"/>
      <c r="AG98" s="2715"/>
      <c r="AJ98" s="1631"/>
      <c r="AK98" s="521"/>
      <c r="AL98" s="2715"/>
      <c r="AO98" s="1631"/>
      <c r="AP98" s="521"/>
      <c r="AQ98" s="522"/>
      <c r="AR98" s="522"/>
      <c r="AS98" s="522"/>
      <c r="AT98" s="522"/>
      <c r="AU98" s="522"/>
      <c r="AV98" s="522"/>
      <c r="AW98" s="521"/>
      <c r="AX98" s="514"/>
      <c r="BA98" s="522"/>
      <c r="BB98" s="521"/>
      <c r="BC98" s="514"/>
      <c r="LN98" s="520"/>
      <c r="MC98" s="512"/>
    </row>
    <row r="99" spans="1:341" ht="15" customHeight="1">
      <c r="A99" s="2331"/>
      <c r="B99" s="2331"/>
      <c r="C99" s="84"/>
      <c r="D99" s="1"/>
      <c r="E99" s="114"/>
      <c r="F99" s="1"/>
      <c r="G99" s="84"/>
      <c r="H99" s="88" t="s">
        <v>539</v>
      </c>
      <c r="I99" s="84"/>
      <c r="J99" s="2291">
        <f>SUM(J92:J98)</f>
        <v>0</v>
      </c>
      <c r="K99" s="2291">
        <f>SUM(K92:K98)</f>
        <v>0</v>
      </c>
      <c r="L99" s="2291">
        <f>SUM(L92:L98)</f>
        <v>0</v>
      </c>
      <c r="M99" s="2291">
        <f>SUM(M92:M98)</f>
        <v>0</v>
      </c>
      <c r="N99" s="2291">
        <f>SUM(N92:N98)</f>
        <v>0</v>
      </c>
      <c r="O99" s="2291">
        <f t="shared" si="357"/>
        <v>0</v>
      </c>
      <c r="R99" s="3509"/>
      <c r="S99" s="3510"/>
      <c r="T99" s="3510"/>
      <c r="U99" s="3510"/>
      <c r="V99" s="3511"/>
      <c r="W99" s="1629"/>
      <c r="Z99" s="1631"/>
      <c r="AA99" s="521"/>
      <c r="AB99" s="1629"/>
      <c r="AE99" s="1631"/>
      <c r="AF99" s="521"/>
      <c r="AG99" s="1629"/>
      <c r="AJ99" s="1631"/>
      <c r="AK99" s="521"/>
      <c r="AL99" s="1629"/>
      <c r="AO99" s="1631"/>
      <c r="AP99" s="521"/>
      <c r="AQ99" s="522"/>
      <c r="AR99" s="522"/>
      <c r="AS99" s="522"/>
      <c r="AT99" s="522"/>
      <c r="AU99" s="522"/>
      <c r="AV99" s="522"/>
      <c r="AW99" s="521"/>
      <c r="AX99" s="514"/>
      <c r="BA99" s="522"/>
      <c r="BB99" s="521"/>
      <c r="BC99" s="514"/>
      <c r="LN99" s="520"/>
      <c r="MC99" s="512"/>
    </row>
    <row r="100" spans="1:341" ht="9" customHeight="1">
      <c r="A100" s="2331"/>
      <c r="B100" s="2331"/>
      <c r="D100" s="697"/>
      <c r="E100" s="114"/>
      <c r="F100" s="1"/>
      <c r="G100" s="84"/>
      <c r="H100" s="36"/>
      <c r="I100" s="84"/>
      <c r="J100" s="689"/>
      <c r="K100" s="689"/>
      <c r="L100" s="689"/>
      <c r="M100" s="689"/>
      <c r="N100" s="689"/>
      <c r="O100" s="689"/>
      <c r="R100" s="346"/>
      <c r="S100" s="156"/>
      <c r="T100" s="466"/>
      <c r="W100" s="1631"/>
      <c r="Z100" s="1631"/>
      <c r="AA100" s="521"/>
      <c r="AB100" s="1631"/>
      <c r="AE100" s="1631"/>
      <c r="AF100" s="521"/>
      <c r="AG100" s="1631"/>
      <c r="AJ100" s="1631"/>
      <c r="AK100" s="521"/>
      <c r="AL100" s="1631"/>
      <c r="AO100" s="1631"/>
      <c r="AP100" s="521"/>
      <c r="AQ100" s="1631"/>
      <c r="AR100" s="1631"/>
      <c r="AS100" s="1631"/>
      <c r="AT100" s="1631"/>
      <c r="AU100" s="1631"/>
      <c r="AV100" s="1631"/>
      <c r="AW100" s="742"/>
      <c r="AX100" s="514"/>
      <c r="BA100" s="1631"/>
      <c r="BB100" s="742"/>
      <c r="BC100" s="514"/>
      <c r="LN100" s="520"/>
      <c r="MC100" s="512"/>
    </row>
    <row r="101" spans="1:341" ht="14.25" customHeight="1">
      <c r="A101" s="2331"/>
      <c r="B101" s="2331"/>
      <c r="C101" s="3560" t="s">
        <v>38</v>
      </c>
      <c r="D101" s="3560"/>
      <c r="E101" s="106" t="s">
        <v>2295</v>
      </c>
      <c r="F101" s="1"/>
      <c r="G101" s="84"/>
      <c r="H101" s="36" t="s">
        <v>1432</v>
      </c>
      <c r="I101" s="84"/>
      <c r="J101" s="2337">
        <f>GF48</f>
        <v>0</v>
      </c>
      <c r="K101" s="2338">
        <f>GG48</f>
        <v>12</v>
      </c>
      <c r="L101" s="2338">
        <f>GH48</f>
        <v>56</v>
      </c>
      <c r="M101" s="2338">
        <f>GI48</f>
        <v>8</v>
      </c>
      <c r="N101" s="2339">
        <f>GJ48</f>
        <v>8</v>
      </c>
      <c r="O101" s="1115">
        <f t="shared" ref="O101:O111" si="358">SUM(J101:N101)</f>
        <v>84</v>
      </c>
      <c r="R101" s="3500"/>
      <c r="S101" s="3501"/>
      <c r="T101" s="3501"/>
      <c r="U101" s="3501"/>
      <c r="V101" s="3502"/>
      <c r="W101" s="1631"/>
      <c r="Z101" s="1631"/>
      <c r="AA101" s="521"/>
      <c r="AB101" s="1631"/>
      <c r="AE101" s="1631"/>
      <c r="AF101" s="521"/>
      <c r="AG101" s="1631"/>
      <c r="AJ101" s="1631"/>
      <c r="AK101" s="521"/>
      <c r="AL101" s="1631"/>
      <c r="AO101" s="1631"/>
      <c r="AP101" s="521"/>
      <c r="AQ101" s="522"/>
      <c r="AR101" s="522"/>
      <c r="AS101" s="522"/>
      <c r="AT101" s="522"/>
      <c r="AU101" s="522"/>
      <c r="AV101" s="522"/>
      <c r="AW101" s="742"/>
      <c r="BA101" s="522"/>
      <c r="BB101" s="742"/>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31"/>
      <c r="B102" s="2331"/>
      <c r="C102" s="3560"/>
      <c r="D102" s="3560"/>
      <c r="E102" s="114"/>
      <c r="F102" s="1"/>
      <c r="G102" s="84"/>
      <c r="H102" s="36" t="s">
        <v>303</v>
      </c>
      <c r="I102" s="84"/>
      <c r="J102" s="2343">
        <f>GK48</f>
        <v>0</v>
      </c>
      <c r="K102" s="2344">
        <f>GL48</f>
        <v>0</v>
      </c>
      <c r="L102" s="2344">
        <f>GM48</f>
        <v>0</v>
      </c>
      <c r="M102" s="2344">
        <f>GN48</f>
        <v>0</v>
      </c>
      <c r="N102" s="2345">
        <f>GO48</f>
        <v>0</v>
      </c>
      <c r="O102" s="1111">
        <f t="shared" si="358"/>
        <v>0</v>
      </c>
      <c r="R102" s="3505"/>
      <c r="S102" s="3506"/>
      <c r="T102" s="3506"/>
      <c r="U102" s="3506"/>
      <c r="V102" s="3507"/>
      <c r="W102" s="1631"/>
      <c r="Z102" s="1631"/>
      <c r="AA102" s="521"/>
      <c r="AB102" s="1631"/>
      <c r="AE102" s="1631"/>
      <c r="AF102" s="521"/>
      <c r="AG102" s="1631"/>
      <c r="AJ102" s="1631"/>
      <c r="AK102" s="521"/>
      <c r="AL102" s="1631"/>
      <c r="AO102" s="1631"/>
      <c r="AP102" s="521"/>
      <c r="AQ102" s="522"/>
      <c r="AR102" s="522"/>
      <c r="AS102" s="522"/>
      <c r="AT102" s="522"/>
      <c r="AU102" s="522"/>
      <c r="AV102" s="522"/>
      <c r="AW102" s="1216"/>
      <c r="AX102" s="514"/>
      <c r="BA102" s="522"/>
      <c r="BB102" s="1216"/>
      <c r="BC102" s="514"/>
      <c r="LN102" s="520"/>
      <c r="MC102" s="512"/>
    </row>
    <row r="103" spans="1:341" ht="14.25" customHeight="1">
      <c r="A103" s="2331"/>
      <c r="B103" s="2331"/>
      <c r="C103" s="3560"/>
      <c r="D103" s="3560"/>
      <c r="E103" s="114"/>
      <c r="F103" s="1"/>
      <c r="G103" s="84"/>
      <c r="H103" s="88" t="s">
        <v>32</v>
      </c>
      <c r="I103" s="84"/>
      <c r="J103" s="2293">
        <f>SUM(J101:J102)+GP48</f>
        <v>0</v>
      </c>
      <c r="K103" s="2293">
        <f>SUM(K101:K102)+GQ48</f>
        <v>12</v>
      </c>
      <c r="L103" s="2293">
        <f>SUM(L101:L102)+GR48</f>
        <v>56</v>
      </c>
      <c r="M103" s="2293">
        <f>SUM(M101:M102)+GS48</f>
        <v>8</v>
      </c>
      <c r="N103" s="2293">
        <f>SUM(N101:N102)+GT48</f>
        <v>8</v>
      </c>
      <c r="O103" s="2293">
        <f t="shared" si="358"/>
        <v>84</v>
      </c>
      <c r="R103" s="3505"/>
      <c r="S103" s="3506"/>
      <c r="T103" s="3506"/>
      <c r="U103" s="3506"/>
      <c r="V103" s="3507"/>
      <c r="W103" s="1629"/>
      <c r="Z103" s="1631"/>
      <c r="AA103" s="2715"/>
      <c r="AB103" s="1629"/>
      <c r="AE103" s="1631"/>
      <c r="AF103" s="2715"/>
      <c r="AG103" s="1629"/>
      <c r="AJ103" s="1631"/>
      <c r="AK103" s="2715"/>
      <c r="AL103" s="1629"/>
      <c r="AO103" s="1631"/>
      <c r="AP103" s="2715"/>
      <c r="AQ103" s="522"/>
      <c r="AR103" s="522"/>
      <c r="AS103" s="522"/>
      <c r="AT103" s="522"/>
      <c r="AU103" s="522"/>
      <c r="AV103" s="522"/>
      <c r="AW103" s="521"/>
      <c r="AX103" s="514"/>
      <c r="BA103" s="522"/>
      <c r="BB103" s="521"/>
      <c r="BC103" s="514"/>
      <c r="LN103" s="520"/>
      <c r="MC103" s="512"/>
    </row>
    <row r="104" spans="1:341" ht="14.25" customHeight="1">
      <c r="A104" s="2331"/>
      <c r="B104" s="2331"/>
      <c r="C104" s="3560"/>
      <c r="D104" s="3560"/>
      <c r="E104" s="106" t="s">
        <v>2137</v>
      </c>
      <c r="F104" s="1"/>
      <c r="G104" s="84"/>
      <c r="H104" s="36" t="s">
        <v>1432</v>
      </c>
      <c r="I104" s="84"/>
      <c r="J104" s="2337">
        <f>GU48</f>
        <v>0</v>
      </c>
      <c r="K104" s="2338">
        <f>GV48</f>
        <v>0</v>
      </c>
      <c r="L104" s="2338">
        <f>GW48</f>
        <v>0</v>
      </c>
      <c r="M104" s="2338">
        <f>GX48</f>
        <v>0</v>
      </c>
      <c r="N104" s="2339">
        <f>GY48</f>
        <v>0</v>
      </c>
      <c r="O104" s="1115">
        <f t="shared" si="358"/>
        <v>0</v>
      </c>
      <c r="R104" s="3505"/>
      <c r="S104" s="3506"/>
      <c r="T104" s="3506"/>
      <c r="U104" s="3506"/>
      <c r="V104" s="3507"/>
      <c r="W104" s="1631"/>
      <c r="Z104" s="1631"/>
      <c r="AA104" s="521"/>
      <c r="AB104" s="1631"/>
      <c r="AE104" s="1631"/>
      <c r="AF104" s="521"/>
      <c r="AG104" s="1631"/>
      <c r="AJ104" s="1631"/>
      <c r="AK104" s="521"/>
      <c r="AL104" s="1631"/>
      <c r="AO104" s="1631"/>
      <c r="AP104" s="521"/>
      <c r="AQ104" s="522"/>
      <c r="AR104" s="522"/>
      <c r="AS104" s="522"/>
      <c r="AT104" s="522"/>
      <c r="AU104" s="522"/>
      <c r="AV104" s="522"/>
      <c r="AW104" s="742"/>
      <c r="BA104" s="522"/>
      <c r="BB104" s="742"/>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31"/>
      <c r="B105" s="2331"/>
      <c r="C105" s="3560"/>
      <c r="D105" s="3560"/>
      <c r="E105" s="114"/>
      <c r="F105" s="1"/>
      <c r="G105" s="84"/>
      <c r="H105" s="36" t="s">
        <v>303</v>
      </c>
      <c r="I105" s="84"/>
      <c r="J105" s="2343">
        <f>GZ48</f>
        <v>0</v>
      </c>
      <c r="K105" s="2344">
        <f>HA48</f>
        <v>0</v>
      </c>
      <c r="L105" s="2344">
        <f>HB48</f>
        <v>0</v>
      </c>
      <c r="M105" s="2344">
        <f>HC48</f>
        <v>0</v>
      </c>
      <c r="N105" s="2345">
        <f>HD48</f>
        <v>0</v>
      </c>
      <c r="O105" s="1111">
        <f t="shared" si="358"/>
        <v>0</v>
      </c>
      <c r="R105" s="3505"/>
      <c r="S105" s="3506"/>
      <c r="T105" s="3506"/>
      <c r="U105" s="3506"/>
      <c r="V105" s="3507"/>
      <c r="W105" s="1631"/>
      <c r="Z105" s="1631"/>
      <c r="AA105" s="521"/>
      <c r="AB105" s="1631"/>
      <c r="AE105" s="1631"/>
      <c r="AF105" s="521"/>
      <c r="AG105" s="1631"/>
      <c r="AJ105" s="1631"/>
      <c r="AK105" s="521"/>
      <c r="AL105" s="1631"/>
      <c r="AO105" s="1631"/>
      <c r="AP105" s="521"/>
      <c r="AQ105" s="522"/>
      <c r="AR105" s="522"/>
      <c r="AS105" s="522"/>
      <c r="AT105" s="522"/>
      <c r="AU105" s="522"/>
      <c r="AV105" s="522"/>
      <c r="AW105" s="1216"/>
      <c r="AX105" s="514"/>
      <c r="BA105" s="522"/>
      <c r="BB105" s="1216"/>
      <c r="BC105" s="514"/>
      <c r="LN105" s="520"/>
      <c r="MC105" s="512"/>
    </row>
    <row r="106" spans="1:341" ht="14.25" customHeight="1">
      <c r="A106" s="2331"/>
      <c r="B106" s="2331"/>
      <c r="C106" s="3560"/>
      <c r="D106" s="3560"/>
      <c r="E106" s="114"/>
      <c r="F106" s="1"/>
      <c r="G106" s="84"/>
      <c r="H106" s="88" t="s">
        <v>32</v>
      </c>
      <c r="I106" s="84"/>
      <c r="J106" s="2293">
        <f>SUM(J104:J105)+HE48</f>
        <v>0</v>
      </c>
      <c r="K106" s="2293">
        <f>SUM(K104:K105)+HF48</f>
        <v>0</v>
      </c>
      <c r="L106" s="2293">
        <f>SUM(L104:L105)+HG48</f>
        <v>0</v>
      </c>
      <c r="M106" s="2293">
        <f>SUM(M104:M105)+HH48</f>
        <v>0</v>
      </c>
      <c r="N106" s="2293">
        <f>SUM(N104:N105)+HI48</f>
        <v>0</v>
      </c>
      <c r="O106" s="2293">
        <f t="shared" si="358"/>
        <v>0</v>
      </c>
      <c r="R106" s="3505"/>
      <c r="S106" s="3506"/>
      <c r="T106" s="3506"/>
      <c r="U106" s="3506"/>
      <c r="V106" s="3507"/>
      <c r="W106" s="1629"/>
      <c r="Z106" s="1631"/>
      <c r="AA106" s="2715"/>
      <c r="AB106" s="1629"/>
      <c r="AE106" s="1631"/>
      <c r="AF106" s="2715"/>
      <c r="AG106" s="1629"/>
      <c r="AJ106" s="1631"/>
      <c r="AK106" s="2715"/>
      <c r="AL106" s="1629"/>
      <c r="AO106" s="1631"/>
      <c r="AP106" s="2715"/>
      <c r="AQ106" s="522"/>
      <c r="AR106" s="522"/>
      <c r="AS106" s="522"/>
      <c r="AT106" s="522"/>
      <c r="AU106" s="522"/>
      <c r="AV106" s="522"/>
      <c r="AW106" s="521"/>
      <c r="AX106" s="514"/>
      <c r="BA106" s="522"/>
      <c r="BB106" s="521"/>
      <c r="BC106" s="514"/>
      <c r="LN106" s="520"/>
      <c r="MC106" s="512"/>
    </row>
    <row r="107" spans="1:341" ht="14.25" customHeight="1">
      <c r="A107" s="2331"/>
      <c r="B107" s="2331"/>
      <c r="C107" s="1047"/>
      <c r="D107" s="1"/>
      <c r="E107" s="3561" t="s">
        <v>1419</v>
      </c>
      <c r="F107" s="3561"/>
      <c r="G107" s="84"/>
      <c r="H107" s="36" t="s">
        <v>1432</v>
      </c>
      <c r="I107" s="84"/>
      <c r="J107" s="2337">
        <f>HJ48</f>
        <v>0</v>
      </c>
      <c r="K107" s="2338">
        <f>HK48</f>
        <v>0</v>
      </c>
      <c r="L107" s="2338">
        <f>HL48</f>
        <v>0</v>
      </c>
      <c r="M107" s="2338">
        <f>HM48</f>
        <v>0</v>
      </c>
      <c r="N107" s="2339">
        <f>HN48</f>
        <v>0</v>
      </c>
      <c r="O107" s="1115">
        <f t="shared" si="358"/>
        <v>0</v>
      </c>
      <c r="R107" s="3505"/>
      <c r="S107" s="3506"/>
      <c r="T107" s="3506"/>
      <c r="U107" s="3506"/>
      <c r="V107" s="3507"/>
      <c r="W107" s="1631"/>
      <c r="Z107" s="1631"/>
      <c r="AA107" s="521"/>
      <c r="AB107" s="1631"/>
      <c r="AE107" s="1631"/>
      <c r="AF107" s="521"/>
      <c r="AG107" s="1631"/>
      <c r="AJ107" s="1631"/>
      <c r="AK107" s="521"/>
      <c r="AL107" s="1631"/>
      <c r="AO107" s="1631"/>
      <c r="AP107" s="521"/>
      <c r="AQ107" s="522"/>
      <c r="AR107" s="522"/>
      <c r="AS107" s="522"/>
      <c r="AT107" s="522"/>
      <c r="AU107" s="522"/>
      <c r="AV107" s="522"/>
      <c r="AW107" s="742"/>
      <c r="BA107" s="522"/>
      <c r="BB107" s="742"/>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31"/>
      <c r="B108" s="2331"/>
      <c r="C108" s="1047"/>
      <c r="D108" s="1"/>
      <c r="E108" s="3561"/>
      <c r="F108" s="3561"/>
      <c r="G108" s="84"/>
      <c r="H108" s="36" t="s">
        <v>303</v>
      </c>
      <c r="I108" s="84"/>
      <c r="J108" s="2343">
        <f>HO48</f>
        <v>0</v>
      </c>
      <c r="K108" s="2344">
        <f>HP48</f>
        <v>0</v>
      </c>
      <c r="L108" s="2344">
        <f>HQ48</f>
        <v>0</v>
      </c>
      <c r="M108" s="2344">
        <f>HR48</f>
        <v>0</v>
      </c>
      <c r="N108" s="2345">
        <f>HS48</f>
        <v>0</v>
      </c>
      <c r="O108" s="1111">
        <f t="shared" si="358"/>
        <v>0</v>
      </c>
      <c r="R108" s="3505"/>
      <c r="S108" s="3506"/>
      <c r="T108" s="3506"/>
      <c r="U108" s="3506"/>
      <c r="V108" s="3507"/>
      <c r="W108" s="1631"/>
      <c r="Z108" s="1631"/>
      <c r="AA108" s="521"/>
      <c r="AB108" s="1631"/>
      <c r="AE108" s="1631"/>
      <c r="AF108" s="521"/>
      <c r="AG108" s="1631"/>
      <c r="AJ108" s="1631"/>
      <c r="AK108" s="521"/>
      <c r="AL108" s="1631"/>
      <c r="AO108" s="1631"/>
      <c r="AP108" s="521"/>
      <c r="AQ108" s="522"/>
      <c r="AR108" s="522"/>
      <c r="AS108" s="522"/>
      <c r="AT108" s="522"/>
      <c r="AU108" s="522"/>
      <c r="AV108" s="522"/>
      <c r="AW108" s="1216"/>
      <c r="AX108" s="514"/>
      <c r="BA108" s="522"/>
      <c r="BB108" s="1216"/>
      <c r="BC108" s="514"/>
      <c r="LN108" s="520"/>
      <c r="MC108" s="512"/>
    </row>
    <row r="109" spans="1:341" ht="14.25" customHeight="1">
      <c r="A109" s="2331"/>
      <c r="B109" s="2331"/>
      <c r="C109" s="1047"/>
      <c r="D109" s="1"/>
      <c r="E109" s="114"/>
      <c r="F109" s="1"/>
      <c r="G109" s="84"/>
      <c r="H109" s="88" t="s">
        <v>32</v>
      </c>
      <c r="I109" s="84"/>
      <c r="J109" s="2293">
        <f>SUM(J107:J108)+HT48</f>
        <v>0</v>
      </c>
      <c r="K109" s="2293">
        <f>SUM(K107:K108)+HU48</f>
        <v>0</v>
      </c>
      <c r="L109" s="2293">
        <f>SUM(L107:L108)+HV48</f>
        <v>0</v>
      </c>
      <c r="M109" s="2293">
        <f>SUM(M107:M108)+HW48</f>
        <v>0</v>
      </c>
      <c r="N109" s="2293">
        <f>SUM(N107:N108)+HX48</f>
        <v>0</v>
      </c>
      <c r="O109" s="2293">
        <f t="shared" si="358"/>
        <v>0</v>
      </c>
      <c r="R109" s="3505"/>
      <c r="S109" s="3506"/>
      <c r="T109" s="3506"/>
      <c r="U109" s="3506"/>
      <c r="V109" s="3507"/>
      <c r="W109" s="1629"/>
      <c r="Z109" s="1631"/>
      <c r="AA109" s="2715"/>
      <c r="AB109" s="1629"/>
      <c r="AE109" s="1631"/>
      <c r="AF109" s="2715"/>
      <c r="AG109" s="1629"/>
      <c r="AJ109" s="1631"/>
      <c r="AK109" s="2715"/>
      <c r="AL109" s="1629"/>
      <c r="AO109" s="1631"/>
      <c r="AP109" s="2715"/>
      <c r="AQ109" s="522"/>
      <c r="AR109" s="522"/>
      <c r="AS109" s="522"/>
      <c r="AT109" s="522"/>
      <c r="AU109" s="522"/>
      <c r="AV109" s="522"/>
      <c r="AW109" s="521"/>
      <c r="AX109" s="514"/>
      <c r="BA109" s="522"/>
      <c r="BB109" s="521"/>
      <c r="BC109" s="514"/>
      <c r="LN109" s="520"/>
      <c r="MC109" s="512"/>
    </row>
    <row r="110" spans="1:341" ht="14.25" customHeight="1">
      <c r="A110" s="2331"/>
      <c r="B110" s="2331"/>
      <c r="C110" s="1047"/>
      <c r="D110" s="1"/>
      <c r="E110" s="114" t="s">
        <v>365</v>
      </c>
      <c r="F110" s="1"/>
      <c r="G110" s="192"/>
      <c r="H110" s="84"/>
      <c r="I110" s="84"/>
      <c r="J110" s="691"/>
      <c r="K110" s="691"/>
      <c r="L110" s="691"/>
      <c r="M110" s="691"/>
      <c r="N110" s="691"/>
      <c r="O110" s="687">
        <f t="shared" si="358"/>
        <v>0</v>
      </c>
      <c r="R110" s="3505"/>
      <c r="S110" s="3506"/>
      <c r="T110" s="3506"/>
      <c r="U110" s="3506"/>
      <c r="V110" s="3507"/>
      <c r="W110" s="1631"/>
      <c r="Z110" s="1631"/>
      <c r="AA110" s="521"/>
      <c r="AB110" s="1631"/>
      <c r="AE110" s="1631"/>
      <c r="AF110" s="521"/>
      <c r="AG110" s="1631"/>
      <c r="AJ110" s="1631"/>
      <c r="AK110" s="521"/>
      <c r="AL110" s="1631"/>
      <c r="AO110" s="1631"/>
      <c r="AP110" s="521"/>
      <c r="AQ110" s="522"/>
      <c r="AR110" s="522"/>
      <c r="AS110" s="522"/>
      <c r="AT110" s="522"/>
      <c r="AU110" s="522"/>
      <c r="AV110" s="522"/>
      <c r="AW110" s="1216"/>
      <c r="AX110" s="514"/>
      <c r="BA110" s="522"/>
      <c r="BB110" s="1216"/>
      <c r="BC110" s="514"/>
      <c r="LN110" s="520"/>
      <c r="MC110" s="512"/>
    </row>
    <row r="111" spans="1:341" ht="14.25" customHeight="1">
      <c r="A111" s="3508" t="str">
        <f>IF(AND('Part IV-A-Uses of Funds'!$T$165="Yes",'Part IX Scoring Criteria'!$O$420&gt;0,O111&lt;1),"SHOW HISTORIC UNITS HERE &gt;&gt;&gt;&gt;","")</f>
        <v/>
      </c>
      <c r="B111" s="3508"/>
      <c r="C111" s="3508"/>
      <c r="D111" s="3508"/>
      <c r="E111" s="557" t="s">
        <v>3396</v>
      </c>
      <c r="F111" s="1"/>
      <c r="G111" s="192"/>
      <c r="H111" s="84"/>
      <c r="I111" s="84"/>
      <c r="J111" s="692"/>
      <c r="K111" s="692"/>
      <c r="L111" s="692"/>
      <c r="M111" s="692"/>
      <c r="N111" s="692"/>
      <c r="O111" s="688">
        <f t="shared" si="358"/>
        <v>0</v>
      </c>
      <c r="R111" s="3505"/>
      <c r="S111" s="3506"/>
      <c r="T111" s="3506"/>
      <c r="U111" s="3506"/>
      <c r="V111" s="3507"/>
      <c r="W111" s="1631"/>
      <c r="Z111" s="1631"/>
      <c r="AA111" s="521"/>
      <c r="AB111" s="1631"/>
      <c r="AE111" s="1631"/>
      <c r="AF111" s="521"/>
      <c r="AG111" s="1631"/>
      <c r="AJ111" s="1631"/>
      <c r="AK111" s="521"/>
      <c r="AL111" s="1631"/>
      <c r="AO111" s="1631"/>
      <c r="AP111" s="521"/>
      <c r="AQ111" s="522"/>
      <c r="AR111" s="522"/>
      <c r="AS111" s="522"/>
      <c r="AT111" s="522"/>
      <c r="AU111" s="522"/>
      <c r="AV111" s="522"/>
      <c r="AW111" s="1216"/>
      <c r="AX111" s="514"/>
      <c r="BA111" s="522"/>
      <c r="BB111" s="1216"/>
      <c r="BC111" s="514"/>
      <c r="LN111" s="520"/>
      <c r="MC111" s="512"/>
    </row>
    <row r="112" spans="1:341" ht="9" customHeight="1">
      <c r="A112" s="1259"/>
      <c r="B112" s="1259"/>
      <c r="C112" s="1259"/>
      <c r="D112" s="1259"/>
      <c r="E112" s="557"/>
      <c r="F112" s="1"/>
      <c r="G112" s="192"/>
      <c r="H112" s="84"/>
      <c r="I112" s="84"/>
      <c r="J112" s="36"/>
      <c r="K112" s="36"/>
      <c r="L112" s="36"/>
      <c r="M112" s="36"/>
      <c r="N112" s="36"/>
      <c r="O112" s="36"/>
      <c r="R112" s="3505"/>
      <c r="S112" s="3506"/>
      <c r="T112" s="3506"/>
      <c r="U112" s="3506"/>
      <c r="V112" s="3507"/>
      <c r="W112" s="1631"/>
      <c r="Z112" s="1631"/>
      <c r="AA112" s="521"/>
      <c r="AB112" s="1631"/>
      <c r="AE112" s="1631"/>
      <c r="AF112" s="521"/>
      <c r="AG112" s="1631"/>
      <c r="AJ112" s="1631"/>
      <c r="AK112" s="521"/>
      <c r="AL112" s="1631"/>
      <c r="AO112" s="1631"/>
      <c r="AP112" s="521"/>
      <c r="AQ112" s="522"/>
      <c r="AR112" s="522"/>
      <c r="AS112" s="522"/>
      <c r="AT112" s="522"/>
      <c r="AU112" s="522"/>
      <c r="AV112" s="522"/>
      <c r="AW112" s="1216"/>
      <c r="AX112" s="514"/>
      <c r="BA112" s="522"/>
      <c r="BB112" s="1216"/>
      <c r="BC112" s="514"/>
      <c r="LN112" s="520"/>
      <c r="MC112" s="512"/>
    </row>
    <row r="113" spans="1:341" ht="14.25" customHeight="1">
      <c r="A113" s="1259"/>
      <c r="B113" s="1259"/>
      <c r="C113" s="1259"/>
      <c r="D113" s="1259"/>
      <c r="E113" s="114" t="s">
        <v>3357</v>
      </c>
      <c r="F113" s="1"/>
      <c r="G113" s="192"/>
      <c r="H113" s="84"/>
      <c r="I113" s="84"/>
      <c r="J113" s="2364">
        <f>J117+J119+J121+J123+J125+J127+J129+J131</f>
        <v>0</v>
      </c>
      <c r="K113" s="2365">
        <f>K117+K119+K121+K123+K125+K127+K129+K131</f>
        <v>0</v>
      </c>
      <c r="L113" s="2365">
        <f>L117+L119+L121+L123+L125+L127+L129+L131</f>
        <v>0</v>
      </c>
      <c r="M113" s="2365">
        <f>M117+M119+M121+M123+M125+M127+M129+M131</f>
        <v>0</v>
      </c>
      <c r="N113" s="2366">
        <f>N117+N119+N121+N123+N125+N127+N129+N131</f>
        <v>0</v>
      </c>
      <c r="O113" s="698">
        <f>SUM(J113:N113)</f>
        <v>0</v>
      </c>
      <c r="R113" s="3509"/>
      <c r="S113" s="3510"/>
      <c r="T113" s="3510"/>
      <c r="U113" s="3510"/>
      <c r="V113" s="3511"/>
      <c r="W113" s="1631"/>
      <c r="Z113" s="1631"/>
      <c r="AA113" s="521"/>
      <c r="AB113" s="1631"/>
      <c r="AE113" s="1631"/>
      <c r="AF113" s="521"/>
      <c r="AG113" s="1631"/>
      <c r="AJ113" s="1631"/>
      <c r="AK113" s="521"/>
      <c r="AL113" s="1631"/>
      <c r="AO113" s="1631"/>
      <c r="AP113" s="521"/>
      <c r="AQ113" s="522"/>
      <c r="AR113" s="522"/>
      <c r="AS113" s="522"/>
      <c r="AT113" s="522"/>
      <c r="AU113" s="522"/>
      <c r="AV113" s="522"/>
      <c r="AW113" s="1216"/>
      <c r="AX113" s="514"/>
      <c r="BA113" s="522"/>
      <c r="BB113" s="1216"/>
      <c r="BC113" s="514"/>
      <c r="LN113" s="520"/>
      <c r="MC113" s="512"/>
    </row>
    <row r="114" spans="1:341" ht="9.75" customHeight="1">
      <c r="D114" s="1"/>
      <c r="E114" s="114"/>
      <c r="F114" s="1"/>
      <c r="G114" s="192"/>
      <c r="H114" s="84"/>
      <c r="I114" s="84"/>
      <c r="J114" s="689"/>
      <c r="K114" s="689"/>
      <c r="L114" s="689"/>
      <c r="M114" s="689"/>
      <c r="N114" s="689"/>
      <c r="O114" s="689"/>
      <c r="R114" s="2650"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31"/>
      <c r="AR114" s="1631"/>
      <c r="AS114" s="1631"/>
      <c r="AT114" s="1631"/>
      <c r="AU114" s="1631"/>
      <c r="AV114" s="1631"/>
      <c r="AW114" s="742"/>
      <c r="AX114" s="514"/>
      <c r="BA114" s="1631"/>
      <c r="BB114" s="742"/>
      <c r="BC114" s="514"/>
      <c r="LN114" s="520"/>
      <c r="MC114" s="512"/>
    </row>
    <row r="115" spans="1:341" ht="14.25" customHeight="1">
      <c r="C115" s="3557" t="s">
        <v>4090</v>
      </c>
      <c r="D115" s="3557"/>
      <c r="E115" s="1429" t="s">
        <v>39</v>
      </c>
      <c r="F115" s="1147"/>
      <c r="G115" s="1430"/>
      <c r="H115" s="1431"/>
      <c r="I115" s="1432"/>
      <c r="J115" s="2367">
        <f t="shared" ref="J115:O115" si="359">SUM(J116:J123)</f>
        <v>0</v>
      </c>
      <c r="K115" s="2368">
        <f t="shared" si="359"/>
        <v>12</v>
      </c>
      <c r="L115" s="2368">
        <f t="shared" si="359"/>
        <v>56</v>
      </c>
      <c r="M115" s="2368">
        <f t="shared" si="359"/>
        <v>8</v>
      </c>
      <c r="N115" s="2369">
        <f t="shared" si="359"/>
        <v>8</v>
      </c>
      <c r="O115" s="2298">
        <f t="shared" si="359"/>
        <v>84</v>
      </c>
      <c r="R115" s="3500"/>
      <c r="S115" s="3501"/>
      <c r="T115" s="3501"/>
      <c r="U115" s="3501"/>
      <c r="V115" s="3502"/>
      <c r="W115" s="514"/>
      <c r="Z115" s="514"/>
      <c r="AA115" s="521"/>
      <c r="AB115" s="514"/>
      <c r="AE115" s="514"/>
      <c r="AF115" s="521"/>
      <c r="AG115" s="514"/>
      <c r="AJ115" s="514"/>
      <c r="AK115" s="521"/>
      <c r="AL115" s="514"/>
      <c r="AO115" s="514"/>
      <c r="AP115" s="521"/>
      <c r="AQ115" s="522"/>
      <c r="AR115" s="522"/>
      <c r="AS115" s="522"/>
      <c r="AT115" s="522"/>
      <c r="AU115" s="522"/>
      <c r="AV115" s="522"/>
      <c r="AW115" s="742"/>
      <c r="BA115" s="522"/>
      <c r="BB115" s="742"/>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03"/>
      <c r="D116" s="3503"/>
      <c r="E116" s="106"/>
      <c r="F116" s="5"/>
      <c r="G116" s="156"/>
      <c r="H116" s="1021" t="s">
        <v>2604</v>
      </c>
      <c r="I116" s="1433"/>
      <c r="J116" s="2340">
        <f>JR48</f>
        <v>0</v>
      </c>
      <c r="K116" s="2341">
        <f>JS48</f>
        <v>0</v>
      </c>
      <c r="L116" s="2341">
        <f>JT48</f>
        <v>0</v>
      </c>
      <c r="M116" s="2341">
        <f>JU48</f>
        <v>0</v>
      </c>
      <c r="N116" s="2342">
        <f>JV48</f>
        <v>0</v>
      </c>
      <c r="O116" s="1110">
        <f t="shared" ref="O116:O131" si="360">SUM(J116:N116)</f>
        <v>0</v>
      </c>
      <c r="R116" s="3505"/>
      <c r="S116" s="3506"/>
      <c r="T116" s="3506"/>
      <c r="U116" s="3506"/>
      <c r="V116" s="3507"/>
      <c r="W116" s="514"/>
      <c r="Z116" s="514"/>
      <c r="AA116" s="521"/>
      <c r="AB116" s="514"/>
      <c r="AE116" s="514"/>
      <c r="AF116" s="521"/>
      <c r="AG116" s="514"/>
      <c r="AJ116" s="514"/>
      <c r="AK116" s="521"/>
      <c r="AL116" s="514"/>
      <c r="AO116" s="514"/>
      <c r="AP116" s="521"/>
      <c r="AQ116" s="522"/>
      <c r="AR116" s="522"/>
      <c r="AS116" s="522"/>
      <c r="AT116" s="522"/>
      <c r="AU116" s="522"/>
      <c r="AV116" s="522"/>
      <c r="AW116" s="742"/>
      <c r="BA116" s="522"/>
      <c r="BB116" s="742"/>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03"/>
      <c r="D117" s="3503"/>
      <c r="E117" s="106"/>
      <c r="F117" s="5"/>
      <c r="G117" s="156"/>
      <c r="H117" s="97" t="s">
        <v>3357</v>
      </c>
      <c r="I117" s="1433"/>
      <c r="J117" s="2370">
        <f>JW48</f>
        <v>0</v>
      </c>
      <c r="K117" s="2371">
        <f>JX48</f>
        <v>0</v>
      </c>
      <c r="L117" s="2371">
        <f>JY48</f>
        <v>0</v>
      </c>
      <c r="M117" s="2371">
        <f>JZ48</f>
        <v>0</v>
      </c>
      <c r="N117" s="2372">
        <f>KA48</f>
        <v>0</v>
      </c>
      <c r="O117" s="690">
        <f t="shared" si="360"/>
        <v>0</v>
      </c>
      <c r="R117" s="3505"/>
      <c r="S117" s="3506"/>
      <c r="T117" s="3506"/>
      <c r="U117" s="3506"/>
      <c r="V117" s="3507"/>
      <c r="W117" s="514"/>
      <c r="Z117" s="514"/>
      <c r="AA117" s="521"/>
      <c r="AB117" s="514"/>
      <c r="AE117" s="514"/>
      <c r="AF117" s="521"/>
      <c r="AG117" s="514"/>
      <c r="AJ117" s="514"/>
      <c r="AK117" s="521"/>
      <c r="AL117" s="514"/>
      <c r="AO117" s="514"/>
      <c r="AP117" s="521"/>
      <c r="AQ117" s="522"/>
      <c r="AR117" s="522"/>
      <c r="AS117" s="522"/>
      <c r="AT117" s="522"/>
      <c r="AU117" s="522"/>
      <c r="AV117" s="522"/>
      <c r="AW117" s="742"/>
      <c r="BA117" s="522"/>
      <c r="BB117" s="742"/>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03"/>
      <c r="D118" s="3503"/>
      <c r="E118" s="106"/>
      <c r="F118" s="5"/>
      <c r="G118" s="156"/>
      <c r="H118" s="1021" t="s">
        <v>2605</v>
      </c>
      <c r="I118" s="1433"/>
      <c r="J118" s="2340">
        <f>KB48</f>
        <v>0</v>
      </c>
      <c r="K118" s="2341">
        <f>KC48</f>
        <v>0</v>
      </c>
      <c r="L118" s="2341">
        <f>KD48</f>
        <v>0</v>
      </c>
      <c r="M118" s="2341">
        <f>KE48</f>
        <v>0</v>
      </c>
      <c r="N118" s="2342">
        <f>KF48</f>
        <v>0</v>
      </c>
      <c r="O118" s="693">
        <f t="shared" si="360"/>
        <v>0</v>
      </c>
      <c r="R118" s="3505"/>
      <c r="S118" s="3506"/>
      <c r="T118" s="3506"/>
      <c r="U118" s="3506"/>
      <c r="V118" s="3507"/>
      <c r="W118" s="514"/>
      <c r="Z118" s="514"/>
      <c r="AA118" s="521"/>
      <c r="AB118" s="514"/>
      <c r="AE118" s="514"/>
      <c r="AF118" s="521"/>
      <c r="AG118" s="514"/>
      <c r="AJ118" s="514"/>
      <c r="AK118" s="521"/>
      <c r="AL118" s="514"/>
      <c r="AO118" s="514"/>
      <c r="AP118" s="521"/>
      <c r="AQ118" s="522"/>
      <c r="AR118" s="522"/>
      <c r="AS118" s="522"/>
      <c r="AT118" s="522"/>
      <c r="AU118" s="522"/>
      <c r="AV118" s="522"/>
      <c r="AW118" s="742"/>
      <c r="BA118" s="522"/>
      <c r="BB118" s="742"/>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03"/>
      <c r="D119" s="3503"/>
      <c r="E119" s="106"/>
      <c r="F119" s="5"/>
      <c r="G119" s="156"/>
      <c r="H119" s="97" t="s">
        <v>3357</v>
      </c>
      <c r="I119" s="1433"/>
      <c r="J119" s="2370">
        <f>KG48</f>
        <v>0</v>
      </c>
      <c r="K119" s="2371">
        <f>KH48</f>
        <v>0</v>
      </c>
      <c r="L119" s="2371">
        <f>KI48</f>
        <v>0</v>
      </c>
      <c r="M119" s="2371">
        <f>KJ48</f>
        <v>0</v>
      </c>
      <c r="N119" s="2372">
        <f>KK48</f>
        <v>0</v>
      </c>
      <c r="O119" s="690">
        <f t="shared" si="360"/>
        <v>0</v>
      </c>
      <c r="R119" s="3505"/>
      <c r="S119" s="3506"/>
      <c r="T119" s="3506"/>
      <c r="U119" s="3506"/>
      <c r="V119" s="3507"/>
      <c r="W119" s="514"/>
      <c r="Z119" s="514"/>
      <c r="AA119" s="521"/>
      <c r="AB119" s="514"/>
      <c r="AE119" s="514"/>
      <c r="AF119" s="521"/>
      <c r="AG119" s="514"/>
      <c r="AJ119" s="514"/>
      <c r="AK119" s="521"/>
      <c r="AL119" s="514"/>
      <c r="AO119" s="514"/>
      <c r="AP119" s="521"/>
      <c r="AQ119" s="522"/>
      <c r="AR119" s="522"/>
      <c r="AS119" s="522"/>
      <c r="AT119" s="522"/>
      <c r="AU119" s="522"/>
      <c r="AV119" s="522"/>
      <c r="AW119" s="742"/>
      <c r="BA119" s="522"/>
      <c r="BB119" s="742"/>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03"/>
      <c r="D120" s="3503"/>
      <c r="E120" s="106"/>
      <c r="F120" s="5"/>
      <c r="G120" s="156"/>
      <c r="H120" s="1021" t="s">
        <v>2607</v>
      </c>
      <c r="I120" s="1433"/>
      <c r="J120" s="2340">
        <f>KL48</f>
        <v>0</v>
      </c>
      <c r="K120" s="2341">
        <f>KM48</f>
        <v>0</v>
      </c>
      <c r="L120" s="2341">
        <f>KN48</f>
        <v>0</v>
      </c>
      <c r="M120" s="2341">
        <f>KO48</f>
        <v>0</v>
      </c>
      <c r="N120" s="2342">
        <f>KP48</f>
        <v>0</v>
      </c>
      <c r="O120" s="693">
        <f t="shared" si="360"/>
        <v>0</v>
      </c>
      <c r="R120" s="3505"/>
      <c r="S120" s="3506"/>
      <c r="T120" s="3506"/>
      <c r="U120" s="3506"/>
      <c r="V120" s="3507"/>
      <c r="W120" s="514"/>
      <c r="Z120" s="514"/>
      <c r="AA120" s="521"/>
      <c r="AB120" s="514"/>
      <c r="AE120" s="514"/>
      <c r="AF120" s="521"/>
      <c r="AG120" s="514"/>
      <c r="AJ120" s="514"/>
      <c r="AK120" s="521"/>
      <c r="AL120" s="514"/>
      <c r="AO120" s="514"/>
      <c r="AP120" s="521"/>
      <c r="AQ120" s="522"/>
      <c r="AR120" s="522"/>
      <c r="AS120" s="522"/>
      <c r="AT120" s="522"/>
      <c r="AU120" s="522"/>
      <c r="AV120" s="522"/>
      <c r="AW120" s="742"/>
      <c r="BA120" s="522"/>
      <c r="BB120" s="742"/>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03"/>
      <c r="D121" s="3503"/>
      <c r="E121" s="106"/>
      <c r="F121" s="5"/>
      <c r="G121" s="156"/>
      <c r="H121" s="97" t="s">
        <v>3357</v>
      </c>
      <c r="I121" s="1433"/>
      <c r="J121" s="2370">
        <f>KQ48</f>
        <v>0</v>
      </c>
      <c r="K121" s="2371">
        <f>KR48</f>
        <v>0</v>
      </c>
      <c r="L121" s="2371">
        <f>KS48</f>
        <v>0</v>
      </c>
      <c r="M121" s="2371">
        <f>KT48</f>
        <v>0</v>
      </c>
      <c r="N121" s="2372">
        <f>KU48</f>
        <v>0</v>
      </c>
      <c r="O121" s="690">
        <f t="shared" si="360"/>
        <v>0</v>
      </c>
      <c r="R121" s="3505"/>
      <c r="S121" s="3506"/>
      <c r="T121" s="3506"/>
      <c r="U121" s="3506"/>
      <c r="V121" s="3507"/>
      <c r="W121" s="514"/>
      <c r="Z121" s="514"/>
      <c r="AA121" s="521"/>
      <c r="AB121" s="514"/>
      <c r="AE121" s="514"/>
      <c r="AF121" s="521"/>
      <c r="AG121" s="514"/>
      <c r="AJ121" s="514"/>
      <c r="AK121" s="521"/>
      <c r="AL121" s="514"/>
      <c r="AO121" s="514"/>
      <c r="AP121" s="521"/>
      <c r="AQ121" s="522"/>
      <c r="AR121" s="522"/>
      <c r="AS121" s="522"/>
      <c r="AT121" s="522"/>
      <c r="AU121" s="522"/>
      <c r="AV121" s="522"/>
      <c r="AW121" s="742"/>
      <c r="BA121" s="522"/>
      <c r="BB121" s="742"/>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03"/>
      <c r="D122" s="3503"/>
      <c r="E122" s="106"/>
      <c r="F122" s="1"/>
      <c r="G122" s="84"/>
      <c r="H122" s="40" t="s">
        <v>2606</v>
      </c>
      <c r="I122" s="84"/>
      <c r="J122" s="2340">
        <f>KV48</f>
        <v>0</v>
      </c>
      <c r="K122" s="2341">
        <f>KW48</f>
        <v>12</v>
      </c>
      <c r="L122" s="2341">
        <f>KX48</f>
        <v>56</v>
      </c>
      <c r="M122" s="2341">
        <f>KY48</f>
        <v>8</v>
      </c>
      <c r="N122" s="2342">
        <f>KZ48</f>
        <v>8</v>
      </c>
      <c r="O122" s="693">
        <f t="shared" si="360"/>
        <v>84</v>
      </c>
      <c r="R122" s="3505"/>
      <c r="S122" s="3506"/>
      <c r="T122" s="3506"/>
      <c r="U122" s="3506"/>
      <c r="V122" s="3507"/>
      <c r="W122" s="514"/>
      <c r="Z122" s="514"/>
      <c r="AA122" s="521"/>
      <c r="AB122" s="514"/>
      <c r="AE122" s="514"/>
      <c r="AF122" s="521"/>
      <c r="AG122" s="514"/>
      <c r="AJ122" s="514"/>
      <c r="AK122" s="521"/>
      <c r="AL122" s="514"/>
      <c r="AO122" s="514"/>
      <c r="AP122" s="521"/>
      <c r="AQ122" s="522"/>
      <c r="AR122" s="522"/>
      <c r="AS122" s="522"/>
      <c r="AT122" s="522"/>
      <c r="AU122" s="522"/>
      <c r="AV122" s="522"/>
      <c r="AW122" s="742"/>
      <c r="BA122" s="522"/>
      <c r="BB122" s="742"/>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03"/>
      <c r="D123" s="3503"/>
      <c r="E123" s="106"/>
      <c r="F123" s="1"/>
      <c r="G123" s="84"/>
      <c r="H123" s="1017" t="s">
        <v>3357</v>
      </c>
      <c r="I123" s="84"/>
      <c r="J123" s="2340">
        <f>LA48</f>
        <v>0</v>
      </c>
      <c r="K123" s="2341">
        <f>LB48</f>
        <v>0</v>
      </c>
      <c r="L123" s="2341">
        <f>LC48</f>
        <v>0</v>
      </c>
      <c r="M123" s="2341">
        <f>LD48</f>
        <v>0</v>
      </c>
      <c r="N123" s="2342">
        <f>LE48</f>
        <v>0</v>
      </c>
      <c r="O123" s="1110">
        <f t="shared" si="360"/>
        <v>0</v>
      </c>
      <c r="R123" s="3505"/>
      <c r="S123" s="3506"/>
      <c r="T123" s="3506"/>
      <c r="U123" s="3506"/>
      <c r="V123" s="3507"/>
      <c r="W123" s="514"/>
      <c r="Z123" s="514"/>
      <c r="AA123" s="521"/>
      <c r="AB123" s="514"/>
      <c r="AE123" s="514"/>
      <c r="AF123" s="521"/>
      <c r="AG123" s="514"/>
      <c r="AJ123" s="514"/>
      <c r="AK123" s="521"/>
      <c r="AL123" s="514"/>
      <c r="AO123" s="514"/>
      <c r="AP123" s="521"/>
      <c r="AQ123" s="522"/>
      <c r="AR123" s="522"/>
      <c r="AS123" s="522"/>
      <c r="AT123" s="522"/>
      <c r="AU123" s="522"/>
      <c r="AV123" s="522"/>
      <c r="AW123" s="742"/>
      <c r="BA123" s="522"/>
      <c r="BB123" s="742"/>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37">
        <f>ID48</f>
        <v>0</v>
      </c>
      <c r="K124" s="2338">
        <f>IE48</f>
        <v>0</v>
      </c>
      <c r="L124" s="2338">
        <f>IF48</f>
        <v>0</v>
      </c>
      <c r="M124" s="2338">
        <f>IG48</f>
        <v>0</v>
      </c>
      <c r="N124" s="2339">
        <f>IH48</f>
        <v>0</v>
      </c>
      <c r="O124" s="1115">
        <f t="shared" si="360"/>
        <v>0</v>
      </c>
      <c r="R124" s="3505"/>
      <c r="S124" s="3506"/>
      <c r="T124" s="3506"/>
      <c r="U124" s="3506"/>
      <c r="V124" s="3507"/>
      <c r="W124" s="514"/>
      <c r="Z124" s="514"/>
      <c r="AA124" s="521"/>
      <c r="AB124" s="514"/>
      <c r="AE124" s="514"/>
      <c r="AF124" s="521"/>
      <c r="AG124" s="514"/>
      <c r="AJ124" s="514"/>
      <c r="AK124" s="521"/>
      <c r="AL124" s="514"/>
      <c r="AO124" s="514"/>
      <c r="AP124" s="521"/>
      <c r="AQ124" s="522"/>
      <c r="AR124" s="522"/>
      <c r="AS124" s="522"/>
      <c r="AT124" s="522"/>
      <c r="AU124" s="522"/>
      <c r="AV124" s="522"/>
      <c r="AW124" s="1216"/>
      <c r="AX124" s="514"/>
      <c r="BA124" s="522"/>
      <c r="BB124" s="1216"/>
      <c r="BC124" s="514"/>
      <c r="LN124" s="520"/>
      <c r="MC124" s="512"/>
    </row>
    <row r="125" spans="1:341" ht="14.25" customHeight="1">
      <c r="C125" s="151"/>
      <c r="D125" s="151"/>
      <c r="E125" s="106"/>
      <c r="F125" s="1"/>
      <c r="G125" s="84"/>
      <c r="H125" s="1017" t="s">
        <v>3357</v>
      </c>
      <c r="I125" s="84"/>
      <c r="J125" s="2370">
        <f>II48</f>
        <v>0</v>
      </c>
      <c r="K125" s="2371">
        <f>IJ48</f>
        <v>0</v>
      </c>
      <c r="L125" s="2371">
        <f>IK48</f>
        <v>0</v>
      </c>
      <c r="M125" s="2371">
        <f>IL48</f>
        <v>0</v>
      </c>
      <c r="N125" s="2372">
        <f>IM48</f>
        <v>0</v>
      </c>
      <c r="O125" s="690">
        <f t="shared" si="360"/>
        <v>0</v>
      </c>
      <c r="R125" s="3505"/>
      <c r="S125" s="3506"/>
      <c r="T125" s="3506"/>
      <c r="U125" s="3506"/>
      <c r="V125" s="3507"/>
      <c r="W125" s="514"/>
      <c r="Z125" s="514"/>
      <c r="AA125" s="521"/>
      <c r="AB125" s="514"/>
      <c r="AE125" s="514"/>
      <c r="AF125" s="521"/>
      <c r="AG125" s="514"/>
      <c r="AJ125" s="514"/>
      <c r="AK125" s="521"/>
      <c r="AL125" s="514"/>
      <c r="AO125" s="514"/>
      <c r="AP125" s="521"/>
      <c r="AQ125" s="522"/>
      <c r="AR125" s="522"/>
      <c r="AS125" s="522"/>
      <c r="AT125" s="522"/>
      <c r="AU125" s="522"/>
      <c r="AV125" s="522"/>
      <c r="AW125" s="1216"/>
      <c r="AX125" s="514"/>
      <c r="BA125" s="522"/>
      <c r="BB125" s="1216"/>
      <c r="BC125" s="514"/>
      <c r="LN125" s="520"/>
      <c r="MC125" s="512"/>
    </row>
    <row r="126" spans="1:341" ht="14.25" customHeight="1">
      <c r="C126" s="96"/>
      <c r="D126" s="96"/>
      <c r="E126" s="106" t="s">
        <v>41</v>
      </c>
      <c r="F126" s="1"/>
      <c r="G126" s="84"/>
      <c r="H126" s="40"/>
      <c r="I126" s="84"/>
      <c r="J126" s="2373">
        <f>JH48</f>
        <v>0</v>
      </c>
      <c r="K126" s="2374">
        <f>JI48</f>
        <v>0</v>
      </c>
      <c r="L126" s="2374">
        <f>JJ48</f>
        <v>0</v>
      </c>
      <c r="M126" s="2374">
        <f>JK48</f>
        <v>0</v>
      </c>
      <c r="N126" s="2375">
        <f>JL48</f>
        <v>0</v>
      </c>
      <c r="O126" s="693">
        <f t="shared" si="360"/>
        <v>0</v>
      </c>
      <c r="R126" s="3505"/>
      <c r="S126" s="3506"/>
      <c r="T126" s="3506"/>
      <c r="U126" s="3506"/>
      <c r="V126" s="3507"/>
      <c r="W126" s="514"/>
      <c r="Z126" s="514"/>
      <c r="AA126" s="521"/>
      <c r="AB126" s="514"/>
      <c r="AE126" s="514"/>
      <c r="AF126" s="521"/>
      <c r="AG126" s="514"/>
      <c r="AJ126" s="514"/>
      <c r="AK126" s="521"/>
      <c r="AL126" s="514"/>
      <c r="AO126" s="514"/>
      <c r="AP126" s="521"/>
      <c r="AQ126" s="522"/>
      <c r="AR126" s="522"/>
      <c r="AS126" s="522"/>
      <c r="AT126" s="522"/>
      <c r="AU126" s="522"/>
      <c r="AV126" s="522"/>
      <c r="AW126" s="742"/>
      <c r="BA126" s="522"/>
      <c r="BB126" s="742"/>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7" t="s">
        <v>3357</v>
      </c>
      <c r="I127" s="84"/>
      <c r="J127" s="2370">
        <f>JM48</f>
        <v>0</v>
      </c>
      <c r="K127" s="2371">
        <f>JN48</f>
        <v>0</v>
      </c>
      <c r="L127" s="2371">
        <f>JO48</f>
        <v>0</v>
      </c>
      <c r="M127" s="2371">
        <f>JP48</f>
        <v>0</v>
      </c>
      <c r="N127" s="2372">
        <f>JQ48</f>
        <v>0</v>
      </c>
      <c r="O127" s="690">
        <f t="shared" si="360"/>
        <v>0</v>
      </c>
      <c r="R127" s="3505"/>
      <c r="S127" s="3506"/>
      <c r="T127" s="3506"/>
      <c r="U127" s="3506"/>
      <c r="V127" s="3507"/>
      <c r="W127" s="514"/>
      <c r="Z127" s="514"/>
      <c r="AA127" s="521"/>
      <c r="AB127" s="514"/>
      <c r="AE127" s="514"/>
      <c r="AF127" s="521"/>
      <c r="AG127" s="514"/>
      <c r="AJ127" s="514"/>
      <c r="AK127" s="521"/>
      <c r="AL127" s="514"/>
      <c r="AO127" s="514"/>
      <c r="AP127" s="521"/>
      <c r="AQ127" s="522"/>
      <c r="AR127" s="522"/>
      <c r="AS127" s="522"/>
      <c r="AT127" s="522"/>
      <c r="AU127" s="522"/>
      <c r="AV127" s="522"/>
      <c r="AW127" s="742"/>
      <c r="BA127" s="522"/>
      <c r="BB127" s="742"/>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565</v>
      </c>
      <c r="F128" s="1"/>
      <c r="G128" s="84"/>
      <c r="H128" s="40"/>
      <c r="I128" s="84"/>
      <c r="J128" s="2373">
        <f>IX48</f>
        <v>0</v>
      </c>
      <c r="K128" s="2374">
        <f>IY48</f>
        <v>0</v>
      </c>
      <c r="L128" s="2374">
        <f>IZ48</f>
        <v>0</v>
      </c>
      <c r="M128" s="2374">
        <f>JA48</f>
        <v>0</v>
      </c>
      <c r="N128" s="2375">
        <f>JB48</f>
        <v>0</v>
      </c>
      <c r="O128" s="693">
        <f t="shared" si="360"/>
        <v>0</v>
      </c>
      <c r="R128" s="3505"/>
      <c r="S128" s="3506"/>
      <c r="T128" s="3506"/>
      <c r="U128" s="3506"/>
      <c r="V128" s="3507"/>
      <c r="W128" s="514"/>
      <c r="Z128" s="514"/>
      <c r="AA128" s="521"/>
      <c r="AB128" s="514"/>
      <c r="AE128" s="514"/>
      <c r="AF128" s="521"/>
      <c r="AG128" s="514"/>
      <c r="AJ128" s="514"/>
      <c r="AK128" s="521"/>
      <c r="AL128" s="514"/>
      <c r="AO128" s="514"/>
      <c r="AP128" s="521"/>
      <c r="AQ128" s="522"/>
      <c r="AR128" s="522"/>
      <c r="AS128" s="522"/>
      <c r="AT128" s="522"/>
      <c r="AU128" s="522"/>
      <c r="AV128" s="522"/>
      <c r="AW128" s="1216"/>
      <c r="AX128" s="514"/>
      <c r="BA128" s="522"/>
      <c r="BB128" s="1216"/>
      <c r="BC128" s="514"/>
      <c r="LN128" s="520"/>
      <c r="MC128" s="512"/>
    </row>
    <row r="129" spans="1:341" ht="14.25" customHeight="1">
      <c r="C129" s="96"/>
      <c r="D129" s="96"/>
      <c r="E129" s="114"/>
      <c r="F129" s="1"/>
      <c r="G129" s="84"/>
      <c r="H129" s="1017" t="s">
        <v>3357</v>
      </c>
      <c r="I129" s="84"/>
      <c r="J129" s="2340">
        <f>JC48</f>
        <v>0</v>
      </c>
      <c r="K129" s="2341">
        <f>JD48</f>
        <v>0</v>
      </c>
      <c r="L129" s="2341">
        <f>JE48</f>
        <v>0</v>
      </c>
      <c r="M129" s="2341">
        <f>JF48</f>
        <v>0</v>
      </c>
      <c r="N129" s="2342">
        <f>JG48</f>
        <v>0</v>
      </c>
      <c r="O129" s="690">
        <f t="shared" si="360"/>
        <v>0</v>
      </c>
      <c r="R129" s="3505"/>
      <c r="S129" s="3506"/>
      <c r="T129" s="3506"/>
      <c r="U129" s="3506"/>
      <c r="V129" s="3507"/>
      <c r="W129" s="514"/>
      <c r="Z129" s="514"/>
      <c r="AA129" s="521"/>
      <c r="AB129" s="514"/>
      <c r="AE129" s="514"/>
      <c r="AF129" s="521"/>
      <c r="AG129" s="514"/>
      <c r="AJ129" s="514"/>
      <c r="AK129" s="521"/>
      <c r="AL129" s="514"/>
      <c r="AO129" s="514"/>
      <c r="AP129" s="521"/>
      <c r="AQ129" s="522"/>
      <c r="AR129" s="522"/>
      <c r="AS129" s="522"/>
      <c r="AT129" s="522"/>
      <c r="AU129" s="522"/>
      <c r="AV129" s="522"/>
      <c r="AW129" s="1216"/>
      <c r="AX129" s="514"/>
      <c r="BA129" s="522"/>
      <c r="BB129" s="1216"/>
      <c r="BC129" s="514"/>
      <c r="LN129" s="520"/>
      <c r="MC129" s="512"/>
    </row>
    <row r="130" spans="1:341" ht="14.25" customHeight="1">
      <c r="C130" s="96"/>
      <c r="D130" s="96"/>
      <c r="E130" s="91" t="s">
        <v>566</v>
      </c>
      <c r="F130" s="1"/>
      <c r="G130" s="84"/>
      <c r="H130" s="40"/>
      <c r="I130" s="84"/>
      <c r="J130" s="2373">
        <f>IN48</f>
        <v>0</v>
      </c>
      <c r="K130" s="2374">
        <f>IO48</f>
        <v>0</v>
      </c>
      <c r="L130" s="2374">
        <f>IP48</f>
        <v>0</v>
      </c>
      <c r="M130" s="2374">
        <f>IQ48</f>
        <v>0</v>
      </c>
      <c r="N130" s="2375">
        <f>IR48</f>
        <v>0</v>
      </c>
      <c r="O130" s="693">
        <f t="shared" si="360"/>
        <v>0</v>
      </c>
      <c r="R130" s="3505"/>
      <c r="S130" s="3506"/>
      <c r="T130" s="3506"/>
      <c r="U130" s="3506"/>
      <c r="V130" s="3507"/>
      <c r="W130" s="514"/>
      <c r="Z130" s="514"/>
      <c r="AA130" s="521"/>
      <c r="AB130" s="514"/>
      <c r="AE130" s="514"/>
      <c r="AF130" s="521"/>
      <c r="AG130" s="514"/>
      <c r="AJ130" s="514"/>
      <c r="AK130" s="521"/>
      <c r="AL130" s="514"/>
      <c r="AO130" s="514"/>
      <c r="AP130" s="521"/>
      <c r="AQ130" s="522"/>
      <c r="AR130" s="522"/>
      <c r="AS130" s="522"/>
      <c r="AT130" s="522"/>
      <c r="AU130" s="522"/>
      <c r="AV130" s="522"/>
      <c r="AW130" s="742"/>
      <c r="BA130" s="522"/>
      <c r="BB130" s="742"/>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7" t="s">
        <v>3357</v>
      </c>
      <c r="I131" s="84"/>
      <c r="J131" s="2343">
        <f>IS48</f>
        <v>0</v>
      </c>
      <c r="K131" s="2344">
        <f>IT48</f>
        <v>0</v>
      </c>
      <c r="L131" s="2344">
        <f>IU48</f>
        <v>0</v>
      </c>
      <c r="M131" s="2344">
        <f>IV48</f>
        <v>0</v>
      </c>
      <c r="N131" s="2345">
        <f>IW48</f>
        <v>0</v>
      </c>
      <c r="O131" s="1111">
        <f t="shared" si="360"/>
        <v>0</v>
      </c>
      <c r="R131" s="3509"/>
      <c r="S131" s="3510"/>
      <c r="T131" s="3510"/>
      <c r="U131" s="3510"/>
      <c r="V131" s="3511"/>
      <c r="W131" s="514"/>
      <c r="Z131" s="514"/>
      <c r="AA131" s="521"/>
      <c r="AB131" s="514"/>
      <c r="AE131" s="514"/>
      <c r="AF131" s="521"/>
      <c r="AG131" s="514"/>
      <c r="AJ131" s="514"/>
      <c r="AK131" s="521"/>
      <c r="AL131" s="514"/>
      <c r="AO131" s="514"/>
      <c r="AP131" s="521"/>
      <c r="AQ131" s="522"/>
      <c r="AR131" s="522"/>
      <c r="AS131" s="522"/>
      <c r="AT131" s="522"/>
      <c r="AU131" s="522"/>
      <c r="AV131" s="522"/>
      <c r="AW131" s="742"/>
      <c r="BA131" s="522"/>
      <c r="BB131" s="742"/>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8"/>
      <c r="I132" s="84"/>
      <c r="J132" s="694"/>
      <c r="K132" s="694"/>
      <c r="L132" s="694"/>
      <c r="M132" s="694"/>
      <c r="N132" s="694"/>
      <c r="O132" s="694"/>
    </row>
    <row r="133" spans="1:341" ht="14.45" customHeight="1" thickBot="1">
      <c r="A133" s="13" t="s">
        <v>740</v>
      </c>
      <c r="B133" s="13" t="s">
        <v>5007</v>
      </c>
      <c r="K133" s="3582" t="str">
        <f>K53</f>
        <v>40% of Units at 60% of AMI</v>
      </c>
      <c r="L133" s="3583"/>
      <c r="M133" s="3583"/>
      <c r="N133" s="3584"/>
      <c r="O133" s="84"/>
      <c r="R133" s="3520" t="str">
        <f>B133</f>
        <v>UNIT SUMMARY (Continued)</v>
      </c>
      <c r="S133" s="3520"/>
      <c r="T133" s="3520"/>
      <c r="U133" s="3520"/>
      <c r="W133" s="742"/>
      <c r="Z133" s="742"/>
      <c r="AA133" s="742"/>
      <c r="AB133" s="742"/>
      <c r="AE133" s="742"/>
      <c r="AF133" s="742"/>
      <c r="AG133" s="742"/>
      <c r="AJ133" s="742"/>
      <c r="AK133" s="742"/>
      <c r="AL133" s="742"/>
      <c r="AO133" s="742"/>
      <c r="AP133" s="742"/>
      <c r="AQ133" s="742"/>
      <c r="AR133" s="742"/>
      <c r="AS133" s="742"/>
      <c r="AT133" s="742"/>
      <c r="AU133" s="742"/>
      <c r="AV133" s="742"/>
      <c r="AW133" s="742"/>
      <c r="AX133" s="514"/>
      <c r="BA133" s="742"/>
      <c r="BB133" s="742"/>
      <c r="BC133" s="514"/>
      <c r="LN133" s="520"/>
      <c r="MC133" s="512"/>
    </row>
    <row r="134" spans="1:341" ht="9" customHeight="1">
      <c r="A134" s="13"/>
      <c r="B134" s="13"/>
      <c r="O134" s="84"/>
      <c r="P134" s="2548"/>
      <c r="R134" s="325" t="str">
        <f>C135</f>
        <v>Building Type:
(for Cost Limit purposes only - see Application Instructions for further detail)</v>
      </c>
      <c r="S134" s="465"/>
      <c r="T134" s="2618"/>
      <c r="W134" s="742"/>
      <c r="Z134" s="742"/>
      <c r="AA134" s="742"/>
      <c r="AB134" s="742"/>
      <c r="AE134" s="742"/>
      <c r="AF134" s="742"/>
      <c r="AG134" s="742"/>
      <c r="AJ134" s="742"/>
      <c r="AK134" s="742"/>
      <c r="AL134" s="742"/>
      <c r="AO134" s="742"/>
      <c r="AP134" s="742"/>
      <c r="AQ134" s="742"/>
      <c r="AR134" s="742"/>
      <c r="AS134" s="742"/>
      <c r="AT134" s="742"/>
      <c r="AU134" s="742"/>
      <c r="AV134" s="742"/>
      <c r="AW134" s="742"/>
      <c r="AX134" s="514"/>
      <c r="BA134" s="742"/>
      <c r="BB134" s="742"/>
      <c r="BC134" s="514"/>
      <c r="LN134" s="520"/>
      <c r="MC134" s="512"/>
    </row>
    <row r="135" spans="1:341" ht="14.25" customHeight="1">
      <c r="C135" s="3557" t="s">
        <v>4611</v>
      </c>
      <c r="D135" s="3557"/>
      <c r="E135" s="1429" t="s">
        <v>3352</v>
      </c>
      <c r="F135" s="1430"/>
      <c r="G135" s="1431"/>
      <c r="H135" s="1434"/>
      <c r="I135" s="1432"/>
      <c r="J135" s="2376">
        <f t="shared" ref="J135:N136" si="361">J124+J128+J130</f>
        <v>0</v>
      </c>
      <c r="K135" s="2377">
        <f t="shared" si="361"/>
        <v>0</v>
      </c>
      <c r="L135" s="2377">
        <f t="shared" si="361"/>
        <v>0</v>
      </c>
      <c r="M135" s="2377">
        <f t="shared" si="361"/>
        <v>0</v>
      </c>
      <c r="N135" s="2378">
        <f t="shared" si="361"/>
        <v>0</v>
      </c>
      <c r="O135" s="1112">
        <f t="shared" ref="O135:O142" si="362">SUM(J135:N135)</f>
        <v>0</v>
      </c>
      <c r="R135" s="3500"/>
      <c r="S135" s="3501"/>
      <c r="T135" s="3501"/>
      <c r="U135" s="3501"/>
      <c r="V135" s="3502"/>
      <c r="W135" s="514"/>
      <c r="Z135" s="514"/>
      <c r="AA135" s="521"/>
      <c r="AB135" s="514"/>
      <c r="AE135" s="514"/>
      <c r="AF135" s="521"/>
      <c r="AG135" s="514"/>
      <c r="AJ135" s="514"/>
      <c r="AK135" s="521"/>
      <c r="AL135" s="514"/>
      <c r="AO135" s="514"/>
      <c r="AP135" s="521"/>
      <c r="AQ135" s="522"/>
      <c r="AR135" s="522"/>
      <c r="AS135" s="522"/>
      <c r="AT135" s="522"/>
      <c r="AU135" s="522"/>
      <c r="AV135" s="522"/>
      <c r="AW135" s="742"/>
      <c r="BA135" s="522"/>
      <c r="BB135" s="742"/>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03"/>
      <c r="D136" s="3503"/>
      <c r="E136" s="106"/>
      <c r="F136" s="563"/>
      <c r="G136" s="156"/>
      <c r="H136" s="97" t="s">
        <v>3357</v>
      </c>
      <c r="I136" s="1433"/>
      <c r="J136" s="2379">
        <f t="shared" si="361"/>
        <v>0</v>
      </c>
      <c r="K136" s="2380">
        <f t="shared" si="361"/>
        <v>0</v>
      </c>
      <c r="L136" s="2380">
        <f t="shared" si="361"/>
        <v>0</v>
      </c>
      <c r="M136" s="2380">
        <f t="shared" si="361"/>
        <v>0</v>
      </c>
      <c r="N136" s="2381">
        <f t="shared" si="361"/>
        <v>0</v>
      </c>
      <c r="O136" s="695">
        <f t="shared" si="362"/>
        <v>0</v>
      </c>
      <c r="R136" s="3505"/>
      <c r="S136" s="3506"/>
      <c r="T136" s="3506"/>
      <c r="U136" s="3506"/>
      <c r="V136" s="3507"/>
      <c r="W136" s="514"/>
      <c r="Z136" s="514"/>
      <c r="AA136" s="521"/>
      <c r="AB136" s="514"/>
      <c r="AE136" s="514"/>
      <c r="AF136" s="521"/>
      <c r="AG136" s="514"/>
      <c r="AJ136" s="514"/>
      <c r="AK136" s="521"/>
      <c r="AL136" s="514"/>
      <c r="AO136" s="514"/>
      <c r="AP136" s="521"/>
      <c r="AQ136" s="522"/>
      <c r="AR136" s="522"/>
      <c r="AS136" s="522"/>
      <c r="AT136" s="522"/>
      <c r="AU136" s="522"/>
      <c r="AV136" s="522"/>
      <c r="AW136" s="742"/>
      <c r="BA136" s="522"/>
      <c r="BB136" s="742"/>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03"/>
      <c r="D137" s="3503"/>
      <c r="E137" s="106" t="s">
        <v>3353</v>
      </c>
      <c r="F137" s="563"/>
      <c r="G137" s="156"/>
      <c r="H137" s="563"/>
      <c r="I137" s="1433"/>
      <c r="J137" s="2382">
        <f t="shared" ref="J137:N138" si="363">J116+J126</f>
        <v>0</v>
      </c>
      <c r="K137" s="2383">
        <f t="shared" si="363"/>
        <v>0</v>
      </c>
      <c r="L137" s="2383">
        <f t="shared" si="363"/>
        <v>0</v>
      </c>
      <c r="M137" s="2383">
        <f t="shared" si="363"/>
        <v>0</v>
      </c>
      <c r="N137" s="2384">
        <f t="shared" si="363"/>
        <v>0</v>
      </c>
      <c r="O137" s="1113">
        <f t="shared" si="362"/>
        <v>0</v>
      </c>
      <c r="R137" s="3505"/>
      <c r="S137" s="3506"/>
      <c r="T137" s="3506"/>
      <c r="U137" s="3506"/>
      <c r="V137" s="3507"/>
      <c r="W137" s="514"/>
      <c r="Z137" s="514"/>
      <c r="AA137" s="521"/>
      <c r="AB137" s="514"/>
      <c r="AE137" s="514"/>
      <c r="AF137" s="521"/>
      <c r="AG137" s="514"/>
      <c r="AJ137" s="514"/>
      <c r="AK137" s="521"/>
      <c r="AL137" s="514"/>
      <c r="AO137" s="514"/>
      <c r="AP137" s="521"/>
      <c r="AQ137" s="522"/>
      <c r="AR137" s="522"/>
      <c r="AS137" s="522"/>
      <c r="AT137" s="522"/>
      <c r="AU137" s="522"/>
      <c r="AV137" s="522"/>
      <c r="AW137" s="742"/>
      <c r="BA137" s="522"/>
      <c r="BB137" s="742"/>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03"/>
      <c r="D138" s="3503"/>
      <c r="E138" s="106"/>
      <c r="F138" s="563"/>
      <c r="G138" s="156"/>
      <c r="H138" s="97" t="s">
        <v>3357</v>
      </c>
      <c r="I138" s="1433"/>
      <c r="J138" s="2379">
        <f t="shared" si="363"/>
        <v>0</v>
      </c>
      <c r="K138" s="2380">
        <f t="shared" si="363"/>
        <v>0</v>
      </c>
      <c r="L138" s="2380">
        <f t="shared" si="363"/>
        <v>0</v>
      </c>
      <c r="M138" s="2380">
        <f t="shared" si="363"/>
        <v>0</v>
      </c>
      <c r="N138" s="2381">
        <f t="shared" si="363"/>
        <v>0</v>
      </c>
      <c r="O138" s="695">
        <f t="shared" si="362"/>
        <v>0</v>
      </c>
      <c r="R138" s="3505"/>
      <c r="S138" s="3506"/>
      <c r="T138" s="3506"/>
      <c r="U138" s="3506"/>
      <c r="V138" s="3507"/>
      <c r="W138" s="514"/>
      <c r="Z138" s="514"/>
      <c r="AA138" s="521"/>
      <c r="AB138" s="514"/>
      <c r="AE138" s="514"/>
      <c r="AF138" s="521"/>
      <c r="AG138" s="514"/>
      <c r="AJ138" s="514"/>
      <c r="AK138" s="521"/>
      <c r="AL138" s="514"/>
      <c r="AO138" s="514"/>
      <c r="AP138" s="521"/>
      <c r="AQ138" s="522"/>
      <c r="AR138" s="522"/>
      <c r="AS138" s="522"/>
      <c r="AT138" s="522"/>
      <c r="AU138" s="522"/>
      <c r="AV138" s="522"/>
      <c r="AW138" s="742"/>
      <c r="BA138" s="522"/>
      <c r="BB138" s="742"/>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03"/>
      <c r="D139" s="3503"/>
      <c r="E139" s="106" t="s">
        <v>3354</v>
      </c>
      <c r="F139" s="563"/>
      <c r="G139" s="156"/>
      <c r="H139" s="1021"/>
      <c r="I139" s="1433"/>
      <c r="J139" s="2382">
        <f t="shared" ref="J139:N140" si="364">J120</f>
        <v>0</v>
      </c>
      <c r="K139" s="2383">
        <f t="shared" si="364"/>
        <v>0</v>
      </c>
      <c r="L139" s="2383">
        <f t="shared" si="364"/>
        <v>0</v>
      </c>
      <c r="M139" s="2383">
        <f t="shared" si="364"/>
        <v>0</v>
      </c>
      <c r="N139" s="2384">
        <f t="shared" si="364"/>
        <v>0</v>
      </c>
      <c r="O139" s="1113">
        <f t="shared" si="362"/>
        <v>0</v>
      </c>
      <c r="R139" s="3505"/>
      <c r="S139" s="3506"/>
      <c r="T139" s="3506"/>
      <c r="U139" s="3506"/>
      <c r="V139" s="3507"/>
      <c r="W139" s="514"/>
      <c r="Z139" s="514"/>
      <c r="AA139" s="521"/>
      <c r="AB139" s="514"/>
      <c r="AE139" s="514"/>
      <c r="AF139" s="521"/>
      <c r="AG139" s="514"/>
      <c r="AJ139" s="514"/>
      <c r="AK139" s="521"/>
      <c r="AL139" s="514"/>
      <c r="AO139" s="514"/>
      <c r="AP139" s="521"/>
      <c r="AQ139" s="522"/>
      <c r="AR139" s="522"/>
      <c r="AS139" s="522"/>
      <c r="AT139" s="522"/>
      <c r="AU139" s="522"/>
      <c r="AV139" s="522"/>
      <c r="AW139" s="742"/>
      <c r="BA139" s="522"/>
      <c r="BB139" s="742"/>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03"/>
      <c r="D140" s="3503"/>
      <c r="E140" s="106"/>
      <c r="F140" s="563"/>
      <c r="G140" s="156"/>
      <c r="H140" s="97" t="s">
        <v>3357</v>
      </c>
      <c r="I140" s="1433"/>
      <c r="J140" s="2379">
        <f t="shared" si="364"/>
        <v>0</v>
      </c>
      <c r="K140" s="2380">
        <f t="shared" si="364"/>
        <v>0</v>
      </c>
      <c r="L140" s="2380">
        <f t="shared" si="364"/>
        <v>0</v>
      </c>
      <c r="M140" s="2380">
        <f t="shared" si="364"/>
        <v>0</v>
      </c>
      <c r="N140" s="2381">
        <f t="shared" si="364"/>
        <v>0</v>
      </c>
      <c r="O140" s="695">
        <f t="shared" si="362"/>
        <v>0</v>
      </c>
      <c r="R140" s="3505"/>
      <c r="S140" s="3506"/>
      <c r="T140" s="3506"/>
      <c r="U140" s="3506"/>
      <c r="V140" s="3507"/>
      <c r="W140" s="514"/>
      <c r="Z140" s="514"/>
      <c r="AA140" s="521"/>
      <c r="AB140" s="514"/>
      <c r="AE140" s="514"/>
      <c r="AF140" s="521"/>
      <c r="AG140" s="514"/>
      <c r="AJ140" s="514"/>
      <c r="AK140" s="521"/>
      <c r="AL140" s="514"/>
      <c r="AO140" s="514"/>
      <c r="AP140" s="521"/>
      <c r="AQ140" s="522"/>
      <c r="AR140" s="522"/>
      <c r="AS140" s="522"/>
      <c r="AT140" s="522"/>
      <c r="AU140" s="522"/>
      <c r="AV140" s="522"/>
      <c r="AW140" s="742"/>
      <c r="BA140" s="522"/>
      <c r="BB140" s="742"/>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03"/>
      <c r="D141" s="3503"/>
      <c r="E141" s="106" t="s">
        <v>3355</v>
      </c>
      <c r="F141" s="563"/>
      <c r="G141" s="156"/>
      <c r="H141" s="1021"/>
      <c r="I141" s="1433"/>
      <c r="J141" s="2382">
        <f t="shared" ref="J141:N142" si="365">J118+J122</f>
        <v>0</v>
      </c>
      <c r="K141" s="2383">
        <f t="shared" si="365"/>
        <v>12</v>
      </c>
      <c r="L141" s="2383">
        <f t="shared" si="365"/>
        <v>56</v>
      </c>
      <c r="M141" s="2383">
        <f t="shared" si="365"/>
        <v>8</v>
      </c>
      <c r="N141" s="2384">
        <f t="shared" si="365"/>
        <v>8</v>
      </c>
      <c r="O141" s="1113">
        <f t="shared" si="362"/>
        <v>84</v>
      </c>
      <c r="R141" s="3505"/>
      <c r="S141" s="3506"/>
      <c r="T141" s="3506"/>
      <c r="U141" s="3506"/>
      <c r="V141" s="3507"/>
      <c r="W141" s="514"/>
      <c r="Z141" s="514"/>
      <c r="AA141" s="521"/>
      <c r="AB141" s="514"/>
      <c r="AE141" s="514"/>
      <c r="AF141" s="521"/>
      <c r="AG141" s="514"/>
      <c r="AJ141" s="514"/>
      <c r="AK141" s="521"/>
      <c r="AL141" s="514"/>
      <c r="AO141" s="514"/>
      <c r="AP141" s="521"/>
      <c r="AQ141" s="522"/>
      <c r="AR141" s="522"/>
      <c r="AS141" s="522"/>
      <c r="AT141" s="522"/>
      <c r="AU141" s="522"/>
      <c r="AV141" s="522"/>
      <c r="AW141" s="742"/>
      <c r="BA141" s="522"/>
      <c r="BB141" s="742"/>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7" t="s">
        <v>3357</v>
      </c>
      <c r="I142" s="84"/>
      <c r="J142" s="2385">
        <f t="shared" si="365"/>
        <v>0</v>
      </c>
      <c r="K142" s="2386">
        <f t="shared" si="365"/>
        <v>0</v>
      </c>
      <c r="L142" s="2386">
        <f t="shared" si="365"/>
        <v>0</v>
      </c>
      <c r="M142" s="2386">
        <f t="shared" si="365"/>
        <v>0</v>
      </c>
      <c r="N142" s="2387">
        <f t="shared" si="365"/>
        <v>0</v>
      </c>
      <c r="O142" s="1114">
        <f t="shared" si="362"/>
        <v>0</v>
      </c>
      <c r="P142" s="3512" t="s">
        <v>5040</v>
      </c>
      <c r="R142" s="3509"/>
      <c r="S142" s="3510"/>
      <c r="T142" s="3510"/>
      <c r="U142" s="3510"/>
      <c r="V142" s="3511"/>
      <c r="W142" s="514"/>
      <c r="Z142" s="514"/>
      <c r="AA142" s="521"/>
      <c r="AB142" s="514"/>
      <c r="AE142" s="514"/>
      <c r="AF142" s="521"/>
      <c r="AG142" s="514"/>
      <c r="AJ142" s="514"/>
      <c r="AK142" s="521"/>
      <c r="AL142" s="514"/>
      <c r="AO142" s="514"/>
      <c r="AP142" s="521"/>
      <c r="AQ142" s="522"/>
      <c r="AR142" s="522"/>
      <c r="AS142" s="522"/>
      <c r="AT142" s="522"/>
      <c r="AU142" s="522"/>
      <c r="AV142" s="522"/>
      <c r="AW142" s="742"/>
      <c r="BA142" s="522"/>
      <c r="BB142" s="742"/>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31"/>
      <c r="B143" s="2331"/>
      <c r="D143" s="697"/>
      <c r="E143" s="114"/>
      <c r="F143" s="1"/>
      <c r="G143" s="84"/>
      <c r="H143" s="36"/>
      <c r="I143" s="84"/>
      <c r="J143" s="689"/>
      <c r="K143" s="689"/>
      <c r="L143" s="689"/>
      <c r="M143" s="689"/>
      <c r="N143" s="689"/>
      <c r="O143" s="689"/>
      <c r="P143" s="3512"/>
      <c r="R143" s="346"/>
      <c r="S143" s="156"/>
      <c r="T143" s="466"/>
      <c r="W143" s="1631"/>
      <c r="Z143" s="1631"/>
      <c r="AA143" s="521"/>
      <c r="AB143" s="1631"/>
      <c r="AE143" s="1631"/>
      <c r="AF143" s="521"/>
      <c r="AG143" s="1631"/>
      <c r="AJ143" s="1631"/>
      <c r="AK143" s="521"/>
      <c r="AL143" s="1631"/>
      <c r="AO143" s="1631"/>
      <c r="AP143" s="521"/>
      <c r="AQ143" s="1631"/>
      <c r="AR143" s="1631"/>
      <c r="AS143" s="1631"/>
      <c r="AT143" s="1631"/>
      <c r="AU143" s="1631"/>
      <c r="AV143" s="1631"/>
      <c r="AW143" s="742"/>
      <c r="AX143" s="514"/>
      <c r="BA143" s="1631"/>
      <c r="BB143" s="742"/>
      <c r="BC143" s="514"/>
      <c r="LN143" s="520"/>
      <c r="MC143" s="512"/>
    </row>
    <row r="144" spans="1:341" ht="12" customHeight="1">
      <c r="A144" s="13"/>
      <c r="B144" s="13" t="s">
        <v>2165</v>
      </c>
      <c r="C144" s="1"/>
      <c r="D144" s="1"/>
      <c r="E144" s="1"/>
      <c r="F144" s="1"/>
      <c r="G144" s="84"/>
      <c r="H144" s="40"/>
      <c r="I144" s="84"/>
      <c r="J144" s="696"/>
      <c r="K144" s="696"/>
      <c r="L144" s="696"/>
      <c r="M144" s="696"/>
      <c r="N144" s="696"/>
      <c r="O144" s="696"/>
      <c r="P144" s="3512"/>
      <c r="R144" s="3519" t="str">
        <f>B144</f>
        <v>Unit Square Footage:</v>
      </c>
      <c r="S144" s="3519"/>
      <c r="T144" s="3519"/>
      <c r="W144" s="1631"/>
      <c r="Z144" s="1631"/>
      <c r="AA144" s="521"/>
      <c r="AB144" s="1631"/>
      <c r="AE144" s="1631"/>
      <c r="AF144" s="521"/>
      <c r="AG144" s="1631"/>
      <c r="AJ144" s="1631"/>
      <c r="AK144" s="521"/>
      <c r="AL144" s="1631"/>
      <c r="AO144" s="1631"/>
      <c r="AP144" s="521"/>
      <c r="AQ144" s="1631"/>
      <c r="AR144" s="1631"/>
      <c r="AS144" s="1631"/>
      <c r="AT144" s="1631"/>
      <c r="AU144" s="1631"/>
      <c r="AV144" s="1631"/>
      <c r="AW144" s="742"/>
      <c r="AX144" s="514"/>
      <c r="BA144" s="1631"/>
      <c r="BB144" s="742"/>
      <c r="BC144" s="514"/>
      <c r="LN144" s="520"/>
      <c r="MC144" s="512"/>
    </row>
    <row r="145" spans="1:492" ht="14.25" customHeight="1">
      <c r="C145" s="5" t="s">
        <v>2136</v>
      </c>
      <c r="D145" s="1"/>
      <c r="E145" s="1"/>
      <c r="F145" s="1"/>
      <c r="G145" s="84"/>
      <c r="H145" s="55" t="s">
        <v>4622</v>
      </c>
      <c r="I145" s="84"/>
      <c r="J145" s="2355">
        <f>EH48</f>
        <v>0</v>
      </c>
      <c r="K145" s="2356">
        <f>EI48</f>
        <v>0</v>
      </c>
      <c r="L145" s="2356">
        <f>EJ48</f>
        <v>0</v>
      </c>
      <c r="M145" s="2356">
        <f>EK48</f>
        <v>0</v>
      </c>
      <c r="N145" s="2357">
        <f>EL48</f>
        <v>0</v>
      </c>
      <c r="O145" s="2287">
        <f t="shared" ref="O145:O151" si="366">SUM(J145:N145)</f>
        <v>0</v>
      </c>
      <c r="P145" s="2604" t="str">
        <f t="shared" ref="P145:P151" si="367">IF(OR(O56=0,O56=""),"",O145/O56)</f>
        <v/>
      </c>
      <c r="R145" s="3500"/>
      <c r="S145" s="3501"/>
      <c r="T145" s="3501"/>
      <c r="U145" s="3501"/>
      <c r="V145" s="3502"/>
      <c r="W145" s="1631"/>
      <c r="Z145" s="1631"/>
      <c r="AA145" s="521"/>
      <c r="AB145" s="1631"/>
      <c r="AE145" s="1631"/>
      <c r="AF145" s="521"/>
      <c r="AG145" s="1631"/>
      <c r="AJ145" s="1631"/>
      <c r="AK145" s="521"/>
      <c r="AL145" s="1631"/>
      <c r="AO145" s="1631"/>
      <c r="AP145" s="521"/>
      <c r="AQ145" s="522"/>
      <c r="AR145" s="522"/>
      <c r="AS145" s="522"/>
      <c r="AT145" s="522"/>
      <c r="AU145" s="522"/>
      <c r="AV145" s="522"/>
      <c r="AW145" s="742"/>
      <c r="AX145" s="514"/>
      <c r="BA145" s="522"/>
      <c r="BB145" s="742"/>
      <c r="BC145" s="514"/>
      <c r="LN145" s="520"/>
      <c r="MC145" s="512"/>
    </row>
    <row r="146" spans="1:492" ht="14.25" customHeight="1">
      <c r="C146" s="5"/>
      <c r="D146" s="1"/>
      <c r="E146" s="1"/>
      <c r="F146" s="1"/>
      <c r="G146" s="84"/>
      <c r="H146" s="40" t="s">
        <v>4623</v>
      </c>
      <c r="I146" s="84"/>
      <c r="J146" s="2388">
        <f>EM48</f>
        <v>0</v>
      </c>
      <c r="K146" s="2389">
        <f>EN48</f>
        <v>0</v>
      </c>
      <c r="L146" s="2389">
        <f>EO48</f>
        <v>0</v>
      </c>
      <c r="M146" s="2389">
        <f>EP48</f>
        <v>0</v>
      </c>
      <c r="N146" s="2390">
        <f>EQ48</f>
        <v>0</v>
      </c>
      <c r="O146" s="2288">
        <f t="shared" si="366"/>
        <v>0</v>
      </c>
      <c r="P146" s="2604" t="str">
        <f t="shared" si="367"/>
        <v/>
      </c>
      <c r="R146" s="3505"/>
      <c r="S146" s="3506"/>
      <c r="T146" s="3506"/>
      <c r="U146" s="3506"/>
      <c r="V146" s="3507"/>
      <c r="W146" s="1631"/>
      <c r="Z146" s="1631"/>
      <c r="AA146" s="521"/>
      <c r="AB146" s="1631"/>
      <c r="AE146" s="1631"/>
      <c r="AF146" s="521"/>
      <c r="AG146" s="1631"/>
      <c r="AJ146" s="1631"/>
      <c r="AK146" s="521"/>
      <c r="AL146" s="1631"/>
      <c r="AO146" s="1631"/>
      <c r="AP146" s="521"/>
      <c r="AQ146" s="522"/>
      <c r="AR146" s="522"/>
      <c r="AS146" s="522"/>
      <c r="AT146" s="522"/>
      <c r="AU146" s="522"/>
      <c r="AV146" s="522"/>
      <c r="AW146" s="742"/>
      <c r="AX146" s="514"/>
      <c r="BA146" s="522"/>
      <c r="BB146" s="742"/>
      <c r="BC146" s="514"/>
      <c r="LN146" s="520"/>
      <c r="MC146" s="512"/>
    </row>
    <row r="147" spans="1:492" ht="14.25" customHeight="1">
      <c r="C147" s="5"/>
      <c r="D147" s="1"/>
      <c r="E147" s="1"/>
      <c r="F147" s="1"/>
      <c r="G147" s="84"/>
      <c r="H147" s="40" t="s">
        <v>1149</v>
      </c>
      <c r="I147" s="84"/>
      <c r="J147" s="2388">
        <f>ER48</f>
        <v>0</v>
      </c>
      <c r="K147" s="2389">
        <f>ES48</f>
        <v>9440</v>
      </c>
      <c r="L147" s="2389">
        <f>ET48</f>
        <v>54936</v>
      </c>
      <c r="M147" s="2389">
        <f>EU48</f>
        <v>9848</v>
      </c>
      <c r="N147" s="2390">
        <f>EV48</f>
        <v>11480</v>
      </c>
      <c r="O147" s="2288">
        <f t="shared" si="366"/>
        <v>85704</v>
      </c>
      <c r="P147" s="2604">
        <f t="shared" si="367"/>
        <v>1020.2857142857143</v>
      </c>
      <c r="R147" s="3505"/>
      <c r="S147" s="3506"/>
      <c r="T147" s="3506"/>
      <c r="U147" s="3506"/>
      <c r="V147" s="3507"/>
      <c r="W147" s="1631"/>
      <c r="Z147" s="1631"/>
      <c r="AA147" s="521"/>
      <c r="AB147" s="1631"/>
      <c r="AE147" s="1631"/>
      <c r="AF147" s="521"/>
      <c r="AG147" s="1631"/>
      <c r="AJ147" s="1631"/>
      <c r="AK147" s="521"/>
      <c r="AL147" s="1631"/>
      <c r="AO147" s="1631"/>
      <c r="AP147" s="521"/>
      <c r="AQ147" s="522"/>
      <c r="AR147" s="522"/>
      <c r="AS147" s="522"/>
      <c r="AT147" s="522"/>
      <c r="AU147" s="522"/>
      <c r="AV147" s="522"/>
      <c r="AW147" s="742"/>
      <c r="AX147" s="514"/>
      <c r="BA147" s="522"/>
      <c r="BB147" s="742"/>
      <c r="BC147" s="514"/>
      <c r="LN147" s="520"/>
      <c r="MC147" s="512"/>
    </row>
    <row r="148" spans="1:492" ht="14.25" customHeight="1">
      <c r="C148" s="5"/>
      <c r="D148" s="1"/>
      <c r="E148" s="1"/>
      <c r="F148" s="1"/>
      <c r="G148" s="84"/>
      <c r="H148" s="1021" t="s">
        <v>118</v>
      </c>
      <c r="I148" s="1433"/>
      <c r="J148" s="2587">
        <f>EW48</f>
        <v>0</v>
      </c>
      <c r="K148" s="2588">
        <f>EX48</f>
        <v>0</v>
      </c>
      <c r="L148" s="2588">
        <f>EY48</f>
        <v>0</v>
      </c>
      <c r="M148" s="2588">
        <f>EZ48</f>
        <v>0</v>
      </c>
      <c r="N148" s="2589">
        <f>FA48</f>
        <v>0</v>
      </c>
      <c r="O148" s="2590">
        <f t="shared" si="366"/>
        <v>0</v>
      </c>
      <c r="P148" s="2604" t="str">
        <f t="shared" si="367"/>
        <v/>
      </c>
      <c r="R148" s="3505"/>
      <c r="S148" s="3506"/>
      <c r="T148" s="3506"/>
      <c r="U148" s="3506"/>
      <c r="V148" s="3507"/>
      <c r="W148" s="1631"/>
      <c r="Z148" s="1631"/>
      <c r="AA148" s="521"/>
      <c r="AB148" s="1631"/>
      <c r="AE148" s="1631"/>
      <c r="AF148" s="521"/>
      <c r="AG148" s="1631"/>
      <c r="AJ148" s="1631"/>
      <c r="AK148" s="521"/>
      <c r="AL148" s="1631"/>
      <c r="AO148" s="1631"/>
      <c r="AP148" s="521"/>
      <c r="AQ148" s="522"/>
      <c r="AR148" s="522"/>
      <c r="AS148" s="522"/>
      <c r="AT148" s="522"/>
      <c r="AU148" s="522"/>
      <c r="AV148" s="522"/>
      <c r="AW148" s="742"/>
      <c r="AX148" s="514"/>
      <c r="BA148" s="522"/>
      <c r="BB148" s="742"/>
      <c r="BC148" s="514"/>
      <c r="LN148" s="520"/>
      <c r="MC148" s="512"/>
    </row>
    <row r="149" spans="1:492" ht="14.25" customHeight="1">
      <c r="C149" s="5"/>
      <c r="D149" s="1"/>
      <c r="E149" s="1"/>
      <c r="F149" s="1"/>
      <c r="G149" s="84"/>
      <c r="H149" s="1021" t="s">
        <v>4624</v>
      </c>
      <c r="I149" s="1433"/>
      <c r="J149" s="2388">
        <f>FB48</f>
        <v>0</v>
      </c>
      <c r="K149" s="2389">
        <f>FC48</f>
        <v>0</v>
      </c>
      <c r="L149" s="2389">
        <f>FD48</f>
        <v>0</v>
      </c>
      <c r="M149" s="2389">
        <f>FE48</f>
        <v>0</v>
      </c>
      <c r="N149" s="2390">
        <f>FF48</f>
        <v>0</v>
      </c>
      <c r="O149" s="2288">
        <f t="shared" si="366"/>
        <v>0</v>
      </c>
      <c r="P149" s="2604" t="str">
        <f t="shared" si="367"/>
        <v/>
      </c>
      <c r="R149" s="3505"/>
      <c r="S149" s="3506"/>
      <c r="T149" s="3506"/>
      <c r="U149" s="3506"/>
      <c r="V149" s="3507"/>
      <c r="W149" s="1631"/>
      <c r="Z149" s="1631"/>
      <c r="AA149" s="521"/>
      <c r="AB149" s="1631"/>
      <c r="AE149" s="1631"/>
      <c r="AF149" s="521"/>
      <c r="AG149" s="1631"/>
      <c r="AJ149" s="1631"/>
      <c r="AK149" s="521"/>
      <c r="AL149" s="1631"/>
      <c r="AO149" s="1631"/>
      <c r="AP149" s="521"/>
      <c r="AQ149" s="522"/>
      <c r="AR149" s="522"/>
      <c r="AS149" s="522"/>
      <c r="AT149" s="522"/>
      <c r="AU149" s="522"/>
      <c r="AV149" s="522"/>
      <c r="AW149" s="742"/>
      <c r="AX149" s="514"/>
      <c r="BA149" s="522"/>
      <c r="BB149" s="742"/>
      <c r="BC149" s="514"/>
      <c r="LN149" s="520"/>
      <c r="MC149" s="512"/>
    </row>
    <row r="150" spans="1:492" ht="14.25" customHeight="1">
      <c r="C150" s="5"/>
      <c r="D150" s="1"/>
      <c r="E150" s="1"/>
      <c r="F150" s="1"/>
      <c r="G150" s="84"/>
      <c r="H150" s="40" t="s">
        <v>4625</v>
      </c>
      <c r="I150" s="84"/>
      <c r="J150" s="2388">
        <f>FG48</f>
        <v>0</v>
      </c>
      <c r="K150" s="2389">
        <f>FH48</f>
        <v>0</v>
      </c>
      <c r="L150" s="2389">
        <f>FI48</f>
        <v>0</v>
      </c>
      <c r="M150" s="2389">
        <f>FJ48</f>
        <v>0</v>
      </c>
      <c r="N150" s="2390">
        <f>FK48</f>
        <v>0</v>
      </c>
      <c r="O150" s="2288">
        <f t="shared" si="366"/>
        <v>0</v>
      </c>
      <c r="P150" s="2604" t="str">
        <f t="shared" si="367"/>
        <v/>
      </c>
      <c r="R150" s="3505"/>
      <c r="S150" s="3506"/>
      <c r="T150" s="3506"/>
      <c r="U150" s="3506"/>
      <c r="V150" s="3507"/>
      <c r="W150" s="1631"/>
      <c r="Z150" s="1631"/>
      <c r="AA150" s="521"/>
      <c r="AB150" s="1631"/>
      <c r="AE150" s="1631"/>
      <c r="AF150" s="521"/>
      <c r="AG150" s="1631"/>
      <c r="AJ150" s="1631"/>
      <c r="AK150" s="521"/>
      <c r="AL150" s="1631"/>
      <c r="AO150" s="1631"/>
      <c r="AP150" s="521"/>
      <c r="AQ150" s="522"/>
      <c r="AR150" s="522"/>
      <c r="AS150" s="522"/>
      <c r="AT150" s="522"/>
      <c r="AU150" s="522"/>
      <c r="AV150" s="522"/>
      <c r="AW150" s="742"/>
      <c r="AX150" s="514"/>
      <c r="BA150" s="522"/>
      <c r="BB150" s="742"/>
      <c r="BC150" s="514"/>
      <c r="LN150" s="520"/>
      <c r="MC150" s="512"/>
    </row>
    <row r="151" spans="1:492" ht="14.25" customHeight="1">
      <c r="C151" s="4"/>
      <c r="D151" s="1"/>
      <c r="E151" s="1"/>
      <c r="F151" s="1"/>
      <c r="G151" s="84"/>
      <c r="H151" s="55" t="s">
        <v>4626</v>
      </c>
      <c r="I151" s="84"/>
      <c r="J151" s="2361">
        <f>FL48</f>
        <v>0</v>
      </c>
      <c r="K151" s="2362">
        <f>FM48</f>
        <v>0</v>
      </c>
      <c r="L151" s="2362">
        <f>FN48</f>
        <v>0</v>
      </c>
      <c r="M151" s="2362">
        <f>FO48</f>
        <v>0</v>
      </c>
      <c r="N151" s="2363">
        <f>FP48</f>
        <v>0</v>
      </c>
      <c r="O151" s="2289">
        <f t="shared" si="366"/>
        <v>0</v>
      </c>
      <c r="P151" s="2604" t="str">
        <f t="shared" si="367"/>
        <v/>
      </c>
      <c r="R151" s="3505"/>
      <c r="S151" s="3506"/>
      <c r="T151" s="3506"/>
      <c r="U151" s="3506"/>
      <c r="V151" s="3507"/>
      <c r="W151" s="1629"/>
      <c r="Z151" s="1631"/>
      <c r="AA151" s="521"/>
      <c r="AB151" s="1629"/>
      <c r="AE151" s="1631"/>
      <c r="AF151" s="521"/>
      <c r="AG151" s="1629"/>
      <c r="AJ151" s="1631"/>
      <c r="AK151" s="521"/>
      <c r="AL151" s="1629"/>
      <c r="AO151" s="1631"/>
      <c r="AP151" s="521"/>
      <c r="AQ151" s="522"/>
      <c r="AR151" s="522"/>
      <c r="AS151" s="522"/>
      <c r="AT151" s="522"/>
      <c r="AU151" s="522"/>
      <c r="AV151" s="522"/>
      <c r="AW151" s="1631"/>
      <c r="AX151" s="514"/>
      <c r="BA151" s="522"/>
      <c r="BB151" s="1631"/>
      <c r="BC151" s="514"/>
      <c r="LN151" s="520"/>
      <c r="MC151" s="512"/>
    </row>
    <row r="152" spans="1:492" ht="14.25" customHeight="1">
      <c r="C152" s="4"/>
      <c r="D152" s="1"/>
      <c r="E152" s="1"/>
      <c r="F152" s="1"/>
      <c r="G152" s="84"/>
      <c r="H152" s="40" t="s">
        <v>4707</v>
      </c>
      <c r="I152" s="84"/>
      <c r="J152" s="2297">
        <f>SUM(J145:J151)</f>
        <v>0</v>
      </c>
      <c r="K152" s="2297">
        <f>SUM(K145:K151)</f>
        <v>9440</v>
      </c>
      <c r="L152" s="2297">
        <f>SUM(L145:L151)</f>
        <v>54936</v>
      </c>
      <c r="M152" s="2297">
        <f>SUM(M145:M151)</f>
        <v>9848</v>
      </c>
      <c r="N152" s="2297">
        <f>SUM(N145:N151)</f>
        <v>11480</v>
      </c>
      <c r="O152" s="2297">
        <f>SUM(J152:N152)</f>
        <v>85704</v>
      </c>
      <c r="R152" s="3505"/>
      <c r="S152" s="3506"/>
      <c r="T152" s="3506"/>
      <c r="U152" s="3506"/>
      <c r="V152" s="3507"/>
      <c r="W152" s="1629"/>
      <c r="Z152" s="1631"/>
      <c r="AA152" s="521"/>
      <c r="AB152" s="1629"/>
      <c r="AE152" s="1631"/>
      <c r="AF152" s="521"/>
      <c r="AG152" s="1629"/>
      <c r="AJ152" s="1631"/>
      <c r="AK152" s="521"/>
      <c r="AL152" s="1629"/>
      <c r="AO152" s="1631"/>
      <c r="AP152" s="521"/>
      <c r="AQ152" s="522"/>
      <c r="AR152" s="522"/>
      <c r="AS152" s="522"/>
      <c r="AT152" s="522"/>
      <c r="AU152" s="522"/>
      <c r="AV152" s="522"/>
      <c r="AW152" s="1631"/>
      <c r="AX152" s="514"/>
      <c r="BA152" s="522"/>
      <c r="BB152" s="1631"/>
      <c r="BC152" s="514"/>
      <c r="LN152" s="520"/>
      <c r="MC152" s="512"/>
    </row>
    <row r="153" spans="1:492" ht="14.25" customHeight="1">
      <c r="C153" s="1" t="s">
        <v>303</v>
      </c>
      <c r="D153" s="1"/>
      <c r="E153" s="1"/>
      <c r="F153" s="1"/>
      <c r="G153" s="1"/>
      <c r="H153" s="84"/>
      <c r="I153" s="84"/>
      <c r="J153" s="2391">
        <f>FQ48</f>
        <v>0</v>
      </c>
      <c r="K153" s="2392">
        <f>FR48</f>
        <v>0</v>
      </c>
      <c r="L153" s="2392">
        <f>FS48</f>
        <v>0</v>
      </c>
      <c r="M153" s="2392">
        <f>FT48</f>
        <v>0</v>
      </c>
      <c r="N153" s="2393">
        <f>FU48</f>
        <v>0</v>
      </c>
      <c r="O153" s="2295">
        <f>SUM(J153:N153)</f>
        <v>0</v>
      </c>
      <c r="P153" s="2604" t="str">
        <f>IF(OR(O64=0,O64=""),"",O153/O64)</f>
        <v/>
      </c>
      <c r="R153" s="3505"/>
      <c r="S153" s="3506"/>
      <c r="T153" s="3506"/>
      <c r="U153" s="3506"/>
      <c r="V153" s="3507"/>
      <c r="W153" s="514"/>
      <c r="Z153" s="1631"/>
      <c r="AA153" s="1631"/>
      <c r="AB153" s="514"/>
      <c r="AE153" s="1631"/>
      <c r="AF153" s="1631"/>
      <c r="AG153" s="514"/>
      <c r="AJ153" s="1631"/>
      <c r="AK153" s="1631"/>
      <c r="AL153" s="514"/>
      <c r="AO153" s="1631"/>
      <c r="AP153" s="1631"/>
      <c r="AQ153" s="522"/>
      <c r="AR153" s="522"/>
      <c r="AS153" s="522"/>
      <c r="AT153" s="522"/>
      <c r="AU153" s="522"/>
      <c r="AV153" s="522"/>
      <c r="AW153" s="742"/>
      <c r="AX153" s="514"/>
      <c r="BA153" s="522"/>
      <c r="BB153" s="742"/>
      <c r="BC153" s="514"/>
      <c r="LN153" s="520"/>
      <c r="MC153" s="512"/>
    </row>
    <row r="154" spans="1:492" ht="14.25" customHeight="1">
      <c r="C154" s="5" t="s">
        <v>1138</v>
      </c>
      <c r="D154" s="1"/>
      <c r="E154" s="1"/>
      <c r="F154" s="1"/>
      <c r="G154" s="1"/>
      <c r="H154" s="84"/>
      <c r="I154" s="84"/>
      <c r="J154" s="2296">
        <f>SUM(J152:J153)</f>
        <v>0</v>
      </c>
      <c r="K154" s="2296">
        <f>SUM(K152:K153)</f>
        <v>9440</v>
      </c>
      <c r="L154" s="2296">
        <f>SUM(L152:L153)</f>
        <v>54936</v>
      </c>
      <c r="M154" s="2296">
        <f>SUM(M152:M153)</f>
        <v>9848</v>
      </c>
      <c r="N154" s="2296">
        <f>SUM(N152:N153)</f>
        <v>11480</v>
      </c>
      <c r="O154" s="2296">
        <f>SUM(J154:N154)</f>
        <v>85704</v>
      </c>
      <c r="R154" s="3505"/>
      <c r="S154" s="3506"/>
      <c r="T154" s="3506"/>
      <c r="U154" s="3506"/>
      <c r="V154" s="3507"/>
      <c r="W154" s="1631"/>
      <c r="Z154" s="1631"/>
      <c r="AA154" s="1631"/>
      <c r="AB154" s="1631"/>
      <c r="AE154" s="1631"/>
      <c r="AF154" s="1631"/>
      <c r="AG154" s="1631"/>
      <c r="AJ154" s="1631"/>
      <c r="AK154" s="1631"/>
      <c r="AL154" s="1631"/>
      <c r="AO154" s="1631"/>
      <c r="AP154" s="1631"/>
      <c r="AQ154" s="522"/>
      <c r="AR154" s="522"/>
      <c r="AS154" s="522"/>
      <c r="AT154" s="522"/>
      <c r="AU154" s="522"/>
      <c r="AV154" s="522"/>
      <c r="AW154" s="742"/>
      <c r="AX154" s="514"/>
      <c r="BA154" s="522"/>
      <c r="BB154" s="742"/>
      <c r="BC154" s="514"/>
      <c r="LN154" s="520"/>
      <c r="MC154" s="512"/>
    </row>
    <row r="155" spans="1:492" ht="14.25" customHeight="1">
      <c r="C155" s="5" t="s">
        <v>2511</v>
      </c>
      <c r="D155" s="1"/>
      <c r="E155" s="1"/>
      <c r="F155" s="1"/>
      <c r="G155" s="1"/>
      <c r="H155" s="84"/>
      <c r="I155" s="84"/>
      <c r="J155" s="2391">
        <f>GA48</f>
        <v>0</v>
      </c>
      <c r="K155" s="2392">
        <f>GB48</f>
        <v>0</v>
      </c>
      <c r="L155" s="2392">
        <f>GC48</f>
        <v>0</v>
      </c>
      <c r="M155" s="2392">
        <f>GD48</f>
        <v>0</v>
      </c>
      <c r="N155" s="2393">
        <f>GE48</f>
        <v>0</v>
      </c>
      <c r="O155" s="2295">
        <f>SUM(J155:N155)</f>
        <v>0</v>
      </c>
      <c r="P155" s="2604" t="str">
        <f>IF(OR(O66=0,O66=""),"",O155/O66)</f>
        <v/>
      </c>
      <c r="R155" s="3505"/>
      <c r="S155" s="3506"/>
      <c r="T155" s="3506"/>
      <c r="U155" s="3506"/>
      <c r="V155" s="3507"/>
      <c r="W155" s="1631"/>
      <c r="Z155" s="1631"/>
      <c r="AA155" s="1631"/>
      <c r="AB155" s="1631"/>
      <c r="AE155" s="1631"/>
      <c r="AF155" s="1631"/>
      <c r="AG155" s="1631"/>
      <c r="AJ155" s="1631"/>
      <c r="AK155" s="1631"/>
      <c r="AL155" s="1631"/>
      <c r="AO155" s="1631"/>
      <c r="AP155" s="1631"/>
      <c r="AQ155" s="522"/>
      <c r="AR155" s="522"/>
      <c r="AS155" s="522"/>
      <c r="AT155" s="522"/>
      <c r="AU155" s="522"/>
      <c r="AV155" s="522"/>
      <c r="AW155" s="742"/>
      <c r="AX155" s="514"/>
      <c r="BA155" s="522"/>
      <c r="BB155" s="742"/>
      <c r="BC155" s="514"/>
      <c r="LN155" s="520"/>
      <c r="MC155" s="512"/>
    </row>
    <row r="156" spans="1:492" ht="14.25" customHeight="1">
      <c r="C156" s="5" t="s">
        <v>539</v>
      </c>
      <c r="D156" s="1"/>
      <c r="E156" s="1"/>
      <c r="F156" s="1"/>
      <c r="G156" s="1"/>
      <c r="H156" s="84"/>
      <c r="I156" s="84"/>
      <c r="J156" s="2294">
        <f>SUM(J154:J155)</f>
        <v>0</v>
      </c>
      <c r="K156" s="2294">
        <f>SUM(K154:K155)</f>
        <v>9440</v>
      </c>
      <c r="L156" s="2294">
        <f>SUM(L154:L155)</f>
        <v>54936</v>
      </c>
      <c r="M156" s="2294">
        <f>SUM(M154:M155)</f>
        <v>9848</v>
      </c>
      <c r="N156" s="2294">
        <f>SUM(N154:N155)</f>
        <v>11480</v>
      </c>
      <c r="O156" s="2294">
        <f>SUM(J156:N156)</f>
        <v>85704</v>
      </c>
      <c r="R156" s="3509"/>
      <c r="S156" s="3510"/>
      <c r="T156" s="3510"/>
      <c r="U156" s="3510"/>
      <c r="V156" s="3511"/>
      <c r="W156" s="1631"/>
      <c r="Z156" s="1631"/>
      <c r="AA156" s="1631"/>
      <c r="AB156" s="1631"/>
      <c r="AE156" s="1631"/>
      <c r="AF156" s="1631"/>
      <c r="AG156" s="1631"/>
      <c r="AJ156" s="1631"/>
      <c r="AK156" s="1631"/>
      <c r="AL156" s="1631"/>
      <c r="AO156" s="1631"/>
      <c r="AP156" s="1631"/>
      <c r="AQ156" s="522"/>
      <c r="AR156" s="522"/>
      <c r="AS156" s="522"/>
      <c r="AT156" s="522"/>
      <c r="AU156" s="522"/>
      <c r="AV156" s="522"/>
      <c r="AW156" s="742"/>
      <c r="AX156" s="514"/>
      <c r="BA156" s="522"/>
      <c r="BB156" s="742"/>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10"/>
      <c r="JW158" s="514"/>
      <c r="JX158" s="514"/>
      <c r="JY158" s="514"/>
      <c r="JZ158" s="514"/>
      <c r="KA158" s="2710"/>
      <c r="KB158" s="2710"/>
      <c r="KC158" s="2710"/>
      <c r="KD158" s="2710"/>
      <c r="KE158" s="2710"/>
      <c r="KF158" s="2710"/>
      <c r="KG158" s="2710"/>
      <c r="KH158" s="2710"/>
      <c r="KI158" s="2710"/>
      <c r="KJ158" s="2710"/>
      <c r="KK158" s="2710"/>
      <c r="KL158" s="2710"/>
      <c r="KM158" s="2710"/>
      <c r="KN158" s="2710"/>
      <c r="KO158" s="2710"/>
      <c r="KP158" s="2710"/>
      <c r="KQ158" s="2710"/>
      <c r="KR158" s="2710"/>
      <c r="KS158" s="2710"/>
      <c r="KT158" s="2710"/>
      <c r="KU158" s="2710"/>
      <c r="KV158" s="2710"/>
      <c r="KW158" s="2710"/>
      <c r="KX158" s="2710"/>
      <c r="KY158" s="2710"/>
      <c r="KZ158" s="2710"/>
      <c r="LA158" s="2710"/>
      <c r="LB158" s="2710"/>
      <c r="LC158" s="2710"/>
      <c r="LD158" s="2710"/>
      <c r="LE158" s="2710"/>
      <c r="LF158" s="2710"/>
      <c r="LG158" s="514"/>
      <c r="LH158" s="514"/>
      <c r="LI158" s="514"/>
      <c r="LJ158" s="514"/>
      <c r="LK158" s="514"/>
      <c r="LL158" s="514"/>
      <c r="LM158" s="2711"/>
      <c r="LN158" s="514"/>
      <c r="LO158" s="514"/>
      <c r="LP158" s="514"/>
      <c r="LQ158" s="514"/>
      <c r="LR158" s="514"/>
      <c r="LS158" s="514"/>
      <c r="LT158" s="514"/>
      <c r="LU158" s="514"/>
      <c r="LV158" s="514"/>
      <c r="LW158" s="514"/>
      <c r="LX158" s="514"/>
      <c r="LY158" s="514"/>
      <c r="LZ158" s="514"/>
      <c r="MA158" s="514"/>
      <c r="MB158" s="514"/>
      <c r="MC158" s="2711"/>
      <c r="MD158" s="2711"/>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5035</v>
      </c>
      <c r="D159" s="1"/>
      <c r="E159" s="1"/>
      <c r="F159" s="1"/>
      <c r="G159" s="1"/>
      <c r="H159" s="1"/>
      <c r="I159" s="1"/>
      <c r="J159" s="2603" t="str">
        <f>IF(OR(J67="",J67=0),"",J156/J67)</f>
        <v/>
      </c>
      <c r="K159" s="2603">
        <f>IF(OR(K67="",K67=0),"",K156/K67)</f>
        <v>786.66666666666663</v>
      </c>
      <c r="L159" s="2603">
        <f>IF(OR(L67="",L67=0),"",L156/L67)</f>
        <v>981</v>
      </c>
      <c r="M159" s="2603">
        <f>IF(OR(M67="",M67=0),"",M156/M67)</f>
        <v>1231</v>
      </c>
      <c r="N159" s="2603">
        <f>IF(OR(N67="",N67=0),"",N156/N67)</f>
        <v>1435</v>
      </c>
      <c r="O159" s="2603"/>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10"/>
      <c r="JW159" s="514"/>
      <c r="JX159" s="514"/>
      <c r="JY159" s="514"/>
      <c r="JZ159" s="514"/>
      <c r="KA159" s="2710"/>
      <c r="KB159" s="2710"/>
      <c r="KC159" s="2710"/>
      <c r="KD159" s="2710"/>
      <c r="KE159" s="2710"/>
      <c r="KF159" s="2710"/>
      <c r="KG159" s="2710"/>
      <c r="KH159" s="2710"/>
      <c r="KI159" s="2710"/>
      <c r="KJ159" s="2710"/>
      <c r="KK159" s="2710"/>
      <c r="KL159" s="2710"/>
      <c r="KM159" s="2710"/>
      <c r="KN159" s="2710"/>
      <c r="KO159" s="2710"/>
      <c r="KP159" s="2710"/>
      <c r="KQ159" s="2710"/>
      <c r="KR159" s="2710"/>
      <c r="KS159" s="2710"/>
      <c r="KT159" s="2710"/>
      <c r="KU159" s="2710"/>
      <c r="KV159" s="2710"/>
      <c r="KW159" s="2710"/>
      <c r="KX159" s="2710"/>
      <c r="KY159" s="2710"/>
      <c r="KZ159" s="2710"/>
      <c r="LA159" s="2710"/>
      <c r="LB159" s="2710"/>
      <c r="LC159" s="2710"/>
      <c r="LD159" s="2710"/>
      <c r="LE159" s="2710"/>
      <c r="LF159" s="2710"/>
      <c r="LG159" s="514"/>
      <c r="LH159" s="514"/>
      <c r="LI159" s="514"/>
      <c r="LJ159" s="514"/>
      <c r="LK159" s="514"/>
      <c r="LL159" s="514"/>
      <c r="LM159" s="2711"/>
      <c r="LN159" s="514"/>
      <c r="LO159" s="514"/>
      <c r="LP159" s="514"/>
      <c r="LQ159" s="514"/>
      <c r="LR159" s="514"/>
      <c r="LS159" s="514"/>
      <c r="LT159" s="514"/>
      <c r="LU159" s="514"/>
      <c r="LV159" s="514"/>
      <c r="LW159" s="514"/>
      <c r="LX159" s="514"/>
      <c r="LY159" s="514"/>
      <c r="LZ159" s="514"/>
      <c r="MA159" s="514"/>
      <c r="MB159" s="514"/>
      <c r="MC159" s="2711"/>
      <c r="MD159" s="2711"/>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10"/>
      <c r="JW160" s="514"/>
      <c r="JX160" s="514"/>
      <c r="JY160" s="514"/>
      <c r="JZ160" s="514"/>
      <c r="KA160" s="2710"/>
      <c r="KB160" s="2710"/>
      <c r="KC160" s="2710"/>
      <c r="KD160" s="2710"/>
      <c r="KE160" s="2710"/>
      <c r="KF160" s="2710"/>
      <c r="KG160" s="2710"/>
      <c r="KH160" s="2710"/>
      <c r="KI160" s="2710"/>
      <c r="KJ160" s="2710"/>
      <c r="KK160" s="2710"/>
      <c r="KL160" s="2710"/>
      <c r="KM160" s="2710"/>
      <c r="KN160" s="2710"/>
      <c r="KO160" s="2710"/>
      <c r="KP160" s="2710"/>
      <c r="KQ160" s="2710"/>
      <c r="KR160" s="2710"/>
      <c r="KS160" s="2710"/>
      <c r="KT160" s="2710"/>
      <c r="KU160" s="2710"/>
      <c r="KV160" s="2710"/>
      <c r="KW160" s="2710"/>
      <c r="KX160" s="2710"/>
      <c r="KY160" s="2710"/>
      <c r="KZ160" s="2710"/>
      <c r="LA160" s="2710"/>
      <c r="LB160" s="2710"/>
      <c r="LC160" s="2710"/>
      <c r="LD160" s="2710"/>
      <c r="LE160" s="2710"/>
      <c r="LF160" s="2710"/>
      <c r="LG160" s="514"/>
      <c r="LH160" s="514"/>
      <c r="LI160" s="514"/>
      <c r="LJ160" s="514"/>
      <c r="LK160" s="514"/>
      <c r="LL160" s="514"/>
      <c r="LM160" s="2711"/>
      <c r="LN160" s="514"/>
      <c r="LO160" s="514"/>
      <c r="LP160" s="514"/>
      <c r="LQ160" s="514"/>
      <c r="LR160" s="514"/>
      <c r="LS160" s="514"/>
      <c r="LT160" s="514"/>
      <c r="LU160" s="514"/>
      <c r="LV160" s="514"/>
      <c r="LW160" s="514"/>
      <c r="LX160" s="514"/>
      <c r="LY160" s="514"/>
      <c r="LZ160" s="514"/>
      <c r="MA160" s="514"/>
      <c r="MB160" s="514"/>
      <c r="MC160" s="2711"/>
      <c r="MD160" s="2711"/>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10"/>
      <c r="JW161" s="514"/>
      <c r="JX161" s="514"/>
      <c r="JY161" s="514"/>
      <c r="JZ161" s="514"/>
      <c r="KA161" s="2710"/>
      <c r="KB161" s="2710"/>
      <c r="KC161" s="2710"/>
      <c r="KD161" s="2710"/>
      <c r="KE161" s="2710"/>
      <c r="KF161" s="2710"/>
      <c r="KG161" s="2710"/>
      <c r="KH161" s="2710"/>
      <c r="KI161" s="2710"/>
      <c r="KJ161" s="2710"/>
      <c r="KK161" s="2710"/>
      <c r="KL161" s="2710"/>
      <c r="KM161" s="2710"/>
      <c r="KN161" s="2710"/>
      <c r="KO161" s="2710"/>
      <c r="KP161" s="2710"/>
      <c r="KQ161" s="2710"/>
      <c r="KR161" s="2710"/>
      <c r="KS161" s="2710"/>
      <c r="KT161" s="2710"/>
      <c r="KU161" s="2710"/>
      <c r="KV161" s="2710"/>
      <c r="KW161" s="2710"/>
      <c r="KX161" s="2710"/>
      <c r="KY161" s="2710"/>
      <c r="KZ161" s="2710"/>
      <c r="LA161" s="2710"/>
      <c r="LB161" s="2710"/>
      <c r="LC161" s="2710"/>
      <c r="LD161" s="2710"/>
      <c r="LE161" s="2710"/>
      <c r="LF161" s="2710"/>
      <c r="LG161" s="514"/>
      <c r="LH161" s="514"/>
      <c r="LI161" s="514"/>
      <c r="LJ161" s="514"/>
      <c r="LK161" s="514"/>
      <c r="LL161" s="514"/>
      <c r="LM161" s="2711"/>
      <c r="LN161" s="514"/>
      <c r="LO161" s="514"/>
      <c r="LP161" s="514"/>
      <c r="LQ161" s="514"/>
      <c r="LR161" s="514"/>
      <c r="LS161" s="514"/>
      <c r="LT161" s="514"/>
      <c r="LU161" s="514"/>
      <c r="LV161" s="514"/>
      <c r="LW161" s="514"/>
      <c r="LX161" s="514"/>
      <c r="LY161" s="514"/>
      <c r="LZ161" s="514"/>
      <c r="MA161" s="514"/>
      <c r="MB161" s="514"/>
      <c r="MC161" s="2711"/>
      <c r="MD161" s="2711"/>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10"/>
      <c r="JW162" s="514"/>
      <c r="JX162" s="514"/>
      <c r="JY162" s="514"/>
      <c r="JZ162" s="514"/>
      <c r="KA162" s="2710"/>
      <c r="KB162" s="2710"/>
      <c r="KC162" s="2710"/>
      <c r="KD162" s="2710"/>
      <c r="KE162" s="2710"/>
      <c r="KF162" s="2710"/>
      <c r="KG162" s="2710"/>
      <c r="KH162" s="2710"/>
      <c r="KI162" s="2710"/>
      <c r="KJ162" s="2710"/>
      <c r="KK162" s="2710"/>
      <c r="KL162" s="2710"/>
      <c r="KM162" s="2710"/>
      <c r="KN162" s="2710"/>
      <c r="KO162" s="2710"/>
      <c r="KP162" s="2710"/>
      <c r="KQ162" s="2710"/>
      <c r="KR162" s="2710"/>
      <c r="KS162" s="2710"/>
      <c r="KT162" s="2710"/>
      <c r="KU162" s="2710"/>
      <c r="KV162" s="2710"/>
      <c r="KW162" s="2710"/>
      <c r="KX162" s="2710"/>
      <c r="KY162" s="2710"/>
      <c r="KZ162" s="2710"/>
      <c r="LA162" s="2710"/>
      <c r="LB162" s="2710"/>
      <c r="LC162" s="2710"/>
      <c r="LD162" s="2710"/>
      <c r="LE162" s="2710"/>
      <c r="LF162" s="2710"/>
      <c r="LG162" s="514"/>
      <c r="LH162" s="514"/>
      <c r="LI162" s="514"/>
      <c r="LJ162" s="514"/>
      <c r="LK162" s="514"/>
      <c r="LL162" s="514"/>
      <c r="LM162" s="2711"/>
      <c r="LN162" s="514"/>
      <c r="LO162" s="514"/>
      <c r="LP162" s="514"/>
      <c r="LQ162" s="514"/>
      <c r="LR162" s="514"/>
      <c r="LS162" s="514"/>
      <c r="LT162" s="514"/>
      <c r="LU162" s="514"/>
      <c r="LV162" s="514"/>
      <c r="LW162" s="514"/>
      <c r="LX162" s="514"/>
      <c r="LY162" s="514"/>
      <c r="LZ162" s="514"/>
      <c r="MA162" s="514"/>
      <c r="MB162" s="514"/>
      <c r="MC162" s="2711"/>
      <c r="MD162" s="2711"/>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96"/>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10"/>
      <c r="JW163" s="514"/>
      <c r="JX163" s="514"/>
      <c r="JY163" s="514"/>
      <c r="JZ163" s="514"/>
      <c r="KA163" s="2710"/>
      <c r="KB163" s="2710"/>
      <c r="KC163" s="2710"/>
      <c r="KD163" s="2710"/>
      <c r="KE163" s="2710"/>
      <c r="KF163" s="2710"/>
      <c r="KG163" s="2710"/>
      <c r="KH163" s="2710"/>
      <c r="KI163" s="2710"/>
      <c r="KJ163" s="2710"/>
      <c r="KK163" s="2710"/>
      <c r="KL163" s="2710"/>
      <c r="KM163" s="2710"/>
      <c r="KN163" s="2710"/>
      <c r="KO163" s="2710"/>
      <c r="KP163" s="2710"/>
      <c r="KQ163" s="2710"/>
      <c r="KR163" s="2710"/>
      <c r="KS163" s="2710"/>
      <c r="KT163" s="2710"/>
      <c r="KU163" s="2710"/>
      <c r="KV163" s="2710"/>
      <c r="KW163" s="2710"/>
      <c r="KX163" s="2710"/>
      <c r="KY163" s="2710"/>
      <c r="KZ163" s="2710"/>
      <c r="LA163" s="2710"/>
      <c r="LB163" s="2710"/>
      <c r="LC163" s="2710"/>
      <c r="LD163" s="2710"/>
      <c r="LE163" s="2710"/>
      <c r="LF163" s="2710"/>
      <c r="LG163" s="514"/>
      <c r="LH163" s="514"/>
      <c r="LI163" s="514"/>
      <c r="LJ163" s="514"/>
      <c r="LK163" s="514"/>
      <c r="LL163" s="514"/>
      <c r="LM163" s="2711"/>
      <c r="LN163" s="514"/>
      <c r="LO163" s="514"/>
      <c r="LP163" s="514"/>
      <c r="LQ163" s="514"/>
      <c r="LR163" s="514"/>
      <c r="LS163" s="514"/>
      <c r="LT163" s="514"/>
      <c r="LU163" s="514"/>
      <c r="LV163" s="514"/>
      <c r="LW163" s="514"/>
      <c r="LX163" s="514"/>
      <c r="LY163" s="514"/>
      <c r="LZ163" s="514"/>
      <c r="MA163" s="514"/>
      <c r="MB163" s="514"/>
      <c r="MC163" s="2711"/>
      <c r="MD163" s="2711"/>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10"/>
      <c r="JW164" s="514"/>
      <c r="JX164" s="514"/>
      <c r="JY164" s="514"/>
      <c r="JZ164" s="514"/>
      <c r="KA164" s="2710"/>
      <c r="KB164" s="2710"/>
      <c r="KC164" s="2710"/>
      <c r="KD164" s="2710"/>
      <c r="KE164" s="2710"/>
      <c r="KF164" s="2710"/>
      <c r="KG164" s="2710"/>
      <c r="KH164" s="2710"/>
      <c r="KI164" s="2710"/>
      <c r="KJ164" s="2710"/>
      <c r="KK164" s="2710"/>
      <c r="KL164" s="2710"/>
      <c r="KM164" s="2710"/>
      <c r="KN164" s="2710"/>
      <c r="KO164" s="2710"/>
      <c r="KP164" s="2710"/>
      <c r="KQ164" s="2710"/>
      <c r="KR164" s="2710"/>
      <c r="KS164" s="2710"/>
      <c r="KT164" s="2710"/>
      <c r="KU164" s="2710"/>
      <c r="KV164" s="2710"/>
      <c r="KW164" s="2710"/>
      <c r="KX164" s="2710"/>
      <c r="KY164" s="2710"/>
      <c r="KZ164" s="2710"/>
      <c r="LA164" s="2710"/>
      <c r="LB164" s="2710"/>
      <c r="LC164" s="2710"/>
      <c r="LD164" s="2710"/>
      <c r="LE164" s="2710"/>
      <c r="LF164" s="2710"/>
      <c r="LG164" s="514"/>
      <c r="LH164" s="514"/>
      <c r="LI164" s="514"/>
      <c r="LJ164" s="514"/>
      <c r="LK164" s="514"/>
      <c r="LL164" s="514"/>
      <c r="LM164" s="2711"/>
      <c r="LN164" s="514"/>
      <c r="LO164" s="514"/>
      <c r="LP164" s="514"/>
      <c r="LQ164" s="514"/>
      <c r="LR164" s="514"/>
      <c r="LS164" s="514"/>
      <c r="LT164" s="514"/>
      <c r="LU164" s="514"/>
      <c r="LV164" s="514"/>
      <c r="LW164" s="514"/>
      <c r="LX164" s="514"/>
      <c r="LY164" s="514"/>
      <c r="LZ164" s="514"/>
      <c r="MA164" s="514"/>
      <c r="MB164" s="514"/>
      <c r="MC164" s="2711"/>
      <c r="MD164" s="2711"/>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10"/>
      <c r="JW169" s="514"/>
      <c r="JX169" s="514"/>
      <c r="JY169" s="514"/>
      <c r="JZ169" s="514"/>
      <c r="KA169" s="2710"/>
      <c r="KB169" s="2710"/>
      <c r="KC169" s="2710"/>
      <c r="KD169" s="2710"/>
      <c r="KE169" s="2710"/>
      <c r="KF169" s="2710"/>
      <c r="KG169" s="2710"/>
      <c r="KH169" s="2710"/>
      <c r="KI169" s="2710"/>
      <c r="KJ169" s="2710"/>
      <c r="KK169" s="2710"/>
      <c r="KL169" s="2710"/>
      <c r="KM169" s="2710"/>
      <c r="KN169" s="2710"/>
      <c r="KO169" s="2710"/>
      <c r="KP169" s="2710"/>
      <c r="KQ169" s="2710"/>
      <c r="KR169" s="2710"/>
      <c r="KS169" s="2710"/>
      <c r="KT169" s="2710"/>
      <c r="KU169" s="2710"/>
      <c r="KV169" s="2710"/>
      <c r="KW169" s="2710"/>
      <c r="KX169" s="2710"/>
      <c r="KY169" s="2710"/>
      <c r="KZ169" s="2710"/>
      <c r="LA169" s="2710"/>
      <c r="LB169" s="2710"/>
      <c r="LC169" s="2710"/>
      <c r="LD169" s="2710"/>
      <c r="LE169" s="2710"/>
      <c r="LF169" s="2710"/>
      <c r="LG169" s="514"/>
      <c r="LH169" s="514"/>
      <c r="LI169" s="514"/>
      <c r="LJ169" s="514"/>
      <c r="LK169" s="514"/>
      <c r="LL169" s="514"/>
      <c r="LM169" s="2711"/>
      <c r="LN169" s="514"/>
      <c r="LO169" s="514"/>
      <c r="LP169" s="514"/>
      <c r="LQ169" s="514"/>
      <c r="LR169" s="514"/>
      <c r="LS169" s="514"/>
      <c r="LT169" s="514"/>
      <c r="LU169" s="514"/>
      <c r="LV169" s="514"/>
      <c r="LW169" s="514"/>
      <c r="LX169" s="514"/>
      <c r="LY169" s="514"/>
      <c r="LZ169" s="514"/>
      <c r="MA169" s="514"/>
      <c r="MB169" s="514"/>
      <c r="MC169" s="2711"/>
      <c r="MD169" s="2711"/>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10"/>
      <c r="JW170" s="514"/>
      <c r="JX170" s="514"/>
      <c r="JY170" s="514"/>
      <c r="JZ170" s="514"/>
      <c r="KA170" s="2710"/>
      <c r="KB170" s="2710"/>
      <c r="KC170" s="2710"/>
      <c r="KD170" s="2710"/>
      <c r="KE170" s="2710"/>
      <c r="KF170" s="2710"/>
      <c r="KG170" s="2710"/>
      <c r="KH170" s="2710"/>
      <c r="KI170" s="2710"/>
      <c r="KJ170" s="2710"/>
      <c r="KK170" s="2710"/>
      <c r="KL170" s="2710"/>
      <c r="KM170" s="2710"/>
      <c r="KN170" s="2710"/>
      <c r="KO170" s="2710"/>
      <c r="KP170" s="2710"/>
      <c r="KQ170" s="2710"/>
      <c r="KR170" s="2710"/>
      <c r="KS170" s="2710"/>
      <c r="KT170" s="2710"/>
      <c r="KU170" s="2710"/>
      <c r="KV170" s="2710"/>
      <c r="KW170" s="2710"/>
      <c r="KX170" s="2710"/>
      <c r="KY170" s="2710"/>
      <c r="KZ170" s="2710"/>
      <c r="LA170" s="2710"/>
      <c r="LB170" s="2710"/>
      <c r="LC170" s="2710"/>
      <c r="LD170" s="2710"/>
      <c r="LE170" s="2710"/>
      <c r="LF170" s="2710"/>
      <c r="LG170" s="514"/>
      <c r="LH170" s="514"/>
      <c r="LI170" s="514"/>
      <c r="LJ170" s="514"/>
      <c r="LK170" s="514"/>
      <c r="LL170" s="514"/>
      <c r="LM170" s="2711"/>
      <c r="LN170" s="514"/>
      <c r="LO170" s="514"/>
      <c r="LP170" s="514"/>
      <c r="LQ170" s="514"/>
      <c r="LR170" s="514"/>
      <c r="LS170" s="514"/>
      <c r="LT170" s="514"/>
      <c r="LU170" s="514"/>
      <c r="LV170" s="514"/>
      <c r="LW170" s="514"/>
      <c r="LX170" s="514"/>
      <c r="LY170" s="514"/>
      <c r="LZ170" s="514"/>
      <c r="MA170" s="514"/>
      <c r="MB170" s="514"/>
      <c r="MC170" s="2711"/>
      <c r="MD170" s="2711"/>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1845</v>
      </c>
      <c r="T171" s="467"/>
      <c r="JV171" s="512"/>
      <c r="KA171" s="512"/>
      <c r="LG171" s="517"/>
      <c r="LM171" s="512"/>
      <c r="LN171" s="520"/>
      <c r="MC171" s="512"/>
      <c r="ME171" s="520"/>
    </row>
    <row r="172" spans="1:492" ht="2.25" customHeight="1">
      <c r="P172" s="467"/>
      <c r="Q172" s="467"/>
    </row>
    <row r="173" spans="1:492" ht="11.25" customHeight="1">
      <c r="B173" s="1050" t="s">
        <v>1016</v>
      </c>
      <c r="C173" s="91"/>
      <c r="D173" s="114"/>
      <c r="E173" s="91"/>
      <c r="F173" s="91"/>
      <c r="G173" s="91"/>
      <c r="H173" s="3558">
        <f>'Part VII-Pro Forma'!B9*L49</f>
        <v>18681.600000000002</v>
      </c>
      <c r="I173" s="3559"/>
      <c r="J173" s="91"/>
      <c r="K173" s="554" t="s">
        <v>2742</v>
      </c>
      <c r="L173" s="91"/>
      <c r="M173" s="91"/>
      <c r="N173" s="91"/>
      <c r="O173" s="1051">
        <f>H173/L49</f>
        <v>2.0000000000000004E-2</v>
      </c>
      <c r="P173" s="435"/>
      <c r="Q173" s="435"/>
      <c r="R173" s="4" t="str">
        <f>B173</f>
        <v>Ancillary Income</v>
      </c>
    </row>
    <row r="174" spans="1:492" ht="2.25" customHeight="1">
      <c r="B174" s="1050"/>
      <c r="C174" s="91"/>
      <c r="D174" s="114"/>
      <c r="E174" s="1052"/>
      <c r="F174" s="91"/>
      <c r="G174" s="91"/>
      <c r="H174" s="91"/>
      <c r="I174" s="111"/>
      <c r="J174" s="91"/>
      <c r="K174" s="91"/>
      <c r="L174" s="91"/>
      <c r="M174" s="91"/>
      <c r="N174" s="91"/>
      <c r="O174" s="91"/>
      <c r="P174" s="435"/>
      <c r="Q174" s="435"/>
    </row>
    <row r="175" spans="1:492" ht="11.25" customHeight="1">
      <c r="B175" s="1050" t="s">
        <v>1445</v>
      </c>
      <c r="C175" s="91"/>
      <c r="D175" s="91"/>
      <c r="E175" s="91"/>
      <c r="F175" s="91"/>
      <c r="G175" s="91"/>
      <c r="H175" s="91"/>
      <c r="I175" s="1050"/>
      <c r="J175" s="91"/>
      <c r="K175" s="1053"/>
      <c r="L175" s="91"/>
      <c r="M175" s="91"/>
      <c r="N175" s="91"/>
      <c r="O175" s="91"/>
      <c r="P175" s="115"/>
      <c r="R175" s="1419" t="str">
        <f>B175</f>
        <v>Other Income (OI) by Year:</v>
      </c>
    </row>
    <row r="176" spans="1:492" ht="11.25" customHeight="1">
      <c r="B176" s="1054" t="s">
        <v>2286</v>
      </c>
      <c r="C176" s="91"/>
      <c r="D176" s="91"/>
      <c r="E176" s="91"/>
      <c r="F176" s="91"/>
      <c r="G176" s="1055">
        <v>1</v>
      </c>
      <c r="H176" s="1055">
        <v>2</v>
      </c>
      <c r="I176" s="1055">
        <v>3</v>
      </c>
      <c r="J176" s="1055">
        <v>4</v>
      </c>
      <c r="K176" s="1056">
        <v>5</v>
      </c>
      <c r="L176" s="1055">
        <v>6</v>
      </c>
      <c r="M176" s="1055">
        <v>7</v>
      </c>
      <c r="N176" s="1055">
        <v>8</v>
      </c>
      <c r="O176" s="1055">
        <v>9</v>
      </c>
      <c r="P176" s="1055">
        <v>10</v>
      </c>
      <c r="Q176" s="728"/>
      <c r="R176" s="96" t="str">
        <f>B176</f>
        <v>Included in Mgt Fee:</v>
      </c>
    </row>
    <row r="177" spans="2:22" ht="13.5" customHeight="1">
      <c r="B177" s="114" t="s">
        <v>1017</v>
      </c>
      <c r="C177" s="114"/>
      <c r="D177" s="114"/>
      <c r="E177" s="114"/>
      <c r="F177" s="114"/>
      <c r="G177" s="1057"/>
      <c r="H177" s="1057"/>
      <c r="I177" s="1057"/>
      <c r="J177" s="1057"/>
      <c r="K177" s="1057"/>
      <c r="L177" s="1057"/>
      <c r="M177" s="1057"/>
      <c r="N177" s="1057"/>
      <c r="O177" s="1057"/>
      <c r="P177" s="1057"/>
      <c r="Q177" s="998"/>
      <c r="R177" s="3500"/>
      <c r="S177" s="3501"/>
      <c r="T177" s="3501"/>
      <c r="U177" s="3501"/>
      <c r="V177" s="3502"/>
    </row>
    <row r="178" spans="2:22" ht="13.5" customHeight="1">
      <c r="B178" s="114" t="s">
        <v>741</v>
      </c>
      <c r="C178" s="3551"/>
      <c r="D178" s="3552"/>
      <c r="E178" s="3552"/>
      <c r="F178" s="3553"/>
      <c r="G178" s="1059"/>
      <c r="H178" s="1059"/>
      <c r="I178" s="1059"/>
      <c r="J178" s="1059"/>
      <c r="K178" s="1060"/>
      <c r="L178" s="1059"/>
      <c r="M178" s="1059"/>
      <c r="N178" s="1059"/>
      <c r="O178" s="1059"/>
      <c r="P178" s="1059"/>
      <c r="Q178" s="998"/>
      <c r="R178" s="3505"/>
      <c r="S178" s="3506"/>
      <c r="T178" s="3506"/>
      <c r="U178" s="3506"/>
      <c r="V178" s="3507"/>
    </row>
    <row r="179" spans="2:22" ht="13.5" customHeight="1">
      <c r="B179" s="114"/>
      <c r="C179" s="114" t="s">
        <v>928</v>
      </c>
      <c r="D179" s="114"/>
      <c r="E179" s="114"/>
      <c r="F179" s="114"/>
      <c r="G179" s="1061">
        <f t="shared" ref="G179:P179" si="368">SUM(G177:G178)</f>
        <v>0</v>
      </c>
      <c r="H179" s="1061">
        <f t="shared" si="368"/>
        <v>0</v>
      </c>
      <c r="I179" s="1061">
        <f t="shared" si="368"/>
        <v>0</v>
      </c>
      <c r="J179" s="1061">
        <f t="shared" si="368"/>
        <v>0</v>
      </c>
      <c r="K179" s="1061">
        <f t="shared" si="368"/>
        <v>0</v>
      </c>
      <c r="L179" s="1061">
        <f t="shared" si="368"/>
        <v>0</v>
      </c>
      <c r="M179" s="1061">
        <f t="shared" si="368"/>
        <v>0</v>
      </c>
      <c r="N179" s="1061">
        <f t="shared" si="368"/>
        <v>0</v>
      </c>
      <c r="O179" s="1061">
        <f t="shared" si="368"/>
        <v>0</v>
      </c>
      <c r="P179" s="1061">
        <f t="shared" si="368"/>
        <v>0</v>
      </c>
      <c r="Q179" s="122"/>
      <c r="R179" s="3509"/>
      <c r="S179" s="3510"/>
      <c r="T179" s="3510"/>
      <c r="U179" s="3510"/>
      <c r="V179" s="3511"/>
    </row>
    <row r="180" spans="2:22" ht="13.5" customHeight="1">
      <c r="B180" s="1062" t="s">
        <v>3672</v>
      </c>
      <c r="C180" s="91"/>
      <c r="D180" s="91"/>
      <c r="E180" s="91"/>
      <c r="F180" s="91"/>
      <c r="G180" s="1063"/>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7"/>
      <c r="H181" s="1057"/>
      <c r="I181" s="1057"/>
      <c r="J181" s="1057"/>
      <c r="K181" s="1057"/>
      <c r="L181" s="1057"/>
      <c r="M181" s="1057"/>
      <c r="N181" s="1057"/>
      <c r="O181" s="1057"/>
      <c r="P181" s="1057"/>
      <c r="Q181" s="998"/>
      <c r="R181" s="3500"/>
      <c r="S181" s="3501"/>
      <c r="T181" s="3501"/>
      <c r="U181" s="3501"/>
      <c r="V181" s="3502"/>
    </row>
    <row r="182" spans="2:22" ht="13.5" customHeight="1">
      <c r="B182" s="114" t="s">
        <v>741</v>
      </c>
      <c r="C182" s="3551"/>
      <c r="D182" s="3552"/>
      <c r="E182" s="3552"/>
      <c r="F182" s="3553"/>
      <c r="G182" s="1059"/>
      <c r="H182" s="1059"/>
      <c r="I182" s="1059"/>
      <c r="J182" s="1059"/>
      <c r="K182" s="1060"/>
      <c r="L182" s="1059"/>
      <c r="M182" s="1059"/>
      <c r="N182" s="1059"/>
      <c r="O182" s="1059"/>
      <c r="P182" s="1059"/>
      <c r="Q182" s="998"/>
      <c r="R182" s="3505"/>
      <c r="S182" s="3506"/>
      <c r="T182" s="3506"/>
      <c r="U182" s="3506"/>
      <c r="V182" s="3507"/>
    </row>
    <row r="183" spans="2:22" ht="13.5" customHeight="1">
      <c r="B183" s="114"/>
      <c r="C183" s="114" t="s">
        <v>192</v>
      </c>
      <c r="D183" s="114"/>
      <c r="E183" s="114"/>
      <c r="F183" s="114"/>
      <c r="G183" s="1061">
        <f t="shared" ref="G183:P183" si="369">SUM(G181:G182)</f>
        <v>0</v>
      </c>
      <c r="H183" s="1061">
        <f t="shared" si="369"/>
        <v>0</v>
      </c>
      <c r="I183" s="1061">
        <f t="shared" si="369"/>
        <v>0</v>
      </c>
      <c r="J183" s="1061">
        <f t="shared" si="369"/>
        <v>0</v>
      </c>
      <c r="K183" s="1061">
        <f t="shared" si="369"/>
        <v>0</v>
      </c>
      <c r="L183" s="1061">
        <f t="shared" si="369"/>
        <v>0</v>
      </c>
      <c r="M183" s="1061">
        <f t="shared" si="369"/>
        <v>0</v>
      </c>
      <c r="N183" s="1061">
        <f t="shared" si="369"/>
        <v>0</v>
      </c>
      <c r="O183" s="1061">
        <f t="shared" si="369"/>
        <v>0</v>
      </c>
      <c r="P183" s="1061">
        <f t="shared" si="369"/>
        <v>0</v>
      </c>
      <c r="Q183" s="122"/>
      <c r="R183" s="3509"/>
      <c r="S183" s="3510"/>
      <c r="T183" s="3510"/>
      <c r="U183" s="3510"/>
      <c r="V183" s="3511"/>
    </row>
    <row r="184" spans="2:22" ht="13.5" customHeight="1">
      <c r="B184" s="1050"/>
      <c r="C184" s="91"/>
      <c r="D184" s="91"/>
      <c r="E184" s="91"/>
      <c r="F184" s="91"/>
      <c r="G184" s="1063"/>
      <c r="H184" s="91"/>
      <c r="I184" s="91"/>
      <c r="J184" s="91"/>
      <c r="K184" s="91"/>
      <c r="L184" s="91"/>
      <c r="M184" s="91"/>
      <c r="N184" s="91"/>
      <c r="O184" s="91"/>
      <c r="P184" s="91"/>
      <c r="Q184" s="8"/>
    </row>
    <row r="185" spans="2:22" ht="13.5" customHeight="1">
      <c r="B185" s="1054" t="s">
        <v>2286</v>
      </c>
      <c r="C185" s="91"/>
      <c r="D185" s="91"/>
      <c r="E185" s="91"/>
      <c r="F185" s="91"/>
      <c r="G185" s="1055">
        <v>11</v>
      </c>
      <c r="H185" s="1055">
        <v>12</v>
      </c>
      <c r="I185" s="1055">
        <v>13</v>
      </c>
      <c r="J185" s="1055">
        <v>14</v>
      </c>
      <c r="K185" s="1055">
        <v>15</v>
      </c>
      <c r="L185" s="1055">
        <v>16</v>
      </c>
      <c r="M185" s="1055">
        <v>17</v>
      </c>
      <c r="N185" s="1055">
        <v>18</v>
      </c>
      <c r="O185" s="1055">
        <v>19</v>
      </c>
      <c r="P185" s="1055">
        <v>20</v>
      </c>
      <c r="R185" s="142" t="s">
        <v>2622</v>
      </c>
      <c r="S185" s="96" t="str">
        <f>B185</f>
        <v>Included in Mgt Fee:</v>
      </c>
    </row>
    <row r="186" spans="2:22" ht="13.5" customHeight="1">
      <c r="B186" s="114" t="s">
        <v>1017</v>
      </c>
      <c r="C186" s="114"/>
      <c r="D186" s="114"/>
      <c r="E186" s="114"/>
      <c r="F186" s="114"/>
      <c r="G186" s="1057"/>
      <c r="H186" s="1057"/>
      <c r="I186" s="1057"/>
      <c r="J186" s="1057"/>
      <c r="K186" s="1058"/>
      <c r="L186" s="1057"/>
      <c r="M186" s="1057"/>
      <c r="N186" s="1057"/>
      <c r="O186" s="1057"/>
      <c r="P186" s="1057"/>
      <c r="Q186" s="998"/>
      <c r="R186" s="3500"/>
      <c r="S186" s="3501"/>
      <c r="T186" s="3501"/>
      <c r="U186" s="3501"/>
      <c r="V186" s="3502"/>
    </row>
    <row r="187" spans="2:22" ht="13.5" customHeight="1">
      <c r="B187" s="114" t="s">
        <v>741</v>
      </c>
      <c r="C187" s="3551"/>
      <c r="D187" s="3552"/>
      <c r="E187" s="3552"/>
      <c r="F187" s="3553"/>
      <c r="G187" s="1059"/>
      <c r="H187" s="1059"/>
      <c r="I187" s="1059"/>
      <c r="J187" s="1059"/>
      <c r="K187" s="1060"/>
      <c r="L187" s="1059"/>
      <c r="M187" s="1059"/>
      <c r="N187" s="1059"/>
      <c r="O187" s="1059"/>
      <c r="P187" s="1059"/>
      <c r="Q187" s="998"/>
      <c r="R187" s="3505"/>
      <c r="S187" s="3506"/>
      <c r="T187" s="3506"/>
      <c r="U187" s="3506"/>
      <c r="V187" s="3507"/>
    </row>
    <row r="188" spans="2:22" ht="13.5" customHeight="1">
      <c r="B188" s="114"/>
      <c r="C188" s="114" t="s">
        <v>928</v>
      </c>
      <c r="D188" s="114"/>
      <c r="E188" s="114"/>
      <c r="F188" s="114"/>
      <c r="G188" s="1061">
        <f t="shared" ref="G188:P188" si="370">SUM(G186:G187)</f>
        <v>0</v>
      </c>
      <c r="H188" s="1061">
        <f t="shared" si="370"/>
        <v>0</v>
      </c>
      <c r="I188" s="1061">
        <f t="shared" si="370"/>
        <v>0</v>
      </c>
      <c r="J188" s="1061">
        <f t="shared" si="370"/>
        <v>0</v>
      </c>
      <c r="K188" s="1061">
        <f t="shared" si="370"/>
        <v>0</v>
      </c>
      <c r="L188" s="1061">
        <f t="shared" si="370"/>
        <v>0</v>
      </c>
      <c r="M188" s="1061">
        <f t="shared" si="370"/>
        <v>0</v>
      </c>
      <c r="N188" s="1061">
        <f t="shared" si="370"/>
        <v>0</v>
      </c>
      <c r="O188" s="1061">
        <f t="shared" si="370"/>
        <v>0</v>
      </c>
      <c r="P188" s="1061">
        <f t="shared" si="370"/>
        <v>0</v>
      </c>
      <c r="Q188" s="122"/>
      <c r="R188" s="3509"/>
      <c r="S188" s="3510"/>
      <c r="T188" s="3510"/>
      <c r="U188" s="3510"/>
      <c r="V188" s="3511"/>
    </row>
    <row r="189" spans="2:22" ht="13.5" customHeight="1">
      <c r="B189" s="1062" t="s">
        <v>3672</v>
      </c>
      <c r="C189" s="91"/>
      <c r="D189" s="91"/>
      <c r="E189" s="91"/>
      <c r="F189" s="91"/>
      <c r="G189" s="1063"/>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7"/>
      <c r="H190" s="1057"/>
      <c r="I190" s="1057"/>
      <c r="J190" s="1057"/>
      <c r="K190" s="1058"/>
      <c r="L190" s="1057"/>
      <c r="M190" s="1057"/>
      <c r="N190" s="1057"/>
      <c r="O190" s="1057"/>
      <c r="P190" s="1057"/>
      <c r="Q190" s="998"/>
      <c r="R190" s="3500"/>
      <c r="S190" s="3501"/>
      <c r="T190" s="3501"/>
      <c r="U190" s="3501"/>
      <c r="V190" s="3502"/>
    </row>
    <row r="191" spans="2:22" ht="13.5" customHeight="1">
      <c r="B191" s="114" t="s">
        <v>741</v>
      </c>
      <c r="C191" s="3551"/>
      <c r="D191" s="3552"/>
      <c r="E191" s="3552"/>
      <c r="F191" s="3553"/>
      <c r="G191" s="1059"/>
      <c r="H191" s="1059"/>
      <c r="I191" s="1059"/>
      <c r="J191" s="1059"/>
      <c r="K191" s="1060"/>
      <c r="L191" s="1059"/>
      <c r="M191" s="1059"/>
      <c r="N191" s="1059"/>
      <c r="O191" s="1059"/>
      <c r="P191" s="1059"/>
      <c r="Q191" s="998"/>
      <c r="R191" s="3505"/>
      <c r="S191" s="3506"/>
      <c r="T191" s="3506"/>
      <c r="U191" s="3506"/>
      <c r="V191" s="3507"/>
    </row>
    <row r="192" spans="2:22" ht="13.5" customHeight="1">
      <c r="B192" s="114"/>
      <c r="C192" s="114" t="s">
        <v>192</v>
      </c>
      <c r="D192" s="114"/>
      <c r="E192" s="114"/>
      <c r="F192" s="114"/>
      <c r="G192" s="1061">
        <f t="shared" ref="G192:P192" si="371">SUM(G190:G191)</f>
        <v>0</v>
      </c>
      <c r="H192" s="1061">
        <f t="shared" si="371"/>
        <v>0</v>
      </c>
      <c r="I192" s="1061">
        <f t="shared" si="371"/>
        <v>0</v>
      </c>
      <c r="J192" s="1061">
        <f t="shared" si="371"/>
        <v>0</v>
      </c>
      <c r="K192" s="1061">
        <f t="shared" si="371"/>
        <v>0</v>
      </c>
      <c r="L192" s="1061">
        <f t="shared" si="371"/>
        <v>0</v>
      </c>
      <c r="M192" s="1061">
        <f t="shared" si="371"/>
        <v>0</v>
      </c>
      <c r="N192" s="1061">
        <f t="shared" si="371"/>
        <v>0</v>
      </c>
      <c r="O192" s="1061">
        <f t="shared" si="371"/>
        <v>0</v>
      </c>
      <c r="P192" s="1061">
        <f t="shared" si="371"/>
        <v>0</v>
      </c>
      <c r="Q192" s="122"/>
      <c r="R192" s="3509"/>
      <c r="S192" s="3510"/>
      <c r="T192" s="3510"/>
      <c r="U192" s="3510"/>
      <c r="V192" s="3511"/>
    </row>
    <row r="193" spans="2:22" ht="13.5" customHeight="1">
      <c r="B193" s="1050"/>
      <c r="C193" s="91"/>
      <c r="D193" s="91"/>
      <c r="E193" s="91"/>
      <c r="F193" s="91"/>
      <c r="G193" s="1063"/>
      <c r="H193" s="91"/>
      <c r="I193" s="91"/>
      <c r="J193" s="91"/>
      <c r="K193" s="91"/>
      <c r="L193" s="91"/>
      <c r="M193" s="91"/>
      <c r="N193" s="91"/>
      <c r="O193" s="91"/>
      <c r="P193" s="91"/>
      <c r="Q193" s="8"/>
    </row>
    <row r="194" spans="2:22" ht="13.5" customHeight="1">
      <c r="B194" s="1054" t="s">
        <v>2286</v>
      </c>
      <c r="C194" s="91"/>
      <c r="D194" s="91"/>
      <c r="E194" s="91"/>
      <c r="F194" s="91"/>
      <c r="G194" s="1055">
        <v>21</v>
      </c>
      <c r="H194" s="1055">
        <v>22</v>
      </c>
      <c r="I194" s="1055">
        <v>23</v>
      </c>
      <c r="J194" s="1055">
        <v>24</v>
      </c>
      <c r="K194" s="1055">
        <v>25</v>
      </c>
      <c r="L194" s="1055">
        <v>26</v>
      </c>
      <c r="M194" s="1055">
        <v>27</v>
      </c>
      <c r="N194" s="1055">
        <v>28</v>
      </c>
      <c r="O194" s="1055">
        <v>29</v>
      </c>
      <c r="P194" s="1055">
        <v>30</v>
      </c>
      <c r="Q194" s="728"/>
      <c r="R194" s="142" t="s">
        <v>2623</v>
      </c>
      <c r="S194" s="96" t="str">
        <f>B194</f>
        <v>Included in Mgt Fee:</v>
      </c>
    </row>
    <row r="195" spans="2:22" ht="13.5" customHeight="1">
      <c r="B195" s="114" t="s">
        <v>1017</v>
      </c>
      <c r="C195" s="114"/>
      <c r="D195" s="114"/>
      <c r="E195" s="114"/>
      <c r="F195" s="114"/>
      <c r="G195" s="1057"/>
      <c r="H195" s="1057"/>
      <c r="I195" s="1057"/>
      <c r="J195" s="1057"/>
      <c r="K195" s="1058"/>
      <c r="L195" s="1057"/>
      <c r="M195" s="1057"/>
      <c r="N195" s="1057"/>
      <c r="O195" s="1057"/>
      <c r="P195" s="1057"/>
      <c r="Q195" s="998"/>
      <c r="R195" s="3500"/>
      <c r="S195" s="3501"/>
      <c r="T195" s="3501"/>
      <c r="U195" s="3501"/>
      <c r="V195" s="3502"/>
    </row>
    <row r="196" spans="2:22" ht="13.5" customHeight="1">
      <c r="B196" s="114" t="s">
        <v>741</v>
      </c>
      <c r="C196" s="3551"/>
      <c r="D196" s="3552"/>
      <c r="E196" s="3552"/>
      <c r="F196" s="3553"/>
      <c r="G196" s="1059"/>
      <c r="H196" s="1059"/>
      <c r="I196" s="1059"/>
      <c r="J196" s="1059"/>
      <c r="K196" s="1060"/>
      <c r="L196" s="1059"/>
      <c r="M196" s="1059"/>
      <c r="N196" s="1059"/>
      <c r="O196" s="1059"/>
      <c r="P196" s="1059"/>
      <c r="Q196" s="998"/>
      <c r="R196" s="3505"/>
      <c r="S196" s="3506"/>
      <c r="T196" s="3506"/>
      <c r="U196" s="3506"/>
      <c r="V196" s="3507"/>
    </row>
    <row r="197" spans="2:22" ht="13.5" customHeight="1">
      <c r="B197" s="114"/>
      <c r="C197" s="114" t="s">
        <v>928</v>
      </c>
      <c r="D197" s="114"/>
      <c r="E197" s="114"/>
      <c r="F197" s="114"/>
      <c r="G197" s="1061">
        <f t="shared" ref="G197:P197" si="372">SUM(G195:G196)</f>
        <v>0</v>
      </c>
      <c r="H197" s="1061">
        <f t="shared" si="372"/>
        <v>0</v>
      </c>
      <c r="I197" s="1061">
        <f t="shared" si="372"/>
        <v>0</v>
      </c>
      <c r="J197" s="1061">
        <f t="shared" si="372"/>
        <v>0</v>
      </c>
      <c r="K197" s="1061">
        <f t="shared" si="372"/>
        <v>0</v>
      </c>
      <c r="L197" s="1061">
        <f t="shared" si="372"/>
        <v>0</v>
      </c>
      <c r="M197" s="1061">
        <f t="shared" si="372"/>
        <v>0</v>
      </c>
      <c r="N197" s="1061">
        <f t="shared" si="372"/>
        <v>0</v>
      </c>
      <c r="O197" s="1061">
        <f t="shared" si="372"/>
        <v>0</v>
      </c>
      <c r="P197" s="1061">
        <f t="shared" si="372"/>
        <v>0</v>
      </c>
      <c r="Q197" s="122"/>
      <c r="R197" s="3509"/>
      <c r="S197" s="3510"/>
      <c r="T197" s="3510"/>
      <c r="U197" s="3510"/>
      <c r="V197" s="3511"/>
    </row>
    <row r="198" spans="2:22" ht="13.5" customHeight="1">
      <c r="B198" s="1062" t="s">
        <v>3672</v>
      </c>
      <c r="C198" s="91"/>
      <c r="D198" s="91"/>
      <c r="E198" s="91"/>
      <c r="F198" s="91"/>
      <c r="G198" s="1063"/>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7"/>
      <c r="H199" s="1057"/>
      <c r="I199" s="1057"/>
      <c r="J199" s="1057"/>
      <c r="K199" s="1058"/>
      <c r="L199" s="1057"/>
      <c r="M199" s="1057"/>
      <c r="N199" s="1057"/>
      <c r="O199" s="1057"/>
      <c r="P199" s="1057"/>
      <c r="Q199" s="998"/>
      <c r="R199" s="3500"/>
      <c r="S199" s="3501"/>
      <c r="T199" s="3501"/>
      <c r="U199" s="3501"/>
      <c r="V199" s="3502"/>
    </row>
    <row r="200" spans="2:22" ht="13.5" customHeight="1">
      <c r="B200" s="114" t="s">
        <v>741</v>
      </c>
      <c r="C200" s="3551"/>
      <c r="D200" s="3552"/>
      <c r="E200" s="3552"/>
      <c r="F200" s="3553"/>
      <c r="G200" s="1059"/>
      <c r="H200" s="1059"/>
      <c r="I200" s="1059"/>
      <c r="J200" s="1059"/>
      <c r="K200" s="1060"/>
      <c r="L200" s="1059"/>
      <c r="M200" s="1059"/>
      <c r="N200" s="1059"/>
      <c r="O200" s="1059"/>
      <c r="P200" s="1059"/>
      <c r="Q200" s="998"/>
      <c r="R200" s="3505"/>
      <c r="S200" s="3506"/>
      <c r="T200" s="3506"/>
      <c r="U200" s="3506"/>
      <c r="V200" s="3507"/>
    </row>
    <row r="201" spans="2:22" ht="13.5" customHeight="1">
      <c r="B201" s="114"/>
      <c r="C201" s="114" t="s">
        <v>192</v>
      </c>
      <c r="D201" s="114"/>
      <c r="E201" s="114"/>
      <c r="F201" s="114"/>
      <c r="G201" s="1061">
        <f t="shared" ref="G201:P201" si="373">SUM(G199:G200)</f>
        <v>0</v>
      </c>
      <c r="H201" s="1061">
        <f t="shared" si="373"/>
        <v>0</v>
      </c>
      <c r="I201" s="1061">
        <f t="shared" si="373"/>
        <v>0</v>
      </c>
      <c r="J201" s="1061">
        <f t="shared" si="373"/>
        <v>0</v>
      </c>
      <c r="K201" s="1061">
        <f t="shared" si="373"/>
        <v>0</v>
      </c>
      <c r="L201" s="1061">
        <f t="shared" si="373"/>
        <v>0</v>
      </c>
      <c r="M201" s="1061">
        <f t="shared" si="373"/>
        <v>0</v>
      </c>
      <c r="N201" s="1061">
        <f t="shared" si="373"/>
        <v>0</v>
      </c>
      <c r="O201" s="1061">
        <f t="shared" si="373"/>
        <v>0</v>
      </c>
      <c r="P201" s="1061">
        <f t="shared" si="373"/>
        <v>0</v>
      </c>
      <c r="Q201" s="122"/>
      <c r="R201" s="3509"/>
      <c r="S201" s="3510"/>
      <c r="T201" s="3510"/>
      <c r="U201" s="3510"/>
      <c r="V201" s="3511"/>
    </row>
    <row r="202" spans="2:22" ht="13.5" customHeight="1">
      <c r="B202" s="1050"/>
      <c r="C202" s="91"/>
      <c r="D202" s="91"/>
      <c r="E202" s="91"/>
      <c r="F202" s="91"/>
      <c r="G202" s="1063"/>
      <c r="H202" s="91"/>
      <c r="I202" s="91"/>
      <c r="J202" s="91"/>
      <c r="K202" s="91"/>
      <c r="L202" s="91"/>
      <c r="M202" s="91"/>
      <c r="N202" s="91"/>
      <c r="O202" s="91"/>
      <c r="P202" s="91"/>
      <c r="Q202" s="8"/>
    </row>
    <row r="203" spans="2:22" ht="13.5" customHeight="1">
      <c r="B203" s="1054" t="s">
        <v>2286</v>
      </c>
      <c r="C203" s="91"/>
      <c r="D203" s="91"/>
      <c r="E203" s="91"/>
      <c r="F203" s="91"/>
      <c r="G203" s="1055">
        <v>31</v>
      </c>
      <c r="H203" s="1055">
        <v>32</v>
      </c>
      <c r="I203" s="1055">
        <v>33</v>
      </c>
      <c r="J203" s="1055">
        <v>34</v>
      </c>
      <c r="K203" s="1055">
        <v>35</v>
      </c>
      <c r="L203" s="91"/>
      <c r="M203" s="91"/>
      <c r="N203" s="91"/>
      <c r="O203" s="91"/>
      <c r="P203" s="91"/>
      <c r="R203" s="142" t="s">
        <v>2623</v>
      </c>
      <c r="S203" s="96" t="str">
        <f>B203</f>
        <v>Included in Mgt Fee:</v>
      </c>
    </row>
    <row r="204" spans="2:22" ht="13.5" customHeight="1">
      <c r="B204" s="114" t="s">
        <v>1017</v>
      </c>
      <c r="C204" s="114"/>
      <c r="D204" s="114"/>
      <c r="E204" s="114"/>
      <c r="F204" s="114"/>
      <c r="G204" s="1057"/>
      <c r="H204" s="1057"/>
      <c r="I204" s="1057"/>
      <c r="J204" s="1057"/>
      <c r="K204" s="1058"/>
      <c r="L204" s="91"/>
      <c r="M204" s="91"/>
      <c r="N204" s="91"/>
      <c r="O204" s="91"/>
      <c r="P204" s="91"/>
      <c r="Q204" s="8"/>
      <c r="R204" s="3500"/>
      <c r="S204" s="3501"/>
      <c r="T204" s="3501"/>
      <c r="U204" s="3501"/>
      <c r="V204" s="3502"/>
    </row>
    <row r="205" spans="2:22" ht="13.5" customHeight="1">
      <c r="B205" s="114" t="s">
        <v>741</v>
      </c>
      <c r="C205" s="3551"/>
      <c r="D205" s="3552"/>
      <c r="E205" s="3552"/>
      <c r="F205" s="3553"/>
      <c r="G205" s="1059"/>
      <c r="H205" s="1059"/>
      <c r="I205" s="1059"/>
      <c r="J205" s="1059"/>
      <c r="K205" s="1060"/>
      <c r="L205" s="91"/>
      <c r="M205" s="91"/>
      <c r="N205" s="91"/>
      <c r="O205" s="91"/>
      <c r="P205" s="91"/>
      <c r="Q205" s="8"/>
      <c r="R205" s="3505"/>
      <c r="S205" s="3506"/>
      <c r="T205" s="3506"/>
      <c r="U205" s="3506"/>
      <c r="V205" s="3507"/>
    </row>
    <row r="206" spans="2:22" ht="13.5" customHeight="1">
      <c r="B206" s="114"/>
      <c r="C206" s="114" t="s">
        <v>928</v>
      </c>
      <c r="D206" s="114"/>
      <c r="E206" s="114"/>
      <c r="F206" s="114"/>
      <c r="G206" s="1061">
        <f>SUM(G204:G205)</f>
        <v>0</v>
      </c>
      <c r="H206" s="1061">
        <f>SUM(H204:H205)</f>
        <v>0</v>
      </c>
      <c r="I206" s="1061">
        <f>SUM(I204:I205)</f>
        <v>0</v>
      </c>
      <c r="J206" s="1061">
        <f>SUM(J204:J205)</f>
        <v>0</v>
      </c>
      <c r="K206" s="1061">
        <f>SUM(K204:K205)</f>
        <v>0</v>
      </c>
      <c r="L206" s="91"/>
      <c r="M206" s="91"/>
      <c r="N206" s="91"/>
      <c r="O206" s="91"/>
      <c r="P206" s="91"/>
      <c r="Q206" s="8"/>
      <c r="R206" s="3509"/>
      <c r="S206" s="3510"/>
      <c r="T206" s="3510"/>
      <c r="U206" s="3510"/>
      <c r="V206" s="3511"/>
    </row>
    <row r="207" spans="2:22" ht="13.5" customHeight="1">
      <c r="B207" s="1062" t="s">
        <v>3672</v>
      </c>
      <c r="C207" s="91"/>
      <c r="D207" s="91"/>
      <c r="E207" s="91"/>
      <c r="F207" s="91"/>
      <c r="G207" s="1063"/>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7"/>
      <c r="H208" s="1057"/>
      <c r="I208" s="1057"/>
      <c r="J208" s="1057"/>
      <c r="K208" s="1058"/>
      <c r="L208" s="91"/>
      <c r="M208" s="91"/>
      <c r="N208" s="91"/>
      <c r="O208" s="91"/>
      <c r="P208" s="91"/>
      <c r="Q208" s="8"/>
      <c r="R208" s="3500"/>
      <c r="S208" s="3501"/>
      <c r="T208" s="3501"/>
      <c r="U208" s="3501"/>
      <c r="V208" s="3502"/>
    </row>
    <row r="209" spans="1:492" ht="13.5" customHeight="1">
      <c r="B209" s="114" t="s">
        <v>741</v>
      </c>
      <c r="C209" s="3551"/>
      <c r="D209" s="3552"/>
      <c r="E209" s="3552"/>
      <c r="F209" s="3553"/>
      <c r="G209" s="1059"/>
      <c r="H209" s="1059"/>
      <c r="I209" s="1059"/>
      <c r="J209" s="1059"/>
      <c r="K209" s="1060"/>
      <c r="L209" s="91"/>
      <c r="M209" s="91"/>
      <c r="N209" s="91"/>
      <c r="O209" s="91"/>
      <c r="P209" s="91"/>
      <c r="Q209" s="8"/>
      <c r="R209" s="3505"/>
      <c r="S209" s="3506"/>
      <c r="T209" s="3506"/>
      <c r="U209" s="3506"/>
      <c r="V209" s="3507"/>
    </row>
    <row r="210" spans="1:492" ht="13.5" customHeight="1">
      <c r="B210" s="114"/>
      <c r="C210" s="114" t="s">
        <v>192</v>
      </c>
      <c r="D210" s="114"/>
      <c r="E210" s="114"/>
      <c r="F210" s="114"/>
      <c r="G210" s="1061">
        <f>SUM(G208:G209)</f>
        <v>0</v>
      </c>
      <c r="H210" s="1061">
        <f>SUM(H208:H209)</f>
        <v>0</v>
      </c>
      <c r="I210" s="1061">
        <f>SUM(I208:I209)</f>
        <v>0</v>
      </c>
      <c r="J210" s="1061">
        <f>SUM(J208:J209)</f>
        <v>0</v>
      </c>
      <c r="K210" s="1061">
        <f>SUM(K208:K209)</f>
        <v>0</v>
      </c>
      <c r="L210" s="91"/>
      <c r="M210" s="91"/>
      <c r="N210" s="91"/>
      <c r="O210" s="91"/>
      <c r="P210" s="91"/>
      <c r="Q210" s="8"/>
      <c r="R210" s="3509"/>
      <c r="S210" s="3510"/>
      <c r="T210" s="3510"/>
      <c r="U210" s="3510"/>
      <c r="V210" s="3511"/>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10"/>
      <c r="JW212" s="514"/>
      <c r="JX212" s="514"/>
      <c r="JY212" s="514"/>
      <c r="JZ212" s="514"/>
      <c r="KA212" s="2710"/>
      <c r="KB212" s="2710"/>
      <c r="KC212" s="2710"/>
      <c r="KD212" s="2710"/>
      <c r="KE212" s="2710"/>
      <c r="KF212" s="2710"/>
      <c r="KG212" s="2710"/>
      <c r="KH212" s="2710"/>
      <c r="KI212" s="2710"/>
      <c r="KJ212" s="2710"/>
      <c r="KK212" s="2710"/>
      <c r="KL212" s="2710"/>
      <c r="KM212" s="2710"/>
      <c r="KN212" s="2710"/>
      <c r="KO212" s="2710"/>
      <c r="KP212" s="2710"/>
      <c r="KQ212" s="2710"/>
      <c r="KR212" s="2710"/>
      <c r="KS212" s="2710"/>
      <c r="KT212" s="2710"/>
      <c r="KU212" s="2710"/>
      <c r="KV212" s="2710"/>
      <c r="KW212" s="2710"/>
      <c r="KX212" s="2710"/>
      <c r="KY212" s="2710"/>
      <c r="KZ212" s="2710"/>
      <c r="LA212" s="2710"/>
      <c r="LB212" s="2710"/>
      <c r="LC212" s="2710"/>
      <c r="LD212" s="2710"/>
      <c r="LE212" s="2710"/>
      <c r="LF212" s="2710"/>
      <c r="LG212" s="514"/>
      <c r="LH212" s="514"/>
      <c r="LI212" s="514"/>
      <c r="LJ212" s="514"/>
      <c r="LK212" s="514"/>
      <c r="LL212" s="514"/>
      <c r="LM212" s="2711"/>
      <c r="LN212" s="514"/>
      <c r="LO212" s="514"/>
      <c r="LP212" s="514"/>
      <c r="LQ212" s="514"/>
      <c r="LR212" s="514"/>
      <c r="LS212" s="514"/>
      <c r="LT212" s="514"/>
      <c r="LU212" s="514"/>
      <c r="LV212" s="514"/>
      <c r="LW212" s="514"/>
      <c r="LX212" s="514"/>
      <c r="LY212" s="514"/>
      <c r="LZ212" s="514"/>
      <c r="MA212" s="514"/>
      <c r="MB212" s="514"/>
      <c r="MC212" s="2711"/>
      <c r="MD212" s="2711"/>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1845</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10"/>
      <c r="JW213" s="514"/>
      <c r="JX213" s="514"/>
      <c r="JY213" s="514"/>
      <c r="JZ213" s="514"/>
      <c r="KA213" s="2710"/>
      <c r="KB213" s="2710"/>
      <c r="KC213" s="2710"/>
      <c r="KD213" s="2710"/>
      <c r="KE213" s="2710"/>
      <c r="KF213" s="2710"/>
      <c r="KG213" s="2710"/>
      <c r="KH213" s="2710"/>
      <c r="KI213" s="2710"/>
      <c r="KJ213" s="2710"/>
      <c r="KK213" s="2710"/>
      <c r="KL213" s="2710"/>
      <c r="KM213" s="2710"/>
      <c r="KN213" s="2710"/>
      <c r="KO213" s="2710"/>
      <c r="KP213" s="2710"/>
      <c r="KQ213" s="2710"/>
      <c r="KR213" s="2710"/>
      <c r="KS213" s="2710"/>
      <c r="KT213" s="2710"/>
      <c r="KU213" s="2710"/>
      <c r="KV213" s="2710"/>
      <c r="KW213" s="2710"/>
      <c r="KX213" s="2710"/>
      <c r="KY213" s="2710"/>
      <c r="KZ213" s="2710"/>
      <c r="LA213" s="2710"/>
      <c r="LB213" s="2710"/>
      <c r="LC213" s="2710"/>
      <c r="LD213" s="2710"/>
      <c r="LE213" s="2710"/>
      <c r="LF213" s="2710"/>
      <c r="LG213" s="514"/>
      <c r="LH213" s="514"/>
      <c r="LI213" s="514"/>
      <c r="LJ213" s="514"/>
      <c r="LK213" s="514"/>
      <c r="LL213" s="514"/>
      <c r="LM213" s="2711"/>
      <c r="LN213" s="514"/>
      <c r="LO213" s="514"/>
      <c r="LP213" s="514"/>
      <c r="LQ213" s="514"/>
      <c r="LR213" s="514"/>
      <c r="LS213" s="514"/>
      <c r="LT213" s="514"/>
      <c r="LU213" s="514"/>
      <c r="LV213" s="514"/>
      <c r="LW213" s="514"/>
      <c r="LX213" s="514"/>
      <c r="LY213" s="514"/>
      <c r="LZ213" s="514"/>
      <c r="MA213" s="514"/>
      <c r="MB213" s="514"/>
      <c r="MC213" s="2711"/>
      <c r="MD213" s="2711"/>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500"/>
      <c r="S214" s="3501"/>
      <c r="T214" s="3501"/>
      <c r="U214" s="3501"/>
      <c r="V214" s="3502"/>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10"/>
      <c r="JW214" s="514"/>
      <c r="JX214" s="514"/>
      <c r="JY214" s="514"/>
      <c r="JZ214" s="514"/>
      <c r="KA214" s="2710"/>
      <c r="KB214" s="2710"/>
      <c r="KC214" s="2710"/>
      <c r="KD214" s="2710"/>
      <c r="KE214" s="2710"/>
      <c r="KF214" s="2710"/>
      <c r="KG214" s="2710"/>
      <c r="KH214" s="2710"/>
      <c r="KI214" s="2710"/>
      <c r="KJ214" s="2710"/>
      <c r="KK214" s="2710"/>
      <c r="KL214" s="2710"/>
      <c r="KM214" s="2710"/>
      <c r="KN214" s="2710"/>
      <c r="KO214" s="2710"/>
      <c r="KP214" s="2710"/>
      <c r="KQ214" s="2710"/>
      <c r="KR214" s="2710"/>
      <c r="KS214" s="2710"/>
      <c r="KT214" s="2710"/>
      <c r="KU214" s="2710"/>
      <c r="KV214" s="2710"/>
      <c r="KW214" s="2710"/>
      <c r="KX214" s="2710"/>
      <c r="KY214" s="2710"/>
      <c r="KZ214" s="2710"/>
      <c r="LA214" s="2710"/>
      <c r="LB214" s="2710"/>
      <c r="LC214" s="2710"/>
      <c r="LD214" s="2710"/>
      <c r="LE214" s="2710"/>
      <c r="LF214" s="2710"/>
      <c r="LG214" s="514"/>
      <c r="LH214" s="514"/>
      <c r="LI214" s="514"/>
      <c r="LJ214" s="514"/>
      <c r="LK214" s="514"/>
      <c r="LL214" s="514"/>
      <c r="LM214" s="2711"/>
      <c r="LN214" s="514"/>
      <c r="LO214" s="514"/>
      <c r="LP214" s="514"/>
      <c r="LQ214" s="514"/>
      <c r="LR214" s="514"/>
      <c r="LS214" s="514"/>
      <c r="LT214" s="514"/>
      <c r="LU214" s="514"/>
      <c r="LV214" s="514"/>
      <c r="LW214" s="514"/>
      <c r="LX214" s="514"/>
      <c r="LY214" s="514"/>
      <c r="LZ214" s="514"/>
      <c r="MA214" s="514"/>
      <c r="MB214" s="514"/>
      <c r="MC214" s="2711"/>
      <c r="MD214" s="2711"/>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2196</v>
      </c>
      <c r="C215" s="1"/>
      <c r="D215" s="1"/>
      <c r="E215" s="1"/>
      <c r="F215" s="3554">
        <f>21000+14280+13860</f>
        <v>49140</v>
      </c>
      <c r="G215" s="3555"/>
      <c r="H215" s="1"/>
      <c r="I215" s="1" t="s">
        <v>1378</v>
      </c>
      <c r="J215" s="1"/>
      <c r="K215" s="3554"/>
      <c r="L215" s="3555"/>
      <c r="M215" s="1"/>
      <c r="N215" s="1" t="s">
        <v>929</v>
      </c>
      <c r="O215" s="1"/>
      <c r="P215" s="2543">
        <v>85260</v>
      </c>
      <c r="Q215" s="998"/>
      <c r="R215" s="3505"/>
      <c r="S215" s="3506"/>
      <c r="T215" s="3506"/>
      <c r="U215" s="3506"/>
      <c r="V215" s="3507"/>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10"/>
      <c r="JW215" s="514"/>
      <c r="JX215" s="514"/>
      <c r="JY215" s="514"/>
      <c r="JZ215" s="514"/>
      <c r="KA215" s="2710"/>
      <c r="KB215" s="2710"/>
      <c r="KC215" s="2710"/>
      <c r="KD215" s="2710"/>
      <c r="KE215" s="2710"/>
      <c r="KF215" s="2710"/>
      <c r="KG215" s="2710"/>
      <c r="KH215" s="2710"/>
      <c r="KI215" s="2710"/>
      <c r="KJ215" s="2710"/>
      <c r="KK215" s="2710"/>
      <c r="KL215" s="2710"/>
      <c r="KM215" s="2710"/>
      <c r="KN215" s="2710"/>
      <c r="KO215" s="2710"/>
      <c r="KP215" s="2710"/>
      <c r="KQ215" s="2710"/>
      <c r="KR215" s="2710"/>
      <c r="KS215" s="2710"/>
      <c r="KT215" s="2710"/>
      <c r="KU215" s="2710"/>
      <c r="KV215" s="2710"/>
      <c r="KW215" s="2710"/>
      <c r="KX215" s="2710"/>
      <c r="KY215" s="2710"/>
      <c r="KZ215" s="2710"/>
      <c r="LA215" s="2710"/>
      <c r="LB215" s="2710"/>
      <c r="LC215" s="2710"/>
      <c r="LD215" s="2710"/>
      <c r="LE215" s="2710"/>
      <c r="LF215" s="2710"/>
      <c r="LG215" s="514"/>
      <c r="LH215" s="514"/>
      <c r="LI215" s="514"/>
      <c r="LJ215" s="514"/>
      <c r="LK215" s="514"/>
      <c r="LL215" s="514"/>
      <c r="LM215" s="2711"/>
      <c r="LN215" s="514"/>
      <c r="LO215" s="514"/>
      <c r="LP215" s="514"/>
      <c r="LQ215" s="514"/>
      <c r="LR215" s="514"/>
      <c r="LS215" s="514"/>
      <c r="LT215" s="514"/>
      <c r="LU215" s="514"/>
      <c r="LV215" s="514"/>
      <c r="LW215" s="514"/>
      <c r="LX215" s="514"/>
      <c r="LY215" s="514"/>
      <c r="LZ215" s="514"/>
      <c r="MA215" s="514"/>
      <c r="MB215" s="514"/>
      <c r="MC215" s="2711"/>
      <c r="MD215" s="2711"/>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521">
        <f>13860+12600</f>
        <v>26460</v>
      </c>
      <c r="G216" s="3522"/>
      <c r="H216" s="1"/>
      <c r="I216" s="1" t="s">
        <v>1379</v>
      </c>
      <c r="J216" s="1"/>
      <c r="K216" s="3526"/>
      <c r="L216" s="3527"/>
      <c r="M216" s="1"/>
      <c r="N216" s="1" t="s">
        <v>147</v>
      </c>
      <c r="O216" s="1"/>
      <c r="P216" s="2544">
        <v>25260</v>
      </c>
      <c r="Q216" s="998"/>
      <c r="R216" s="3505"/>
      <c r="S216" s="3506"/>
      <c r="T216" s="3506"/>
      <c r="U216" s="3506"/>
      <c r="V216" s="3507"/>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10"/>
      <c r="JW216" s="514"/>
      <c r="JX216" s="514"/>
      <c r="JY216" s="514"/>
      <c r="JZ216" s="514"/>
      <c r="KA216" s="2710"/>
      <c r="KB216" s="2710"/>
      <c r="KC216" s="2710"/>
      <c r="KD216" s="2710"/>
      <c r="KE216" s="2710"/>
      <c r="KF216" s="2710"/>
      <c r="KG216" s="2710"/>
      <c r="KH216" s="2710"/>
      <c r="KI216" s="2710"/>
      <c r="KJ216" s="2710"/>
      <c r="KK216" s="2710"/>
      <c r="KL216" s="2710"/>
      <c r="KM216" s="2710"/>
      <c r="KN216" s="2710"/>
      <c r="KO216" s="2710"/>
      <c r="KP216" s="2710"/>
      <c r="KQ216" s="2710"/>
      <c r="KR216" s="2710"/>
      <c r="KS216" s="2710"/>
      <c r="KT216" s="2710"/>
      <c r="KU216" s="2710"/>
      <c r="KV216" s="2710"/>
      <c r="KW216" s="2710"/>
      <c r="KX216" s="2710"/>
      <c r="KY216" s="2710"/>
      <c r="KZ216" s="2710"/>
      <c r="LA216" s="2710"/>
      <c r="LB216" s="2710"/>
      <c r="LC216" s="2710"/>
      <c r="LD216" s="2710"/>
      <c r="LE216" s="2710"/>
      <c r="LF216" s="2710"/>
      <c r="LG216" s="514"/>
      <c r="LH216" s="514"/>
      <c r="LI216" s="514"/>
      <c r="LJ216" s="514"/>
      <c r="LK216" s="514"/>
      <c r="LL216" s="514"/>
      <c r="LM216" s="2711"/>
      <c r="LN216" s="514"/>
      <c r="LO216" s="514"/>
      <c r="LP216" s="514"/>
      <c r="LQ216" s="514"/>
      <c r="LR216" s="514"/>
      <c r="LS216" s="514"/>
      <c r="LT216" s="514"/>
      <c r="LU216" s="514"/>
      <c r="LV216" s="514"/>
      <c r="LW216" s="514"/>
      <c r="LX216" s="514"/>
      <c r="LY216" s="514"/>
      <c r="LZ216" s="514"/>
      <c r="MA216" s="514"/>
      <c r="MB216" s="514"/>
      <c r="MC216" s="2711"/>
      <c r="MD216" s="2711"/>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521"/>
      <c r="G217" s="3522"/>
      <c r="H217" s="1"/>
      <c r="I217" s="1"/>
      <c r="J217" s="126" t="s">
        <v>191</v>
      </c>
      <c r="K217" s="3534">
        <f>SUM(K215:L216)</f>
        <v>0</v>
      </c>
      <c r="L217" s="3535"/>
      <c r="M217" s="1"/>
      <c r="N217" s="3544" t="s">
        <v>51</v>
      </c>
      <c r="O217" s="3545"/>
      <c r="P217" s="2545"/>
      <c r="Q217" s="998"/>
      <c r="R217" s="3505"/>
      <c r="S217" s="3506"/>
      <c r="T217" s="3506"/>
      <c r="U217" s="3506"/>
      <c r="V217" s="3507"/>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10"/>
      <c r="JW217" s="514"/>
      <c r="JX217" s="514"/>
      <c r="JY217" s="514"/>
      <c r="JZ217" s="514"/>
      <c r="KA217" s="2710"/>
      <c r="KB217" s="2710"/>
      <c r="KC217" s="2710"/>
      <c r="KD217" s="2710"/>
      <c r="KE217" s="2710"/>
      <c r="KF217" s="2710"/>
      <c r="KG217" s="2710"/>
      <c r="KH217" s="2710"/>
      <c r="KI217" s="2710"/>
      <c r="KJ217" s="2710"/>
      <c r="KK217" s="2710"/>
      <c r="KL217" s="2710"/>
      <c r="KM217" s="2710"/>
      <c r="KN217" s="2710"/>
      <c r="KO217" s="2710"/>
      <c r="KP217" s="2710"/>
      <c r="KQ217" s="2710"/>
      <c r="KR217" s="2710"/>
      <c r="KS217" s="2710"/>
      <c r="KT217" s="2710"/>
      <c r="KU217" s="2710"/>
      <c r="KV217" s="2710"/>
      <c r="KW217" s="2710"/>
      <c r="KX217" s="2710"/>
      <c r="KY217" s="2710"/>
      <c r="KZ217" s="2710"/>
      <c r="LA217" s="2710"/>
      <c r="LB217" s="2710"/>
      <c r="LC217" s="2710"/>
      <c r="LD217" s="2710"/>
      <c r="LE217" s="2710"/>
      <c r="LF217" s="2710"/>
      <c r="LG217" s="514"/>
      <c r="LH217" s="514"/>
      <c r="LI217" s="514"/>
      <c r="LJ217" s="514"/>
      <c r="LK217" s="514"/>
      <c r="LL217" s="514"/>
      <c r="LM217" s="2711"/>
      <c r="LN217" s="514"/>
      <c r="LO217" s="514"/>
      <c r="LP217" s="514"/>
      <c r="LQ217" s="514"/>
      <c r="LR217" s="514"/>
      <c r="LS217" s="514"/>
      <c r="LT217" s="514"/>
      <c r="LU217" s="514"/>
      <c r="LV217" s="514"/>
      <c r="LW217" s="514"/>
      <c r="LX217" s="514"/>
      <c r="LY217" s="514"/>
      <c r="LZ217" s="514"/>
      <c r="MA217" s="514"/>
      <c r="MB217" s="514"/>
      <c r="MC217" s="2711"/>
      <c r="MD217" s="2711"/>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23" t="s">
        <v>5221</v>
      </c>
      <c r="C218" s="3524"/>
      <c r="D218" s="3524"/>
      <c r="E218" s="3525"/>
      <c r="F218" s="3526">
        <v>8400</v>
      </c>
      <c r="G218" s="3527"/>
      <c r="H218" s="1"/>
      <c r="I218" s="1"/>
      <c r="J218" s="1"/>
      <c r="K218" s="1"/>
      <c r="L218" s="1"/>
      <c r="M218" s="1"/>
      <c r="N218" s="11" t="s">
        <v>191</v>
      </c>
      <c r="O218" s="1"/>
      <c r="P218" s="464">
        <f>SUM(P215:P217)</f>
        <v>110520</v>
      </c>
      <c r="Q218" s="993"/>
      <c r="R218" s="3505"/>
      <c r="S218" s="3506"/>
      <c r="T218" s="3506"/>
      <c r="U218" s="3506"/>
      <c r="V218" s="3507"/>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10"/>
      <c r="JW218" s="514"/>
      <c r="JX218" s="514"/>
      <c r="JY218" s="514"/>
      <c r="JZ218" s="514"/>
      <c r="KA218" s="2710"/>
      <c r="KB218" s="2710"/>
      <c r="KC218" s="2710"/>
      <c r="KD218" s="2710"/>
      <c r="KE218" s="2710"/>
      <c r="KF218" s="2710"/>
      <c r="KG218" s="2710"/>
      <c r="KH218" s="2710"/>
      <c r="KI218" s="2710"/>
      <c r="KJ218" s="2710"/>
      <c r="KK218" s="2710"/>
      <c r="KL218" s="2710"/>
      <c r="KM218" s="2710"/>
      <c r="KN218" s="2710"/>
      <c r="KO218" s="2710"/>
      <c r="KP218" s="2710"/>
      <c r="KQ218" s="2710"/>
      <c r="KR218" s="2710"/>
      <c r="KS218" s="2710"/>
      <c r="KT218" s="2710"/>
      <c r="KU218" s="2710"/>
      <c r="KV218" s="2710"/>
      <c r="KW218" s="2710"/>
      <c r="KX218" s="2710"/>
      <c r="KY218" s="2710"/>
      <c r="KZ218" s="2710"/>
      <c r="LA218" s="2710"/>
      <c r="LB218" s="2710"/>
      <c r="LC218" s="2710"/>
      <c r="LD218" s="2710"/>
      <c r="LE218" s="2710"/>
      <c r="LF218" s="2710"/>
      <c r="LG218" s="514"/>
      <c r="LH218" s="514"/>
      <c r="LI218" s="514"/>
      <c r="LJ218" s="514"/>
      <c r="LK218" s="514"/>
      <c r="LL218" s="514"/>
      <c r="LM218" s="2711"/>
      <c r="LN218" s="514"/>
      <c r="LO218" s="514"/>
      <c r="LP218" s="514"/>
      <c r="LQ218" s="514"/>
      <c r="LR218" s="514"/>
      <c r="LS218" s="514"/>
      <c r="LT218" s="514"/>
      <c r="LU218" s="514"/>
      <c r="LV218" s="514"/>
      <c r="LW218" s="514"/>
      <c r="LX218" s="514"/>
      <c r="LY218" s="514"/>
      <c r="LZ218" s="514"/>
      <c r="MA218" s="514"/>
      <c r="MB218" s="514"/>
      <c r="MC218" s="2711"/>
      <c r="MD218" s="2711"/>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34">
        <f>SUM(F215:G218)</f>
        <v>84000</v>
      </c>
      <c r="G219" s="3535"/>
      <c r="H219" s="1"/>
      <c r="I219" s="1"/>
      <c r="J219" s="12"/>
      <c r="K219" s="1"/>
      <c r="L219" s="1"/>
      <c r="M219" s="1"/>
      <c r="N219" s="1"/>
      <c r="O219" s="1"/>
      <c r="P219" s="1"/>
      <c r="Q219" s="1"/>
      <c r="R219" s="3505"/>
      <c r="S219" s="3506"/>
      <c r="T219" s="3506"/>
      <c r="U219" s="3506"/>
      <c r="V219" s="3507"/>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10"/>
      <c r="JW219" s="514"/>
      <c r="JX219" s="514"/>
      <c r="JY219" s="514"/>
      <c r="JZ219" s="514"/>
      <c r="KA219" s="2710"/>
      <c r="KB219" s="2710"/>
      <c r="KC219" s="2710"/>
      <c r="KD219" s="2710"/>
      <c r="KE219" s="2710"/>
      <c r="KF219" s="2710"/>
      <c r="KG219" s="2710"/>
      <c r="KH219" s="2710"/>
      <c r="KI219" s="2710"/>
      <c r="KJ219" s="2710"/>
      <c r="KK219" s="2710"/>
      <c r="KL219" s="2710"/>
      <c r="KM219" s="2710"/>
      <c r="KN219" s="2710"/>
      <c r="KO219" s="2710"/>
      <c r="KP219" s="2710"/>
      <c r="KQ219" s="2710"/>
      <c r="KR219" s="2710"/>
      <c r="KS219" s="2710"/>
      <c r="KT219" s="2710"/>
      <c r="KU219" s="2710"/>
      <c r="KV219" s="2710"/>
      <c r="KW219" s="2710"/>
      <c r="KX219" s="2710"/>
      <c r="KY219" s="2710"/>
      <c r="KZ219" s="2710"/>
      <c r="LA219" s="2710"/>
      <c r="LB219" s="2710"/>
      <c r="LC219" s="2710"/>
      <c r="LD219" s="2710"/>
      <c r="LE219" s="2710"/>
      <c r="LF219" s="2710"/>
      <c r="LG219" s="514"/>
      <c r="LH219" s="514"/>
      <c r="LI219" s="514"/>
      <c r="LJ219" s="514"/>
      <c r="LK219" s="514"/>
      <c r="LL219" s="514"/>
      <c r="LM219" s="2711"/>
      <c r="LN219" s="514"/>
      <c r="LO219" s="514"/>
      <c r="LP219" s="514"/>
      <c r="LQ219" s="514"/>
      <c r="LR219" s="514"/>
      <c r="LS219" s="514"/>
      <c r="LT219" s="514"/>
      <c r="LU219" s="514"/>
      <c r="LV219" s="514"/>
      <c r="LW219" s="514"/>
      <c r="LX219" s="514"/>
      <c r="LY219" s="514"/>
      <c r="LZ219" s="514"/>
      <c r="MA219" s="514"/>
      <c r="MB219" s="514"/>
      <c r="MC219" s="2711"/>
      <c r="MD219" s="2711"/>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05"/>
      <c r="S220" s="3506"/>
      <c r="T220" s="3506"/>
      <c r="U220" s="3506"/>
      <c r="V220" s="3507"/>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10"/>
      <c r="JW220" s="514"/>
      <c r="JX220" s="514"/>
      <c r="JY220" s="514"/>
      <c r="JZ220" s="514"/>
      <c r="KA220" s="2710"/>
      <c r="KB220" s="2710"/>
      <c r="KC220" s="2710"/>
      <c r="KD220" s="2710"/>
      <c r="KE220" s="2710"/>
      <c r="KF220" s="2710"/>
      <c r="KG220" s="2710"/>
      <c r="KH220" s="2710"/>
      <c r="KI220" s="2710"/>
      <c r="KJ220" s="2710"/>
      <c r="KK220" s="2710"/>
      <c r="KL220" s="2710"/>
      <c r="KM220" s="2710"/>
      <c r="KN220" s="2710"/>
      <c r="KO220" s="2710"/>
      <c r="KP220" s="2710"/>
      <c r="KQ220" s="2710"/>
      <c r="KR220" s="2710"/>
      <c r="KS220" s="2710"/>
      <c r="KT220" s="2710"/>
      <c r="KU220" s="2710"/>
      <c r="KV220" s="2710"/>
      <c r="KW220" s="2710"/>
      <c r="KX220" s="2710"/>
      <c r="KY220" s="2710"/>
      <c r="KZ220" s="2710"/>
      <c r="LA220" s="2710"/>
      <c r="LB220" s="2710"/>
      <c r="LC220" s="2710"/>
      <c r="LD220" s="2710"/>
      <c r="LE220" s="2710"/>
      <c r="LF220" s="2710"/>
      <c r="LG220" s="514"/>
      <c r="LH220" s="514"/>
      <c r="LI220" s="514"/>
      <c r="LJ220" s="514"/>
      <c r="LK220" s="514"/>
      <c r="LL220" s="514"/>
      <c r="LM220" s="2711"/>
      <c r="LN220" s="514"/>
      <c r="LO220" s="514"/>
      <c r="LP220" s="514"/>
      <c r="LQ220" s="514"/>
      <c r="LR220" s="514"/>
      <c r="LS220" s="514"/>
      <c r="LT220" s="514"/>
      <c r="LU220" s="514"/>
      <c r="LV220" s="514"/>
      <c r="LW220" s="514"/>
      <c r="LX220" s="514"/>
      <c r="LY220" s="514"/>
      <c r="LZ220" s="514"/>
      <c r="MA220" s="514"/>
      <c r="MB220" s="514"/>
      <c r="MC220" s="2711"/>
      <c r="MD220" s="2711"/>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39873</v>
      </c>
      <c r="Q221" s="994"/>
      <c r="R221" s="3505"/>
      <c r="S221" s="3506"/>
      <c r="T221" s="3506"/>
      <c r="U221" s="3506"/>
      <c r="V221" s="3507"/>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10"/>
      <c r="JW221" s="514"/>
      <c r="JX221" s="514"/>
      <c r="JY221" s="514"/>
      <c r="JZ221" s="514"/>
      <c r="KA221" s="2710"/>
      <c r="KB221" s="2710"/>
      <c r="KC221" s="2710"/>
      <c r="KD221" s="2710"/>
      <c r="KE221" s="2710"/>
      <c r="KF221" s="2710"/>
      <c r="KG221" s="2710"/>
      <c r="KH221" s="2710"/>
      <c r="KI221" s="2710"/>
      <c r="KJ221" s="2710"/>
      <c r="KK221" s="2710"/>
      <c r="KL221" s="2710"/>
      <c r="KM221" s="2710"/>
      <c r="KN221" s="2710"/>
      <c r="KO221" s="2710"/>
      <c r="KP221" s="2710"/>
      <c r="KQ221" s="2710"/>
      <c r="KR221" s="2710"/>
      <c r="KS221" s="2710"/>
      <c r="KT221" s="2710"/>
      <c r="KU221" s="2710"/>
      <c r="KV221" s="2710"/>
      <c r="KW221" s="2710"/>
      <c r="KX221" s="2710"/>
      <c r="KY221" s="2710"/>
      <c r="KZ221" s="2710"/>
      <c r="LA221" s="2710"/>
      <c r="LB221" s="2710"/>
      <c r="LC221" s="2710"/>
      <c r="LD221" s="2710"/>
      <c r="LE221" s="2710"/>
      <c r="LF221" s="2710"/>
      <c r="LG221" s="514"/>
      <c r="LH221" s="514"/>
      <c r="LI221" s="514"/>
      <c r="LJ221" s="514"/>
      <c r="LK221" s="514"/>
      <c r="LL221" s="514"/>
      <c r="LM221" s="2711"/>
      <c r="LN221" s="514"/>
      <c r="LO221" s="514"/>
      <c r="LP221" s="514"/>
      <c r="LQ221" s="514"/>
      <c r="LR221" s="514"/>
      <c r="LS221" s="514"/>
      <c r="LT221" s="514"/>
      <c r="LU221" s="514"/>
      <c r="LV221" s="514"/>
      <c r="LW221" s="514"/>
      <c r="LX221" s="514"/>
      <c r="LY221" s="514"/>
      <c r="LZ221" s="514"/>
      <c r="MA221" s="514"/>
      <c r="MB221" s="514"/>
      <c r="MC221" s="2711"/>
      <c r="MD221" s="2711"/>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3554">
        <v>2772</v>
      </c>
      <c r="G222" s="3555"/>
      <c r="H222" s="1"/>
      <c r="I222" s="1" t="s">
        <v>1602</v>
      </c>
      <c r="J222" s="1"/>
      <c r="K222" s="3538">
        <v>840</v>
      </c>
      <c r="L222" s="3539"/>
      <c r="M222" s="1"/>
      <c r="N222" s="452">
        <f>+P221/(O67*0.93)</f>
        <v>510.40706605222732</v>
      </c>
      <c r="O222" s="67" t="s">
        <v>2756</v>
      </c>
      <c r="P222" s="1"/>
      <c r="Q222" s="1"/>
      <c r="R222" s="3505"/>
      <c r="S222" s="3506"/>
      <c r="T222" s="3506"/>
      <c r="U222" s="3506"/>
      <c r="V222" s="3507"/>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10"/>
      <c r="JW222" s="514"/>
      <c r="JX222" s="514"/>
      <c r="JY222" s="514"/>
      <c r="JZ222" s="514"/>
      <c r="KA222" s="2710"/>
      <c r="KB222" s="2710"/>
      <c r="KC222" s="2710"/>
      <c r="KD222" s="2710"/>
      <c r="KE222" s="2710"/>
      <c r="KF222" s="2710"/>
      <c r="KG222" s="2710"/>
      <c r="KH222" s="2710"/>
      <c r="KI222" s="2710"/>
      <c r="KJ222" s="2710"/>
      <c r="KK222" s="2710"/>
      <c r="KL222" s="2710"/>
      <c r="KM222" s="2710"/>
      <c r="KN222" s="2710"/>
      <c r="KO222" s="2710"/>
      <c r="KP222" s="2710"/>
      <c r="KQ222" s="2710"/>
      <c r="KR222" s="2710"/>
      <c r="KS222" s="2710"/>
      <c r="KT222" s="2710"/>
      <c r="KU222" s="2710"/>
      <c r="KV222" s="2710"/>
      <c r="KW222" s="2710"/>
      <c r="KX222" s="2710"/>
      <c r="KY222" s="2710"/>
      <c r="KZ222" s="2710"/>
      <c r="LA222" s="2710"/>
      <c r="LB222" s="2710"/>
      <c r="LC222" s="2710"/>
      <c r="LD222" s="2710"/>
      <c r="LE222" s="2710"/>
      <c r="LF222" s="2710"/>
      <c r="LG222" s="514"/>
      <c r="LH222" s="514"/>
      <c r="LI222" s="514"/>
      <c r="LJ222" s="514"/>
      <c r="LK222" s="514"/>
      <c r="LL222" s="514"/>
      <c r="LM222" s="2711"/>
      <c r="LN222" s="514"/>
      <c r="LO222" s="514"/>
      <c r="LP222" s="514"/>
      <c r="LQ222" s="514"/>
      <c r="LR222" s="514"/>
      <c r="LS222" s="514"/>
      <c r="LT222" s="514"/>
      <c r="LU222" s="514"/>
      <c r="LV222" s="514"/>
      <c r="LW222" s="514"/>
      <c r="LX222" s="514"/>
      <c r="LY222" s="514"/>
      <c r="LZ222" s="514"/>
      <c r="MA222" s="514"/>
      <c r="MB222" s="514"/>
      <c r="MC222" s="2711"/>
      <c r="MD222" s="2711"/>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521">
        <v>2352</v>
      </c>
      <c r="G223" s="3522"/>
      <c r="H223" s="1"/>
      <c r="I223" s="1" t="s">
        <v>2049</v>
      </c>
      <c r="J223" s="1"/>
      <c r="K223" s="3542">
        <v>2520</v>
      </c>
      <c r="L223" s="3543"/>
      <c r="M223" s="1"/>
      <c r="N223" s="452">
        <f>+P221/(O67*0.93)/12</f>
        <v>42.533922171018943</v>
      </c>
      <c r="O223" s="67" t="s">
        <v>2757</v>
      </c>
      <c r="P223" s="1"/>
      <c r="Q223" s="1"/>
      <c r="R223" s="3505"/>
      <c r="S223" s="3506"/>
      <c r="T223" s="3506"/>
      <c r="U223" s="3506"/>
      <c r="V223" s="3507"/>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10"/>
      <c r="JW223" s="514"/>
      <c r="JX223" s="514"/>
      <c r="JY223" s="514"/>
      <c r="JZ223" s="514"/>
      <c r="KA223" s="2710"/>
      <c r="KB223" s="2710"/>
      <c r="KC223" s="2710"/>
      <c r="KD223" s="2710"/>
      <c r="KE223" s="2710"/>
      <c r="KF223" s="2710"/>
      <c r="KG223" s="2710"/>
      <c r="KH223" s="2710"/>
      <c r="KI223" s="2710"/>
      <c r="KJ223" s="2710"/>
      <c r="KK223" s="2710"/>
      <c r="KL223" s="2710"/>
      <c r="KM223" s="2710"/>
      <c r="KN223" s="2710"/>
      <c r="KO223" s="2710"/>
      <c r="KP223" s="2710"/>
      <c r="KQ223" s="2710"/>
      <c r="KR223" s="2710"/>
      <c r="KS223" s="2710"/>
      <c r="KT223" s="2710"/>
      <c r="KU223" s="2710"/>
      <c r="KV223" s="2710"/>
      <c r="KW223" s="2710"/>
      <c r="KX223" s="2710"/>
      <c r="KY223" s="2710"/>
      <c r="KZ223" s="2710"/>
      <c r="LA223" s="2710"/>
      <c r="LB223" s="2710"/>
      <c r="LC223" s="2710"/>
      <c r="LD223" s="2710"/>
      <c r="LE223" s="2710"/>
      <c r="LF223" s="2710"/>
      <c r="LG223" s="514"/>
      <c r="LH223" s="514"/>
      <c r="LI223" s="514"/>
      <c r="LJ223" s="514"/>
      <c r="LK223" s="514"/>
      <c r="LL223" s="514"/>
      <c r="LM223" s="2711"/>
      <c r="LN223" s="514"/>
      <c r="LO223" s="514"/>
      <c r="LP223" s="514"/>
      <c r="LQ223" s="514"/>
      <c r="LR223" s="514"/>
      <c r="LS223" s="514"/>
      <c r="LT223" s="514"/>
      <c r="LU223" s="514"/>
      <c r="LV223" s="514"/>
      <c r="LW223" s="514"/>
      <c r="LX223" s="514"/>
      <c r="LY223" s="514"/>
      <c r="LZ223" s="514"/>
      <c r="MA223" s="514"/>
      <c r="MB223" s="514"/>
      <c r="MC223" s="2711"/>
      <c r="MD223" s="2711"/>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521"/>
      <c r="G224" s="3522"/>
      <c r="H224" s="1"/>
      <c r="I224" s="1" t="s">
        <v>1603</v>
      </c>
      <c r="J224" s="1"/>
      <c r="K224" s="3542">
        <v>2100</v>
      </c>
      <c r="L224" s="3543"/>
      <c r="M224" s="1"/>
      <c r="N224" s="36" t="s">
        <v>3729</v>
      </c>
      <c r="O224" s="1129"/>
      <c r="P224" s="1129"/>
      <c r="Q224" s="1427"/>
      <c r="R224" s="3505"/>
      <c r="S224" s="3506"/>
      <c r="T224" s="3506"/>
      <c r="U224" s="3506"/>
      <c r="V224" s="3507"/>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10"/>
      <c r="JW224" s="514"/>
      <c r="JX224" s="514"/>
      <c r="JY224" s="514"/>
      <c r="JZ224" s="514"/>
      <c r="KA224" s="2710"/>
      <c r="KB224" s="2710"/>
      <c r="KC224" s="2710"/>
      <c r="KD224" s="2710"/>
      <c r="KE224" s="2710"/>
      <c r="KF224" s="2710"/>
      <c r="KG224" s="2710"/>
      <c r="KH224" s="2710"/>
      <c r="KI224" s="2710"/>
      <c r="KJ224" s="2710"/>
      <c r="KK224" s="2710"/>
      <c r="KL224" s="2710"/>
      <c r="KM224" s="2710"/>
      <c r="KN224" s="2710"/>
      <c r="KO224" s="2710"/>
      <c r="KP224" s="2710"/>
      <c r="KQ224" s="2710"/>
      <c r="KR224" s="2710"/>
      <c r="KS224" s="2710"/>
      <c r="KT224" s="2710"/>
      <c r="KU224" s="2710"/>
      <c r="KV224" s="2710"/>
      <c r="KW224" s="2710"/>
      <c r="KX224" s="2710"/>
      <c r="KY224" s="2710"/>
      <c r="KZ224" s="2710"/>
      <c r="LA224" s="2710"/>
      <c r="LB224" s="2710"/>
      <c r="LC224" s="2710"/>
      <c r="LD224" s="2710"/>
      <c r="LE224" s="2710"/>
      <c r="LF224" s="2710"/>
      <c r="LG224" s="514"/>
      <c r="LH224" s="514"/>
      <c r="LI224" s="514"/>
      <c r="LJ224" s="514"/>
      <c r="LK224" s="514"/>
      <c r="LL224" s="514"/>
      <c r="LM224" s="2711"/>
      <c r="LN224" s="514"/>
      <c r="LO224" s="514"/>
      <c r="LP224" s="514"/>
      <c r="LQ224" s="514"/>
      <c r="LR224" s="514"/>
      <c r="LS224" s="514"/>
      <c r="LT224" s="514"/>
      <c r="LU224" s="514"/>
      <c r="LV224" s="514"/>
      <c r="LW224" s="514"/>
      <c r="LX224" s="514"/>
      <c r="LY224" s="514"/>
      <c r="LZ224" s="514"/>
      <c r="MA224" s="514"/>
      <c r="MB224" s="514"/>
      <c r="MC224" s="2711"/>
      <c r="MD224" s="2711"/>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2341</v>
      </c>
      <c r="C225" s="1"/>
      <c r="D225" s="9"/>
      <c r="E225" s="1"/>
      <c r="F225" s="3521"/>
      <c r="G225" s="3522"/>
      <c r="H225" s="1"/>
      <c r="I225" s="3544" t="s">
        <v>5218</v>
      </c>
      <c r="J225" s="3545"/>
      <c r="K225" s="3546">
        <v>4200</v>
      </c>
      <c r="L225" s="3547"/>
      <c r="M225" s="1"/>
      <c r="N225" s="1129"/>
      <c r="O225" s="1129"/>
      <c r="P225" s="1129"/>
      <c r="Q225" s="1427"/>
      <c r="R225" s="3505"/>
      <c r="S225" s="3506"/>
      <c r="T225" s="3506"/>
      <c r="U225" s="3506"/>
      <c r="V225" s="3507"/>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10"/>
      <c r="JW225" s="514"/>
      <c r="JX225" s="514"/>
      <c r="JY225" s="514"/>
      <c r="JZ225" s="514"/>
      <c r="KA225" s="2710"/>
      <c r="KB225" s="2710"/>
      <c r="KC225" s="2710"/>
      <c r="KD225" s="2710"/>
      <c r="KE225" s="2710"/>
      <c r="KF225" s="2710"/>
      <c r="KG225" s="2710"/>
      <c r="KH225" s="2710"/>
      <c r="KI225" s="2710"/>
      <c r="KJ225" s="2710"/>
      <c r="KK225" s="2710"/>
      <c r="KL225" s="2710"/>
      <c r="KM225" s="2710"/>
      <c r="KN225" s="2710"/>
      <c r="KO225" s="2710"/>
      <c r="KP225" s="2710"/>
      <c r="KQ225" s="2710"/>
      <c r="KR225" s="2710"/>
      <c r="KS225" s="2710"/>
      <c r="KT225" s="2710"/>
      <c r="KU225" s="2710"/>
      <c r="KV225" s="2710"/>
      <c r="KW225" s="2710"/>
      <c r="KX225" s="2710"/>
      <c r="KY225" s="2710"/>
      <c r="KZ225" s="2710"/>
      <c r="LA225" s="2710"/>
      <c r="LB225" s="2710"/>
      <c r="LC225" s="2710"/>
      <c r="LD225" s="2710"/>
      <c r="LE225" s="2710"/>
      <c r="LF225" s="2710"/>
      <c r="LG225" s="514"/>
      <c r="LH225" s="514"/>
      <c r="LI225" s="514"/>
      <c r="LJ225" s="514"/>
      <c r="LK225" s="514"/>
      <c r="LL225" s="514"/>
      <c r="LM225" s="2711"/>
      <c r="LN225" s="514"/>
      <c r="LO225" s="514"/>
      <c r="LP225" s="514"/>
      <c r="LQ225" s="514"/>
      <c r="LR225" s="514"/>
      <c r="LS225" s="514"/>
      <c r="LT225" s="514"/>
      <c r="LU225" s="514"/>
      <c r="LV225" s="514"/>
      <c r="LW225" s="514"/>
      <c r="LX225" s="514"/>
      <c r="LY225" s="514"/>
      <c r="LZ225" s="514"/>
      <c r="MA225" s="514"/>
      <c r="MB225" s="514"/>
      <c r="MC225" s="2711"/>
      <c r="MD225" s="2711"/>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521"/>
      <c r="G226" s="3522"/>
      <c r="H226" s="1"/>
      <c r="I226" s="10"/>
      <c r="J226" s="11" t="s">
        <v>191</v>
      </c>
      <c r="K226" s="3548">
        <f>SUM(K222:K225)</f>
        <v>9660</v>
      </c>
      <c r="L226" s="3549"/>
      <c r="M226" s="3550" t="str">
        <f>IF(P228="","",IF(P226&lt;P228, "WARNING! OE below required minimum.",""))</f>
        <v/>
      </c>
      <c r="N226" s="10" t="s">
        <v>2186</v>
      </c>
      <c r="O226" s="5"/>
      <c r="P226" s="462">
        <f>F219+F228+F239+K217+K226+K236+P218+P221</f>
        <v>394749</v>
      </c>
      <c r="R226" s="3505"/>
      <c r="S226" s="3506"/>
      <c r="T226" s="3506"/>
      <c r="U226" s="3506"/>
      <c r="V226" s="3507"/>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10"/>
      <c r="JW226" s="514"/>
      <c r="JX226" s="514"/>
      <c r="JY226" s="514"/>
      <c r="JZ226" s="514"/>
      <c r="KA226" s="2710"/>
      <c r="KB226" s="2710"/>
      <c r="KC226" s="2710"/>
      <c r="KD226" s="2710"/>
      <c r="KE226" s="2710"/>
      <c r="KF226" s="2710"/>
      <c r="KG226" s="2710"/>
      <c r="KH226" s="2710"/>
      <c r="KI226" s="2710"/>
      <c r="KJ226" s="2710"/>
      <c r="KK226" s="2710"/>
      <c r="KL226" s="2710"/>
      <c r="KM226" s="2710"/>
      <c r="KN226" s="2710"/>
      <c r="KO226" s="2710"/>
      <c r="KP226" s="2710"/>
      <c r="KQ226" s="2710"/>
      <c r="KR226" s="2710"/>
      <c r="KS226" s="2710"/>
      <c r="KT226" s="2710"/>
      <c r="KU226" s="2710"/>
      <c r="KV226" s="2710"/>
      <c r="KW226" s="2710"/>
      <c r="KX226" s="2710"/>
      <c r="KY226" s="2710"/>
      <c r="KZ226" s="2710"/>
      <c r="LA226" s="2710"/>
      <c r="LB226" s="2710"/>
      <c r="LC226" s="2710"/>
      <c r="LD226" s="2710"/>
      <c r="LE226" s="2710"/>
      <c r="LF226" s="2710"/>
      <c r="LG226" s="514"/>
      <c r="LH226" s="514"/>
      <c r="LI226" s="514"/>
      <c r="LJ226" s="514"/>
      <c r="LK226" s="514"/>
      <c r="LL226" s="514"/>
      <c r="LM226" s="2711"/>
      <c r="LN226" s="514"/>
      <c r="LO226" s="514"/>
      <c r="LP226" s="514"/>
      <c r="LQ226" s="514"/>
      <c r="LR226" s="514"/>
      <c r="LS226" s="514"/>
      <c r="LT226" s="514"/>
      <c r="LU226" s="514"/>
      <c r="LV226" s="514"/>
      <c r="LW226" s="514"/>
      <c r="LX226" s="514"/>
      <c r="LY226" s="514"/>
      <c r="LZ226" s="514"/>
      <c r="MA226" s="514"/>
      <c r="MB226" s="514"/>
      <c r="MC226" s="2711"/>
      <c r="MD226" s="2711"/>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23" t="s">
        <v>5219</v>
      </c>
      <c r="C227" s="3524"/>
      <c r="D227" s="3524"/>
      <c r="E227" s="3525"/>
      <c r="F227" s="3526">
        <v>4200</v>
      </c>
      <c r="G227" s="3527"/>
      <c r="H227" s="1"/>
      <c r="I227" s="1"/>
      <c r="J227" s="12"/>
      <c r="K227" s="1"/>
      <c r="L227" s="1"/>
      <c r="M227" s="3550"/>
      <c r="N227" s="67" t="s">
        <v>2758</v>
      </c>
      <c r="O227" s="452">
        <f>+P226/O67</f>
        <v>4699.3928571428569</v>
      </c>
      <c r="Q227" s="993"/>
      <c r="R227" s="3505"/>
      <c r="S227" s="3506"/>
      <c r="T227" s="3506"/>
      <c r="U227" s="3506"/>
      <c r="V227" s="3507"/>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10"/>
      <c r="JW227" s="514"/>
      <c r="JX227" s="514"/>
      <c r="JY227" s="514"/>
      <c r="JZ227" s="514"/>
      <c r="KA227" s="2710"/>
      <c r="KB227" s="2710"/>
      <c r="KC227" s="2710"/>
      <c r="KD227" s="2710"/>
      <c r="KE227" s="2710"/>
      <c r="KF227" s="2710"/>
      <c r="KG227" s="2710"/>
      <c r="KH227" s="2710"/>
      <c r="KI227" s="2710"/>
      <c r="KJ227" s="2710"/>
      <c r="KK227" s="2710"/>
      <c r="KL227" s="2710"/>
      <c r="KM227" s="2710"/>
      <c r="KN227" s="2710"/>
      <c r="KO227" s="2710"/>
      <c r="KP227" s="2710"/>
      <c r="KQ227" s="2710"/>
      <c r="KR227" s="2710"/>
      <c r="KS227" s="2710"/>
      <c r="KT227" s="2710"/>
      <c r="KU227" s="2710"/>
      <c r="KV227" s="2710"/>
      <c r="KW227" s="2710"/>
      <c r="KX227" s="2710"/>
      <c r="KY227" s="2710"/>
      <c r="KZ227" s="2710"/>
      <c r="LA227" s="2710"/>
      <c r="LB227" s="2710"/>
      <c r="LC227" s="2710"/>
      <c r="LD227" s="2710"/>
      <c r="LE227" s="2710"/>
      <c r="LF227" s="2710"/>
      <c r="LG227" s="514"/>
      <c r="LH227" s="514"/>
      <c r="LI227" s="514"/>
      <c r="LJ227" s="514"/>
      <c r="LK227" s="514"/>
      <c r="LL227" s="514"/>
      <c r="LM227" s="2711"/>
      <c r="LN227" s="514"/>
      <c r="LO227" s="514"/>
      <c r="LP227" s="514"/>
      <c r="LQ227" s="514"/>
      <c r="LR227" s="514"/>
      <c r="LS227" s="514"/>
      <c r="LT227" s="514"/>
      <c r="LU227" s="514"/>
      <c r="LV227" s="514"/>
      <c r="LW227" s="514"/>
      <c r="LX227" s="514"/>
      <c r="LY227" s="514"/>
      <c r="LZ227" s="514"/>
      <c r="MA227" s="514"/>
      <c r="MB227" s="514"/>
      <c r="MC227" s="2711"/>
      <c r="MD227" s="2711"/>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34">
        <f>SUM(F222:G227)</f>
        <v>9324</v>
      </c>
      <c r="G228" s="3535"/>
      <c r="H228" s="1"/>
      <c r="I228" s="1"/>
      <c r="J228" s="12"/>
      <c r="K228" s="1"/>
      <c r="L228" s="1"/>
      <c r="M228" s="3550"/>
      <c r="O228" s="1130" t="s">
        <v>3730</v>
      </c>
      <c r="P228" s="113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378000</v>
      </c>
      <c r="R228" s="3505"/>
      <c r="S228" s="3506"/>
      <c r="T228" s="3506"/>
      <c r="U228" s="3506"/>
      <c r="V228" s="3507"/>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10"/>
      <c r="JW228" s="514"/>
      <c r="JX228" s="514"/>
      <c r="JY228" s="514"/>
      <c r="JZ228" s="514"/>
      <c r="KA228" s="2710"/>
      <c r="KB228" s="2710"/>
      <c r="KC228" s="2710"/>
      <c r="KD228" s="2710"/>
      <c r="KE228" s="2710"/>
      <c r="KF228" s="2710"/>
      <c r="KG228" s="2710"/>
      <c r="KH228" s="2710"/>
      <c r="KI228" s="2710"/>
      <c r="KJ228" s="2710"/>
      <c r="KK228" s="2710"/>
      <c r="KL228" s="2710"/>
      <c r="KM228" s="2710"/>
      <c r="KN228" s="2710"/>
      <c r="KO228" s="2710"/>
      <c r="KP228" s="2710"/>
      <c r="KQ228" s="2710"/>
      <c r="KR228" s="2710"/>
      <c r="KS228" s="2710"/>
      <c r="KT228" s="2710"/>
      <c r="KU228" s="2710"/>
      <c r="KV228" s="2710"/>
      <c r="KW228" s="2710"/>
      <c r="KX228" s="2710"/>
      <c r="KY228" s="2710"/>
      <c r="KZ228" s="2710"/>
      <c r="LA228" s="2710"/>
      <c r="LB228" s="2710"/>
      <c r="LC228" s="2710"/>
      <c r="LD228" s="2710"/>
      <c r="LE228" s="2710"/>
      <c r="LF228" s="2710"/>
      <c r="LG228" s="514"/>
      <c r="LH228" s="514"/>
      <c r="LI228" s="514"/>
      <c r="LJ228" s="514"/>
      <c r="LK228" s="514"/>
      <c r="LL228" s="514"/>
      <c r="LM228" s="2711"/>
      <c r="LN228" s="514"/>
      <c r="LO228" s="514"/>
      <c r="LP228" s="514"/>
      <c r="LQ228" s="514"/>
      <c r="LR228" s="514"/>
      <c r="LS228" s="514"/>
      <c r="LT228" s="514"/>
      <c r="LU228" s="514"/>
      <c r="LV228" s="514"/>
      <c r="LW228" s="514"/>
      <c r="LX228" s="514"/>
      <c r="LY228" s="514"/>
      <c r="LZ228" s="514"/>
      <c r="MA228" s="514"/>
      <c r="MB228" s="514"/>
      <c r="MC228" s="2711"/>
      <c r="MD228" s="2711"/>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50"/>
      <c r="N229" s="1"/>
      <c r="O229" s="1"/>
      <c r="P229" s="5"/>
      <c r="Q229" s="5"/>
      <c r="R229" s="3505"/>
      <c r="S229" s="3506"/>
      <c r="T229" s="3506"/>
      <c r="U229" s="3506"/>
      <c r="V229" s="3507"/>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10"/>
      <c r="JW229" s="514"/>
      <c r="JX229" s="514"/>
      <c r="JY229" s="514"/>
      <c r="JZ229" s="514"/>
      <c r="KA229" s="2710"/>
      <c r="KB229" s="2710"/>
      <c r="KC229" s="2710"/>
      <c r="KD229" s="2710"/>
      <c r="KE229" s="2710"/>
      <c r="KF229" s="2710"/>
      <c r="KG229" s="2710"/>
      <c r="KH229" s="2710"/>
      <c r="KI229" s="2710"/>
      <c r="KJ229" s="2710"/>
      <c r="KK229" s="2710"/>
      <c r="KL229" s="2710"/>
      <c r="KM229" s="2710"/>
      <c r="KN229" s="2710"/>
      <c r="KO229" s="2710"/>
      <c r="KP229" s="2710"/>
      <c r="KQ229" s="2710"/>
      <c r="KR229" s="2710"/>
      <c r="KS229" s="2710"/>
      <c r="KT229" s="2710"/>
      <c r="KU229" s="2710"/>
      <c r="KV229" s="2710"/>
      <c r="KW229" s="2710"/>
      <c r="KX229" s="2710"/>
      <c r="KY229" s="2710"/>
      <c r="KZ229" s="2710"/>
      <c r="LA229" s="2710"/>
      <c r="LB229" s="2710"/>
      <c r="LC229" s="2710"/>
      <c r="LD229" s="2710"/>
      <c r="LE229" s="2710"/>
      <c r="LF229" s="2710"/>
      <c r="LG229" s="514"/>
      <c r="LH229" s="514"/>
      <c r="LI229" s="514"/>
      <c r="LJ229" s="514"/>
      <c r="LK229" s="514"/>
      <c r="LL229" s="514"/>
      <c r="LM229" s="2711"/>
      <c r="LN229" s="514"/>
      <c r="LO229" s="514"/>
      <c r="LP229" s="514"/>
      <c r="LQ229" s="514"/>
      <c r="LR229" s="514"/>
      <c r="LS229" s="514"/>
      <c r="LT229" s="514"/>
      <c r="LU229" s="514"/>
      <c r="LV229" s="514"/>
      <c r="LW229" s="514"/>
      <c r="LX229" s="514"/>
      <c r="LY229" s="514"/>
      <c r="LZ229" s="514"/>
      <c r="MA229" s="514"/>
      <c r="MB229" s="514"/>
      <c r="MC229" s="2711"/>
      <c r="MD229" s="2711"/>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31" t="s">
        <v>5019</v>
      </c>
      <c r="K230" s="1"/>
      <c r="L230" s="1"/>
      <c r="M230" s="1"/>
      <c r="N230" s="10" t="s">
        <v>3481</v>
      </c>
      <c r="O230" s="10"/>
      <c r="P230" s="1449">
        <f>P239</f>
        <v>21000</v>
      </c>
      <c r="Q230" s="994"/>
      <c r="R230" s="3505"/>
      <c r="S230" s="3506"/>
      <c r="T230" s="3506"/>
      <c r="U230" s="3506"/>
      <c r="V230" s="3507"/>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10"/>
      <c r="JW230" s="514"/>
      <c r="JX230" s="514"/>
      <c r="JY230" s="514"/>
      <c r="JZ230" s="514"/>
      <c r="KA230" s="2710"/>
      <c r="KB230" s="2710"/>
      <c r="KC230" s="2710"/>
      <c r="KD230" s="2710"/>
      <c r="KE230" s="2710"/>
      <c r="KF230" s="2710"/>
      <c r="KG230" s="2710"/>
      <c r="KH230" s="2710"/>
      <c r="KI230" s="2710"/>
      <c r="KJ230" s="2710"/>
      <c r="KK230" s="2710"/>
      <c r="KL230" s="2710"/>
      <c r="KM230" s="2710"/>
      <c r="KN230" s="2710"/>
      <c r="KO230" s="2710"/>
      <c r="KP230" s="2710"/>
      <c r="KQ230" s="2710"/>
      <c r="KR230" s="2710"/>
      <c r="KS230" s="2710"/>
      <c r="KT230" s="2710"/>
      <c r="KU230" s="2710"/>
      <c r="KV230" s="2710"/>
      <c r="KW230" s="2710"/>
      <c r="KX230" s="2710"/>
      <c r="KY230" s="2710"/>
      <c r="KZ230" s="2710"/>
      <c r="LA230" s="2710"/>
      <c r="LB230" s="2710"/>
      <c r="LC230" s="2710"/>
      <c r="LD230" s="2710"/>
      <c r="LE230" s="2710"/>
      <c r="LF230" s="2710"/>
      <c r="LG230" s="514"/>
      <c r="LH230" s="514"/>
      <c r="LI230" s="514"/>
      <c r="LJ230" s="514"/>
      <c r="LK230" s="514"/>
      <c r="LL230" s="514"/>
      <c r="LM230" s="2711"/>
      <c r="LN230" s="514"/>
      <c r="LO230" s="514"/>
      <c r="LP230" s="514"/>
      <c r="LQ230" s="514"/>
      <c r="LR230" s="514"/>
      <c r="LS230" s="514"/>
      <c r="LT230" s="514"/>
      <c r="LU230" s="514"/>
      <c r="LV230" s="514"/>
      <c r="LW230" s="514"/>
      <c r="LX230" s="514"/>
      <c r="LY230" s="514"/>
      <c r="LZ230" s="514"/>
      <c r="MA230" s="514"/>
      <c r="MB230" s="514"/>
      <c r="MC230" s="2711"/>
      <c r="MD230" s="2711"/>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536">
        <v>12600</v>
      </c>
      <c r="G231" s="3537"/>
      <c r="H231" s="1"/>
      <c r="I231" s="1" t="s">
        <v>1368</v>
      </c>
      <c r="J231" s="524">
        <f>K231/12/O67</f>
        <v>11.25</v>
      </c>
      <c r="K231" s="3538">
        <v>11340</v>
      </c>
      <c r="L231" s="3539"/>
      <c r="M231" s="3530" t="str">
        <f>IF(P230&lt;P239, "WARNING! RR proposed is below the DCA required minimum.","")</f>
        <v/>
      </c>
      <c r="N231" s="1152" t="s">
        <v>5018</v>
      </c>
      <c r="O231" s="1147"/>
      <c r="P231" s="1153">
        <f>P230/O239</f>
        <v>250</v>
      </c>
      <c r="Q231" s="999"/>
      <c r="R231" s="3505"/>
      <c r="S231" s="3506"/>
      <c r="T231" s="3506"/>
      <c r="U231" s="3506"/>
      <c r="V231" s="3507"/>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10"/>
      <c r="JW231" s="514"/>
      <c r="JX231" s="514"/>
      <c r="JY231" s="514"/>
      <c r="JZ231" s="514"/>
      <c r="KA231" s="2710"/>
      <c r="KB231" s="2710"/>
      <c r="KC231" s="2710"/>
      <c r="KD231" s="2710"/>
      <c r="KE231" s="2710"/>
      <c r="KF231" s="2710"/>
      <c r="KG231" s="2710"/>
      <c r="KH231" s="2710"/>
      <c r="KI231" s="2710"/>
      <c r="KJ231" s="2710"/>
      <c r="KK231" s="2710"/>
      <c r="KL231" s="2710"/>
      <c r="KM231" s="2710"/>
      <c r="KN231" s="2710"/>
      <c r="KO231" s="2710"/>
      <c r="KP231" s="2710"/>
      <c r="KQ231" s="2710"/>
      <c r="KR231" s="2710"/>
      <c r="KS231" s="2710"/>
      <c r="KT231" s="2710"/>
      <c r="KU231" s="2710"/>
      <c r="KV231" s="2710"/>
      <c r="KW231" s="2710"/>
      <c r="KX231" s="2710"/>
      <c r="KY231" s="2710"/>
      <c r="KZ231" s="2710"/>
      <c r="LA231" s="2710"/>
      <c r="LB231" s="2710"/>
      <c r="LC231" s="2710"/>
      <c r="LD231" s="2710"/>
      <c r="LE231" s="2710"/>
      <c r="LF231" s="2710"/>
      <c r="LG231" s="514"/>
      <c r="LH231" s="514"/>
      <c r="LI231" s="514"/>
      <c r="LJ231" s="514"/>
      <c r="LK231" s="514"/>
      <c r="LL231" s="514"/>
      <c r="LM231" s="2711"/>
      <c r="LN231" s="514"/>
      <c r="LO231" s="514"/>
      <c r="LP231" s="514"/>
      <c r="LQ231" s="514"/>
      <c r="LR231" s="514"/>
      <c r="LS231" s="514"/>
      <c r="LT231" s="514"/>
      <c r="LU231" s="514"/>
      <c r="LV231" s="514"/>
      <c r="LW231" s="514"/>
      <c r="LX231" s="514"/>
      <c r="LY231" s="514"/>
      <c r="LZ231" s="514"/>
      <c r="MA231" s="514"/>
      <c r="MB231" s="514"/>
      <c r="MC231" s="2711"/>
      <c r="MD231" s="2711"/>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540">
        <f>840+12600</f>
        <v>13440</v>
      </c>
      <c r="G232" s="3541"/>
      <c r="H232" s="1"/>
      <c r="I232" s="1" t="s">
        <v>1369</v>
      </c>
      <c r="J232" s="524">
        <f>K232/12/O67</f>
        <v>0</v>
      </c>
      <c r="K232" s="3542"/>
      <c r="L232" s="3543"/>
      <c r="M232" s="3530"/>
      <c r="N232" s="3531" t="s">
        <v>3739</v>
      </c>
      <c r="O232" s="3532"/>
      <c r="P232" s="3533"/>
      <c r="R232" s="3505"/>
      <c r="S232" s="3506"/>
      <c r="T232" s="3506"/>
      <c r="U232" s="3506"/>
      <c r="V232" s="3507"/>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10"/>
      <c r="JW232" s="514"/>
      <c r="JX232" s="514"/>
      <c r="JY232" s="514"/>
      <c r="JZ232" s="514"/>
      <c r="KA232" s="2710"/>
      <c r="KB232" s="2710"/>
      <c r="KC232" s="2710"/>
      <c r="KD232" s="2710"/>
      <c r="KE232" s="2710"/>
      <c r="KF232" s="2710"/>
      <c r="KG232" s="2710"/>
      <c r="KH232" s="2710"/>
      <c r="KI232" s="2710"/>
      <c r="KJ232" s="2710"/>
      <c r="KK232" s="2710"/>
      <c r="KL232" s="2710"/>
      <c r="KM232" s="2710"/>
      <c r="KN232" s="2710"/>
      <c r="KO232" s="2710"/>
      <c r="KP232" s="2710"/>
      <c r="KQ232" s="2710"/>
      <c r="KR232" s="2710"/>
      <c r="KS232" s="2710"/>
      <c r="KT232" s="2710"/>
      <c r="KU232" s="2710"/>
      <c r="KV232" s="2710"/>
      <c r="KW232" s="2710"/>
      <c r="KX232" s="2710"/>
      <c r="KY232" s="2710"/>
      <c r="KZ232" s="2710"/>
      <c r="LA232" s="2710"/>
      <c r="LB232" s="2710"/>
      <c r="LC232" s="2710"/>
      <c r="LD232" s="2710"/>
      <c r="LE232" s="2710"/>
      <c r="LF232" s="2710"/>
      <c r="LG232" s="514"/>
      <c r="LH232" s="514"/>
      <c r="LI232" s="514"/>
      <c r="LJ232" s="514"/>
      <c r="LK232" s="514"/>
      <c r="LL232" s="514"/>
      <c r="LM232" s="2711"/>
      <c r="LN232" s="514"/>
      <c r="LO232" s="514"/>
      <c r="LP232" s="514"/>
      <c r="LQ232" s="514"/>
      <c r="LR232" s="514"/>
      <c r="LS232" s="514"/>
      <c r="LT232" s="514"/>
      <c r="LU232" s="514"/>
      <c r="LV232" s="514"/>
      <c r="LW232" s="514"/>
      <c r="LX232" s="514"/>
      <c r="LY232" s="514"/>
      <c r="LZ232" s="514"/>
      <c r="MA232" s="514"/>
      <c r="MB232" s="514"/>
      <c r="MC232" s="2711"/>
      <c r="MD232" s="2711"/>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540">
        <v>14700</v>
      </c>
      <c r="G233" s="3541"/>
      <c r="H233" s="1"/>
      <c r="I233" s="1" t="s">
        <v>2352</v>
      </c>
      <c r="J233" s="524">
        <f>K233/12/O67</f>
        <v>55.833333333333336</v>
      </c>
      <c r="K233" s="3542">
        <f>28140*2</f>
        <v>56280</v>
      </c>
      <c r="L233" s="3543"/>
      <c r="M233" s="3530"/>
      <c r="N233" s="1146" t="s">
        <v>2714</v>
      </c>
      <c r="O233" s="990" t="s">
        <v>3851</v>
      </c>
      <c r="P233" s="1148" t="s">
        <v>3438</v>
      </c>
      <c r="Q233" s="990"/>
      <c r="R233" s="3505"/>
      <c r="S233" s="3506"/>
      <c r="T233" s="3506"/>
      <c r="U233" s="3506"/>
      <c r="V233" s="3507"/>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10"/>
      <c r="JW233" s="514"/>
      <c r="JX233" s="514"/>
      <c r="JY233" s="514"/>
      <c r="JZ233" s="514"/>
      <c r="KA233" s="2710"/>
      <c r="KB233" s="2710"/>
      <c r="KC233" s="2710"/>
      <c r="KD233" s="2710"/>
      <c r="KE233" s="2710"/>
      <c r="KF233" s="2710"/>
      <c r="KG233" s="2710"/>
      <c r="KH233" s="2710"/>
      <c r="KI233" s="2710"/>
      <c r="KJ233" s="2710"/>
      <c r="KK233" s="2710"/>
      <c r="KL233" s="2710"/>
      <c r="KM233" s="2710"/>
      <c r="KN233" s="2710"/>
      <c r="KO233" s="2710"/>
      <c r="KP233" s="2710"/>
      <c r="KQ233" s="2710"/>
      <c r="KR233" s="2710"/>
      <c r="KS233" s="2710"/>
      <c r="KT233" s="2710"/>
      <c r="KU233" s="2710"/>
      <c r="KV233" s="2710"/>
      <c r="KW233" s="2710"/>
      <c r="KX233" s="2710"/>
      <c r="KY233" s="2710"/>
      <c r="KZ233" s="2710"/>
      <c r="LA233" s="2710"/>
      <c r="LB233" s="2710"/>
      <c r="LC233" s="2710"/>
      <c r="LD233" s="2710"/>
      <c r="LE233" s="2710"/>
      <c r="LF233" s="2710"/>
      <c r="LG233" s="514"/>
      <c r="LH233" s="514"/>
      <c r="LI233" s="514"/>
      <c r="LJ233" s="514"/>
      <c r="LK233" s="514"/>
      <c r="LL233" s="514"/>
      <c r="LM233" s="2711"/>
      <c r="LN233" s="514"/>
      <c r="LO233" s="514"/>
      <c r="LP233" s="514"/>
      <c r="LQ233" s="514"/>
      <c r="LR233" s="514"/>
      <c r="LS233" s="514"/>
      <c r="LT233" s="514"/>
      <c r="LU233" s="514"/>
      <c r="LV233" s="514"/>
      <c r="LW233" s="514"/>
      <c r="LX233" s="514"/>
      <c r="LY233" s="514"/>
      <c r="LZ233" s="514"/>
      <c r="MA233" s="514"/>
      <c r="MB233" s="514"/>
      <c r="MC233" s="2711"/>
      <c r="MD233" s="2711"/>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521">
        <v>2352</v>
      </c>
      <c r="G234" s="3522"/>
      <c r="H234" s="1"/>
      <c r="I234" s="1" t="s">
        <v>1371</v>
      </c>
      <c r="J234" s="1"/>
      <c r="K234" s="3542">
        <v>10500</v>
      </c>
      <c r="L234" s="3543"/>
      <c r="M234" s="3530"/>
      <c r="N234" s="731" t="s">
        <v>39</v>
      </c>
      <c r="O234" s="732"/>
      <c r="P234" s="733"/>
      <c r="Q234" s="732"/>
      <c r="R234" s="3505"/>
      <c r="S234" s="3506"/>
      <c r="T234" s="3506"/>
      <c r="U234" s="3506"/>
      <c r="V234" s="3507"/>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10"/>
      <c r="JW234" s="514"/>
      <c r="JX234" s="514"/>
      <c r="JY234" s="514"/>
      <c r="JZ234" s="514"/>
      <c r="KA234" s="2710"/>
      <c r="KB234" s="2710"/>
      <c r="KC234" s="2710"/>
      <c r="KD234" s="2710"/>
      <c r="KE234" s="2710"/>
      <c r="KF234" s="2710"/>
      <c r="KG234" s="2710"/>
      <c r="KH234" s="2710"/>
      <c r="KI234" s="2710"/>
      <c r="KJ234" s="2710"/>
      <c r="KK234" s="2710"/>
      <c r="KL234" s="2710"/>
      <c r="KM234" s="2710"/>
      <c r="KN234" s="2710"/>
      <c r="KO234" s="2710"/>
      <c r="KP234" s="2710"/>
      <c r="KQ234" s="2710"/>
      <c r="KR234" s="2710"/>
      <c r="KS234" s="2710"/>
      <c r="KT234" s="2710"/>
      <c r="KU234" s="2710"/>
      <c r="KV234" s="2710"/>
      <c r="KW234" s="2710"/>
      <c r="KX234" s="2710"/>
      <c r="KY234" s="2710"/>
      <c r="KZ234" s="2710"/>
      <c r="LA234" s="2710"/>
      <c r="LB234" s="2710"/>
      <c r="LC234" s="2710"/>
      <c r="LD234" s="2710"/>
      <c r="LE234" s="2710"/>
      <c r="LF234" s="2710"/>
      <c r="LG234" s="514"/>
      <c r="LH234" s="514"/>
      <c r="LI234" s="514"/>
      <c r="LJ234" s="514"/>
      <c r="LK234" s="514"/>
      <c r="LL234" s="514"/>
      <c r="LM234" s="2711"/>
      <c r="LN234" s="514"/>
      <c r="LO234" s="514"/>
      <c r="LP234" s="514"/>
      <c r="LQ234" s="514"/>
      <c r="LR234" s="514"/>
      <c r="LS234" s="514"/>
      <c r="LT234" s="514"/>
      <c r="LU234" s="514"/>
      <c r="LV234" s="514"/>
      <c r="LW234" s="514"/>
      <c r="LX234" s="514"/>
      <c r="LY234" s="514"/>
      <c r="LZ234" s="514"/>
      <c r="MA234" s="514"/>
      <c r="MB234" s="514"/>
      <c r="MC234" s="2711"/>
      <c r="MD234" s="2711"/>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521">
        <v>1260</v>
      </c>
      <c r="G235" s="3522"/>
      <c r="H235" s="1"/>
      <c r="I235" s="3544" t="s">
        <v>51</v>
      </c>
      <c r="J235" s="3545"/>
      <c r="K235" s="3546"/>
      <c r="L235" s="3547"/>
      <c r="M235" s="3530"/>
      <c r="N235" s="562" t="s">
        <v>3430</v>
      </c>
      <c r="O235" s="996" t="str">
        <f>CONCATENATE(SUM(ME48:MI48)," units x $",'DCA Underwriting Assumptions'!$Q$64," =")</f>
        <v>0 units x $350 =</v>
      </c>
      <c r="P235" s="734">
        <f>SUM(ME48:MI48)*'DCA Underwriting Assumptions'!$Q$64</f>
        <v>0</v>
      </c>
      <c r="Q235" s="996"/>
      <c r="R235" s="3505"/>
      <c r="S235" s="3506"/>
      <c r="T235" s="3506"/>
      <c r="U235" s="3506"/>
      <c r="V235" s="3507"/>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10"/>
      <c r="JW235" s="514"/>
      <c r="JX235" s="514"/>
      <c r="JY235" s="514"/>
      <c r="JZ235" s="514"/>
      <c r="KA235" s="2710"/>
      <c r="KB235" s="2710"/>
      <c r="KC235" s="2710"/>
      <c r="KD235" s="2710"/>
      <c r="KE235" s="2710"/>
      <c r="KF235" s="2710"/>
      <c r="KG235" s="2710"/>
      <c r="KH235" s="2710"/>
      <c r="KI235" s="2710"/>
      <c r="KJ235" s="2710"/>
      <c r="KK235" s="2710"/>
      <c r="KL235" s="2710"/>
      <c r="KM235" s="2710"/>
      <c r="KN235" s="2710"/>
      <c r="KO235" s="2710"/>
      <c r="KP235" s="2710"/>
      <c r="KQ235" s="2710"/>
      <c r="KR235" s="2710"/>
      <c r="KS235" s="2710"/>
      <c r="KT235" s="2710"/>
      <c r="KU235" s="2710"/>
      <c r="KV235" s="2710"/>
      <c r="KW235" s="2710"/>
      <c r="KX235" s="2710"/>
      <c r="KY235" s="2710"/>
      <c r="KZ235" s="2710"/>
      <c r="LA235" s="2710"/>
      <c r="LB235" s="2710"/>
      <c r="LC235" s="2710"/>
      <c r="LD235" s="2710"/>
      <c r="LE235" s="2710"/>
      <c r="LF235" s="2710"/>
      <c r="LG235" s="514"/>
      <c r="LH235" s="514"/>
      <c r="LI235" s="514"/>
      <c r="LJ235" s="514"/>
      <c r="LK235" s="514"/>
      <c r="LL235" s="514"/>
      <c r="LM235" s="2711"/>
      <c r="LN235" s="514"/>
      <c r="LO235" s="514"/>
      <c r="LP235" s="514"/>
      <c r="LQ235" s="514"/>
      <c r="LR235" s="514"/>
      <c r="LS235" s="514"/>
      <c r="LT235" s="514"/>
      <c r="LU235" s="514"/>
      <c r="LV235" s="514"/>
      <c r="LW235" s="514"/>
      <c r="LX235" s="514"/>
      <c r="LY235" s="514"/>
      <c r="LZ235" s="514"/>
      <c r="MA235" s="514"/>
      <c r="MB235" s="514"/>
      <c r="MC235" s="2711"/>
      <c r="MD235" s="2711"/>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521"/>
      <c r="G236" s="3522"/>
      <c r="H236" s="1"/>
      <c r="I236" s="1"/>
      <c r="J236" s="11" t="s">
        <v>191</v>
      </c>
      <c r="K236" s="3548">
        <f>SUM(K231:K235)</f>
        <v>78120</v>
      </c>
      <c r="L236" s="3549"/>
      <c r="M236" s="3530"/>
      <c r="N236" s="562" t="s">
        <v>3429</v>
      </c>
      <c r="O236" s="996" t="str">
        <f>CONCATENATE(SUM(MJ48:MN48)," units x $",'DCA Underwriting Assumptions'!$Q$65," =")</f>
        <v>84 units x $250 =</v>
      </c>
      <c r="P236" s="734">
        <f>SUM(MJ48:MN48)*'DCA Underwriting Assumptions'!$Q$65</f>
        <v>21000</v>
      </c>
      <c r="Q236" s="996"/>
      <c r="R236" s="3505"/>
      <c r="S236" s="3506"/>
      <c r="T236" s="3506"/>
      <c r="U236" s="3506"/>
      <c r="V236" s="3507"/>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10"/>
      <c r="JW236" s="514"/>
      <c r="JX236" s="514"/>
      <c r="JY236" s="514"/>
      <c r="JZ236" s="514"/>
      <c r="KA236" s="2710"/>
      <c r="KB236" s="2710"/>
      <c r="KC236" s="2710"/>
      <c r="KD236" s="2710"/>
      <c r="KE236" s="2710"/>
      <c r="KF236" s="2710"/>
      <c r="KG236" s="2710"/>
      <c r="KH236" s="2710"/>
      <c r="KI236" s="2710"/>
      <c r="KJ236" s="2710"/>
      <c r="KK236" s="2710"/>
      <c r="KL236" s="2710"/>
      <c r="KM236" s="2710"/>
      <c r="KN236" s="2710"/>
      <c r="KO236" s="2710"/>
      <c r="KP236" s="2710"/>
      <c r="KQ236" s="2710"/>
      <c r="KR236" s="2710"/>
      <c r="KS236" s="2710"/>
      <c r="KT236" s="2710"/>
      <c r="KU236" s="2710"/>
      <c r="KV236" s="2710"/>
      <c r="KW236" s="2710"/>
      <c r="KX236" s="2710"/>
      <c r="KY236" s="2710"/>
      <c r="KZ236" s="2710"/>
      <c r="LA236" s="2710"/>
      <c r="LB236" s="2710"/>
      <c r="LC236" s="2710"/>
      <c r="LD236" s="2710"/>
      <c r="LE236" s="2710"/>
      <c r="LF236" s="2710"/>
      <c r="LG236" s="514"/>
      <c r="LH236" s="514"/>
      <c r="LI236" s="514"/>
      <c r="LJ236" s="514"/>
      <c r="LK236" s="514"/>
      <c r="LL236" s="514"/>
      <c r="LM236" s="2711"/>
      <c r="LN236" s="514"/>
      <c r="LO236" s="514"/>
      <c r="LP236" s="514"/>
      <c r="LQ236" s="514"/>
      <c r="LR236" s="514"/>
      <c r="LS236" s="514"/>
      <c r="LT236" s="514"/>
      <c r="LU236" s="514"/>
      <c r="LV236" s="514"/>
      <c r="LW236" s="514"/>
      <c r="LX236" s="514"/>
      <c r="LY236" s="514"/>
      <c r="LZ236" s="514"/>
      <c r="MA236" s="514"/>
      <c r="MB236" s="514"/>
      <c r="MC236" s="2711"/>
      <c r="MD236" s="2711"/>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521">
        <v>10500</v>
      </c>
      <c r="G237" s="3522"/>
      <c r="H237" s="1"/>
      <c r="I237" s="1"/>
      <c r="J237" s="12"/>
      <c r="K237" s="1"/>
      <c r="L237" s="1"/>
      <c r="M237" s="3530"/>
      <c r="N237" s="735" t="s">
        <v>3433</v>
      </c>
      <c r="O237" s="996" t="str">
        <f>CONCATENATE(SUM(MO48:MS48)," units x $",'DCA Underwriting Assumptions'!$Q$66," =")</f>
        <v>0 units x $420 =</v>
      </c>
      <c r="P237" s="734">
        <f>SUM(MO48:MS48)*'DCA Underwriting Assumptions'!$Q$66</f>
        <v>0</v>
      </c>
      <c r="Q237" s="996"/>
      <c r="R237" s="3505"/>
      <c r="S237" s="3506"/>
      <c r="T237" s="3506"/>
      <c r="U237" s="3506"/>
      <c r="V237" s="3507"/>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10"/>
      <c r="JW237" s="514"/>
      <c r="JX237" s="514"/>
      <c r="JY237" s="514"/>
      <c r="JZ237" s="514"/>
      <c r="KA237" s="2710"/>
      <c r="KB237" s="2710"/>
      <c r="KC237" s="2710"/>
      <c r="KD237" s="2710"/>
      <c r="KE237" s="2710"/>
      <c r="KF237" s="2710"/>
      <c r="KG237" s="2710"/>
      <c r="KH237" s="2710"/>
      <c r="KI237" s="2710"/>
      <c r="KJ237" s="2710"/>
      <c r="KK237" s="2710"/>
      <c r="KL237" s="2710"/>
      <c r="KM237" s="2710"/>
      <c r="KN237" s="2710"/>
      <c r="KO237" s="2710"/>
      <c r="KP237" s="2710"/>
      <c r="KQ237" s="2710"/>
      <c r="KR237" s="2710"/>
      <c r="KS237" s="2710"/>
      <c r="KT237" s="2710"/>
      <c r="KU237" s="2710"/>
      <c r="KV237" s="2710"/>
      <c r="KW237" s="2710"/>
      <c r="KX237" s="2710"/>
      <c r="KY237" s="2710"/>
      <c r="KZ237" s="2710"/>
      <c r="LA237" s="2710"/>
      <c r="LB237" s="2710"/>
      <c r="LC237" s="2710"/>
      <c r="LD237" s="2710"/>
      <c r="LE237" s="2710"/>
      <c r="LF237" s="2710"/>
      <c r="LG237" s="514"/>
      <c r="LH237" s="514"/>
      <c r="LI237" s="514"/>
      <c r="LJ237" s="514"/>
      <c r="LK237" s="514"/>
      <c r="LL237" s="514"/>
      <c r="LM237" s="2711"/>
      <c r="LN237" s="514"/>
      <c r="LO237" s="514"/>
      <c r="LP237" s="514"/>
      <c r="LQ237" s="514"/>
      <c r="LR237" s="514"/>
      <c r="LS237" s="514"/>
      <c r="LT237" s="514"/>
      <c r="LU237" s="514"/>
      <c r="LV237" s="514"/>
      <c r="LW237" s="514"/>
      <c r="LX237" s="514"/>
      <c r="LY237" s="514"/>
      <c r="LZ237" s="514"/>
      <c r="MA237" s="514"/>
      <c r="MB237" s="514"/>
      <c r="MC237" s="2711"/>
      <c r="MD237" s="2711"/>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23" t="s">
        <v>5220</v>
      </c>
      <c r="C238" s="3524"/>
      <c r="D238" s="3524"/>
      <c r="E238" s="3525"/>
      <c r="F238" s="3526">
        <v>8400</v>
      </c>
      <c r="G238" s="3527"/>
      <c r="H238" s="1"/>
      <c r="I238" s="1"/>
      <c r="J238" s="12"/>
      <c r="K238" s="1"/>
      <c r="L238" s="1"/>
      <c r="M238" s="1"/>
      <c r="N238" s="735" t="s">
        <v>3428</v>
      </c>
      <c r="O238" s="996" t="str">
        <f>CONCATENATE(O113," units x $",'DCA Underwriting Assumptions'!$Q$66," =")</f>
        <v>0 units x $420 =</v>
      </c>
      <c r="P238" s="734">
        <f>O113*'DCA Underwriting Assumptions'!$Q$66</f>
        <v>0</v>
      </c>
      <c r="Q238" s="996"/>
      <c r="R238" s="3505"/>
      <c r="S238" s="3506"/>
      <c r="T238" s="3506"/>
      <c r="U238" s="3506"/>
      <c r="V238" s="3507"/>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10"/>
      <c r="JW238" s="514"/>
      <c r="JX238" s="514"/>
      <c r="JY238" s="514"/>
      <c r="JZ238" s="514"/>
      <c r="KA238" s="2710"/>
      <c r="KB238" s="2710"/>
      <c r="KC238" s="2710"/>
      <c r="KD238" s="2710"/>
      <c r="KE238" s="2710"/>
      <c r="KF238" s="2710"/>
      <c r="KG238" s="2710"/>
      <c r="KH238" s="2710"/>
      <c r="KI238" s="2710"/>
      <c r="KJ238" s="2710"/>
      <c r="KK238" s="2710"/>
      <c r="KL238" s="2710"/>
      <c r="KM238" s="2710"/>
      <c r="KN238" s="2710"/>
      <c r="KO238" s="2710"/>
      <c r="KP238" s="2710"/>
      <c r="KQ238" s="2710"/>
      <c r="KR238" s="2710"/>
      <c r="KS238" s="2710"/>
      <c r="KT238" s="2710"/>
      <c r="KU238" s="2710"/>
      <c r="KV238" s="2710"/>
      <c r="KW238" s="2710"/>
      <c r="KX238" s="2710"/>
      <c r="KY238" s="2710"/>
      <c r="KZ238" s="2710"/>
      <c r="LA238" s="2710"/>
      <c r="LB238" s="2710"/>
      <c r="LC238" s="2710"/>
      <c r="LD238" s="2710"/>
      <c r="LE238" s="2710"/>
      <c r="LF238" s="2710"/>
      <c r="LG238" s="514"/>
      <c r="LH238" s="514"/>
      <c r="LI238" s="514"/>
      <c r="LJ238" s="514"/>
      <c r="LK238" s="514"/>
      <c r="LL238" s="514"/>
      <c r="LM238" s="2711"/>
      <c r="LN238" s="514"/>
      <c r="LO238" s="514"/>
      <c r="LP238" s="514"/>
      <c r="LQ238" s="514"/>
      <c r="LR238" s="514"/>
      <c r="LS238" s="514"/>
      <c r="LT238" s="514"/>
      <c r="LU238" s="514"/>
      <c r="LV238" s="514"/>
      <c r="LW238" s="514"/>
      <c r="LX238" s="514"/>
      <c r="LY238" s="514"/>
      <c r="LZ238" s="514"/>
      <c r="MA238" s="514"/>
      <c r="MB238" s="514"/>
      <c r="MC238" s="2711"/>
      <c r="MD238" s="2711"/>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28">
        <f>SUM(F231:G238)</f>
        <v>63252</v>
      </c>
      <c r="G239" s="3529"/>
      <c r="H239" s="1"/>
      <c r="I239" s="1"/>
      <c r="J239" s="12"/>
      <c r="K239" s="1"/>
      <c r="L239" s="1"/>
      <c r="M239" s="1"/>
      <c r="N239" s="1149" t="s">
        <v>2717</v>
      </c>
      <c r="O239" s="1150">
        <f>SUM(ME48:MI48)+SUM(MJ48:MN48)+SUM(MO48:MS48)+O113</f>
        <v>84</v>
      </c>
      <c r="P239" s="1151">
        <f>SUM(P235:P238)</f>
        <v>21000</v>
      </c>
      <c r="Q239" s="996"/>
      <c r="R239" s="3509"/>
      <c r="S239" s="3510"/>
      <c r="T239" s="3510"/>
      <c r="U239" s="3510"/>
      <c r="V239" s="3511"/>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10"/>
      <c r="JW239" s="514"/>
      <c r="JX239" s="514"/>
      <c r="JY239" s="514"/>
      <c r="JZ239" s="514"/>
      <c r="KA239" s="2710"/>
      <c r="KB239" s="2710"/>
      <c r="KC239" s="2710"/>
      <c r="KD239" s="2710"/>
      <c r="KE239" s="2710"/>
      <c r="KF239" s="2710"/>
      <c r="KG239" s="2710"/>
      <c r="KH239" s="2710"/>
      <c r="KI239" s="2710"/>
      <c r="KJ239" s="2710"/>
      <c r="KK239" s="2710"/>
      <c r="KL239" s="2710"/>
      <c r="KM239" s="2710"/>
      <c r="KN239" s="2710"/>
      <c r="KO239" s="2710"/>
      <c r="KP239" s="2710"/>
      <c r="KQ239" s="2710"/>
      <c r="KR239" s="2710"/>
      <c r="KS239" s="2710"/>
      <c r="KT239" s="2710"/>
      <c r="KU239" s="2710"/>
      <c r="KV239" s="2710"/>
      <c r="KW239" s="2710"/>
      <c r="KX239" s="2710"/>
      <c r="KY239" s="2710"/>
      <c r="KZ239" s="2710"/>
      <c r="LA239" s="2710"/>
      <c r="LB239" s="2710"/>
      <c r="LC239" s="2710"/>
      <c r="LD239" s="2710"/>
      <c r="LE239" s="2710"/>
      <c r="LF239" s="2710"/>
      <c r="LG239" s="514"/>
      <c r="LH239" s="514"/>
      <c r="LI239" s="514"/>
      <c r="LJ239" s="514"/>
      <c r="LK239" s="514"/>
      <c r="LL239" s="514"/>
      <c r="LM239" s="2711"/>
      <c r="LN239" s="514"/>
      <c r="LO239" s="514"/>
      <c r="LP239" s="514"/>
      <c r="LQ239" s="514"/>
      <c r="LR239" s="514"/>
      <c r="LS239" s="514"/>
      <c r="LT239" s="514"/>
      <c r="LU239" s="514"/>
      <c r="LV239" s="514"/>
      <c r="LW239" s="514"/>
      <c r="LX239" s="514"/>
      <c r="LY239" s="514"/>
      <c r="LZ239" s="514"/>
      <c r="MA239" s="514"/>
      <c r="MB239" s="514"/>
      <c r="MC239" s="2711"/>
      <c r="MD239" s="2711"/>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10"/>
      <c r="JW240" s="514"/>
      <c r="JX240" s="514"/>
      <c r="JY240" s="514"/>
      <c r="JZ240" s="514"/>
      <c r="KA240" s="2710"/>
      <c r="KB240" s="2710"/>
      <c r="KC240" s="2710"/>
      <c r="KD240" s="2710"/>
      <c r="KE240" s="2710"/>
      <c r="KF240" s="2710"/>
      <c r="KG240" s="2710"/>
      <c r="KH240" s="2710"/>
      <c r="KI240" s="2710"/>
      <c r="KJ240" s="2710"/>
      <c r="KK240" s="2710"/>
      <c r="KL240" s="2710"/>
      <c r="KM240" s="2710"/>
      <c r="KN240" s="2710"/>
      <c r="KO240" s="2710"/>
      <c r="KP240" s="2710"/>
      <c r="KQ240" s="2710"/>
      <c r="KR240" s="2710"/>
      <c r="KS240" s="2710"/>
      <c r="KT240" s="2710"/>
      <c r="KU240" s="2710"/>
      <c r="KV240" s="2710"/>
      <c r="KW240" s="2710"/>
      <c r="KX240" s="2710"/>
      <c r="KY240" s="2710"/>
      <c r="KZ240" s="2710"/>
      <c r="LA240" s="2710"/>
      <c r="LB240" s="2710"/>
      <c r="LC240" s="2710"/>
      <c r="LD240" s="2710"/>
      <c r="LE240" s="2710"/>
      <c r="LF240" s="2710"/>
      <c r="LG240" s="514"/>
      <c r="LH240" s="514"/>
      <c r="LI240" s="514"/>
      <c r="LJ240" s="514"/>
      <c r="LK240" s="514"/>
      <c r="LL240" s="514"/>
      <c r="LM240" s="2711"/>
      <c r="LN240" s="514"/>
      <c r="LO240" s="514"/>
      <c r="LP240" s="514"/>
      <c r="LQ240" s="514"/>
      <c r="LR240" s="514"/>
      <c r="LS240" s="514"/>
      <c r="LT240" s="514"/>
      <c r="LU240" s="514"/>
      <c r="LV240" s="514"/>
      <c r="LW240" s="514"/>
      <c r="LX240" s="514"/>
      <c r="LY240" s="514"/>
      <c r="LZ240" s="514"/>
      <c r="MA240" s="514"/>
      <c r="MB240" s="514"/>
      <c r="MC240" s="2711"/>
      <c r="MD240" s="2711"/>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2187</v>
      </c>
      <c r="O241" s="1"/>
      <c r="P241" s="462">
        <f>P226+P230</f>
        <v>415749</v>
      </c>
      <c r="Q241" s="993"/>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10"/>
      <c r="JW241" s="514"/>
      <c r="JX241" s="514"/>
      <c r="JY241" s="514"/>
      <c r="JZ241" s="514"/>
      <c r="KA241" s="2710"/>
      <c r="KB241" s="2710"/>
      <c r="KC241" s="2710"/>
      <c r="KD241" s="2710"/>
      <c r="KE241" s="2710"/>
      <c r="KF241" s="2710"/>
      <c r="KG241" s="2710"/>
      <c r="KH241" s="2710"/>
      <c r="KI241" s="2710"/>
      <c r="KJ241" s="2710"/>
      <c r="KK241" s="2710"/>
      <c r="KL241" s="2710"/>
      <c r="KM241" s="2710"/>
      <c r="KN241" s="2710"/>
      <c r="KO241" s="2710"/>
      <c r="KP241" s="2710"/>
      <c r="KQ241" s="2710"/>
      <c r="KR241" s="2710"/>
      <c r="KS241" s="2710"/>
      <c r="KT241" s="2710"/>
      <c r="KU241" s="2710"/>
      <c r="KV241" s="2710"/>
      <c r="KW241" s="2710"/>
      <c r="KX241" s="2710"/>
      <c r="KY241" s="2710"/>
      <c r="KZ241" s="2710"/>
      <c r="LA241" s="2710"/>
      <c r="LB241" s="2710"/>
      <c r="LC241" s="2710"/>
      <c r="LD241" s="2710"/>
      <c r="LE241" s="2710"/>
      <c r="LF241" s="2710"/>
      <c r="LG241" s="514"/>
      <c r="LH241" s="514"/>
      <c r="LI241" s="514"/>
      <c r="LJ241" s="514"/>
      <c r="LK241" s="514"/>
      <c r="LL241" s="514"/>
      <c r="LM241" s="2711"/>
      <c r="LN241" s="514"/>
      <c r="LO241" s="514"/>
      <c r="LP241" s="514"/>
      <c r="LQ241" s="514"/>
      <c r="LR241" s="514"/>
      <c r="LS241" s="514"/>
      <c r="LT241" s="514"/>
      <c r="LU241" s="514"/>
      <c r="LV241" s="514"/>
      <c r="LW241" s="514"/>
      <c r="LX241" s="514"/>
      <c r="LY241" s="514"/>
      <c r="LZ241" s="514"/>
      <c r="MA241" s="514"/>
      <c r="MB241" s="514"/>
      <c r="MC241" s="2711"/>
      <c r="MD241" s="2711"/>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93"/>
      <c r="Q242" s="993"/>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10"/>
      <c r="JW242" s="514"/>
      <c r="JX242" s="514"/>
      <c r="JY242" s="514"/>
      <c r="JZ242" s="514"/>
      <c r="KA242" s="2710"/>
      <c r="KB242" s="2710"/>
      <c r="KC242" s="2710"/>
      <c r="KD242" s="2710"/>
      <c r="KE242" s="2710"/>
      <c r="KF242" s="2710"/>
      <c r="KG242" s="2710"/>
      <c r="KH242" s="2710"/>
      <c r="KI242" s="2710"/>
      <c r="KJ242" s="2710"/>
      <c r="KK242" s="2710"/>
      <c r="KL242" s="2710"/>
      <c r="KM242" s="2710"/>
      <c r="KN242" s="2710"/>
      <c r="KO242" s="2710"/>
      <c r="KP242" s="2710"/>
      <c r="KQ242" s="2710"/>
      <c r="KR242" s="2710"/>
      <c r="KS242" s="2710"/>
      <c r="KT242" s="2710"/>
      <c r="KU242" s="2710"/>
      <c r="KV242" s="2710"/>
      <c r="KW242" s="2710"/>
      <c r="KX242" s="2710"/>
      <c r="KY242" s="2710"/>
      <c r="KZ242" s="2710"/>
      <c r="LA242" s="2710"/>
      <c r="LB242" s="2710"/>
      <c r="LC242" s="2710"/>
      <c r="LD242" s="2710"/>
      <c r="LE242" s="2710"/>
      <c r="LF242" s="2710"/>
      <c r="LG242" s="514"/>
      <c r="LH242" s="514"/>
      <c r="LI242" s="514"/>
      <c r="LJ242" s="514"/>
      <c r="LK242" s="514"/>
      <c r="LL242" s="514"/>
      <c r="LM242" s="2711"/>
      <c r="LN242" s="514"/>
      <c r="LO242" s="514"/>
      <c r="LP242" s="514"/>
      <c r="LQ242" s="514"/>
      <c r="LR242" s="514"/>
      <c r="LS242" s="514"/>
      <c r="LT242" s="514"/>
      <c r="LU242" s="514"/>
      <c r="LV242" s="514"/>
      <c r="LW242" s="514"/>
      <c r="LX242" s="514"/>
      <c r="LY242" s="514"/>
      <c r="LZ242" s="514"/>
      <c r="MA242" s="514"/>
      <c r="MB242" s="514"/>
      <c r="MC242" s="2711"/>
      <c r="MD242" s="2711"/>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5004</v>
      </c>
      <c r="C243" s="11"/>
      <c r="D243" s="1"/>
      <c r="E243" s="1"/>
      <c r="F243" s="2581" t="s">
        <v>5005</v>
      </c>
      <c r="G243" s="12"/>
      <c r="H243" s="3580"/>
      <c r="I243" s="3581"/>
      <c r="J243" s="2702" t="s">
        <v>5079</v>
      </c>
      <c r="K243" s="2582"/>
      <c r="N243" s="10" t="s">
        <v>5008</v>
      </c>
      <c r="O243" s="1"/>
      <c r="P243" s="2617">
        <f>H243*K243</f>
        <v>0</v>
      </c>
      <c r="Q243" s="993"/>
      <c r="R243" s="3496"/>
      <c r="S243" s="3497"/>
      <c r="T243" s="3497"/>
      <c r="U243" s="3497"/>
      <c r="V243" s="3498"/>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10"/>
      <c r="JW243" s="514"/>
      <c r="JX243" s="514"/>
      <c r="JY243" s="514"/>
      <c r="JZ243" s="514"/>
      <c r="KA243" s="2710"/>
      <c r="KB243" s="2710"/>
      <c r="KC243" s="2710"/>
      <c r="KD243" s="2710"/>
      <c r="KE243" s="2710"/>
      <c r="KF243" s="2710"/>
      <c r="KG243" s="2710"/>
      <c r="KH243" s="2710"/>
      <c r="KI243" s="2710"/>
      <c r="KJ243" s="2710"/>
      <c r="KK243" s="2710"/>
      <c r="KL243" s="2710"/>
      <c r="KM243" s="2710"/>
      <c r="KN243" s="2710"/>
      <c r="KO243" s="2710"/>
      <c r="KP243" s="2710"/>
      <c r="KQ243" s="2710"/>
      <c r="KR243" s="2710"/>
      <c r="KS243" s="2710"/>
      <c r="KT243" s="2710"/>
      <c r="KU243" s="2710"/>
      <c r="KV243" s="2710"/>
      <c r="KW243" s="2710"/>
      <c r="KX243" s="2710"/>
      <c r="KY243" s="2710"/>
      <c r="KZ243" s="2710"/>
      <c r="LA243" s="2710"/>
      <c r="LB243" s="2710"/>
      <c r="LC243" s="2710"/>
      <c r="LD243" s="2710"/>
      <c r="LE243" s="2710"/>
      <c r="LF243" s="2710"/>
      <c r="LG243" s="514"/>
      <c r="LH243" s="514"/>
      <c r="LI243" s="514"/>
      <c r="LJ243" s="514"/>
      <c r="LK243" s="514"/>
      <c r="LL243" s="514"/>
      <c r="LM243" s="2711"/>
      <c r="LN243" s="514"/>
      <c r="LO243" s="514"/>
      <c r="LP243" s="514"/>
      <c r="LQ243" s="514"/>
      <c r="LR243" s="514"/>
      <c r="LS243" s="514"/>
      <c r="LT243" s="514"/>
      <c r="LU243" s="514"/>
      <c r="LV243" s="514"/>
      <c r="LW243" s="514"/>
      <c r="LX243" s="514"/>
      <c r="LY243" s="514"/>
      <c r="LZ243" s="514"/>
      <c r="MA243" s="514"/>
      <c r="MB243" s="514"/>
      <c r="MC243" s="2711"/>
      <c r="MD243" s="2711"/>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93"/>
      <c r="Q244" s="993"/>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10"/>
      <c r="JW244" s="514"/>
      <c r="JX244" s="514"/>
      <c r="JY244" s="514"/>
      <c r="JZ244" s="514"/>
      <c r="KA244" s="2710"/>
      <c r="KB244" s="2710"/>
      <c r="KC244" s="2710"/>
      <c r="KD244" s="2710"/>
      <c r="KE244" s="2710"/>
      <c r="KF244" s="2710"/>
      <c r="KG244" s="2710"/>
      <c r="KH244" s="2710"/>
      <c r="KI244" s="2710"/>
      <c r="KJ244" s="2710"/>
      <c r="KK244" s="2710"/>
      <c r="KL244" s="2710"/>
      <c r="KM244" s="2710"/>
      <c r="KN244" s="2710"/>
      <c r="KO244" s="2710"/>
      <c r="KP244" s="2710"/>
      <c r="KQ244" s="2710"/>
      <c r="KR244" s="2710"/>
      <c r="KS244" s="2710"/>
      <c r="KT244" s="2710"/>
      <c r="KU244" s="2710"/>
      <c r="KV244" s="2710"/>
      <c r="KW244" s="2710"/>
      <c r="KX244" s="2710"/>
      <c r="KY244" s="2710"/>
      <c r="KZ244" s="2710"/>
      <c r="LA244" s="2710"/>
      <c r="LB244" s="2710"/>
      <c r="LC244" s="2710"/>
      <c r="LD244" s="2710"/>
      <c r="LE244" s="2710"/>
      <c r="LF244" s="2710"/>
      <c r="LG244" s="514"/>
      <c r="LH244" s="514"/>
      <c r="LI244" s="514"/>
      <c r="LJ244" s="514"/>
      <c r="LK244" s="514"/>
      <c r="LL244" s="514"/>
      <c r="LM244" s="2711"/>
      <c r="LN244" s="514"/>
      <c r="LO244" s="514"/>
      <c r="LP244" s="514"/>
      <c r="LQ244" s="514"/>
      <c r="LR244" s="514"/>
      <c r="LS244" s="514"/>
      <c r="LT244" s="514"/>
      <c r="LU244" s="514"/>
      <c r="LV244" s="514"/>
      <c r="LW244" s="514"/>
      <c r="LX244" s="514"/>
      <c r="LY244" s="514"/>
      <c r="LZ244" s="514"/>
      <c r="MA244" s="514"/>
      <c r="MB244" s="514"/>
      <c r="MC244" s="2711"/>
      <c r="MD244" s="2711"/>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5080</v>
      </c>
      <c r="C245" s="11"/>
      <c r="D245" s="1"/>
      <c r="E245" s="1"/>
      <c r="F245" s="12"/>
      <c r="G245" s="12"/>
      <c r="H245" s="1"/>
      <c r="I245" s="2683" t="s">
        <v>1771</v>
      </c>
      <c r="J245" s="2581" t="s">
        <v>5082</v>
      </c>
      <c r="K245" s="2683" t="s">
        <v>1771</v>
      </c>
      <c r="L245" s="73" t="s">
        <v>5083</v>
      </c>
      <c r="M245" s="2582"/>
      <c r="N245" s="533" t="s">
        <v>5081</v>
      </c>
      <c r="O245" s="1"/>
      <c r="P245" s="2703"/>
      <c r="Q245" s="993"/>
      <c r="R245" s="3496"/>
      <c r="S245" s="3497"/>
      <c r="T245" s="3497"/>
      <c r="U245" s="3497"/>
      <c r="V245" s="3498"/>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10"/>
      <c r="JW245" s="514"/>
      <c r="JX245" s="514"/>
      <c r="JY245" s="514"/>
      <c r="JZ245" s="514"/>
      <c r="KA245" s="2710"/>
      <c r="KB245" s="2710"/>
      <c r="KC245" s="2710"/>
      <c r="KD245" s="2710"/>
      <c r="KE245" s="2710"/>
      <c r="KF245" s="2710"/>
      <c r="KG245" s="2710"/>
      <c r="KH245" s="2710"/>
      <c r="KI245" s="2710"/>
      <c r="KJ245" s="2710"/>
      <c r="KK245" s="2710"/>
      <c r="KL245" s="2710"/>
      <c r="KM245" s="2710"/>
      <c r="KN245" s="2710"/>
      <c r="KO245" s="2710"/>
      <c r="KP245" s="2710"/>
      <c r="KQ245" s="2710"/>
      <c r="KR245" s="2710"/>
      <c r="KS245" s="2710"/>
      <c r="KT245" s="2710"/>
      <c r="KU245" s="2710"/>
      <c r="KV245" s="2710"/>
      <c r="KW245" s="2710"/>
      <c r="KX245" s="2710"/>
      <c r="KY245" s="2710"/>
      <c r="KZ245" s="2710"/>
      <c r="LA245" s="2710"/>
      <c r="LB245" s="2710"/>
      <c r="LC245" s="2710"/>
      <c r="LD245" s="2710"/>
      <c r="LE245" s="2710"/>
      <c r="LF245" s="2710"/>
      <c r="LG245" s="514"/>
      <c r="LH245" s="514"/>
      <c r="LI245" s="514"/>
      <c r="LJ245" s="514"/>
      <c r="LK245" s="514"/>
      <c r="LL245" s="514"/>
      <c r="LM245" s="2711"/>
      <c r="LN245" s="514"/>
      <c r="LO245" s="514"/>
      <c r="LP245" s="514"/>
      <c r="LQ245" s="514"/>
      <c r="LR245" s="514"/>
      <c r="LS245" s="514"/>
      <c r="LT245" s="514"/>
      <c r="LU245" s="514"/>
      <c r="LV245" s="514"/>
      <c r="LW245" s="514"/>
      <c r="LX245" s="514"/>
      <c r="LY245" s="514"/>
      <c r="LZ245" s="514"/>
      <c r="MA245" s="514"/>
      <c r="MB245" s="514"/>
      <c r="MC245" s="2711"/>
      <c r="MD245" s="2711"/>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93"/>
      <c r="Q246" s="993"/>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10"/>
      <c r="JW246" s="514"/>
      <c r="JX246" s="514"/>
      <c r="JY246" s="514"/>
      <c r="JZ246" s="514"/>
      <c r="KA246" s="2710"/>
      <c r="KB246" s="2710"/>
      <c r="KC246" s="2710"/>
      <c r="KD246" s="2710"/>
      <c r="KE246" s="2710"/>
      <c r="KF246" s="2710"/>
      <c r="KG246" s="2710"/>
      <c r="KH246" s="2710"/>
      <c r="KI246" s="2710"/>
      <c r="KJ246" s="2710"/>
      <c r="KK246" s="2710"/>
      <c r="KL246" s="2710"/>
      <c r="KM246" s="2710"/>
      <c r="KN246" s="2710"/>
      <c r="KO246" s="2710"/>
      <c r="KP246" s="2710"/>
      <c r="KQ246" s="2710"/>
      <c r="KR246" s="2710"/>
      <c r="KS246" s="2710"/>
      <c r="KT246" s="2710"/>
      <c r="KU246" s="2710"/>
      <c r="KV246" s="2710"/>
      <c r="KW246" s="2710"/>
      <c r="KX246" s="2710"/>
      <c r="KY246" s="2710"/>
      <c r="KZ246" s="2710"/>
      <c r="LA246" s="2710"/>
      <c r="LB246" s="2710"/>
      <c r="LC246" s="2710"/>
      <c r="LD246" s="2710"/>
      <c r="LE246" s="2710"/>
      <c r="LF246" s="2710"/>
      <c r="LG246" s="514"/>
      <c r="LH246" s="514"/>
      <c r="LI246" s="514"/>
      <c r="LJ246" s="514"/>
      <c r="LK246" s="514"/>
      <c r="LL246" s="514"/>
      <c r="LM246" s="2711"/>
      <c r="LN246" s="514"/>
      <c r="LO246" s="514"/>
      <c r="LP246" s="514"/>
      <c r="LQ246" s="514"/>
      <c r="LR246" s="514"/>
      <c r="LS246" s="514"/>
      <c r="LT246" s="514"/>
      <c r="LU246" s="514"/>
      <c r="LV246" s="514"/>
      <c r="LW246" s="514"/>
      <c r="LX246" s="514"/>
      <c r="LY246" s="514"/>
      <c r="LZ246" s="514"/>
      <c r="MA246" s="514"/>
      <c r="MB246" s="514"/>
      <c r="MC246" s="2711"/>
      <c r="MD246" s="2711"/>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4109</v>
      </c>
      <c r="B247" s="13" t="s">
        <v>572</v>
      </c>
      <c r="M247" s="13" t="s">
        <v>5003</v>
      </c>
      <c r="N247" s="13"/>
    </row>
    <row r="248" spans="1:492" ht="408.75" customHeight="1">
      <c r="A248" s="3183" t="s">
        <v>3736</v>
      </c>
      <c r="B248" s="3183"/>
      <c r="C248" s="3183"/>
      <c r="D248" s="3183"/>
      <c r="E248" s="3183"/>
      <c r="F248" s="3183"/>
      <c r="G248" s="3183"/>
      <c r="H248" s="3183"/>
      <c r="I248" s="3183"/>
      <c r="J248" s="3183"/>
      <c r="K248" s="3183"/>
      <c r="L248" s="3183"/>
      <c r="M248" s="3182"/>
      <c r="N248" s="3182"/>
      <c r="O248" s="3182"/>
      <c r="P248" s="3182"/>
      <c r="Q248" s="3518" t="s">
        <v>4108</v>
      </c>
      <c r="R248" s="2882"/>
      <c r="S248" s="2882"/>
      <c r="T248" s="2882"/>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10"/>
      <c r="JW253" s="514"/>
      <c r="JX253" s="514"/>
      <c r="JY253" s="514"/>
      <c r="JZ253" s="514"/>
      <c r="KA253" s="2710"/>
      <c r="KB253" s="2710"/>
      <c r="KC253" s="2710"/>
      <c r="KD253" s="2710"/>
      <c r="KE253" s="2710"/>
      <c r="KF253" s="2710"/>
      <c r="KG253" s="2710"/>
      <c r="KH253" s="2710"/>
      <c r="KI253" s="2710"/>
      <c r="KJ253" s="2710"/>
      <c r="KK253" s="2710"/>
      <c r="KL253" s="2710"/>
      <c r="KM253" s="2710"/>
      <c r="KN253" s="2710"/>
      <c r="KO253" s="2710"/>
      <c r="KP253" s="2710"/>
      <c r="KQ253" s="2710"/>
      <c r="KR253" s="2710"/>
      <c r="KS253" s="2710"/>
      <c r="KT253" s="2710"/>
      <c r="KU253" s="2710"/>
      <c r="KV253" s="2710"/>
      <c r="KW253" s="2710"/>
      <c r="KX253" s="2710"/>
      <c r="KY253" s="2710"/>
      <c r="KZ253" s="2710"/>
      <c r="LA253" s="2710"/>
      <c r="LB253" s="2710"/>
      <c r="LC253" s="2710"/>
      <c r="LD253" s="2710"/>
      <c r="LE253" s="2710"/>
      <c r="LF253" s="2710"/>
      <c r="LG253" s="514"/>
      <c r="LH253" s="514"/>
      <c r="LI253" s="514"/>
      <c r="LJ253" s="514"/>
      <c r="LK253" s="514"/>
      <c r="LL253" s="514"/>
      <c r="LM253" s="2711"/>
      <c r="LN253" s="514"/>
      <c r="LO253" s="514"/>
      <c r="LP253" s="514"/>
      <c r="LQ253" s="514"/>
      <c r="LR253" s="514"/>
      <c r="LS253" s="514"/>
      <c r="LT253" s="514"/>
      <c r="LU253" s="514"/>
      <c r="LV253" s="514"/>
      <c r="LW253" s="514"/>
      <c r="LX253" s="514"/>
      <c r="LY253" s="514"/>
      <c r="LZ253" s="514"/>
      <c r="MA253" s="514"/>
      <c r="MB253" s="514"/>
      <c r="MC253" s="2711"/>
      <c r="MD253" s="2711"/>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10"/>
      <c r="JW254" s="514"/>
      <c r="JX254" s="514"/>
      <c r="JY254" s="514"/>
      <c r="JZ254" s="514"/>
      <c r="KA254" s="2710"/>
      <c r="KB254" s="2710"/>
      <c r="KC254" s="2710"/>
      <c r="KD254" s="2710"/>
      <c r="KE254" s="2710"/>
      <c r="KF254" s="2710"/>
      <c r="KG254" s="2710"/>
      <c r="KH254" s="2710"/>
      <c r="KI254" s="2710"/>
      <c r="KJ254" s="2710"/>
      <c r="KK254" s="2710"/>
      <c r="KL254" s="2710"/>
      <c r="KM254" s="2710"/>
      <c r="KN254" s="2710"/>
      <c r="KO254" s="2710"/>
      <c r="KP254" s="2710"/>
      <c r="KQ254" s="2710"/>
      <c r="KR254" s="2710"/>
      <c r="KS254" s="2710"/>
      <c r="KT254" s="2710"/>
      <c r="KU254" s="2710"/>
      <c r="KV254" s="2710"/>
      <c r="KW254" s="2710"/>
      <c r="KX254" s="2710"/>
      <c r="KY254" s="2710"/>
      <c r="KZ254" s="2710"/>
      <c r="LA254" s="2710"/>
      <c r="LB254" s="2710"/>
      <c r="LC254" s="2710"/>
      <c r="LD254" s="2710"/>
      <c r="LE254" s="2710"/>
      <c r="LF254" s="2710"/>
      <c r="LG254" s="514"/>
      <c r="LH254" s="514"/>
      <c r="LI254" s="514"/>
      <c r="LJ254" s="514"/>
      <c r="LK254" s="514"/>
      <c r="LL254" s="514"/>
      <c r="LM254" s="2711"/>
      <c r="LN254" s="514"/>
      <c r="LO254" s="514"/>
      <c r="LP254" s="514"/>
      <c r="LQ254" s="514"/>
      <c r="LR254" s="514"/>
      <c r="LS254" s="514"/>
      <c r="LT254" s="514"/>
      <c r="LU254" s="514"/>
      <c r="LV254" s="514"/>
      <c r="LW254" s="514"/>
      <c r="LX254" s="514"/>
      <c r="LY254" s="514"/>
      <c r="LZ254" s="514"/>
      <c r="MA254" s="514"/>
      <c r="MB254" s="514"/>
      <c r="MC254" s="2711"/>
      <c r="MD254" s="2711"/>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10"/>
      <c r="JW255" s="514"/>
      <c r="JX255" s="514"/>
      <c r="JY255" s="514"/>
      <c r="JZ255" s="514"/>
      <c r="KA255" s="2710"/>
      <c r="KB255" s="2710"/>
      <c r="KC255" s="2710"/>
      <c r="KD255" s="2710"/>
      <c r="KE255" s="2710"/>
      <c r="KF255" s="2710"/>
      <c r="KG255" s="2710"/>
      <c r="KH255" s="2710"/>
      <c r="KI255" s="2710"/>
      <c r="KJ255" s="2710"/>
      <c r="KK255" s="2710"/>
      <c r="KL255" s="2710"/>
      <c r="KM255" s="2710"/>
      <c r="KN255" s="2710"/>
      <c r="KO255" s="2710"/>
      <c r="KP255" s="2710"/>
      <c r="KQ255" s="2710"/>
      <c r="KR255" s="2710"/>
      <c r="KS255" s="2710"/>
      <c r="KT255" s="2710"/>
      <c r="KU255" s="2710"/>
      <c r="KV255" s="2710"/>
      <c r="KW255" s="2710"/>
      <c r="KX255" s="2710"/>
      <c r="KY255" s="2710"/>
      <c r="KZ255" s="2710"/>
      <c r="LA255" s="2710"/>
      <c r="LB255" s="2710"/>
      <c r="LC255" s="2710"/>
      <c r="LD255" s="2710"/>
      <c r="LE255" s="2710"/>
      <c r="LF255" s="2710"/>
      <c r="LG255" s="514"/>
      <c r="LH255" s="514"/>
      <c r="LI255" s="514"/>
      <c r="LJ255" s="514"/>
      <c r="LK255" s="514"/>
      <c r="LL255" s="514"/>
      <c r="LM255" s="2711"/>
      <c r="LN255" s="514"/>
      <c r="LO255" s="514"/>
      <c r="LP255" s="514"/>
      <c r="LQ255" s="514"/>
      <c r="LR255" s="514"/>
      <c r="LS255" s="514"/>
      <c r="LT255" s="514"/>
      <c r="LU255" s="514"/>
      <c r="LV255" s="514"/>
      <c r="LW255" s="514"/>
      <c r="LX255" s="514"/>
      <c r="LY255" s="514"/>
      <c r="LZ255" s="514"/>
      <c r="MA255" s="514"/>
      <c r="MB255" s="514"/>
      <c r="MC255" s="2711"/>
      <c r="MD255" s="2711"/>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10"/>
      <c r="JW256" s="514"/>
      <c r="JX256" s="514"/>
      <c r="JY256" s="514"/>
      <c r="JZ256" s="514"/>
      <c r="KA256" s="2710"/>
      <c r="KB256" s="2710"/>
      <c r="KC256" s="2710"/>
      <c r="KD256" s="2710"/>
      <c r="KE256" s="2710"/>
      <c r="KF256" s="2710"/>
      <c r="KG256" s="2710"/>
      <c r="KH256" s="2710"/>
      <c r="KI256" s="2710"/>
      <c r="KJ256" s="2710"/>
      <c r="KK256" s="2710"/>
      <c r="KL256" s="2710"/>
      <c r="KM256" s="2710"/>
      <c r="KN256" s="2710"/>
      <c r="KO256" s="2710"/>
      <c r="KP256" s="2710"/>
      <c r="KQ256" s="2710"/>
      <c r="KR256" s="2710"/>
      <c r="KS256" s="2710"/>
      <c r="KT256" s="2710"/>
      <c r="KU256" s="2710"/>
      <c r="KV256" s="2710"/>
      <c r="KW256" s="2710"/>
      <c r="KX256" s="2710"/>
      <c r="KY256" s="2710"/>
      <c r="KZ256" s="2710"/>
      <c r="LA256" s="2710"/>
      <c r="LB256" s="2710"/>
      <c r="LC256" s="2710"/>
      <c r="LD256" s="2710"/>
      <c r="LE256" s="2710"/>
      <c r="LF256" s="2710"/>
      <c r="LG256" s="514"/>
      <c r="LH256" s="514"/>
      <c r="LI256" s="514"/>
      <c r="LJ256" s="514"/>
      <c r="LK256" s="514"/>
      <c r="LL256" s="514"/>
      <c r="LM256" s="2711"/>
      <c r="LN256" s="514"/>
      <c r="LO256" s="514"/>
      <c r="LP256" s="514"/>
      <c r="LQ256" s="514"/>
      <c r="LR256" s="514"/>
      <c r="LS256" s="514"/>
      <c r="LT256" s="514"/>
      <c r="LU256" s="514"/>
      <c r="LV256" s="514"/>
      <c r="LW256" s="514"/>
      <c r="LX256" s="514"/>
      <c r="LY256" s="514"/>
      <c r="LZ256" s="514"/>
      <c r="MA256" s="514"/>
      <c r="MB256" s="514"/>
      <c r="MC256" s="2711"/>
      <c r="MD256" s="2711"/>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10"/>
      <c r="JW257" s="514"/>
      <c r="JX257" s="514"/>
      <c r="JY257" s="514"/>
      <c r="JZ257" s="514"/>
      <c r="KA257" s="2710"/>
      <c r="KB257" s="2710"/>
      <c r="KC257" s="2710"/>
      <c r="KD257" s="2710"/>
      <c r="KE257" s="2710"/>
      <c r="KF257" s="2710"/>
      <c r="KG257" s="2710"/>
      <c r="KH257" s="2710"/>
      <c r="KI257" s="2710"/>
      <c r="KJ257" s="2710"/>
      <c r="KK257" s="2710"/>
      <c r="KL257" s="2710"/>
      <c r="KM257" s="2710"/>
      <c r="KN257" s="2710"/>
      <c r="KO257" s="2710"/>
      <c r="KP257" s="2710"/>
      <c r="KQ257" s="2710"/>
      <c r="KR257" s="2710"/>
      <c r="KS257" s="2710"/>
      <c r="KT257" s="2710"/>
      <c r="KU257" s="2710"/>
      <c r="KV257" s="2710"/>
      <c r="KW257" s="2710"/>
      <c r="KX257" s="2710"/>
      <c r="KY257" s="2710"/>
      <c r="KZ257" s="2710"/>
      <c r="LA257" s="2710"/>
      <c r="LB257" s="2710"/>
      <c r="LC257" s="2710"/>
      <c r="LD257" s="2710"/>
      <c r="LE257" s="2710"/>
      <c r="LF257" s="2710"/>
      <c r="LG257" s="514"/>
      <c r="LH257" s="514"/>
      <c r="LI257" s="514"/>
      <c r="LJ257" s="514"/>
      <c r="LK257" s="514"/>
      <c r="LL257" s="514"/>
      <c r="LM257" s="2711"/>
      <c r="LN257" s="514"/>
      <c r="LO257" s="514"/>
      <c r="LP257" s="514"/>
      <c r="LQ257" s="514"/>
      <c r="LR257" s="514"/>
      <c r="LS257" s="514"/>
      <c r="LT257" s="514"/>
      <c r="LU257" s="514"/>
      <c r="LV257" s="514"/>
      <c r="LW257" s="514"/>
      <c r="LX257" s="514"/>
      <c r="LY257" s="514"/>
      <c r="LZ257" s="514"/>
      <c r="MA257" s="514"/>
      <c r="MB257" s="514"/>
      <c r="MC257" s="2711"/>
      <c r="MD257" s="2711"/>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7"/>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10"/>
      <c r="JW258" s="514"/>
      <c r="JX258" s="514"/>
      <c r="JY258" s="514"/>
      <c r="JZ258" s="514"/>
      <c r="KA258" s="2710"/>
      <c r="KB258" s="2710"/>
      <c r="KC258" s="2710"/>
      <c r="KD258" s="2710"/>
      <c r="KE258" s="2710"/>
      <c r="KF258" s="2710"/>
      <c r="KG258" s="2710"/>
      <c r="KH258" s="2710"/>
      <c r="KI258" s="2710"/>
      <c r="KJ258" s="2710"/>
      <c r="KK258" s="2710"/>
      <c r="KL258" s="2710"/>
      <c r="KM258" s="2710"/>
      <c r="KN258" s="2710"/>
      <c r="KO258" s="2710"/>
      <c r="KP258" s="2710"/>
      <c r="KQ258" s="2710"/>
      <c r="KR258" s="2710"/>
      <c r="KS258" s="2710"/>
      <c r="KT258" s="2710"/>
      <c r="KU258" s="2710"/>
      <c r="KV258" s="2710"/>
      <c r="KW258" s="2710"/>
      <c r="KX258" s="2710"/>
      <c r="KY258" s="2710"/>
      <c r="KZ258" s="2710"/>
      <c r="LA258" s="2710"/>
      <c r="LB258" s="2710"/>
      <c r="LC258" s="2710"/>
      <c r="LD258" s="2710"/>
      <c r="LE258" s="2710"/>
      <c r="LF258" s="2710"/>
      <c r="LG258" s="514"/>
      <c r="LH258" s="514"/>
      <c r="LI258" s="514"/>
      <c r="LJ258" s="514"/>
      <c r="LK258" s="514"/>
      <c r="LL258" s="514"/>
      <c r="LM258" s="2711"/>
      <c r="LN258" s="514"/>
      <c r="LO258" s="514"/>
      <c r="LP258" s="514"/>
      <c r="LQ258" s="514"/>
      <c r="LR258" s="514"/>
      <c r="LS258" s="514"/>
      <c r="LT258" s="514"/>
      <c r="LU258" s="514"/>
      <c r="LV258" s="514"/>
      <c r="LW258" s="514"/>
      <c r="LX258" s="514"/>
      <c r="LY258" s="514"/>
      <c r="LZ258" s="514"/>
      <c r="MA258" s="514"/>
      <c r="MB258" s="514"/>
      <c r="MC258" s="2711"/>
      <c r="MD258" s="2711"/>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10"/>
      <c r="JW259" s="514"/>
      <c r="JX259" s="514"/>
      <c r="JY259" s="514"/>
      <c r="JZ259" s="514"/>
      <c r="KA259" s="2710"/>
      <c r="KB259" s="2710"/>
      <c r="KC259" s="2710"/>
      <c r="KD259" s="2710"/>
      <c r="KE259" s="2710"/>
      <c r="KF259" s="2710"/>
      <c r="KG259" s="2710"/>
      <c r="KH259" s="2710"/>
      <c r="KI259" s="2710"/>
      <c r="KJ259" s="2710"/>
      <c r="KK259" s="2710"/>
      <c r="KL259" s="2710"/>
      <c r="KM259" s="2710"/>
      <c r="KN259" s="2710"/>
      <c r="KO259" s="2710"/>
      <c r="KP259" s="2710"/>
      <c r="KQ259" s="2710"/>
      <c r="KR259" s="2710"/>
      <c r="KS259" s="2710"/>
      <c r="KT259" s="2710"/>
      <c r="KU259" s="2710"/>
      <c r="KV259" s="2710"/>
      <c r="KW259" s="2710"/>
      <c r="KX259" s="2710"/>
      <c r="KY259" s="2710"/>
      <c r="KZ259" s="2710"/>
      <c r="LA259" s="2710"/>
      <c r="LB259" s="2710"/>
      <c r="LC259" s="2710"/>
      <c r="LD259" s="2710"/>
      <c r="LE259" s="2710"/>
      <c r="LF259" s="2710"/>
      <c r="LG259" s="514"/>
      <c r="LH259" s="514"/>
      <c r="LI259" s="514"/>
      <c r="LJ259" s="514"/>
      <c r="LK259" s="514"/>
      <c r="LL259" s="514"/>
      <c r="LM259" s="2711"/>
      <c r="LN259" s="514"/>
      <c r="LO259" s="514"/>
      <c r="LP259" s="514"/>
      <c r="LQ259" s="514"/>
      <c r="LR259" s="514"/>
      <c r="LS259" s="514"/>
      <c r="LT259" s="514"/>
      <c r="LU259" s="514"/>
      <c r="LV259" s="514"/>
      <c r="LW259" s="514"/>
      <c r="LX259" s="514"/>
      <c r="LY259" s="514"/>
      <c r="LZ259" s="514"/>
      <c r="MA259" s="514"/>
      <c r="MB259" s="514"/>
      <c r="MC259" s="2711"/>
      <c r="MD259" s="2711"/>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10"/>
      <c r="JW264" s="514"/>
      <c r="JX264" s="514"/>
      <c r="JY264" s="514"/>
      <c r="JZ264" s="514"/>
      <c r="KA264" s="2710"/>
      <c r="KB264" s="2710"/>
      <c r="KC264" s="2710"/>
      <c r="KD264" s="2710"/>
      <c r="KE264" s="2710"/>
      <c r="KF264" s="2710"/>
      <c r="KG264" s="2710"/>
      <c r="KH264" s="2710"/>
      <c r="KI264" s="2710"/>
      <c r="KJ264" s="2710"/>
      <c r="KK264" s="2710"/>
      <c r="KL264" s="2710"/>
      <c r="KM264" s="2710"/>
      <c r="KN264" s="2710"/>
      <c r="KO264" s="2710"/>
      <c r="KP264" s="2710"/>
      <c r="KQ264" s="2710"/>
      <c r="KR264" s="2710"/>
      <c r="KS264" s="2710"/>
      <c r="KT264" s="2710"/>
      <c r="KU264" s="2710"/>
      <c r="KV264" s="2710"/>
      <c r="KW264" s="2710"/>
      <c r="KX264" s="2710"/>
      <c r="KY264" s="2710"/>
      <c r="KZ264" s="2710"/>
      <c r="LA264" s="2710"/>
      <c r="LB264" s="2710"/>
      <c r="LC264" s="2710"/>
      <c r="LD264" s="2710"/>
      <c r="LE264" s="2710"/>
      <c r="LF264" s="2710"/>
      <c r="LG264" s="514"/>
      <c r="LH264" s="514"/>
      <c r="LI264" s="514"/>
      <c r="LJ264" s="514"/>
      <c r="LK264" s="514"/>
      <c r="LL264" s="514"/>
      <c r="LM264" s="2711"/>
      <c r="LN264" s="514"/>
      <c r="LO264" s="514"/>
      <c r="LP264" s="514"/>
      <c r="LQ264" s="514"/>
      <c r="LR264" s="514"/>
      <c r="LS264" s="514"/>
      <c r="LT264" s="514"/>
      <c r="LU264" s="514"/>
      <c r="LV264" s="514"/>
      <c r="LW264" s="514"/>
      <c r="LX264" s="514"/>
      <c r="LY264" s="514"/>
      <c r="LZ264" s="514"/>
      <c r="MA264" s="514"/>
      <c r="MB264" s="514"/>
      <c r="MC264" s="2711"/>
      <c r="MD264" s="2711"/>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10"/>
      <c r="JW265" s="514"/>
      <c r="JX265" s="514"/>
      <c r="JY265" s="514"/>
      <c r="JZ265" s="514"/>
      <c r="KA265" s="2710"/>
      <c r="KB265" s="2710"/>
      <c r="KC265" s="2710"/>
      <c r="KD265" s="2710"/>
      <c r="KE265" s="2710"/>
      <c r="KF265" s="2710"/>
      <c r="KG265" s="2710"/>
      <c r="KH265" s="2710"/>
      <c r="KI265" s="2710"/>
      <c r="KJ265" s="2710"/>
      <c r="KK265" s="2710"/>
      <c r="KL265" s="2710"/>
      <c r="KM265" s="2710"/>
      <c r="KN265" s="2710"/>
      <c r="KO265" s="2710"/>
      <c r="KP265" s="2710"/>
      <c r="KQ265" s="2710"/>
      <c r="KR265" s="2710"/>
      <c r="KS265" s="2710"/>
      <c r="KT265" s="2710"/>
      <c r="KU265" s="2710"/>
      <c r="KV265" s="2710"/>
      <c r="KW265" s="2710"/>
      <c r="KX265" s="2710"/>
      <c r="KY265" s="2710"/>
      <c r="KZ265" s="2710"/>
      <c r="LA265" s="2710"/>
      <c r="LB265" s="2710"/>
      <c r="LC265" s="2710"/>
      <c r="LD265" s="2710"/>
      <c r="LE265" s="2710"/>
      <c r="LF265" s="2710"/>
      <c r="LG265" s="514"/>
      <c r="LH265" s="514"/>
      <c r="LI265" s="514"/>
      <c r="LJ265" s="514"/>
      <c r="LK265" s="514"/>
      <c r="LL265" s="514"/>
      <c r="LM265" s="2711"/>
      <c r="LN265" s="514"/>
      <c r="LO265" s="514"/>
      <c r="LP265" s="514"/>
      <c r="LQ265" s="514"/>
      <c r="LR265" s="514"/>
      <c r="LS265" s="514"/>
      <c r="LT265" s="514"/>
      <c r="LU265" s="514"/>
      <c r="LV265" s="514"/>
      <c r="LW265" s="514"/>
      <c r="LX265" s="514"/>
      <c r="LY265" s="514"/>
      <c r="LZ265" s="514"/>
      <c r="MA265" s="514"/>
      <c r="MB265" s="514"/>
      <c r="MC265" s="2711"/>
      <c r="MD265" s="2711"/>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7"/>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10"/>
      <c r="JW266" s="514"/>
      <c r="JX266" s="514"/>
      <c r="JY266" s="514"/>
      <c r="JZ266" s="514"/>
      <c r="KA266" s="2710"/>
      <c r="KB266" s="2710"/>
      <c r="KC266" s="2710"/>
      <c r="KD266" s="2710"/>
      <c r="KE266" s="2710"/>
      <c r="KF266" s="2710"/>
      <c r="KG266" s="2710"/>
      <c r="KH266" s="2710"/>
      <c r="KI266" s="2710"/>
      <c r="KJ266" s="2710"/>
      <c r="KK266" s="2710"/>
      <c r="KL266" s="2710"/>
      <c r="KM266" s="2710"/>
      <c r="KN266" s="2710"/>
      <c r="KO266" s="2710"/>
      <c r="KP266" s="2710"/>
      <c r="KQ266" s="2710"/>
      <c r="KR266" s="2710"/>
      <c r="KS266" s="2710"/>
      <c r="KT266" s="2710"/>
      <c r="KU266" s="2710"/>
      <c r="KV266" s="2710"/>
      <c r="KW266" s="2710"/>
      <c r="KX266" s="2710"/>
      <c r="KY266" s="2710"/>
      <c r="KZ266" s="2710"/>
      <c r="LA266" s="2710"/>
      <c r="LB266" s="2710"/>
      <c r="LC266" s="2710"/>
      <c r="LD266" s="2710"/>
      <c r="LE266" s="2710"/>
      <c r="LF266" s="2710"/>
      <c r="LG266" s="514"/>
      <c r="LH266" s="514"/>
      <c r="LI266" s="514"/>
      <c r="LJ266" s="514"/>
      <c r="LK266" s="514"/>
      <c r="LL266" s="514"/>
      <c r="LM266" s="2711"/>
      <c r="LN266" s="514"/>
      <c r="LO266" s="514"/>
      <c r="LP266" s="514"/>
      <c r="LQ266" s="514"/>
      <c r="LR266" s="514"/>
      <c r="LS266" s="514"/>
      <c r="LT266" s="514"/>
      <c r="LU266" s="514"/>
      <c r="LV266" s="514"/>
      <c r="LW266" s="514"/>
      <c r="LX266" s="514"/>
      <c r="LY266" s="514"/>
      <c r="LZ266" s="514"/>
      <c r="MA266" s="514"/>
      <c r="MB266" s="514"/>
      <c r="MC266" s="2711"/>
      <c r="MD266" s="2711"/>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10"/>
      <c r="JW267" s="514"/>
      <c r="JX267" s="514"/>
      <c r="JY267" s="514"/>
      <c r="JZ267" s="514"/>
      <c r="KA267" s="2710"/>
      <c r="KB267" s="2710"/>
      <c r="KC267" s="2710"/>
      <c r="KD267" s="2710"/>
      <c r="KE267" s="2710"/>
      <c r="KF267" s="2710"/>
      <c r="KG267" s="2710"/>
      <c r="KH267" s="2710"/>
      <c r="KI267" s="2710"/>
      <c r="KJ267" s="2710"/>
      <c r="KK267" s="2710"/>
      <c r="KL267" s="2710"/>
      <c r="KM267" s="2710"/>
      <c r="KN267" s="2710"/>
      <c r="KO267" s="2710"/>
      <c r="KP267" s="2710"/>
      <c r="KQ267" s="2710"/>
      <c r="KR267" s="2710"/>
      <c r="KS267" s="2710"/>
      <c r="KT267" s="2710"/>
      <c r="KU267" s="2710"/>
      <c r="KV267" s="2710"/>
      <c r="KW267" s="2710"/>
      <c r="KX267" s="2710"/>
      <c r="KY267" s="2710"/>
      <c r="KZ267" s="2710"/>
      <c r="LA267" s="2710"/>
      <c r="LB267" s="2710"/>
      <c r="LC267" s="2710"/>
      <c r="LD267" s="2710"/>
      <c r="LE267" s="2710"/>
      <c r="LF267" s="2710"/>
      <c r="LG267" s="514"/>
      <c r="LH267" s="514"/>
      <c r="LI267" s="514"/>
      <c r="LJ267" s="514"/>
      <c r="LK267" s="514"/>
      <c r="LL267" s="514"/>
      <c r="LM267" s="2711"/>
      <c r="LN267" s="514"/>
      <c r="LO267" s="514"/>
      <c r="LP267" s="514"/>
      <c r="LQ267" s="514"/>
      <c r="LR267" s="514"/>
      <c r="LS267" s="514"/>
      <c r="LT267" s="514"/>
      <c r="LU267" s="514"/>
      <c r="LV267" s="514"/>
      <c r="LW267" s="514"/>
      <c r="LX267" s="514"/>
      <c r="LY267" s="514"/>
      <c r="LZ267" s="514"/>
      <c r="MA267" s="514"/>
      <c r="MB267" s="514"/>
      <c r="MC267" s="2711"/>
      <c r="MD267" s="2711"/>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10"/>
      <c r="JW268" s="514"/>
      <c r="JX268" s="514"/>
      <c r="JY268" s="514"/>
      <c r="JZ268" s="514"/>
      <c r="KA268" s="2710"/>
      <c r="KB268" s="2710"/>
      <c r="KC268" s="2710"/>
      <c r="KD268" s="2710"/>
      <c r="KE268" s="2710"/>
      <c r="KF268" s="2710"/>
      <c r="KG268" s="2710"/>
      <c r="KH268" s="2710"/>
      <c r="KI268" s="2710"/>
      <c r="KJ268" s="2710"/>
      <c r="KK268" s="2710"/>
      <c r="KL268" s="2710"/>
      <c r="KM268" s="2710"/>
      <c r="KN268" s="2710"/>
      <c r="KO268" s="2710"/>
      <c r="KP268" s="2710"/>
      <c r="KQ268" s="2710"/>
      <c r="KR268" s="2710"/>
      <c r="KS268" s="2710"/>
      <c r="KT268" s="2710"/>
      <c r="KU268" s="2710"/>
      <c r="KV268" s="2710"/>
      <c r="KW268" s="2710"/>
      <c r="KX268" s="2710"/>
      <c r="KY268" s="2710"/>
      <c r="KZ268" s="2710"/>
      <c r="LA268" s="2710"/>
      <c r="LB268" s="2710"/>
      <c r="LC268" s="2710"/>
      <c r="LD268" s="2710"/>
      <c r="LE268" s="2710"/>
      <c r="LF268" s="2710"/>
      <c r="LG268" s="514"/>
      <c r="LH268" s="514"/>
      <c r="LI268" s="514"/>
      <c r="LJ268" s="514"/>
      <c r="LK268" s="514"/>
      <c r="LL268" s="514"/>
      <c r="LM268" s="2711"/>
      <c r="LN268" s="514"/>
      <c r="LO268" s="514"/>
      <c r="LP268" s="514"/>
      <c r="LQ268" s="514"/>
      <c r="LR268" s="514"/>
      <c r="LS268" s="514"/>
      <c r="LT268" s="514"/>
      <c r="LU268" s="514"/>
      <c r="LV268" s="514"/>
      <c r="LW268" s="514"/>
      <c r="LX268" s="514"/>
      <c r="LY268" s="514"/>
      <c r="LZ268" s="514"/>
      <c r="MA268" s="514"/>
      <c r="MB268" s="514"/>
      <c r="MC268" s="2711"/>
      <c r="MD268" s="2711"/>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10"/>
      <c r="JW276" s="514"/>
      <c r="JX276" s="514"/>
      <c r="JY276" s="514"/>
      <c r="JZ276" s="514"/>
      <c r="KA276" s="2710"/>
      <c r="KB276" s="2710"/>
      <c r="KC276" s="2710"/>
      <c r="KD276" s="2710"/>
      <c r="KE276" s="2710"/>
      <c r="KF276" s="2710"/>
      <c r="KG276" s="2710"/>
      <c r="KH276" s="2710"/>
      <c r="KI276" s="2710"/>
      <c r="KJ276" s="2710"/>
      <c r="KK276" s="2710"/>
      <c r="KL276" s="2710"/>
      <c r="KM276" s="2710"/>
      <c r="KN276" s="2710"/>
      <c r="KO276" s="2710"/>
      <c r="KP276" s="2710"/>
      <c r="KQ276" s="2710"/>
      <c r="KR276" s="2710"/>
      <c r="KS276" s="2710"/>
      <c r="KT276" s="2710"/>
      <c r="KU276" s="2710"/>
      <c r="KV276" s="2710"/>
      <c r="KW276" s="2710"/>
      <c r="KX276" s="2710"/>
      <c r="KY276" s="2710"/>
      <c r="KZ276" s="2710"/>
      <c r="LA276" s="2710"/>
      <c r="LB276" s="2710"/>
      <c r="LC276" s="2710"/>
      <c r="LD276" s="2710"/>
      <c r="LE276" s="2710"/>
      <c r="LF276" s="2710"/>
      <c r="LG276" s="514"/>
      <c r="LH276" s="514"/>
      <c r="LI276" s="514"/>
      <c r="LJ276" s="514"/>
      <c r="LK276" s="514"/>
      <c r="LL276" s="514"/>
      <c r="LM276" s="2711"/>
      <c r="LN276" s="514"/>
      <c r="LO276" s="514"/>
      <c r="LP276" s="514"/>
      <c r="LQ276" s="514"/>
      <c r="LR276" s="514"/>
      <c r="LS276" s="514"/>
      <c r="LT276" s="514"/>
      <c r="LU276" s="514"/>
      <c r="LV276" s="514"/>
      <c r="LW276" s="514"/>
      <c r="LX276" s="514"/>
      <c r="LY276" s="514"/>
      <c r="LZ276" s="514"/>
      <c r="MA276" s="514"/>
      <c r="MB276" s="514"/>
      <c r="MC276" s="2711"/>
      <c r="MD276" s="2711"/>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10"/>
      <c r="JW277" s="514"/>
      <c r="JX277" s="514"/>
      <c r="JY277" s="514"/>
      <c r="JZ277" s="514"/>
      <c r="KA277" s="2710"/>
      <c r="KB277" s="2710"/>
      <c r="KC277" s="2710"/>
      <c r="KD277" s="2710"/>
      <c r="KE277" s="2710"/>
      <c r="KF277" s="2710"/>
      <c r="KG277" s="2710"/>
      <c r="KH277" s="2710"/>
      <c r="KI277" s="2710"/>
      <c r="KJ277" s="2710"/>
      <c r="KK277" s="2710"/>
      <c r="KL277" s="2710"/>
      <c r="KM277" s="2710"/>
      <c r="KN277" s="2710"/>
      <c r="KO277" s="2710"/>
      <c r="KP277" s="2710"/>
      <c r="KQ277" s="2710"/>
      <c r="KR277" s="2710"/>
      <c r="KS277" s="2710"/>
      <c r="KT277" s="2710"/>
      <c r="KU277" s="2710"/>
      <c r="KV277" s="2710"/>
      <c r="KW277" s="2710"/>
      <c r="KX277" s="2710"/>
      <c r="KY277" s="2710"/>
      <c r="KZ277" s="2710"/>
      <c r="LA277" s="2710"/>
      <c r="LB277" s="2710"/>
      <c r="LC277" s="2710"/>
      <c r="LD277" s="2710"/>
      <c r="LE277" s="2710"/>
      <c r="LF277" s="2710"/>
      <c r="LG277" s="514"/>
      <c r="LH277" s="514"/>
      <c r="LI277" s="514"/>
      <c r="LJ277" s="514"/>
      <c r="LK277" s="514"/>
      <c r="LL277" s="514"/>
      <c r="LM277" s="2711"/>
      <c r="LN277" s="514"/>
      <c r="LO277" s="514"/>
      <c r="LP277" s="514"/>
      <c r="LQ277" s="514"/>
      <c r="LR277" s="514"/>
      <c r="LS277" s="514"/>
      <c r="LT277" s="514"/>
      <c r="LU277" s="514"/>
      <c r="LV277" s="514"/>
      <c r="LW277" s="514"/>
      <c r="LX277" s="514"/>
      <c r="LY277" s="514"/>
      <c r="LZ277" s="514"/>
      <c r="MA277" s="514"/>
      <c r="MB277" s="514"/>
      <c r="MC277" s="2711"/>
      <c r="MD277" s="2711"/>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7"/>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10"/>
      <c r="JW278" s="514"/>
      <c r="JX278" s="514"/>
      <c r="JY278" s="514"/>
      <c r="JZ278" s="514"/>
      <c r="KA278" s="2710"/>
      <c r="KB278" s="2710"/>
      <c r="KC278" s="2710"/>
      <c r="KD278" s="2710"/>
      <c r="KE278" s="2710"/>
      <c r="KF278" s="2710"/>
      <c r="KG278" s="2710"/>
      <c r="KH278" s="2710"/>
      <c r="KI278" s="2710"/>
      <c r="KJ278" s="2710"/>
      <c r="KK278" s="2710"/>
      <c r="KL278" s="2710"/>
      <c r="KM278" s="2710"/>
      <c r="KN278" s="2710"/>
      <c r="KO278" s="2710"/>
      <c r="KP278" s="2710"/>
      <c r="KQ278" s="2710"/>
      <c r="KR278" s="2710"/>
      <c r="KS278" s="2710"/>
      <c r="KT278" s="2710"/>
      <c r="KU278" s="2710"/>
      <c r="KV278" s="2710"/>
      <c r="KW278" s="2710"/>
      <c r="KX278" s="2710"/>
      <c r="KY278" s="2710"/>
      <c r="KZ278" s="2710"/>
      <c r="LA278" s="2710"/>
      <c r="LB278" s="2710"/>
      <c r="LC278" s="2710"/>
      <c r="LD278" s="2710"/>
      <c r="LE278" s="2710"/>
      <c r="LF278" s="2710"/>
      <c r="LG278" s="514"/>
      <c r="LH278" s="514"/>
      <c r="LI278" s="514"/>
      <c r="LJ278" s="514"/>
      <c r="LK278" s="514"/>
      <c r="LL278" s="514"/>
      <c r="LM278" s="2711"/>
      <c r="LN278" s="514"/>
      <c r="LO278" s="514"/>
      <c r="LP278" s="514"/>
      <c r="LQ278" s="514"/>
      <c r="LR278" s="514"/>
      <c r="LS278" s="514"/>
      <c r="LT278" s="514"/>
      <c r="LU278" s="514"/>
      <c r="LV278" s="514"/>
      <c r="LW278" s="514"/>
      <c r="LX278" s="514"/>
      <c r="LY278" s="514"/>
      <c r="LZ278" s="514"/>
      <c r="MA278" s="514"/>
      <c r="MB278" s="514"/>
      <c r="MC278" s="2711"/>
      <c r="MD278" s="2711"/>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10"/>
      <c r="JW279" s="514"/>
      <c r="JX279" s="514"/>
      <c r="JY279" s="514"/>
      <c r="JZ279" s="514"/>
      <c r="KA279" s="2710"/>
      <c r="KB279" s="2710"/>
      <c r="KC279" s="2710"/>
      <c r="KD279" s="2710"/>
      <c r="KE279" s="2710"/>
      <c r="KF279" s="2710"/>
      <c r="KG279" s="2710"/>
      <c r="KH279" s="2710"/>
      <c r="KI279" s="2710"/>
      <c r="KJ279" s="2710"/>
      <c r="KK279" s="2710"/>
      <c r="KL279" s="2710"/>
      <c r="KM279" s="2710"/>
      <c r="KN279" s="2710"/>
      <c r="KO279" s="2710"/>
      <c r="KP279" s="2710"/>
      <c r="KQ279" s="2710"/>
      <c r="KR279" s="2710"/>
      <c r="KS279" s="2710"/>
      <c r="KT279" s="2710"/>
      <c r="KU279" s="2710"/>
      <c r="KV279" s="2710"/>
      <c r="KW279" s="2710"/>
      <c r="KX279" s="2710"/>
      <c r="KY279" s="2710"/>
      <c r="KZ279" s="2710"/>
      <c r="LA279" s="2710"/>
      <c r="LB279" s="2710"/>
      <c r="LC279" s="2710"/>
      <c r="LD279" s="2710"/>
      <c r="LE279" s="2710"/>
      <c r="LF279" s="2710"/>
      <c r="LG279" s="514"/>
      <c r="LH279" s="514"/>
      <c r="LI279" s="514"/>
      <c r="LJ279" s="514"/>
      <c r="LK279" s="514"/>
      <c r="LL279" s="514"/>
      <c r="LM279" s="2711"/>
      <c r="LN279" s="514"/>
      <c r="LO279" s="514"/>
      <c r="LP279" s="514"/>
      <c r="LQ279" s="514"/>
      <c r="LR279" s="514"/>
      <c r="LS279" s="514"/>
      <c r="LT279" s="514"/>
      <c r="LU279" s="514"/>
      <c r="LV279" s="514"/>
      <c r="LW279" s="514"/>
      <c r="LX279" s="514"/>
      <c r="LY279" s="514"/>
      <c r="LZ279" s="514"/>
      <c r="MA279" s="514"/>
      <c r="MB279" s="514"/>
      <c r="MC279" s="2711"/>
      <c r="MD279" s="2711"/>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10"/>
      <c r="JW280" s="514"/>
      <c r="JX280" s="514"/>
      <c r="JY280" s="514"/>
      <c r="JZ280" s="514"/>
      <c r="KA280" s="2710"/>
      <c r="KB280" s="2710"/>
      <c r="KC280" s="2710"/>
      <c r="KD280" s="2710"/>
      <c r="KE280" s="2710"/>
      <c r="KF280" s="2710"/>
      <c r="KG280" s="2710"/>
      <c r="KH280" s="2710"/>
      <c r="KI280" s="2710"/>
      <c r="KJ280" s="2710"/>
      <c r="KK280" s="2710"/>
      <c r="KL280" s="2710"/>
      <c r="KM280" s="2710"/>
      <c r="KN280" s="2710"/>
      <c r="KO280" s="2710"/>
      <c r="KP280" s="2710"/>
      <c r="KQ280" s="2710"/>
      <c r="KR280" s="2710"/>
      <c r="KS280" s="2710"/>
      <c r="KT280" s="2710"/>
      <c r="KU280" s="2710"/>
      <c r="KV280" s="2710"/>
      <c r="KW280" s="2710"/>
      <c r="KX280" s="2710"/>
      <c r="KY280" s="2710"/>
      <c r="KZ280" s="2710"/>
      <c r="LA280" s="2710"/>
      <c r="LB280" s="2710"/>
      <c r="LC280" s="2710"/>
      <c r="LD280" s="2710"/>
      <c r="LE280" s="2710"/>
      <c r="LF280" s="2710"/>
      <c r="LG280" s="514"/>
      <c r="LH280" s="514"/>
      <c r="LI280" s="514"/>
      <c r="LJ280" s="514"/>
      <c r="LK280" s="514"/>
      <c r="LL280" s="514"/>
      <c r="LM280" s="2711"/>
      <c r="LN280" s="514"/>
      <c r="LO280" s="514"/>
      <c r="LP280" s="514"/>
      <c r="LQ280" s="514"/>
      <c r="LR280" s="514"/>
      <c r="LS280" s="514"/>
      <c r="LT280" s="514"/>
      <c r="LU280" s="514"/>
      <c r="LV280" s="514"/>
      <c r="LW280" s="514"/>
      <c r="LX280" s="514"/>
      <c r="LY280" s="514"/>
      <c r="LZ280" s="514"/>
      <c r="MA280" s="514"/>
      <c r="MB280" s="514"/>
      <c r="MC280" s="2711"/>
      <c r="MD280" s="2711"/>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formula1>"&lt;Select&gt;,Fixed,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sqref="F6">
      <formula1>"&lt;Select&gt;,Yes, No"</formula1>
    </dataValidation>
    <dataValidation type="list" allowBlank="1" showInputMessage="1" showErrorMessage="1" sqref="B10:B16">
      <formula1>"Select Mkt/CS, Unrestricted, N/A-CS"</formula1>
    </dataValidation>
    <dataValidation type="list" allowBlank="1" showInputMessage="1" showErrorMessage="1" sqref="B17:B47">
      <formula1>"20, 30, 40, 50, 60, 70, 80"</formula1>
    </dataValidation>
    <dataValidation type="list" allowBlank="1" showInputMessage="1" showErrorMessage="1" sqref="I245 K245">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174"/>
  <sheetViews>
    <sheetView showGridLines="0" topLeftCell="A25" zoomScaleNormal="100" workbookViewId="0">
      <selection activeCell="G34" sqref="G34"/>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96" t="str">
        <f>CONCATENATE("PART SEVEN - OPERATING PRO FORMA","  -  ",'Part I-Project Information'!$O$6," ",'Part I-Project Information'!$F$34,", ",'Part I-Project Information'!F38,", ",'Part I-Project Information'!J39," County")</f>
        <v>PART SEVEN - OPERATING PRO FORMA  -  2019-5 Stone Terrace Phase II, Stonecrest, DeKalb County</v>
      </c>
      <c r="B1" s="3597"/>
      <c r="C1" s="3597"/>
      <c r="D1" s="3597"/>
      <c r="E1" s="3597"/>
      <c r="F1" s="3597"/>
      <c r="G1" s="3597"/>
      <c r="H1" s="3597"/>
      <c r="I1" s="3597"/>
      <c r="J1" s="3597"/>
      <c r="K1" s="3598"/>
      <c r="L1" s="10"/>
      <c r="M1" s="10"/>
      <c r="N1" s="3599" t="str">
        <f>A1</f>
        <v>PART SEVEN - OPERATING PRO FORMA  -  2019-5 Stone Terrace Phase II, Stonecrest, DeKalb County</v>
      </c>
      <c r="O1" s="3599"/>
      <c r="P1" s="10"/>
    </row>
    <row r="2" spans="1:19" ht="13.5" customHeight="1">
      <c r="A2" s="556"/>
      <c r="B2" s="556"/>
      <c r="C2" s="556"/>
      <c r="D2" s="556"/>
      <c r="E2" s="556"/>
      <c r="F2" s="556"/>
      <c r="G2" s="556"/>
      <c r="H2" s="556"/>
      <c r="I2" s="556"/>
      <c r="J2" s="556"/>
      <c r="K2" s="556"/>
      <c r="N2" s="3600" t="s">
        <v>1845</v>
      </c>
      <c r="O2" s="3600"/>
    </row>
    <row r="3" spans="1:19" ht="13.5" customHeight="1">
      <c r="A3" s="13" t="s">
        <v>90</v>
      </c>
      <c r="C3" s="3601" t="str">
        <f>'Part I-Project Information'!$B$6</f>
        <v>May 2019 Final</v>
      </c>
      <c r="D3" s="1526" t="s">
        <v>80</v>
      </c>
      <c r="E3" s="243"/>
      <c r="F3" s="1527" t="s">
        <v>4184</v>
      </c>
      <c r="N3" s="13" t="str">
        <f>A3</f>
        <v>I.  OPERATING ASSUMPTIONS</v>
      </c>
      <c r="O3" s="31"/>
    </row>
    <row r="4" spans="1:19" ht="2.4500000000000002" customHeight="1">
      <c r="A4" s="16"/>
      <c r="B4" s="16"/>
      <c r="C4" s="3601"/>
      <c r="H4" s="16"/>
      <c r="I4" s="16"/>
    </row>
    <row r="5" spans="1:19" ht="13.5" customHeight="1">
      <c r="A5" s="16" t="s">
        <v>2188</v>
      </c>
      <c r="B5" s="78">
        <v>0.02</v>
      </c>
      <c r="C5" s="3601"/>
      <c r="D5" s="3503" t="s">
        <v>4185</v>
      </c>
      <c r="E5" s="3503"/>
      <c r="F5" s="3503"/>
      <c r="G5" s="81"/>
      <c r="H5" s="99" t="s">
        <v>1907</v>
      </c>
      <c r="K5" s="104">
        <f>IF(($B$14+$B$15+$B$16+$B$17)=0,"",B30/($B$14+$B$15+$B$16+$B$17))</f>
        <v>0</v>
      </c>
      <c r="N5" s="3500"/>
      <c r="O5" s="3502"/>
    </row>
    <row r="6" spans="1:19">
      <c r="A6" s="16" t="s">
        <v>2189</v>
      </c>
      <c r="B6" s="78">
        <v>0.03</v>
      </c>
      <c r="C6" s="3601"/>
      <c r="D6" s="3503"/>
      <c r="E6" s="3503"/>
      <c r="F6" s="3503"/>
      <c r="G6" s="1528">
        <f>IF(OR('Part III-Sources of Funds'!E5="Yes",'Part III-Sources of Funds'!H5&gt;0),'DCA Underwriting Assumptions'!$Q$96,0)</f>
        <v>0</v>
      </c>
      <c r="H6" s="16"/>
      <c r="I6" s="16"/>
      <c r="J6" s="16"/>
      <c r="K6" s="16"/>
      <c r="N6" s="3505"/>
      <c r="O6" s="3507"/>
    </row>
    <row r="7" spans="1:19">
      <c r="A7" s="16" t="s">
        <v>2191</v>
      </c>
      <c r="B7" s="78">
        <v>0.03</v>
      </c>
      <c r="C7" s="3601"/>
      <c r="D7" s="80" t="s">
        <v>270</v>
      </c>
      <c r="G7" s="83"/>
      <c r="H7" s="99" t="s">
        <v>2374</v>
      </c>
      <c r="K7" s="104">
        <f>IF(($B$14+$B$15+$B$16+$B$17)=0,"",-B21/($B$14+$B$15+$B$16+$B$17))</f>
        <v>4.4999917658716616E-2</v>
      </c>
      <c r="N7" s="3505"/>
      <c r="O7" s="3507"/>
    </row>
    <row r="8" spans="1:19" ht="13.35" customHeight="1">
      <c r="A8" s="16" t="s">
        <v>2190</v>
      </c>
      <c r="B8" s="249">
        <v>7.0000000000000007E-2</v>
      </c>
      <c r="C8" s="2560" t="str">
        <f>IF(B8&lt;0.07, "Must be &gt;= 7%!","")</f>
        <v/>
      </c>
      <c r="D8" s="79" t="s">
        <v>2508</v>
      </c>
      <c r="G8" s="2592" t="s">
        <v>2993</v>
      </c>
      <c r="H8" s="182" t="s">
        <v>1444</v>
      </c>
      <c r="K8" s="2594"/>
      <c r="N8" s="3505"/>
      <c r="O8" s="3507"/>
    </row>
    <row r="9" spans="1:19">
      <c r="A9" s="16" t="s">
        <v>1418</v>
      </c>
      <c r="B9" s="78">
        <v>0.02</v>
      </c>
      <c r="D9" s="79" t="s">
        <v>1718</v>
      </c>
      <c r="G9" s="2593" t="s">
        <v>2990</v>
      </c>
      <c r="H9" s="182" t="s">
        <v>2356</v>
      </c>
      <c r="K9" s="2595">
        <v>4.4999999999999998E-2</v>
      </c>
      <c r="N9" s="3509"/>
      <c r="O9" s="3511"/>
    </row>
    <row r="10" spans="1:19" ht="9" customHeight="1"/>
    <row r="11" spans="1:19">
      <c r="A11" s="13" t="s">
        <v>91</v>
      </c>
      <c r="D11" s="1323"/>
      <c r="N11" s="13" t="str">
        <f>A11</f>
        <v>II.  OPERATING PRO FORMA</v>
      </c>
    </row>
    <row r="12" spans="1:19" ht="2.4500000000000002" customHeight="1"/>
    <row r="13" spans="1:19" ht="14.45" customHeight="1">
      <c r="A13" s="13" t="s">
        <v>2480</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25" t="s">
        <v>2624</v>
      </c>
      <c r="O13" s="3225"/>
    </row>
    <row r="14" spans="1:19" ht="13.35" customHeight="1">
      <c r="A14" s="18" t="s">
        <v>2404</v>
      </c>
      <c r="B14" s="19">
        <f>'Part VI-Revenues &amp; Expenses'!$L$49</f>
        <v>934080</v>
      </c>
      <c r="C14" s="19">
        <f t="shared" ref="C14:K14" si="1">$B$14*(1+$B$5)^(C13-1)</f>
        <v>952761.6</v>
      </c>
      <c r="D14" s="19">
        <f t="shared" si="1"/>
        <v>971816.83199999994</v>
      </c>
      <c r="E14" s="19">
        <f t="shared" si="1"/>
        <v>991253.16863999993</v>
      </c>
      <c r="F14" s="19">
        <f t="shared" si="1"/>
        <v>1011078.2320127999</v>
      </c>
      <c r="G14" s="19">
        <f t="shared" si="1"/>
        <v>1031299.7966530561</v>
      </c>
      <c r="H14" s="19">
        <f t="shared" si="1"/>
        <v>1051925.7925861173</v>
      </c>
      <c r="I14" s="19">
        <f t="shared" si="1"/>
        <v>1072964.3084378394</v>
      </c>
      <c r="J14" s="19">
        <f t="shared" si="1"/>
        <v>1094423.5946065963</v>
      </c>
      <c r="K14" s="20">
        <f t="shared" si="1"/>
        <v>1116312.066498728</v>
      </c>
      <c r="N14" s="3500"/>
      <c r="O14" s="3502"/>
      <c r="S14" s="3592" t="s">
        <v>4190</v>
      </c>
    </row>
    <row r="15" spans="1:19" ht="13.35" customHeight="1">
      <c r="A15" s="21" t="s">
        <v>1016</v>
      </c>
      <c r="B15" s="22">
        <f>MIN(B14*B9,'Part VI-Revenues &amp; Expenses'!$H$173)</f>
        <v>18681.600000000002</v>
      </c>
      <c r="C15" s="22">
        <f t="shared" ref="C15:K15" si="2">$B$15*(1+$B$5)^(C13-1)</f>
        <v>19055.232000000004</v>
      </c>
      <c r="D15" s="22">
        <f t="shared" si="2"/>
        <v>19436.336640000001</v>
      </c>
      <c r="E15" s="22">
        <f t="shared" si="2"/>
        <v>19825.063372799999</v>
      </c>
      <c r="F15" s="22">
        <f t="shared" si="2"/>
        <v>20221.564640256001</v>
      </c>
      <c r="G15" s="22">
        <f t="shared" si="2"/>
        <v>20625.995933061124</v>
      </c>
      <c r="H15" s="22">
        <f t="shared" si="2"/>
        <v>21038.515851722346</v>
      </c>
      <c r="I15" s="22">
        <f t="shared" si="2"/>
        <v>21459.286168756789</v>
      </c>
      <c r="J15" s="22">
        <f t="shared" si="2"/>
        <v>21888.471892131925</v>
      </c>
      <c r="K15" s="23">
        <f t="shared" si="2"/>
        <v>22326.241329974564</v>
      </c>
      <c r="N15" s="3505"/>
      <c r="O15" s="3507"/>
      <c r="S15" s="3593"/>
    </row>
    <row r="16" spans="1:19" ht="13.35" customHeight="1">
      <c r="A16" s="21" t="s">
        <v>2405</v>
      </c>
      <c r="B16" s="22">
        <f t="shared" ref="B16:K16" si="3">-(B14+B15)*$B$8</f>
        <v>-66693.312000000005</v>
      </c>
      <c r="C16" s="22">
        <f t="shared" si="3"/>
        <v>-68027.178240000008</v>
      </c>
      <c r="D16" s="22">
        <f t="shared" si="3"/>
        <v>-69387.721804800007</v>
      </c>
      <c r="E16" s="22">
        <f t="shared" si="3"/>
        <v>-70775.476240896009</v>
      </c>
      <c r="F16" s="22">
        <f t="shared" si="3"/>
        <v>-72190.985765713922</v>
      </c>
      <c r="G16" s="22">
        <f t="shared" si="3"/>
        <v>-73634.805481028219</v>
      </c>
      <c r="H16" s="22">
        <f t="shared" si="3"/>
        <v>-75107.501590648782</v>
      </c>
      <c r="I16" s="22">
        <f t="shared" si="3"/>
        <v>-76609.651622461752</v>
      </c>
      <c r="J16" s="22">
        <f t="shared" si="3"/>
        <v>-78141.844654910979</v>
      </c>
      <c r="K16" s="23">
        <f t="shared" si="3"/>
        <v>-79704.681548009175</v>
      </c>
      <c r="N16" s="3505"/>
      <c r="O16" s="3507"/>
      <c r="Q16" s="3595" t="s">
        <v>3886</v>
      </c>
      <c r="R16" s="3595" t="s">
        <v>4189</v>
      </c>
      <c r="S16" s="3593"/>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05"/>
      <c r="O17" s="3507"/>
      <c r="Q17" s="3595"/>
      <c r="R17" s="3595"/>
      <c r="S17" s="3594"/>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05"/>
      <c r="O18" s="3507"/>
    </row>
    <row r="19" spans="1:19" ht="13.35" customHeight="1">
      <c r="A19" s="483" t="s">
        <v>4945</v>
      </c>
      <c r="B19" s="22">
        <f>SUM(B14:B18)</f>
        <v>886068.28799999994</v>
      </c>
      <c r="C19" s="22">
        <f t="shared" ref="C19:K19" si="4">SUM(C14:C18)</f>
        <v>903789.6537599999</v>
      </c>
      <c r="D19" s="22">
        <f t="shared" si="4"/>
        <v>921865.44683519995</v>
      </c>
      <c r="E19" s="22">
        <f t="shared" si="4"/>
        <v>940302.7557719039</v>
      </c>
      <c r="F19" s="22">
        <f t="shared" si="4"/>
        <v>959108.81088734197</v>
      </c>
      <c r="G19" s="22">
        <f t="shared" si="4"/>
        <v>978290.98710508901</v>
      </c>
      <c r="H19" s="22">
        <f t="shared" si="4"/>
        <v>997856.80684719083</v>
      </c>
      <c r="I19" s="22">
        <f t="shared" si="4"/>
        <v>1017813.9429841345</v>
      </c>
      <c r="J19" s="22">
        <f t="shared" si="4"/>
        <v>1038170.2218438173</v>
      </c>
      <c r="K19" s="23">
        <f t="shared" si="4"/>
        <v>1058933.6262806933</v>
      </c>
      <c r="N19" s="3505"/>
      <c r="O19" s="3507"/>
    </row>
    <row r="20" spans="1:19" ht="13.35" customHeight="1">
      <c r="A20" s="21" t="s">
        <v>614</v>
      </c>
      <c r="B20" s="22">
        <f>-('Part VI-Revenues &amp; Expenses'!$P$226-'Part VI-Revenues &amp; Expenses'!$P$221)</f>
        <v>-354876</v>
      </c>
      <c r="C20" s="22">
        <f t="shared" ref="C20:K20" si="5">$B$20*(1+$B$6)^(C13-1)</f>
        <v>-365522.28</v>
      </c>
      <c r="D20" s="22">
        <f t="shared" si="5"/>
        <v>-376487.94839999999</v>
      </c>
      <c r="E20" s="22">
        <f t="shared" si="5"/>
        <v>-387782.58685199998</v>
      </c>
      <c r="F20" s="22">
        <f t="shared" si="5"/>
        <v>-399416.06445755996</v>
      </c>
      <c r="G20" s="22">
        <f t="shared" si="5"/>
        <v>-411398.54639128677</v>
      </c>
      <c r="H20" s="22">
        <f t="shared" si="5"/>
        <v>-423740.50278302538</v>
      </c>
      <c r="I20" s="22">
        <f t="shared" si="5"/>
        <v>-436452.71786651615</v>
      </c>
      <c r="J20" s="22">
        <f t="shared" si="5"/>
        <v>-449546.29940251156</v>
      </c>
      <c r="K20" s="23">
        <f t="shared" si="5"/>
        <v>-463032.68838458695</v>
      </c>
      <c r="N20" s="3505"/>
      <c r="O20" s="3507"/>
      <c r="Q20" s="62">
        <v>1</v>
      </c>
      <c r="R20" s="1333">
        <f>-B31</f>
        <v>46211.9</v>
      </c>
      <c r="S20" s="1333">
        <f>B32+R20</f>
        <v>85536.465796292177</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-39873</v>
      </c>
      <c r="C21" s="22">
        <f>IF(AND('Part VII-Pro Forma'!$G$8="Yes",'Part VII-Pro Forma'!$G$9="Yes"),"Choose One!",IF('Part VII-Pro Forma'!$G$8="Yes",ROUND((-$K$8*(1+'Part VII-Pro Forma'!$B$6)^('Part VII-Pro Forma'!C13-1)),),IF('Part VII-Pro Forma'!$G$9="Yes",ROUND((-(SUM(C14:C17)*'Part VII-Pro Forma'!$K$9)),),"Choose mgt fee")))</f>
        <v>-40671</v>
      </c>
      <c r="D21" s="22">
        <f>IF(AND('Part VII-Pro Forma'!$G$8="Yes",'Part VII-Pro Forma'!$G$9="Yes"),"Choose One!",IF('Part VII-Pro Forma'!$G$8="Yes",ROUND((-$K$8*(1+'Part VII-Pro Forma'!$B$6)^('Part VII-Pro Forma'!D13-1)),),IF('Part VII-Pro Forma'!$G$9="Yes",ROUND((-(SUM(D14:D17)*'Part VII-Pro Forma'!$K$9)),),"Choose mgt fee")))</f>
        <v>-41484</v>
      </c>
      <c r="E21" s="22">
        <f>IF(AND('Part VII-Pro Forma'!$G$8="Yes",'Part VII-Pro Forma'!$G$9="Yes"),"Choose One!",IF('Part VII-Pro Forma'!$G$8="Yes",ROUND((-$K$8*(1+'Part VII-Pro Forma'!$B$6)^('Part VII-Pro Forma'!E13-1)),),IF('Part VII-Pro Forma'!$G$9="Yes",ROUND((-(SUM(E14:E17)*'Part VII-Pro Forma'!$K$9)),),"Choose mgt fee")))</f>
        <v>-42314</v>
      </c>
      <c r="F21" s="22">
        <f>IF(AND('Part VII-Pro Forma'!$G$8="Yes",'Part VII-Pro Forma'!$G$9="Yes"),"Choose One!",IF('Part VII-Pro Forma'!$G$8="Yes",ROUND((-$K$8*(1+'Part VII-Pro Forma'!$B$6)^('Part VII-Pro Forma'!F13-1)),),IF('Part VII-Pro Forma'!$G$9="Yes",ROUND((-(SUM(F14:F17)*'Part VII-Pro Forma'!$K$9)),),"Choose mgt fee")))</f>
        <v>-43160</v>
      </c>
      <c r="G21" s="22">
        <f>IF(AND('Part VII-Pro Forma'!$G$8="Yes",'Part VII-Pro Forma'!$G$9="Yes"),"Choose One!",IF('Part VII-Pro Forma'!$G$8="Yes",ROUND((-$K$8*(1+'Part VII-Pro Forma'!$B$6)^('Part VII-Pro Forma'!G13-1)),),IF('Part VII-Pro Forma'!$G$9="Yes",ROUND((-(SUM(G14:G17)*'Part VII-Pro Forma'!$K$9)),),"Choose mgt fee")))</f>
        <v>-44023</v>
      </c>
      <c r="H21" s="22">
        <f>IF(AND('Part VII-Pro Forma'!$G$8="Yes",'Part VII-Pro Forma'!$G$9="Yes"),"Choose One!",IF('Part VII-Pro Forma'!$G$8="Yes",ROUND((-$K$8*(1+'Part VII-Pro Forma'!$B$6)^('Part VII-Pro Forma'!H13-1)),),IF('Part VII-Pro Forma'!$G$9="Yes",ROUND((-(SUM(H14:H17)*'Part VII-Pro Forma'!$K$9)),),"Choose mgt fee")))</f>
        <v>-44904</v>
      </c>
      <c r="I21" s="22">
        <f>IF(AND('Part VII-Pro Forma'!$G$8="Yes",'Part VII-Pro Forma'!$G$9="Yes"),"Choose One!",IF('Part VII-Pro Forma'!$G$8="Yes",ROUND((-$K$8*(1+'Part VII-Pro Forma'!$B$6)^('Part VII-Pro Forma'!I13-1)),),IF('Part VII-Pro Forma'!$G$9="Yes",ROUND((-(SUM(I14:I17)*'Part VII-Pro Forma'!$K$9)),),"Choose mgt fee")))</f>
        <v>-45802</v>
      </c>
      <c r="J21" s="22">
        <f>IF(AND('Part VII-Pro Forma'!$G$8="Yes",'Part VII-Pro Forma'!$G$9="Yes"),"Choose One!",IF('Part VII-Pro Forma'!$G$8="Yes",ROUND((-$K$8*(1+'Part VII-Pro Forma'!$B$6)^('Part VII-Pro Forma'!J13-1)),),IF('Part VII-Pro Forma'!$G$9="Yes",ROUND((-(SUM(J14:J17)*'Part VII-Pro Forma'!$K$9)),),"Choose mgt fee")))</f>
        <v>-46718</v>
      </c>
      <c r="K21" s="23">
        <f>IF(AND('Part VII-Pro Forma'!$G$8="Yes",'Part VII-Pro Forma'!$G$9="Yes"),"Choose One!",IF('Part VII-Pro Forma'!$G$8="Yes",ROUND((-$K$8*(1+'Part VII-Pro Forma'!$B$6)^('Part VII-Pro Forma'!K13-1)),),IF('Part VII-Pro Forma'!$G$9="Yes",ROUND((-(SUM(K14:K17)*'Part VII-Pro Forma'!$K$9)),),"Choose mgt fee")))</f>
        <v>-47652</v>
      </c>
      <c r="N21" s="3505"/>
      <c r="O21" s="3507"/>
      <c r="Q21" s="62">
        <v>2</v>
      </c>
      <c r="R21" s="1333">
        <f>-SUM(B31:C31)</f>
        <v>92423.8</v>
      </c>
      <c r="S21" s="1333">
        <f>SUM(B32:C32)+R21</f>
        <v>176720.01735258428</v>
      </c>
    </row>
    <row r="22" spans="1:19" ht="13.35" customHeight="1">
      <c r="A22" s="21" t="s">
        <v>1202</v>
      </c>
      <c r="B22" s="22">
        <f>-('Part VI-Revenues &amp; Expenses'!$P$230)</f>
        <v>-21000</v>
      </c>
      <c r="C22" s="22">
        <f t="shared" ref="C22:K22" si="6">$B$22*(1+$B$7)^(C13-1)</f>
        <v>-21630</v>
      </c>
      <c r="D22" s="22">
        <f t="shared" si="6"/>
        <v>-22278.899999999998</v>
      </c>
      <c r="E22" s="22">
        <f t="shared" si="6"/>
        <v>-22947.267</v>
      </c>
      <c r="F22" s="22">
        <f t="shared" si="6"/>
        <v>-23635.685009999997</v>
      </c>
      <c r="G22" s="22">
        <f t="shared" si="6"/>
        <v>-24344.755560299996</v>
      </c>
      <c r="H22" s="22">
        <f t="shared" si="6"/>
        <v>-25075.098227109</v>
      </c>
      <c r="I22" s="22">
        <f t="shared" si="6"/>
        <v>-25827.35117392227</v>
      </c>
      <c r="J22" s="22">
        <f t="shared" si="6"/>
        <v>-26602.171709139933</v>
      </c>
      <c r="K22" s="23">
        <f t="shared" si="6"/>
        <v>-27400.236860414134</v>
      </c>
      <c r="N22" s="3505"/>
      <c r="O22" s="3507"/>
      <c r="Q22" s="62">
        <v>3</v>
      </c>
      <c r="R22" s="1333">
        <f>-SUM(B31:D31)</f>
        <v>138635.70000000001</v>
      </c>
      <c r="S22" s="1333">
        <f>SUM(B32:D32)+R22</f>
        <v>273551.79358407645</v>
      </c>
    </row>
    <row r="23" spans="1:19" ht="13.35" customHeight="1">
      <c r="A23" s="483" t="s">
        <v>4944</v>
      </c>
      <c r="B23" s="2704">
        <f>IF(B13&lt;=+'Part VI-Revenues &amp; Expenses'!$K$243,-'Part VI-Revenues &amp; Expenses'!$H$243,0)</f>
        <v>0</v>
      </c>
      <c r="C23" s="2704">
        <f>IF(C13&lt;=+'Part VI-Revenues &amp; Expenses'!$K$243,-'Part VI-Revenues &amp; Expenses'!$H$243,0)</f>
        <v>0</v>
      </c>
      <c r="D23" s="2704">
        <f>IF(D13&lt;=+'Part VI-Revenues &amp; Expenses'!$K$243,-'Part VI-Revenues &amp; Expenses'!$H$243,0)</f>
        <v>0</v>
      </c>
      <c r="E23" s="2704">
        <f>IF(E13&lt;=+'Part VI-Revenues &amp; Expenses'!$K$243,-'Part VI-Revenues &amp; Expenses'!$H$243,0)</f>
        <v>0</v>
      </c>
      <c r="F23" s="2704">
        <f>IF(F13&lt;=+'Part VI-Revenues &amp; Expenses'!$K$243,-'Part VI-Revenues &amp; Expenses'!$H$243,0)</f>
        <v>0</v>
      </c>
      <c r="G23" s="2704">
        <f>IF(G13&lt;=+'Part VI-Revenues &amp; Expenses'!$K$243,-'Part VI-Revenues &amp; Expenses'!$H$243,0)</f>
        <v>0</v>
      </c>
      <c r="H23" s="2704">
        <f>IF(H13&lt;=+'Part VI-Revenues &amp; Expenses'!$K$243,-'Part VI-Revenues &amp; Expenses'!$H$243,0)</f>
        <v>0</v>
      </c>
      <c r="I23" s="2704">
        <f>IF(I13&lt;=+'Part VI-Revenues &amp; Expenses'!$K$243,-'Part VI-Revenues &amp; Expenses'!$H$243,0)</f>
        <v>0</v>
      </c>
      <c r="J23" s="2704">
        <f>IF(J13&lt;=+'Part VI-Revenues &amp; Expenses'!$K$243,-'Part VI-Revenues &amp; Expenses'!$H$243,0)</f>
        <v>0</v>
      </c>
      <c r="K23" s="2704">
        <f>IF(K13&lt;=+'Part VI-Revenues &amp; Expenses'!$K$243,-'Part VI-Revenues &amp; Expenses'!$H$243,0)</f>
        <v>0</v>
      </c>
      <c r="N23" s="3505"/>
      <c r="O23" s="3507"/>
      <c r="Q23" s="1125">
        <v>10</v>
      </c>
      <c r="R23" s="1333">
        <f>-SUM(B28:K28)</f>
        <v>0</v>
      </c>
      <c r="S23" s="1333">
        <f>SUM(B29:K29)+R23</f>
        <v>0</v>
      </c>
    </row>
    <row r="24" spans="1:19" ht="13.35" customHeight="1">
      <c r="A24" s="21" t="s">
        <v>1203</v>
      </c>
      <c r="B24" s="22">
        <f>SUM(B19:B23)</f>
        <v>470319.28799999994</v>
      </c>
      <c r="C24" s="22">
        <f t="shared" ref="C24:J24" si="7">SUM(C19:C23)</f>
        <v>475966.37375999987</v>
      </c>
      <c r="D24" s="22">
        <f t="shared" si="7"/>
        <v>481614.59843519994</v>
      </c>
      <c r="E24" s="22">
        <f t="shared" si="7"/>
        <v>487258.90191990393</v>
      </c>
      <c r="F24" s="22">
        <f t="shared" si="7"/>
        <v>492897.061419782</v>
      </c>
      <c r="G24" s="22">
        <f t="shared" si="7"/>
        <v>498524.68515350221</v>
      </c>
      <c r="H24" s="22">
        <f t="shared" si="7"/>
        <v>504137.20583705645</v>
      </c>
      <c r="I24" s="22">
        <f t="shared" si="7"/>
        <v>509731.87394369621</v>
      </c>
      <c r="J24" s="22">
        <f t="shared" si="7"/>
        <v>515303.75073216576</v>
      </c>
      <c r="K24" s="2567">
        <f>SUM(K19:K23)</f>
        <v>520848.70103569224</v>
      </c>
      <c r="N24" s="3505"/>
      <c r="O24" s="3507"/>
      <c r="Q24" s="1125">
        <v>4</v>
      </c>
      <c r="R24" s="1333">
        <f>-SUM(B31:E31)</f>
        <v>184847.6</v>
      </c>
      <c r="S24" s="1333">
        <f>SUM(B32:E32)+R24</f>
        <v>376027.87330027262</v>
      </c>
    </row>
    <row r="25" spans="1:19" ht="13.35" customHeight="1">
      <c r="A25" s="483" t="s">
        <v>1591</v>
      </c>
      <c r="B25" s="485">
        <f>IF('Part III-Sources of Funds'!$P$38="", 0,-'Part III-Sources of Funds'!$P$38)</f>
        <v>-384782.82220370776</v>
      </c>
      <c r="C25" s="485">
        <f>IF('Part III-Sources of Funds'!$P$38="", 0,-'Part III-Sources of Funds'!$P$38)</f>
        <v>-384782.82220370776</v>
      </c>
      <c r="D25" s="485">
        <f>IF('Part III-Sources of Funds'!$P$38="", 0,-'Part III-Sources of Funds'!$P$38)</f>
        <v>-384782.82220370776</v>
      </c>
      <c r="E25" s="485">
        <f>IF('Part III-Sources of Funds'!$P$38="", 0,-'Part III-Sources of Funds'!$P$38)</f>
        <v>-384782.82220370776</v>
      </c>
      <c r="F25" s="485">
        <f>IF('Part III-Sources of Funds'!$P$38="", 0,-'Part III-Sources of Funds'!$P$38)</f>
        <v>-384782.82220370776</v>
      </c>
      <c r="G25" s="485">
        <f>IF('Part III-Sources of Funds'!$P$38="", 0,-'Part III-Sources of Funds'!$P$38)</f>
        <v>-384782.82220370776</v>
      </c>
      <c r="H25" s="485">
        <f>IF('Part III-Sources of Funds'!$P$38="", 0,-'Part III-Sources of Funds'!$P$38)</f>
        <v>-384782.82220370776</v>
      </c>
      <c r="I25" s="485">
        <f>IF('Part III-Sources of Funds'!$P$38="", 0,-'Part III-Sources of Funds'!$P$38)</f>
        <v>-384782.82220370776</v>
      </c>
      <c r="J25" s="485">
        <f>IF('Part III-Sources of Funds'!$P$38="", 0,-'Part III-Sources of Funds'!$P$38)</f>
        <v>-384782.82220370776</v>
      </c>
      <c r="K25" s="485">
        <f>IF('Part III-Sources of Funds'!$P$38="", 0,-'Part III-Sources of Funds'!$P$38)</f>
        <v>-384782.82220370776</v>
      </c>
      <c r="N25" s="3505"/>
      <c r="O25" s="3507"/>
      <c r="Q25" s="1125">
        <v>5</v>
      </c>
      <c r="R25" s="1333">
        <f>-SUM(B31:F31)</f>
        <v>231059.5</v>
      </c>
      <c r="S25" s="1333">
        <f>SUM(B32:F32)+R25</f>
        <v>484142.11251634685</v>
      </c>
    </row>
    <row r="26" spans="1:19" ht="13.35" customHeight="1">
      <c r="A26" s="483" t="s">
        <v>1592</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05"/>
      <c r="O26" s="3507"/>
      <c r="Q26" s="1125">
        <v>6</v>
      </c>
      <c r="R26" s="1333">
        <f>-SUM(B31:G31)</f>
        <v>277271.40000000002</v>
      </c>
      <c r="S26" s="1333">
        <f>SUM(B32:G32)+R26</f>
        <v>597883.97546614136</v>
      </c>
    </row>
    <row r="27" spans="1:19" ht="13.35" customHeight="1">
      <c r="A27" s="483"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05"/>
      <c r="O27" s="3507"/>
      <c r="Q27" s="1125">
        <v>7</v>
      </c>
      <c r="R27" s="1333">
        <f>-SUM(B31:H31)</f>
        <v>323483.30000000005</v>
      </c>
      <c r="S27" s="1333">
        <f>SUM(B32:H32)+R27</f>
        <v>717238.3590994901</v>
      </c>
    </row>
    <row r="28" spans="1:19" ht="13.35" customHeight="1">
      <c r="A28" s="483" t="s">
        <v>3854</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05"/>
      <c r="O28" s="3507"/>
      <c r="Q28" s="1125">
        <v>8</v>
      </c>
      <c r="R28" s="1333">
        <f>-SUM(B31:I31)</f>
        <v>369695.20000000007</v>
      </c>
      <c r="S28" s="1333">
        <f>SUM(B32:I32)+R28</f>
        <v>842187.4108394786</v>
      </c>
    </row>
    <row r="29" spans="1:19" ht="13.35" customHeight="1">
      <c r="A29" s="21" t="s">
        <v>763</v>
      </c>
      <c r="B29" s="180"/>
      <c r="C29" s="180"/>
      <c r="D29" s="180"/>
      <c r="E29" s="180"/>
      <c r="F29" s="180"/>
      <c r="G29" s="180"/>
      <c r="H29" s="180"/>
      <c r="I29" s="180"/>
      <c r="J29" s="180"/>
      <c r="K29" s="180"/>
      <c r="N29" s="3505"/>
      <c r="O29" s="3507"/>
      <c r="Q29" s="1125">
        <v>9</v>
      </c>
      <c r="R29" s="1333">
        <f>-SUM(B31:J31)</f>
        <v>415907.10000000009</v>
      </c>
      <c r="S29" s="1333">
        <f>SUM(B32:J32)+R29</f>
        <v>972708.3393679366</v>
      </c>
    </row>
    <row r="30" spans="1:19" ht="13.35" customHeight="1">
      <c r="A30" s="483" t="s">
        <v>1163</v>
      </c>
      <c r="B30" s="1428">
        <f>-$G$5</f>
        <v>0</v>
      </c>
      <c r="C30" s="1428">
        <f t="shared" ref="C30:K30" si="8">+B30</f>
        <v>0</v>
      </c>
      <c r="D30" s="1428">
        <f t="shared" si="8"/>
        <v>0</v>
      </c>
      <c r="E30" s="1428">
        <f t="shared" si="8"/>
        <v>0</v>
      </c>
      <c r="F30" s="1428">
        <f t="shared" si="8"/>
        <v>0</v>
      </c>
      <c r="G30" s="1428">
        <f t="shared" si="8"/>
        <v>0</v>
      </c>
      <c r="H30" s="1428">
        <f t="shared" si="8"/>
        <v>0</v>
      </c>
      <c r="I30" s="1428">
        <f t="shared" si="8"/>
        <v>0</v>
      </c>
      <c r="J30" s="1428">
        <f t="shared" si="8"/>
        <v>0</v>
      </c>
      <c r="K30" s="1428">
        <f t="shared" si="8"/>
        <v>0</v>
      </c>
      <c r="N30" s="3505"/>
      <c r="O30" s="3507"/>
      <c r="Q30" s="1125">
        <v>10</v>
      </c>
      <c r="R30" s="1333">
        <f>-SUM(B31:K31)</f>
        <v>462119.00000000012</v>
      </c>
      <c r="S30" s="1333">
        <f>SUM(B32:K32)+R30</f>
        <v>1108774.2181999211</v>
      </c>
    </row>
    <row r="31" spans="1:19" ht="13.35" customHeight="1">
      <c r="A31" s="483" t="s">
        <v>4087</v>
      </c>
      <c r="B31" s="242">
        <f>IF('Part III-Sources of Funds'!$P$43="", 0,-'Part III-Sources of Funds'!$P$43)</f>
        <v>-46211.9</v>
      </c>
      <c r="C31" s="242">
        <f>IF('Part III-Sources of Funds'!$P$43="", 0,-'Part III-Sources of Funds'!$P$43)</f>
        <v>-46211.9</v>
      </c>
      <c r="D31" s="242">
        <f>IF('Part III-Sources of Funds'!$P$43="", 0,-'Part III-Sources of Funds'!$P$43)</f>
        <v>-46211.9</v>
      </c>
      <c r="E31" s="242">
        <f>IF('Part III-Sources of Funds'!$P$43="", 0,-'Part III-Sources of Funds'!$P$43)</f>
        <v>-46211.9</v>
      </c>
      <c r="F31" s="242">
        <f>IF('Part III-Sources of Funds'!$P$43="", 0,-'Part III-Sources of Funds'!$P$43)</f>
        <v>-46211.9</v>
      </c>
      <c r="G31" s="242">
        <f>IF('Part III-Sources of Funds'!$P$43="", 0,-'Part III-Sources of Funds'!$P$43)</f>
        <v>-46211.9</v>
      </c>
      <c r="H31" s="242">
        <f>IF('Part III-Sources of Funds'!$P$43="", 0,-'Part III-Sources of Funds'!$P$43)</f>
        <v>-46211.9</v>
      </c>
      <c r="I31" s="242">
        <f>IF('Part III-Sources of Funds'!$P$43="", 0,-'Part III-Sources of Funds'!$P$43)</f>
        <v>-46211.9</v>
      </c>
      <c r="J31" s="242">
        <f>IF('Part III-Sources of Funds'!$P$43="", 0,-'Part III-Sources of Funds'!$P$43)</f>
        <v>-46211.9</v>
      </c>
      <c r="K31" s="242">
        <f>IF('Part III-Sources of Funds'!$P$43="", 0,-'Part III-Sources of Funds'!$P$43)</f>
        <v>-46211.9</v>
      </c>
      <c r="N31" s="3505"/>
      <c r="O31" s="3507"/>
      <c r="Q31" s="1125">
        <v>11</v>
      </c>
      <c r="R31" s="1333">
        <f>-SUM(B31:K31)-B63</f>
        <v>508330.90000000014</v>
      </c>
      <c r="S31" s="1333">
        <f>SUM(B32:K32)+B64+R31</f>
        <v>1250352.7818001695</v>
      </c>
    </row>
    <row r="32" spans="1:19" ht="13.35" customHeight="1">
      <c r="A32" s="21" t="s">
        <v>1164</v>
      </c>
      <c r="B32" s="22">
        <f t="shared" ref="B32:K32" si="9">SUM(B24:B31)</f>
        <v>39324.565796292176</v>
      </c>
      <c r="C32" s="22">
        <f t="shared" si="9"/>
        <v>44971.651556292105</v>
      </c>
      <c r="D32" s="22">
        <f t="shared" si="9"/>
        <v>50619.87623149217</v>
      </c>
      <c r="E32" s="22">
        <f t="shared" si="9"/>
        <v>56264.179716196166</v>
      </c>
      <c r="F32" s="22">
        <f t="shared" si="9"/>
        <v>61902.33921607423</v>
      </c>
      <c r="G32" s="22">
        <f t="shared" si="9"/>
        <v>67529.962949794455</v>
      </c>
      <c r="H32" s="22">
        <f t="shared" si="9"/>
        <v>73142.483633348689</v>
      </c>
      <c r="I32" s="22">
        <f t="shared" si="9"/>
        <v>78737.151739988447</v>
      </c>
      <c r="J32" s="22">
        <f t="shared" si="9"/>
        <v>84309.028528458002</v>
      </c>
      <c r="K32" s="23">
        <f t="shared" si="9"/>
        <v>89853.978831984481</v>
      </c>
      <c r="N32" s="3505"/>
      <c r="O32" s="3507"/>
      <c r="Q32" s="1125">
        <v>12</v>
      </c>
      <c r="R32" s="1333">
        <f>-SUM(B31:K31) - SUM(B63:C63)</f>
        <v>554542.80000000016</v>
      </c>
      <c r="S32" s="1333">
        <f>SUM(B32:K32) + SUM(B64:C64)+R32</f>
        <v>1397407.2139864732</v>
      </c>
    </row>
    <row r="33" spans="1:19" ht="13.35" customHeight="1">
      <c r="A33" s="21" t="str">
        <f>IF('Part III-Sources of Funds'!$E$38 = "Neither", "", "DCR Mortgage A")</f>
        <v>DCR Mortgage A</v>
      </c>
      <c r="B33" s="24">
        <f t="shared" ref="B33:K33" si="10">IF(B25=0,"",-B24/B25)</f>
        <v>1.2222980363479126</v>
      </c>
      <c r="C33" s="24">
        <f t="shared" si="10"/>
        <v>1.2369740702926146</v>
      </c>
      <c r="D33" s="24">
        <f t="shared" si="10"/>
        <v>1.251653064128285</v>
      </c>
      <c r="E33" s="24">
        <f t="shared" si="10"/>
        <v>1.2663218673050438</v>
      </c>
      <c r="F33" s="24">
        <f t="shared" si="10"/>
        <v>1.2809747030724712</v>
      </c>
      <c r="G33" s="24">
        <f t="shared" si="10"/>
        <v>1.2956001577679017</v>
      </c>
      <c r="H33" s="24">
        <f t="shared" si="10"/>
        <v>1.3101863616202734</v>
      </c>
      <c r="I33" s="24">
        <f t="shared" si="10"/>
        <v>1.3247261689708154</v>
      </c>
      <c r="J33" s="24">
        <f t="shared" si="10"/>
        <v>1.3392067446798832</v>
      </c>
      <c r="K33" s="25">
        <f t="shared" si="10"/>
        <v>1.3536173419923352</v>
      </c>
      <c r="N33" s="3505"/>
      <c r="O33" s="3507"/>
      <c r="Q33" s="1125">
        <v>13</v>
      </c>
      <c r="R33" s="1333">
        <f>-SUM(B31:K31) - SUM(B63:D63)</f>
        <v>600754.70000000019</v>
      </c>
      <c r="S33" s="1333">
        <f>SUM(B32:K32) + SUM(B64:D64)+R33</f>
        <v>1549894.9283566535</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05"/>
      <c r="O34" s="3507"/>
      <c r="Q34" s="1125">
        <v>14</v>
      </c>
      <c r="R34" s="1333">
        <f>-SUM(B31:K31) - SUM(B63:E63)</f>
        <v>646966.60000000009</v>
      </c>
      <c r="S34" s="1333">
        <f>SUM(B32:K32) + SUM(B64:E64)+R34</f>
        <v>1707769.3404672695</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05"/>
      <c r="O35" s="3507"/>
      <c r="Q35" s="1125">
        <v>15</v>
      </c>
      <c r="R35" s="1333">
        <f>-SUM(B31:K31) - SUM(B63:F63)</f>
        <v>693178.50000000012</v>
      </c>
      <c r="S35" s="1333">
        <f>SUM(B32:K32) + SUM(B64:F64)+R35</f>
        <v>1870976.6314833988</v>
      </c>
    </row>
    <row r="36" spans="1:19" ht="13.35" customHeight="1">
      <c r="A36" s="21" t="s">
        <v>783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05"/>
      <c r="O36" s="3507"/>
      <c r="Q36" s="62">
        <v>16</v>
      </c>
      <c r="R36" s="1333">
        <f>-SUM(B31:K31) - SUM(B63:G63)</f>
        <v>693178.50000000012</v>
      </c>
      <c r="S36" s="1333">
        <f>SUM(B32:K32) + SUM(B64:G64)+R36</f>
        <v>2039458.5030097282</v>
      </c>
    </row>
    <row r="37" spans="1:19" ht="13.35" customHeight="1">
      <c r="A37" s="483" t="s">
        <v>3713</v>
      </c>
      <c r="B37" s="24">
        <f t="shared" ref="B37:K37" si="14">IF(AND(B25=0,B26=0,B27=0,B28=0),"",-B24/(B25+B26+B27+B28))</f>
        <v>1.2222980363479126</v>
      </c>
      <c r="C37" s="24">
        <f t="shared" si="14"/>
        <v>1.2369740702926146</v>
      </c>
      <c r="D37" s="24">
        <f t="shared" si="14"/>
        <v>1.251653064128285</v>
      </c>
      <c r="E37" s="24">
        <f t="shared" si="14"/>
        <v>1.2663218673050438</v>
      </c>
      <c r="F37" s="24">
        <f t="shared" si="14"/>
        <v>1.2809747030724712</v>
      </c>
      <c r="G37" s="24">
        <f t="shared" si="14"/>
        <v>1.2956001577679017</v>
      </c>
      <c r="H37" s="24">
        <f t="shared" si="14"/>
        <v>1.3101863616202734</v>
      </c>
      <c r="I37" s="24">
        <f t="shared" si="14"/>
        <v>1.3247261689708154</v>
      </c>
      <c r="J37" s="24">
        <f t="shared" si="14"/>
        <v>1.3392067446798832</v>
      </c>
      <c r="K37" s="25">
        <f t="shared" si="14"/>
        <v>1.3536173419923352</v>
      </c>
      <c r="N37" s="3505"/>
      <c r="O37" s="3507"/>
      <c r="Q37" s="62">
        <v>17</v>
      </c>
      <c r="R37" s="1333">
        <f>-SUM(B31:K31) - SUM(B63:H63)</f>
        <v>693178.50000000012</v>
      </c>
      <c r="S37" s="1333">
        <f>SUM(B32:K32) + SUM(B64:H64)+R37</f>
        <v>2213149.9228038359</v>
      </c>
    </row>
    <row r="38" spans="1:19" ht="13.35" customHeight="1">
      <c r="A38" s="21" t="s">
        <v>770</v>
      </c>
      <c r="B38" s="296">
        <f t="shared" ref="B38:K38" si="15">IF(OR(B21="Choose mgt fee",B21="Choose One!"),"",(B14+B15+B16+B17+B18) / -(B20+B21+B22))</f>
        <v>2.1312577733199598</v>
      </c>
      <c r="C38" s="296">
        <f t="shared" si="15"/>
        <v>2.1125303273819038</v>
      </c>
      <c r="D38" s="296">
        <f t="shared" si="15"/>
        <v>2.0939549581460839</v>
      </c>
      <c r="E38" s="296">
        <f t="shared" si="15"/>
        <v>2.075522596271842</v>
      </c>
      <c r="F38" s="296">
        <f t="shared" si="15"/>
        <v>2.0572386088139094</v>
      </c>
      <c r="G38" s="296">
        <f t="shared" si="15"/>
        <v>2.0390990011712167</v>
      </c>
      <c r="H38" s="296">
        <f t="shared" si="15"/>
        <v>2.0211002455758451</v>
      </c>
      <c r="I38" s="296">
        <f t="shared" si="15"/>
        <v>2.0032471228641735</v>
      </c>
      <c r="J38" s="296">
        <f t="shared" si="15"/>
        <v>1.9855360387454051</v>
      </c>
      <c r="K38" s="297">
        <f t="shared" si="15"/>
        <v>1.9679674649843408</v>
      </c>
      <c r="N38" s="3505"/>
      <c r="O38" s="3507"/>
      <c r="Q38" s="62">
        <v>18</v>
      </c>
      <c r="R38" s="1333">
        <f>-SUM(B31:K31) - SUM(B63:I63)</f>
        <v>693178.50000000012</v>
      </c>
      <c r="S38" s="1333">
        <f>SUM(B32:K32) + SUM(B64:I64)+R38</f>
        <v>2391978.8610628732</v>
      </c>
    </row>
    <row r="39" spans="1:19" ht="13.35" customHeight="1">
      <c r="A39" s="483" t="s">
        <v>2617</v>
      </c>
      <c r="B39" s="240">
        <f>IF('Part III-Sources of Funds'!$I$38="","",-FV('Part III-Sources of Funds'!$K$38/12,12,B25/12,'Part III-Sources of Funds'!$I$38))</f>
        <v>6780588.3753657602</v>
      </c>
      <c r="C39" s="240">
        <f>IF('Part III-Sources of Funds'!$I$38="","",-FV('Part III-Sources of Funds'!$K$38/12,12,C25/12,B39))</f>
        <v>6692386.8149426132</v>
      </c>
      <c r="D39" s="240">
        <f>IF('Part III-Sources of Funds'!$I$38="","",-FV('Part III-Sources of Funds'!$K$38/12,12,D25/12,C39))</f>
        <v>6600225.1571758408</v>
      </c>
      <c r="E39" s="240">
        <f>IF('Part III-Sources of Funds'!$I$38="","",-FV('Part III-Sources of Funds'!$K$38/12,12,E25/12,D39))</f>
        <v>6503925.6005515493</v>
      </c>
      <c r="F39" s="240">
        <f>IF('Part III-Sources of Funds'!$I$38="","",-FV('Part III-Sources of Funds'!$K$38/12,12,F25/12,E39))</f>
        <v>6403302.3605757328</v>
      </c>
      <c r="G39" s="240">
        <f>IF('Part III-Sources of Funds'!$I$38="","",-FV('Part III-Sources of Funds'!$K$38/12,12,G25/12,F39))</f>
        <v>6298161.3113522846</v>
      </c>
      <c r="H39" s="240">
        <f>IF('Part III-Sources of Funds'!$I$38="","",-FV('Part III-Sources of Funds'!$K$38/12,12,H25/12,G39))</f>
        <v>6188299.61106849</v>
      </c>
      <c r="I39" s="240">
        <f>IF('Part III-Sources of Funds'!$I$38="","",-FV('Part III-Sources of Funds'!$K$38/12,12,I25/12,H39))</f>
        <v>6073505.3106654594</v>
      </c>
      <c r="J39" s="240">
        <f>IF('Part III-Sources of Funds'!$I$38="","",-FV('Part III-Sources of Funds'!$K$38/12,12,J25/12,I39))</f>
        <v>5953556.9449385451</v>
      </c>
      <c r="K39" s="240">
        <f>IF('Part III-Sources of Funds'!$I$38="","",-FV('Part III-Sources of Funds'!$K$38/12,12,K25/12,J39))</f>
        <v>5828223.1052788738</v>
      </c>
      <c r="N39" s="3505"/>
      <c r="O39" s="3507"/>
      <c r="Q39" s="1125">
        <v>19</v>
      </c>
      <c r="R39" s="1333">
        <f>-SUM(B31:K31) - SUM(B63:J63)</f>
        <v>693178.50000000012</v>
      </c>
      <c r="S39" s="1333">
        <f>SUM(B32:K32) + SUM(B64:J64)+R39</f>
        <v>2575867.0169648877</v>
      </c>
    </row>
    <row r="40" spans="1:19" ht="13.35" customHeight="1">
      <c r="A40" s="483" t="s">
        <v>2618</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505"/>
      <c r="O40" s="3507"/>
      <c r="Q40" s="1125">
        <v>20</v>
      </c>
      <c r="R40" s="1333">
        <f>-SUM(B31:K31) - SUM(B63:K63)</f>
        <v>693178.50000000012</v>
      </c>
      <c r="S40" s="1333">
        <f>SUM(B32:K32) + SUM(B64:K64)+R40</f>
        <v>2764729.5351357507</v>
      </c>
    </row>
    <row r="41" spans="1:19" ht="13.35" customHeight="1">
      <c r="A41" s="483" t="s">
        <v>2619</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05"/>
      <c r="O41" s="3507"/>
    </row>
    <row r="42" spans="1:19" ht="13.35" customHeight="1">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05"/>
      <c r="O42" s="3507"/>
    </row>
    <row r="43" spans="1:19" ht="13.35" customHeight="1">
      <c r="A43" s="483" t="s">
        <v>4088</v>
      </c>
      <c r="B43" s="242">
        <f>IF('Part III-Sources of Funds'!$I$43="","",-FV('Part III-Sources of Funds'!$K$43/12,12,B31/12,'Part III-Sources of Funds'!$I$43))</f>
        <v>415907.1</v>
      </c>
      <c r="C43" s="242">
        <f>IF('Part III-Sources of Funds'!$I$43="","",IF(-FV('Part III-Sources of Funds'!$K$43/12,12,C31/12,B43)&gt;0,-FV('Part III-Sources of Funds'!$K$43/12,12,C31/12,B43),0))</f>
        <v>369695.19999999995</v>
      </c>
      <c r="D43" s="242">
        <f>IF('Part III-Sources of Funds'!$I$43="","",IF(-FV('Part III-Sources of Funds'!$K$43/12,12,D31/12,C43)&gt;0,-FV('Part III-Sources of Funds'!$K$43/12,12,D31/12,C43),0))</f>
        <v>323483.29999999993</v>
      </c>
      <c r="E43" s="242">
        <f>IF('Part III-Sources of Funds'!$I$43="","",IF(-FV('Part III-Sources of Funds'!$K$43/12,12,E31/12,D43)&gt;0,-FV('Part III-Sources of Funds'!$K$43/12,12,E31/12,D43),0))</f>
        <v>277271.39999999991</v>
      </c>
      <c r="F43" s="242">
        <f>IF('Part III-Sources of Funds'!$I$43="","",IF(-FV('Part III-Sources of Funds'!$K$43/12,12,F31/12,E43)&gt;0,-FV('Part III-Sources of Funds'!$K$43/12,12,F31/12,E43),0))</f>
        <v>231059.49999999991</v>
      </c>
      <c r="G43" s="242">
        <f>IF('Part III-Sources of Funds'!$I$43="","",IF(-FV('Part III-Sources of Funds'!$K$43/12,12,G31/12,F43)&gt;0,-FV('Part III-Sources of Funds'!$K$43/12,12,G31/12,F43),0))</f>
        <v>184847.59999999992</v>
      </c>
      <c r="H43" s="242">
        <f>IF('Part III-Sources of Funds'!$I$43="","",IF(-FV('Part III-Sources of Funds'!$K$43/12,12,H31/12,G43)&gt;0,-FV('Part III-Sources of Funds'!$K$43/12,12,H31/12,G43),0))</f>
        <v>138635.69999999992</v>
      </c>
      <c r="I43" s="242">
        <f>IF('Part III-Sources of Funds'!$I$43="","",IF(-FV('Part III-Sources of Funds'!$K$43/12,12,I31/12,H43)&gt;0,-FV('Part III-Sources of Funds'!$K$43/12,12,I31/12,H43),0))</f>
        <v>92423.79999999993</v>
      </c>
      <c r="J43" s="242">
        <f>IF('Part III-Sources of Funds'!$I$43="","",IF(-FV('Part III-Sources of Funds'!$K$43/12,12,J31/12,I43)&gt;0,-FV('Part III-Sources of Funds'!$K$43/12,12,J31/12,I43),0))</f>
        <v>46211.899999999929</v>
      </c>
      <c r="K43" s="242">
        <f>IF('Part III-Sources of Funds'!$I$43="","",IF(-FV('Part III-Sources of Funds'!$K$43/12,12,K31/12,J43)&gt;0,-FV('Part III-Sources of Funds'!$K$43/12,12,K31/12,J43),0))</f>
        <v>0</v>
      </c>
      <c r="N43" s="3509"/>
      <c r="O43" s="3511"/>
    </row>
    <row r="44" spans="1:19" ht="4.3499999999999996" customHeight="1">
      <c r="B44" s="17"/>
      <c r="C44" s="17"/>
      <c r="D44" s="17"/>
      <c r="E44" s="17"/>
      <c r="F44" s="17"/>
      <c r="G44" s="17"/>
      <c r="H44" s="17"/>
      <c r="I44" s="17"/>
      <c r="J44" s="17"/>
      <c r="K44" s="17"/>
    </row>
    <row r="45" spans="1:19" ht="14.45" customHeight="1">
      <c r="A45" s="13" t="s">
        <v>2480</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25" t="s">
        <v>2622</v>
      </c>
      <c r="O45" s="3225"/>
    </row>
    <row r="46" spans="1:19" ht="13.35" customHeight="1">
      <c r="A46" s="18" t="s">
        <v>2404</v>
      </c>
      <c r="B46" s="19">
        <f t="shared" ref="B46:K46" si="17">$B$14*(1+$B$5)^(B45-1)</f>
        <v>1138638.3078287027</v>
      </c>
      <c r="C46" s="19">
        <f t="shared" si="17"/>
        <v>1161411.0739852765</v>
      </c>
      <c r="D46" s="19">
        <f t="shared" si="17"/>
        <v>1184639.2954649823</v>
      </c>
      <c r="E46" s="19">
        <f t="shared" si="17"/>
        <v>1208332.0813742818</v>
      </c>
      <c r="F46" s="19">
        <f t="shared" si="17"/>
        <v>1232498.7230017676</v>
      </c>
      <c r="G46" s="19">
        <f t="shared" si="17"/>
        <v>1257148.6974618025</v>
      </c>
      <c r="H46" s="19">
        <f t="shared" si="17"/>
        <v>1282291.6714110388</v>
      </c>
      <c r="I46" s="19">
        <f t="shared" si="17"/>
        <v>1307937.5048392597</v>
      </c>
      <c r="J46" s="19">
        <f t="shared" si="17"/>
        <v>1334096.2549360448</v>
      </c>
      <c r="K46" s="20">
        <f t="shared" si="17"/>
        <v>1360778.1800347657</v>
      </c>
      <c r="N46" s="3500"/>
      <c r="O46" s="3502"/>
    </row>
    <row r="47" spans="1:19" ht="13.35" customHeight="1">
      <c r="A47" s="21" t="s">
        <v>1016</v>
      </c>
      <c r="B47" s="22">
        <f t="shared" ref="B47:K47" si="18">$B$15*(1+$B$5)^(B45-1)</f>
        <v>22772.766156574056</v>
      </c>
      <c r="C47" s="22">
        <f t="shared" si="18"/>
        <v>23228.221479705535</v>
      </c>
      <c r="D47" s="22">
        <f t="shared" si="18"/>
        <v>23692.785909299648</v>
      </c>
      <c r="E47" s="22">
        <f t="shared" si="18"/>
        <v>24166.641627485638</v>
      </c>
      <c r="F47" s="22">
        <f t="shared" si="18"/>
        <v>24649.974460035355</v>
      </c>
      <c r="G47" s="22">
        <f t="shared" si="18"/>
        <v>25142.973949236057</v>
      </c>
      <c r="H47" s="22">
        <f t="shared" si="18"/>
        <v>25645.83342822078</v>
      </c>
      <c r="I47" s="22">
        <f t="shared" si="18"/>
        <v>26158.750096785199</v>
      </c>
      <c r="J47" s="22">
        <f t="shared" si="18"/>
        <v>26681.925098720898</v>
      </c>
      <c r="K47" s="23">
        <f t="shared" si="18"/>
        <v>27215.563600695317</v>
      </c>
      <c r="N47" s="3505"/>
      <c r="O47" s="3507"/>
    </row>
    <row r="48" spans="1:19" ht="13.35" customHeight="1">
      <c r="A48" s="21" t="s">
        <v>2405</v>
      </c>
      <c r="B48" s="22">
        <f t="shared" ref="B48:K48" si="19">-(B46+B47)*$B$8</f>
        <v>-81298.775178969387</v>
      </c>
      <c r="C48" s="22">
        <f t="shared" si="19"/>
        <v>-82924.750682548751</v>
      </c>
      <c r="D48" s="22">
        <f t="shared" si="19"/>
        <v>-84583.245696199752</v>
      </c>
      <c r="E48" s="22">
        <f t="shared" si="19"/>
        <v>-86274.910610123727</v>
      </c>
      <c r="F48" s="22">
        <f t="shared" si="19"/>
        <v>-88000.408822326222</v>
      </c>
      <c r="G48" s="22">
        <f t="shared" si="19"/>
        <v>-89760.416998772707</v>
      </c>
      <c r="H48" s="22">
        <f t="shared" si="19"/>
        <v>-91555.625338748185</v>
      </c>
      <c r="I48" s="22">
        <f t="shared" si="19"/>
        <v>-93386.737845523152</v>
      </c>
      <c r="J48" s="22">
        <f t="shared" si="19"/>
        <v>-95254.472602433612</v>
      </c>
      <c r="K48" s="23">
        <f t="shared" si="19"/>
        <v>-97159.562054482274</v>
      </c>
      <c r="N48" s="3505"/>
      <c r="O48" s="3507"/>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05"/>
      <c r="O49" s="3507"/>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05"/>
      <c r="O50" s="3507"/>
    </row>
    <row r="51" spans="1:19" ht="13.35" customHeight="1">
      <c r="A51" s="483" t="s">
        <v>4945</v>
      </c>
      <c r="B51" s="22">
        <f t="shared" ref="B51:K51" si="20">SUM(B46:B50)</f>
        <v>1080112.2988063074</v>
      </c>
      <c r="C51" s="22">
        <f t="shared" si="20"/>
        <v>1101714.5447824332</v>
      </c>
      <c r="D51" s="22">
        <f t="shared" si="20"/>
        <v>1123748.8356780822</v>
      </c>
      <c r="E51" s="22">
        <f t="shared" si="20"/>
        <v>1146223.8123916436</v>
      </c>
      <c r="F51" s="22">
        <f t="shared" si="20"/>
        <v>1169148.2886394768</v>
      </c>
      <c r="G51" s="22">
        <f t="shared" si="20"/>
        <v>1192531.254412266</v>
      </c>
      <c r="H51" s="22">
        <f t="shared" si="20"/>
        <v>1216381.8795005116</v>
      </c>
      <c r="I51" s="22">
        <f t="shared" si="20"/>
        <v>1240709.5170905218</v>
      </c>
      <c r="J51" s="22">
        <f t="shared" si="20"/>
        <v>1265523.7074323322</v>
      </c>
      <c r="K51" s="23">
        <f t="shared" si="20"/>
        <v>1290834.1815809787</v>
      </c>
      <c r="N51" s="3505"/>
      <c r="O51" s="3507"/>
    </row>
    <row r="52" spans="1:19" ht="13.35" customHeight="1">
      <c r="A52" s="21" t="s">
        <v>614</v>
      </c>
      <c r="B52" s="22">
        <f t="shared" ref="B52:K52" si="21">$B$20*(1+$B$6)^(B45-1)</f>
        <v>-476923.66903612454</v>
      </c>
      <c r="C52" s="22">
        <f t="shared" si="21"/>
        <v>-491231.37910720834</v>
      </c>
      <c r="D52" s="22">
        <f t="shared" si="21"/>
        <v>-505968.3204804245</v>
      </c>
      <c r="E52" s="22">
        <f t="shared" si="21"/>
        <v>-521147.37009483721</v>
      </c>
      <c r="F52" s="22">
        <f t="shared" si="21"/>
        <v>-536781.79119768238</v>
      </c>
      <c r="G52" s="22">
        <f t="shared" si="21"/>
        <v>-552885.24493361288</v>
      </c>
      <c r="H52" s="22">
        <f t="shared" si="21"/>
        <v>-569471.80228162115</v>
      </c>
      <c r="I52" s="22">
        <f t="shared" si="21"/>
        <v>-586555.95635006984</v>
      </c>
      <c r="J52" s="22">
        <f t="shared" si="21"/>
        <v>-604152.63504057191</v>
      </c>
      <c r="K52" s="23">
        <f t="shared" si="21"/>
        <v>-622277.21409178909</v>
      </c>
      <c r="N52" s="3505"/>
      <c r="O52" s="3507"/>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-48605</v>
      </c>
      <c r="C53" s="22">
        <f>IF(AND('Part VII-Pro Forma'!$G$8="Yes",'Part VII-Pro Forma'!$G$9="Yes"),"Choose One!",IF('Part VII-Pro Forma'!$G$8="Yes",ROUND((-$K$8*(1+'Part VII-Pro Forma'!$B$6)^('Part VII-Pro Forma'!C45-1)),),IF('Part VII-Pro Forma'!$G$9="Yes",ROUND((-(SUM(C46:C49)*'Part VII-Pro Forma'!$K$9)),),"Choose mgt fee")))</f>
        <v>-49577</v>
      </c>
      <c r="D53" s="22">
        <f>IF(AND('Part VII-Pro Forma'!$G$8="Yes",'Part VII-Pro Forma'!$G$9="Yes"),"Choose One!",IF('Part VII-Pro Forma'!$G$8="Yes",ROUND((-$K$8*(1+'Part VII-Pro Forma'!$B$6)^('Part VII-Pro Forma'!D45-1)),),IF('Part VII-Pro Forma'!$G$9="Yes",ROUND((-(SUM(D46:D49)*'Part VII-Pro Forma'!$K$9)),),"Choose mgt fee")))</f>
        <v>-50569</v>
      </c>
      <c r="E53" s="22">
        <f>IF(AND('Part VII-Pro Forma'!$G$8="Yes",'Part VII-Pro Forma'!$G$9="Yes"),"Choose One!",IF('Part VII-Pro Forma'!$G$8="Yes",ROUND((-$K$8*(1+'Part VII-Pro Forma'!$B$6)^('Part VII-Pro Forma'!E45-1)),),IF('Part VII-Pro Forma'!$G$9="Yes",ROUND((-(SUM(E46:E49)*'Part VII-Pro Forma'!$K$9)),),"Choose mgt fee")))</f>
        <v>-51580</v>
      </c>
      <c r="F53" s="22">
        <f>IF(AND('Part VII-Pro Forma'!$G$8="Yes",'Part VII-Pro Forma'!$G$9="Yes"),"Choose One!",IF('Part VII-Pro Forma'!$G$8="Yes",ROUND((-$K$8*(1+'Part VII-Pro Forma'!$B$6)^('Part VII-Pro Forma'!F45-1)),),IF('Part VII-Pro Forma'!$G$9="Yes",ROUND((-(SUM(F46:F49)*'Part VII-Pro Forma'!$K$9)),),"Choose mgt fee")))</f>
        <v>-52612</v>
      </c>
      <c r="G53" s="22">
        <f>IF(AND('Part VII-Pro Forma'!$G$8="Yes",'Part VII-Pro Forma'!$G$9="Yes"),"Choose One!",IF('Part VII-Pro Forma'!$G$8="Yes",ROUND((-$K$8*(1+'Part VII-Pro Forma'!$B$6)^('Part VII-Pro Forma'!G45-1)),),IF('Part VII-Pro Forma'!$G$9="Yes",ROUND((-(SUM(G46:G49)*'Part VII-Pro Forma'!$K$9)),),"Choose mgt fee")))</f>
        <v>-53664</v>
      </c>
      <c r="H53" s="22">
        <f>IF(AND('Part VII-Pro Forma'!$G$8="Yes",'Part VII-Pro Forma'!$G$9="Yes"),"Choose One!",IF('Part VII-Pro Forma'!$G$8="Yes",ROUND((-$K$8*(1+'Part VII-Pro Forma'!$B$6)^('Part VII-Pro Forma'!H45-1)),),IF('Part VII-Pro Forma'!$G$9="Yes",ROUND((-(SUM(H46:H49)*'Part VII-Pro Forma'!$K$9)),),"Choose mgt fee")))</f>
        <v>-54737</v>
      </c>
      <c r="I53" s="22">
        <f>IF(AND('Part VII-Pro Forma'!$G$8="Yes",'Part VII-Pro Forma'!$G$9="Yes"),"Choose One!",IF('Part VII-Pro Forma'!$G$8="Yes",ROUND((-$K$8*(1+'Part VII-Pro Forma'!$B$6)^('Part VII-Pro Forma'!I45-1)),),IF('Part VII-Pro Forma'!$G$9="Yes",ROUND((-(SUM(I46:I49)*'Part VII-Pro Forma'!$K$9)),),"Choose mgt fee")))</f>
        <v>-55832</v>
      </c>
      <c r="J53" s="22">
        <f>IF(AND('Part VII-Pro Forma'!$G$8="Yes",'Part VII-Pro Forma'!$G$9="Yes"),"Choose One!",IF('Part VII-Pro Forma'!$G$8="Yes",ROUND((-$K$8*(1+'Part VII-Pro Forma'!$B$6)^('Part VII-Pro Forma'!J45-1)),),IF('Part VII-Pro Forma'!$G$9="Yes",ROUND((-(SUM(J46:J49)*'Part VII-Pro Forma'!$K$9)),),"Choose mgt fee")))</f>
        <v>-56949</v>
      </c>
      <c r="K53" s="23">
        <f>IF(AND('Part VII-Pro Forma'!$G$8="Yes",'Part VII-Pro Forma'!$G$9="Yes"),"Choose One!",IF('Part VII-Pro Forma'!$G$8="Yes",ROUND((-$K$8*(1+'Part VII-Pro Forma'!$B$6)^('Part VII-Pro Forma'!K45-1)),),IF('Part VII-Pro Forma'!$G$9="Yes",ROUND((-(SUM(K46:K49)*'Part VII-Pro Forma'!$K$9)),),"Choose mgt fee")))</f>
        <v>-58088</v>
      </c>
      <c r="N53" s="3505"/>
      <c r="O53" s="3507"/>
    </row>
    <row r="54" spans="1:19" ht="13.35" customHeight="1">
      <c r="A54" s="21" t="s">
        <v>1202</v>
      </c>
      <c r="B54" s="22">
        <f t="shared" ref="B54:K54" si="22">$B$22*(1+$B$7)^(B45-1)</f>
        <v>-28222.243966226557</v>
      </c>
      <c r="C54" s="22">
        <f t="shared" si="22"/>
        <v>-29068.911285213355</v>
      </c>
      <c r="D54" s="22">
        <f t="shared" si="22"/>
        <v>-29940.978623769752</v>
      </c>
      <c r="E54" s="22">
        <f t="shared" si="22"/>
        <v>-30839.207982482843</v>
      </c>
      <c r="F54" s="22">
        <f t="shared" si="22"/>
        <v>-31764.384221957331</v>
      </c>
      <c r="G54" s="22">
        <f t="shared" si="22"/>
        <v>-32717.315748616053</v>
      </c>
      <c r="H54" s="22">
        <f t="shared" si="22"/>
        <v>-33698.835221074529</v>
      </c>
      <c r="I54" s="22">
        <f t="shared" si="22"/>
        <v>-34709.800277706767</v>
      </c>
      <c r="J54" s="22">
        <f t="shared" si="22"/>
        <v>-35751.094286037966</v>
      </c>
      <c r="K54" s="23">
        <f t="shared" si="22"/>
        <v>-36823.627114619107</v>
      </c>
      <c r="N54" s="3505"/>
      <c r="O54" s="3507"/>
    </row>
    <row r="55" spans="1:19" ht="13.35" customHeight="1">
      <c r="A55" s="483" t="s">
        <v>4944</v>
      </c>
      <c r="B55" s="2704">
        <f>IF(B45&lt;=+'Part VI-Revenues &amp; Expenses'!$K$243,-'Part VI-Revenues &amp; Expenses'!$H$243,0)</f>
        <v>0</v>
      </c>
      <c r="C55" s="2704">
        <f>IF(C45&lt;=+'Part VI-Revenues &amp; Expenses'!$K$243,-'Part VI-Revenues &amp; Expenses'!$H$243,0)</f>
        <v>0</v>
      </c>
      <c r="D55" s="2704">
        <f>IF(D45&lt;=+'Part VI-Revenues &amp; Expenses'!$K$243,-'Part VI-Revenues &amp; Expenses'!$H$243,0)</f>
        <v>0</v>
      </c>
      <c r="E55" s="2704">
        <f>IF(E45&lt;=+'Part VI-Revenues &amp; Expenses'!$K$243,-'Part VI-Revenues &amp; Expenses'!$H$243,0)</f>
        <v>0</v>
      </c>
      <c r="F55" s="2704">
        <f>IF(F45&lt;=+'Part VI-Revenues &amp; Expenses'!$K$243,-'Part VI-Revenues &amp; Expenses'!$H$243,0)</f>
        <v>0</v>
      </c>
      <c r="G55" s="2704">
        <f>IF(G45&lt;=+'Part VI-Revenues &amp; Expenses'!$K$243,-'Part VI-Revenues &amp; Expenses'!$H$243,0)</f>
        <v>0</v>
      </c>
      <c r="H55" s="2704">
        <f>IF(H45&lt;=+'Part VI-Revenues &amp; Expenses'!$K$243,-'Part VI-Revenues &amp; Expenses'!$H$243,0)</f>
        <v>0</v>
      </c>
      <c r="I55" s="2704">
        <f>IF(I45&lt;=+'Part VI-Revenues &amp; Expenses'!$K$243,-'Part VI-Revenues &amp; Expenses'!$H$243,0)</f>
        <v>0</v>
      </c>
      <c r="J55" s="2704">
        <f>IF(J45&lt;=+'Part VI-Revenues &amp; Expenses'!$K$243,-'Part VI-Revenues &amp; Expenses'!$H$243,0)</f>
        <v>0</v>
      </c>
      <c r="K55" s="2704">
        <f>IF(K45&lt;=+'Part VI-Revenues &amp; Expenses'!$K$243,-'Part VI-Revenues &amp; Expenses'!$H$243,0)</f>
        <v>0</v>
      </c>
      <c r="N55" s="3505"/>
      <c r="O55" s="3507"/>
      <c r="Q55" s="1125">
        <v>10</v>
      </c>
      <c r="R55" s="1333">
        <f>-SUM(B60:K60)</f>
        <v>0</v>
      </c>
      <c r="S55" s="1333">
        <f>SUM(B61:K61)+R55</f>
        <v>0</v>
      </c>
    </row>
    <row r="56" spans="1:19" ht="13.35" customHeight="1">
      <c r="A56" s="21" t="s">
        <v>1203</v>
      </c>
      <c r="B56" s="22">
        <f>SUM(B51:B55)</f>
        <v>526361.38580395619</v>
      </c>
      <c r="C56" s="22">
        <f t="shared" ref="C56" si="23">SUM(C51:C55)</f>
        <v>531837.25439001154</v>
      </c>
      <c r="D56" s="22">
        <f t="shared" ref="D56" si="24">SUM(D51:D55)</f>
        <v>537270.53657388804</v>
      </c>
      <c r="E56" s="22">
        <f t="shared" ref="E56" si="25">SUM(E51:E55)</f>
        <v>542657.23431432364</v>
      </c>
      <c r="F56" s="22">
        <f t="shared" ref="F56" si="26">SUM(F51:F55)</f>
        <v>547990.11321983708</v>
      </c>
      <c r="G56" s="22">
        <f t="shared" ref="G56" si="27">SUM(G51:G55)</f>
        <v>553264.69373003708</v>
      </c>
      <c r="H56" s="22">
        <f t="shared" ref="H56" si="28">SUM(H51:H55)</f>
        <v>558474.2419978159</v>
      </c>
      <c r="I56" s="22">
        <f t="shared" ref="I56" si="29">SUM(I51:I55)</f>
        <v>563611.76046274509</v>
      </c>
      <c r="J56" s="22">
        <f t="shared" ref="J56" si="30">SUM(J51:J55)</f>
        <v>568670.97810572234</v>
      </c>
      <c r="K56" s="2567">
        <f>SUM(K51:K55)</f>
        <v>573645.34037457046</v>
      </c>
      <c r="N56" s="3505"/>
      <c r="O56" s="3507"/>
    </row>
    <row r="57" spans="1:19" ht="13.35" customHeight="1">
      <c r="A57" s="21" t="str">
        <f>$A25</f>
        <v>Mortgage A</v>
      </c>
      <c r="B57" s="485">
        <f>IF('Part III-Sources of Funds'!$P$38="", 0,-'Part III-Sources of Funds'!$P$38)</f>
        <v>-384782.82220370776</v>
      </c>
      <c r="C57" s="485">
        <f>IF('Part III-Sources of Funds'!$P$38="", 0,-'Part III-Sources of Funds'!$P$38)</f>
        <v>-384782.82220370776</v>
      </c>
      <c r="D57" s="485">
        <f>IF('Part III-Sources of Funds'!$P$38="", 0,-'Part III-Sources of Funds'!$P$38)</f>
        <v>-384782.82220370776</v>
      </c>
      <c r="E57" s="485">
        <f>IF('Part III-Sources of Funds'!$P$38="", 0,-'Part III-Sources of Funds'!$P$38)</f>
        <v>-384782.82220370776</v>
      </c>
      <c r="F57" s="485">
        <f>IF('Part III-Sources of Funds'!$P$38="", 0,-'Part III-Sources of Funds'!$P$38)</f>
        <v>-384782.82220370776</v>
      </c>
      <c r="G57" s="485">
        <f>IF('Part III-Sources of Funds'!$P$38="", 0,-'Part III-Sources of Funds'!$P$38)</f>
        <v>-384782.82220370776</v>
      </c>
      <c r="H57" s="485">
        <f>IF('Part III-Sources of Funds'!$P$38="", 0,-'Part III-Sources of Funds'!$P$38)</f>
        <v>-384782.82220370776</v>
      </c>
      <c r="I57" s="485">
        <f>IF('Part III-Sources of Funds'!$P$38="", 0,-'Part III-Sources of Funds'!$P$38)</f>
        <v>-384782.82220370776</v>
      </c>
      <c r="J57" s="485">
        <f>IF('Part III-Sources of Funds'!$P$38="", 0,-'Part III-Sources of Funds'!$P$38)</f>
        <v>-384782.82220370776</v>
      </c>
      <c r="K57" s="485">
        <f>IF('Part III-Sources of Funds'!$P$38="", 0,-'Part III-Sources of Funds'!$P$38)</f>
        <v>-384782.82220370776</v>
      </c>
      <c r="N57" s="3505"/>
      <c r="O57" s="3507"/>
    </row>
    <row r="58" spans="1:19" ht="13.35"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05"/>
      <c r="O58" s="3507"/>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05"/>
      <c r="O59" s="3507"/>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05"/>
      <c r="O60" s="3507"/>
    </row>
    <row r="61" spans="1:19" ht="13.35" customHeight="1">
      <c r="A61" s="21" t="s">
        <v>763</v>
      </c>
      <c r="B61" s="180"/>
      <c r="C61" s="180"/>
      <c r="D61" s="180"/>
      <c r="E61" s="180"/>
      <c r="F61" s="180"/>
      <c r="G61" s="180"/>
      <c r="H61" s="180"/>
      <c r="I61" s="180"/>
      <c r="J61" s="180"/>
      <c r="K61" s="180"/>
      <c r="N61" s="3505"/>
      <c r="O61" s="3507"/>
    </row>
    <row r="62" spans="1:19" ht="13.35" customHeight="1">
      <c r="A62" s="483" t="s">
        <v>1163</v>
      </c>
      <c r="B62" s="241">
        <f>+K30</f>
        <v>0</v>
      </c>
      <c r="C62" s="241">
        <f t="shared" ref="C62:K62" si="31">+B62</f>
        <v>0</v>
      </c>
      <c r="D62" s="241">
        <f t="shared" si="31"/>
        <v>0</v>
      </c>
      <c r="E62" s="241">
        <f t="shared" si="31"/>
        <v>0</v>
      </c>
      <c r="F62" s="241">
        <f t="shared" si="31"/>
        <v>0</v>
      </c>
      <c r="G62" s="241">
        <f t="shared" si="31"/>
        <v>0</v>
      </c>
      <c r="H62" s="241">
        <f t="shared" si="31"/>
        <v>0</v>
      </c>
      <c r="I62" s="241">
        <f t="shared" si="31"/>
        <v>0</v>
      </c>
      <c r="J62" s="241">
        <f t="shared" si="31"/>
        <v>0</v>
      </c>
      <c r="K62" s="241">
        <f t="shared" si="31"/>
        <v>0</v>
      </c>
      <c r="N62" s="3505"/>
      <c r="O62" s="3507"/>
      <c r="Q62" s="1125"/>
      <c r="R62" s="1333"/>
    </row>
    <row r="63" spans="1:19" ht="13.35" customHeight="1">
      <c r="A63" s="483" t="s">
        <v>4087</v>
      </c>
      <c r="B63" s="242">
        <f>IF('Part III-Sources of Funds'!$P$43="", 0,-'Part III-Sources of Funds'!$P$43)</f>
        <v>-46211.9</v>
      </c>
      <c r="C63" s="242">
        <f>IF('Part III-Sources of Funds'!$P$43="", 0,-'Part III-Sources of Funds'!$P$43)</f>
        <v>-46211.9</v>
      </c>
      <c r="D63" s="242">
        <f>IF('Part III-Sources of Funds'!$P$43="", 0,-'Part III-Sources of Funds'!$P$43)</f>
        <v>-46211.9</v>
      </c>
      <c r="E63" s="242">
        <f>IF('Part III-Sources of Funds'!$P$43="", 0,-'Part III-Sources of Funds'!$P$43)</f>
        <v>-46211.9</v>
      </c>
      <c r="F63" s="242">
        <f>IF('Part III-Sources of Funds'!$P$43="", 0,-'Part III-Sources of Funds'!$P$43)</f>
        <v>-46211.9</v>
      </c>
      <c r="G63" s="242"/>
      <c r="H63" s="242"/>
      <c r="I63" s="242"/>
      <c r="J63" s="242"/>
      <c r="K63" s="242"/>
      <c r="N63" s="3505"/>
      <c r="O63" s="3507"/>
    </row>
    <row r="64" spans="1:19" ht="13.35" customHeight="1">
      <c r="A64" s="21" t="s">
        <v>1164</v>
      </c>
      <c r="B64" s="22">
        <f t="shared" ref="B64:K64" si="32">SUM(B56:B63)</f>
        <v>95366.66360024843</v>
      </c>
      <c r="C64" s="22">
        <f t="shared" si="32"/>
        <v>100842.53218630378</v>
      </c>
      <c r="D64" s="22">
        <f t="shared" si="32"/>
        <v>106275.81437018028</v>
      </c>
      <c r="E64" s="22">
        <f t="shared" si="32"/>
        <v>111662.51211061588</v>
      </c>
      <c r="F64" s="22">
        <f t="shared" si="32"/>
        <v>116995.39101612932</v>
      </c>
      <c r="G64" s="22">
        <f t="shared" si="32"/>
        <v>168481.87152632931</v>
      </c>
      <c r="H64" s="22">
        <f t="shared" si="32"/>
        <v>173691.41979410814</v>
      </c>
      <c r="I64" s="22">
        <f t="shared" si="32"/>
        <v>178828.93825903733</v>
      </c>
      <c r="J64" s="22">
        <f t="shared" si="32"/>
        <v>183888.15590201458</v>
      </c>
      <c r="K64" s="729">
        <f t="shared" si="32"/>
        <v>188862.51817086269</v>
      </c>
      <c r="N64" s="3505"/>
      <c r="O64" s="3507"/>
    </row>
    <row r="65" spans="1:15" ht="13.35" customHeight="1">
      <c r="A65" s="21" t="str">
        <f>$A33</f>
        <v>DCR Mortgage A</v>
      </c>
      <c r="B65" s="24">
        <f t="shared" ref="B65:K65" si="33">IF(B57=0,"",-B56/B57)</f>
        <v>1.3679440854178655</v>
      </c>
      <c r="C65" s="24">
        <f t="shared" si="33"/>
        <v>1.3821751484229505</v>
      </c>
      <c r="D65" s="24">
        <f t="shared" si="33"/>
        <v>1.3962955349640109</v>
      </c>
      <c r="E65" s="24">
        <f t="shared" si="33"/>
        <v>1.4102948546570917</v>
      </c>
      <c r="F65" s="24">
        <f t="shared" si="33"/>
        <v>1.4241543062692279</v>
      </c>
      <c r="G65" s="24">
        <f t="shared" si="33"/>
        <v>1.4378622480115117</v>
      </c>
      <c r="H65" s="24">
        <f t="shared" si="33"/>
        <v>1.4514011795000408</v>
      </c>
      <c r="I65" s="24">
        <f t="shared" si="33"/>
        <v>1.4647529149946397</v>
      </c>
      <c r="J65" s="24">
        <f t="shared" si="33"/>
        <v>1.4779011569405829</v>
      </c>
      <c r="K65" s="25">
        <f t="shared" si="33"/>
        <v>1.4908288709179358</v>
      </c>
      <c r="N65" s="3505"/>
      <c r="O65" s="3507"/>
    </row>
    <row r="66" spans="1:15" ht="13.35" customHeight="1">
      <c r="A66" s="21" t="str">
        <f>$A34</f>
        <v>DCR Mortgage B</v>
      </c>
      <c r="B66" s="24" t="str">
        <f t="shared" ref="B66:K66" si="34">IF(B58=0,"",-(B56+B57)/B58)</f>
        <v/>
      </c>
      <c r="C66" s="24" t="str">
        <f t="shared" si="34"/>
        <v/>
      </c>
      <c r="D66" s="24" t="str">
        <f t="shared" si="34"/>
        <v/>
      </c>
      <c r="E66" s="24" t="str">
        <f t="shared" si="34"/>
        <v/>
      </c>
      <c r="F66" s="24" t="str">
        <f t="shared" si="34"/>
        <v/>
      </c>
      <c r="G66" s="24" t="str">
        <f t="shared" si="34"/>
        <v/>
      </c>
      <c r="H66" s="24" t="str">
        <f t="shared" si="34"/>
        <v/>
      </c>
      <c r="I66" s="24" t="str">
        <f t="shared" si="34"/>
        <v/>
      </c>
      <c r="J66" s="24" t="str">
        <f t="shared" si="34"/>
        <v/>
      </c>
      <c r="K66" s="25" t="str">
        <f t="shared" si="34"/>
        <v/>
      </c>
      <c r="N66" s="3505"/>
      <c r="O66" s="3507"/>
    </row>
    <row r="67" spans="1:15" ht="13.35" customHeight="1">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505"/>
      <c r="O67" s="3507"/>
    </row>
    <row r="68" spans="1:15" ht="13.35" customHeight="1">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505"/>
      <c r="O68" s="3507"/>
    </row>
    <row r="69" spans="1:15" ht="13.35" customHeight="1">
      <c r="A69" s="483" t="s">
        <v>3713</v>
      </c>
      <c r="B69" s="24">
        <f t="shared" ref="B69:K69" si="37">IF(AND(B57=0,B58=0,B59=0,B60=0),"",-B56/(B57+B58+B59+B60))</f>
        <v>1.3679440854178655</v>
      </c>
      <c r="C69" s="24">
        <f t="shared" si="37"/>
        <v>1.3821751484229505</v>
      </c>
      <c r="D69" s="24">
        <f t="shared" si="37"/>
        <v>1.3962955349640109</v>
      </c>
      <c r="E69" s="24">
        <f t="shared" si="37"/>
        <v>1.4102948546570917</v>
      </c>
      <c r="F69" s="24">
        <f t="shared" si="37"/>
        <v>1.4241543062692279</v>
      </c>
      <c r="G69" s="24">
        <f t="shared" si="37"/>
        <v>1.4378622480115117</v>
      </c>
      <c r="H69" s="24">
        <f t="shared" si="37"/>
        <v>1.4514011795000408</v>
      </c>
      <c r="I69" s="24">
        <f t="shared" si="37"/>
        <v>1.4647529149946397</v>
      </c>
      <c r="J69" s="24">
        <f t="shared" si="37"/>
        <v>1.4779011569405829</v>
      </c>
      <c r="K69" s="25">
        <f t="shared" si="37"/>
        <v>1.4908288709179358</v>
      </c>
      <c r="N69" s="3505"/>
      <c r="O69" s="3507"/>
    </row>
    <row r="70" spans="1:15" ht="13.35" customHeight="1">
      <c r="A70" s="21" t="s">
        <v>770</v>
      </c>
      <c r="B70" s="296">
        <f t="shared" ref="B70:K70" si="38">IF(OR(B53="Choose mgt fee",B53="Choose One!"),"",(B46+B47+B48+B49+B50) / -(B52+B53+B54))</f>
        <v>1.9505381814182603</v>
      </c>
      <c r="C70" s="296">
        <f t="shared" si="38"/>
        <v>1.9332487245171404</v>
      </c>
      <c r="D70" s="296">
        <f t="shared" si="38"/>
        <v>1.9160961921260042</v>
      </c>
      <c r="E70" s="296">
        <f t="shared" si="38"/>
        <v>1.8990842999341928</v>
      </c>
      <c r="F70" s="296">
        <f t="shared" si="38"/>
        <v>1.8822070366370498</v>
      </c>
      <c r="G70" s="296">
        <f t="shared" si="38"/>
        <v>1.8654679092546149</v>
      </c>
      <c r="H70" s="296">
        <f t="shared" si="38"/>
        <v>1.8488642024550561</v>
      </c>
      <c r="I70" s="296">
        <f t="shared" si="38"/>
        <v>1.8323934837264295</v>
      </c>
      <c r="J70" s="296">
        <f t="shared" si="38"/>
        <v>1.8160561825670778</v>
      </c>
      <c r="K70" s="297">
        <f t="shared" si="38"/>
        <v>1.7998525735699147</v>
      </c>
      <c r="N70" s="3505"/>
      <c r="O70" s="3507"/>
    </row>
    <row r="71" spans="1:15" ht="13.35" customHeight="1">
      <c r="A71" s="483" t="s">
        <v>2617</v>
      </c>
      <c r="B71" s="240">
        <f>IF('Part III-Sources of Funds'!$I$38="","",-FV('Part III-Sources of Funds'!$K$38/12,12,B57/12,K39))</f>
        <v>5697261.9932317138</v>
      </c>
      <c r="C71" s="240">
        <f>IF('Part III-Sources of Funds'!$I$38="","",-FV('Part III-Sources of Funds'!$K$38/12,12,C57/12,B71))</f>
        <v>5560420.9540103842</v>
      </c>
      <c r="D71" s="240">
        <f>IF('Part III-Sources of Funds'!$I$38="","",-FV('Part III-Sources of Funds'!$K$38/12,12,D57/12,C71))</f>
        <v>5417435.9890657514</v>
      </c>
      <c r="E71" s="240">
        <f>IF('Part III-Sources of Funds'!$I$38="","",-FV('Part III-Sources of Funds'!$K$38/12,12,E57/12,D71))</f>
        <v>5268031.2467709323</v>
      </c>
      <c r="F71" s="240">
        <f>IF('Part III-Sources of Funds'!$I$38="","",-FV('Part III-Sources of Funds'!$K$38/12,12,F57/12,E71))</f>
        <v>5111918.4902386293</v>
      </c>
      <c r="G71" s="240">
        <f>IF('Part III-Sources of Funds'!$I$38="","",-FV('Part III-Sources of Funds'!$K$38/12,12,G57/12,F71))</f>
        <v>4948796.541244383</v>
      </c>
      <c r="H71" s="240">
        <f>IF('Part III-Sources of Funds'!$I$38="","",-FV('Part III-Sources of Funds'!$K$38/12,12,H57/12,G71))</f>
        <v>4778350.6991829388</v>
      </c>
      <c r="I71" s="240">
        <f>IF('Part III-Sources of Funds'!$I$38="","",-FV('Part III-Sources of Funds'!$K$38/12,12,I57/12,H71))</f>
        <v>4600252.1339367656</v>
      </c>
      <c r="J71" s="240">
        <f>IF('Part III-Sources of Funds'!$I$38="","",-FV('Part III-Sources of Funds'!$K$38/12,12,J57/12,I71))</f>
        <v>4414157.2514854185</v>
      </c>
      <c r="K71" s="240">
        <f>IF('Part III-Sources of Funds'!$I$38="","",-FV('Part III-Sources of Funds'!$K$38/12,12,K57/12,J71))</f>
        <v>4219707.03103186</v>
      </c>
      <c r="N71" s="3505"/>
      <c r="O71" s="3507"/>
    </row>
    <row r="72" spans="1:15" ht="13.35" customHeight="1">
      <c r="A72" s="483" t="s">
        <v>2618</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505"/>
      <c r="O72" s="3507"/>
    </row>
    <row r="73" spans="1:15" ht="13.35" customHeight="1">
      <c r="A73" s="483" t="s">
        <v>2619</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05"/>
      <c r="O73" s="3507"/>
    </row>
    <row r="74" spans="1:15" ht="13.35" customHeight="1">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05"/>
      <c r="O74" s="3507"/>
    </row>
    <row r="75" spans="1:15" ht="13.35" customHeight="1">
      <c r="A75" s="483" t="s">
        <v>4088</v>
      </c>
      <c r="B75" s="242">
        <f>IF('Part III-Sources of Funds'!$I$43="","",IF(-FV('Part III-Sources of Funds'!$K$43/12,12,B63/12,K43)&gt;0,-FV('Part III-Sources of Funds'!$K$43/12,12,B63/12,K43),0))</f>
        <v>0</v>
      </c>
      <c r="C75" s="242">
        <f>IF('Part III-Sources of Funds'!$I$43="","",IF(-FV('Part III-Sources of Funds'!$K$43/12,12,C63/12,B75)&gt;0,-FV('Part III-Sources of Funds'!$K$43/12,12,C63/12,B75),0))</f>
        <v>0</v>
      </c>
      <c r="D75" s="242">
        <f>IF('Part III-Sources of Funds'!$I$43="","",IF(-FV('Part III-Sources of Funds'!$K$43/12,12,D63/12,C75)&gt;0,-FV('Part III-Sources of Funds'!$K$43/12,12,D63/12,C75),0))</f>
        <v>0</v>
      </c>
      <c r="E75" s="242">
        <f>IF('Part III-Sources of Funds'!$I$43="","",IF(-FV('Part III-Sources of Funds'!$K$43/12,12,E63/12,D75)&gt;0,-FV('Part III-Sources of Funds'!$K$43/12,12,E63/12,D75),0))</f>
        <v>0</v>
      </c>
      <c r="F75" s="242">
        <f>IF('Part III-Sources of Funds'!$I$43="","",IF(-FV('Part III-Sources of Funds'!$K$43/12,12,F63/12,E75)&gt;0,-FV('Part III-Sources of Funds'!$K$43/12,12,F63/12,E75),0))</f>
        <v>0</v>
      </c>
      <c r="G75" s="242">
        <f>IF('Part III-Sources of Funds'!$I$43="","",IF(-FV('Part III-Sources of Funds'!$K$43/12,12,G63/12,F75)&gt;0,-FV('Part III-Sources of Funds'!$K$43/12,12,G63/12,F75),0))</f>
        <v>0</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09"/>
      <c r="O75" s="3511"/>
    </row>
    <row r="76" spans="1:15" ht="4.3499999999999996" customHeight="1">
      <c r="B76" s="17"/>
      <c r="C76" s="17"/>
      <c r="D76" s="17"/>
      <c r="E76" s="17"/>
      <c r="F76" s="17"/>
      <c r="G76" s="17"/>
      <c r="H76" s="17"/>
      <c r="I76" s="17"/>
      <c r="J76" s="17"/>
      <c r="K76" s="17"/>
    </row>
    <row r="77" spans="1:15" ht="14.45" customHeight="1">
      <c r="A77" s="13" t="s">
        <v>2480</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225" t="s">
        <v>2623</v>
      </c>
      <c r="O77" s="3225"/>
    </row>
    <row r="78" spans="1:15" ht="13.35" customHeight="1">
      <c r="A78" s="18" t="s">
        <v>2404</v>
      </c>
      <c r="B78" s="19">
        <f t="shared" ref="B78:K78" si="40">$B$14*(1+$B$5)^(B77-1)</f>
        <v>1387993.7436354612</v>
      </c>
      <c r="C78" s="19">
        <f t="shared" si="40"/>
        <v>1415753.6185081704</v>
      </c>
      <c r="D78" s="19">
        <f t="shared" si="40"/>
        <v>1444068.6908783338</v>
      </c>
      <c r="E78" s="19">
        <f t="shared" si="40"/>
        <v>1472950.0646959001</v>
      </c>
      <c r="F78" s="19">
        <f t="shared" si="40"/>
        <v>1502409.0659898182</v>
      </c>
      <c r="G78" s="19">
        <f t="shared" si="40"/>
        <v>1532457.2473096147</v>
      </c>
      <c r="H78" s="19">
        <f t="shared" si="40"/>
        <v>1563106.3922558071</v>
      </c>
      <c r="I78" s="19">
        <f t="shared" si="40"/>
        <v>1594368.5201009228</v>
      </c>
      <c r="J78" s="19">
        <f t="shared" si="40"/>
        <v>1626255.8905029418</v>
      </c>
      <c r="K78" s="20">
        <f t="shared" si="40"/>
        <v>1658781.0083130002</v>
      </c>
      <c r="N78" s="3500"/>
      <c r="O78" s="3502"/>
    </row>
    <row r="79" spans="1:15" ht="13.35" customHeight="1">
      <c r="A79" s="21" t="s">
        <v>1016</v>
      </c>
      <c r="B79" s="22">
        <f t="shared" ref="B79:K79" si="41">$B$15*(1+$B$5)^(B77-1)</f>
        <v>27759.874872709224</v>
      </c>
      <c r="C79" s="22">
        <f t="shared" si="41"/>
        <v>28315.072370163409</v>
      </c>
      <c r="D79" s="22">
        <f t="shared" si="41"/>
        <v>28881.373817566677</v>
      </c>
      <c r="E79" s="22">
        <f t="shared" si="41"/>
        <v>29459.001293918005</v>
      </c>
      <c r="F79" s="22">
        <f t="shared" si="41"/>
        <v>30048.181319796367</v>
      </c>
      <c r="G79" s="22">
        <f t="shared" si="41"/>
        <v>30649.144946192297</v>
      </c>
      <c r="H79" s="22">
        <f t="shared" si="41"/>
        <v>31262.127845116145</v>
      </c>
      <c r="I79" s="22">
        <f t="shared" si="41"/>
        <v>31887.37040201846</v>
      </c>
      <c r="J79" s="22">
        <f t="shared" si="41"/>
        <v>32525.117810058837</v>
      </c>
      <c r="K79" s="23">
        <f t="shared" si="41"/>
        <v>33175.620166260007</v>
      </c>
      <c r="N79" s="3505"/>
      <c r="O79" s="3507"/>
    </row>
    <row r="80" spans="1:15" ht="13.35" customHeight="1">
      <c r="A80" s="21" t="s">
        <v>2405</v>
      </c>
      <c r="B80" s="22">
        <f t="shared" ref="B80:K80" si="42">-(B78+B79)*$B$8</f>
        <v>-99102.753295571936</v>
      </c>
      <c r="C80" s="22">
        <f t="shared" si="42"/>
        <v>-101084.80836148337</v>
      </c>
      <c r="D80" s="22">
        <f t="shared" si="42"/>
        <v>-103106.50452871305</v>
      </c>
      <c r="E80" s="22">
        <f t="shared" si="42"/>
        <v>-105168.63461928729</v>
      </c>
      <c r="F80" s="22">
        <f t="shared" si="42"/>
        <v>-107272.00731167303</v>
      </c>
      <c r="G80" s="22">
        <f t="shared" si="42"/>
        <v>-109417.4474579065</v>
      </c>
      <c r="H80" s="22">
        <f t="shared" si="42"/>
        <v>-111605.79640706464</v>
      </c>
      <c r="I80" s="22">
        <f t="shared" si="42"/>
        <v>-113837.91233520591</v>
      </c>
      <c r="J80" s="22">
        <f t="shared" si="42"/>
        <v>-116114.67058191006</v>
      </c>
      <c r="K80" s="23">
        <f t="shared" si="42"/>
        <v>-118436.96399354823</v>
      </c>
      <c r="N80" s="3505"/>
      <c r="O80" s="3507"/>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05"/>
      <c r="O81" s="3507"/>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05"/>
      <c r="O82" s="3507"/>
    </row>
    <row r="83" spans="1:19" ht="13.35" customHeight="1">
      <c r="A83" s="483" t="s">
        <v>4945</v>
      </c>
      <c r="B83" s="22">
        <f t="shared" ref="B83:K83" si="43">SUM(B78:B82)</f>
        <v>1316650.8652125983</v>
      </c>
      <c r="C83" s="22">
        <f t="shared" si="43"/>
        <v>1342983.8825168505</v>
      </c>
      <c r="D83" s="22">
        <f t="shared" si="43"/>
        <v>1369843.5601671876</v>
      </c>
      <c r="E83" s="22">
        <f t="shared" si="43"/>
        <v>1397240.431370531</v>
      </c>
      <c r="F83" s="22">
        <f t="shared" si="43"/>
        <v>1425185.2399979415</v>
      </c>
      <c r="G83" s="22">
        <f t="shared" si="43"/>
        <v>1453688.9447979005</v>
      </c>
      <c r="H83" s="22">
        <f t="shared" si="43"/>
        <v>1482762.7236938586</v>
      </c>
      <c r="I83" s="22">
        <f t="shared" si="43"/>
        <v>1512417.9781677355</v>
      </c>
      <c r="J83" s="22">
        <f t="shared" si="43"/>
        <v>1542666.3377310906</v>
      </c>
      <c r="K83" s="23">
        <f t="shared" si="43"/>
        <v>1573519.6644857121</v>
      </c>
      <c r="N83" s="3505"/>
      <c r="O83" s="3507"/>
    </row>
    <row r="84" spans="1:19" ht="13.35" customHeight="1">
      <c r="A84" s="21" t="s">
        <v>614</v>
      </c>
      <c r="B84" s="22">
        <f t="shared" ref="B84:K84" si="44">$B$20*(1+$B$6)^(B77-1)</f>
        <v>-640945.53051454271</v>
      </c>
      <c r="C84" s="22">
        <f t="shared" si="44"/>
        <v>-660173.89642997889</v>
      </c>
      <c r="D84" s="22">
        <f t="shared" si="44"/>
        <v>-679979.11332287837</v>
      </c>
      <c r="E84" s="22">
        <f t="shared" si="44"/>
        <v>-700378.48672256467</v>
      </c>
      <c r="F84" s="22">
        <f t="shared" si="44"/>
        <v>-721389.8413242416</v>
      </c>
      <c r="G84" s="22">
        <f t="shared" si="44"/>
        <v>-743031.53656396875</v>
      </c>
      <c r="H84" s="22">
        <f t="shared" si="44"/>
        <v>-765322.482660888</v>
      </c>
      <c r="I84" s="22">
        <f t="shared" si="44"/>
        <v>-788282.15714071447</v>
      </c>
      <c r="J84" s="22">
        <f t="shared" si="44"/>
        <v>-811930.62185493601</v>
      </c>
      <c r="K84" s="23">
        <f t="shared" si="44"/>
        <v>-836288.5405105839</v>
      </c>
      <c r="N84" s="3505"/>
      <c r="O84" s="3507"/>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-59249</v>
      </c>
      <c r="C85" s="22">
        <f>IF(AND('Part VII-Pro Forma'!$G$8="Yes",'Part VII-Pro Forma'!$G$9="Yes"),"Choose One!",IF('Part VII-Pro Forma'!$G$8="Yes",ROUND((-$K$8*(1+'Part VII-Pro Forma'!$B$6)^('Part VII-Pro Forma'!C77-1)),),IF('Part VII-Pro Forma'!$G$9="Yes",ROUND((-(SUM(C78:C81)*'Part VII-Pro Forma'!$K$9)),),"Choose mgt fee")))</f>
        <v>-60434</v>
      </c>
      <c r="D85" s="22">
        <f>IF(AND('Part VII-Pro Forma'!$G$8="Yes",'Part VII-Pro Forma'!$G$9="Yes"),"Choose One!",IF('Part VII-Pro Forma'!$G$8="Yes",ROUND((-$K$8*(1+'Part VII-Pro Forma'!$B$6)^('Part VII-Pro Forma'!D77-1)),),IF('Part VII-Pro Forma'!$G$9="Yes",ROUND((-(SUM(D78:D81)*'Part VII-Pro Forma'!$K$9)),),"Choose mgt fee")))</f>
        <v>-61643</v>
      </c>
      <c r="E85" s="22">
        <f>IF(AND('Part VII-Pro Forma'!$G$8="Yes",'Part VII-Pro Forma'!$G$9="Yes"),"Choose One!",IF('Part VII-Pro Forma'!$G$8="Yes",ROUND((-$K$8*(1+'Part VII-Pro Forma'!$B$6)^('Part VII-Pro Forma'!E77-1)),),IF('Part VII-Pro Forma'!$G$9="Yes",ROUND((-(SUM(E78:E81)*'Part VII-Pro Forma'!$K$9)),),"Choose mgt fee")))</f>
        <v>-62876</v>
      </c>
      <c r="F85" s="22">
        <f>IF(AND('Part VII-Pro Forma'!$G$8="Yes",'Part VII-Pro Forma'!$G$9="Yes"),"Choose One!",IF('Part VII-Pro Forma'!$G$8="Yes",ROUND((-$K$8*(1+'Part VII-Pro Forma'!$B$6)^('Part VII-Pro Forma'!F77-1)),),IF('Part VII-Pro Forma'!$G$9="Yes",ROUND((-(SUM(F78:F81)*'Part VII-Pro Forma'!$K$9)),),"Choose mgt fee")))</f>
        <v>-64133</v>
      </c>
      <c r="G85" s="22">
        <f>IF(AND('Part VII-Pro Forma'!$G$8="Yes",'Part VII-Pro Forma'!$G$9="Yes"),"Choose One!",IF('Part VII-Pro Forma'!$G$8="Yes",ROUND((-$K$8*(1+'Part VII-Pro Forma'!$B$6)^('Part VII-Pro Forma'!G77-1)),),IF('Part VII-Pro Forma'!$G$9="Yes",ROUND((-(SUM(G78:G81)*'Part VII-Pro Forma'!$K$9)),),"Choose mgt fee")))</f>
        <v>-65416</v>
      </c>
      <c r="H85" s="22">
        <f>IF(AND('Part VII-Pro Forma'!$G$8="Yes",'Part VII-Pro Forma'!$G$9="Yes"),"Choose One!",IF('Part VII-Pro Forma'!$G$8="Yes",ROUND((-$K$8*(1+'Part VII-Pro Forma'!$B$6)^('Part VII-Pro Forma'!H77-1)),),IF('Part VII-Pro Forma'!$G$9="Yes",ROUND((-(SUM(H78:H81)*'Part VII-Pro Forma'!$K$9)),),"Choose mgt fee")))</f>
        <v>-66724</v>
      </c>
      <c r="I85" s="22">
        <f>IF(AND('Part VII-Pro Forma'!$G$8="Yes",'Part VII-Pro Forma'!$G$9="Yes"),"Choose One!",IF('Part VII-Pro Forma'!$G$8="Yes",ROUND((-$K$8*(1+'Part VII-Pro Forma'!$B$6)^('Part VII-Pro Forma'!I77-1)),),IF('Part VII-Pro Forma'!$G$9="Yes",ROUND((-(SUM(I78:I81)*'Part VII-Pro Forma'!$K$9)),),"Choose mgt fee")))</f>
        <v>-68059</v>
      </c>
      <c r="J85" s="22">
        <f>IF(AND('Part VII-Pro Forma'!$G$8="Yes",'Part VII-Pro Forma'!$G$9="Yes"),"Choose One!",IF('Part VII-Pro Forma'!$G$8="Yes",ROUND((-$K$8*(1+'Part VII-Pro Forma'!$B$6)^('Part VII-Pro Forma'!J77-1)),),IF('Part VII-Pro Forma'!$G$9="Yes",ROUND((-(SUM(J78:J81)*'Part VII-Pro Forma'!$K$9)),),"Choose mgt fee")))</f>
        <v>-69420</v>
      </c>
      <c r="K85" s="23">
        <f>IF(AND('Part VII-Pro Forma'!$G$8="Yes",'Part VII-Pro Forma'!$G$9="Yes"),"Choose One!",IF('Part VII-Pro Forma'!$G$8="Yes",ROUND((-$K$8*(1+'Part VII-Pro Forma'!$B$6)^('Part VII-Pro Forma'!K77-1)),),IF('Part VII-Pro Forma'!$G$9="Yes",ROUND((-(SUM(K78:K81)*'Part VII-Pro Forma'!$K$9)),),"Choose mgt fee")))</f>
        <v>-70808</v>
      </c>
      <c r="N85" s="3505"/>
      <c r="O85" s="3507"/>
    </row>
    <row r="86" spans="1:19" ht="13.35" customHeight="1">
      <c r="A86" s="21" t="s">
        <v>1202</v>
      </c>
      <c r="B86" s="22">
        <f t="shared" ref="B86:K86" si="45">$B$22*(1+$B$7)^(B77-1)</f>
        <v>-37928.335928057677</v>
      </c>
      <c r="C86" s="22">
        <f t="shared" si="45"/>
        <v>-39066.186005899406</v>
      </c>
      <c r="D86" s="22">
        <f t="shared" si="45"/>
        <v>-40238.171586076387</v>
      </c>
      <c r="E86" s="22">
        <f t="shared" si="45"/>
        <v>-41445.316733658685</v>
      </c>
      <c r="F86" s="22">
        <f t="shared" si="45"/>
        <v>-42688.676235668441</v>
      </c>
      <c r="G86" s="22">
        <f t="shared" si="45"/>
        <v>-43969.336522738493</v>
      </c>
      <c r="H86" s="22">
        <f t="shared" si="45"/>
        <v>-45288.416618420655</v>
      </c>
      <c r="I86" s="22">
        <f t="shared" si="45"/>
        <v>-46647.069116973267</v>
      </c>
      <c r="J86" s="22">
        <f t="shared" si="45"/>
        <v>-48046.481190482467</v>
      </c>
      <c r="K86" s="23">
        <f t="shared" si="45"/>
        <v>-49487.875626196932</v>
      </c>
      <c r="N86" s="3505"/>
      <c r="O86" s="3507"/>
    </row>
    <row r="87" spans="1:19" ht="13.35" customHeight="1">
      <c r="A87" s="483" t="s">
        <v>4944</v>
      </c>
      <c r="B87" s="2704">
        <f>IF(B77&lt;=+'Part VI-Revenues &amp; Expenses'!$K$243,-'Part VI-Revenues &amp; Expenses'!$H$243,0)</f>
        <v>0</v>
      </c>
      <c r="C87" s="2704">
        <f>IF(C77&lt;=+'Part VI-Revenues &amp; Expenses'!$K$243,-'Part VI-Revenues &amp; Expenses'!$H$243,0)</f>
        <v>0</v>
      </c>
      <c r="D87" s="2704">
        <f>IF(D77&lt;=+'Part VI-Revenues &amp; Expenses'!$K$243,-'Part VI-Revenues &amp; Expenses'!$H$243,0)</f>
        <v>0</v>
      </c>
      <c r="E87" s="2704">
        <f>IF(E77&lt;=+'Part VI-Revenues &amp; Expenses'!$K$243,-'Part VI-Revenues &amp; Expenses'!$H$243,0)</f>
        <v>0</v>
      </c>
      <c r="F87" s="2704">
        <f>IF(F77&lt;=+'Part VI-Revenues &amp; Expenses'!$K$243,-'Part VI-Revenues &amp; Expenses'!$H$243,0)</f>
        <v>0</v>
      </c>
      <c r="G87" s="2704">
        <f>IF(G77&lt;=+'Part VI-Revenues &amp; Expenses'!$K$243,-'Part VI-Revenues &amp; Expenses'!$H$243,0)</f>
        <v>0</v>
      </c>
      <c r="H87" s="2704">
        <f>IF(H77&lt;=+'Part VI-Revenues &amp; Expenses'!$K$243,-'Part VI-Revenues &amp; Expenses'!$H$243,0)</f>
        <v>0</v>
      </c>
      <c r="I87" s="2704">
        <f>IF(I77&lt;=+'Part VI-Revenues &amp; Expenses'!$K$243,-'Part VI-Revenues &amp; Expenses'!$H$243,0)</f>
        <v>0</v>
      </c>
      <c r="J87" s="2704">
        <f>IF(J77&lt;=+'Part VI-Revenues &amp; Expenses'!$K$243,-'Part VI-Revenues &amp; Expenses'!$H$243,0)</f>
        <v>0</v>
      </c>
      <c r="K87" s="2704">
        <f>IF(K77&lt;=+'Part VI-Revenues &amp; Expenses'!$K$243,-'Part VI-Revenues &amp; Expenses'!$H$243,0)</f>
        <v>0</v>
      </c>
      <c r="N87" s="3505"/>
      <c r="O87" s="3507"/>
      <c r="Q87" s="1125">
        <v>10</v>
      </c>
      <c r="R87" s="1333">
        <f>-SUM(B92:K92)</f>
        <v>0</v>
      </c>
      <c r="S87" s="1333">
        <f>SUM(B93:K93)+R87</f>
        <v>0</v>
      </c>
    </row>
    <row r="88" spans="1:19" ht="13.35" customHeight="1">
      <c r="A88" s="21" t="s">
        <v>1203</v>
      </c>
      <c r="B88" s="22">
        <f>SUM(B83:B87)</f>
        <v>578527.99876999797</v>
      </c>
      <c r="C88" s="22">
        <f t="shared" ref="C88" si="46">SUM(C83:C87)</f>
        <v>583309.80008097214</v>
      </c>
      <c r="D88" s="22">
        <f t="shared" ref="D88" si="47">SUM(D83:D87)</f>
        <v>587983.27525823284</v>
      </c>
      <c r="E88" s="22">
        <f t="shared" ref="E88" si="48">SUM(E83:E87)</f>
        <v>592540.62791430764</v>
      </c>
      <c r="F88" s="22">
        <f t="shared" ref="F88" si="49">SUM(F83:F87)</f>
        <v>596973.72243803146</v>
      </c>
      <c r="G88" s="22">
        <f t="shared" ref="G88" si="50">SUM(G83:G87)</f>
        <v>601272.0717111933</v>
      </c>
      <c r="H88" s="22">
        <f t="shared" ref="H88" si="51">SUM(H83:H87)</f>
        <v>605427.82441454998</v>
      </c>
      <c r="I88" s="22">
        <f t="shared" ref="I88" si="52">SUM(I83:I87)</f>
        <v>609429.75191004772</v>
      </c>
      <c r="J88" s="22">
        <f t="shared" ref="J88" si="53">SUM(J83:J87)</f>
        <v>613269.2346856721</v>
      </c>
      <c r="K88" s="2567">
        <f>SUM(K83:K87)</f>
        <v>616935.2483489312</v>
      </c>
      <c r="N88" s="3505"/>
      <c r="O88" s="3507"/>
    </row>
    <row r="89" spans="1:19" ht="13.35" customHeight="1">
      <c r="A89" s="21" t="str">
        <f>$A57</f>
        <v>Mortgage A</v>
      </c>
      <c r="B89" s="485">
        <f>IF('Part III-Sources of Funds'!$P$38="", 0,-'Part III-Sources of Funds'!$P$38)</f>
        <v>-384782.82220370776</v>
      </c>
      <c r="C89" s="485">
        <f>IF('Part III-Sources of Funds'!$P$38="", 0,-'Part III-Sources of Funds'!$P$38)</f>
        <v>-384782.82220370776</v>
      </c>
      <c r="D89" s="485">
        <f>IF('Part III-Sources of Funds'!$P$38="", 0,-'Part III-Sources of Funds'!$P$38)</f>
        <v>-384782.82220370776</v>
      </c>
      <c r="E89" s="485">
        <f>IF('Part III-Sources of Funds'!$P$38="", 0,-'Part III-Sources of Funds'!$P$38)</f>
        <v>-384782.82220370776</v>
      </c>
      <c r="F89" s="485">
        <f>IF('Part III-Sources of Funds'!$P$38="", 0,-'Part III-Sources of Funds'!$P$38)</f>
        <v>-384782.82220370776</v>
      </c>
      <c r="G89" s="485">
        <f>IF('Part III-Sources of Funds'!$P$38="", 0,-'Part III-Sources of Funds'!$P$38)</f>
        <v>-384782.82220370776</v>
      </c>
      <c r="H89" s="485">
        <f>IF('Part III-Sources of Funds'!$P$38="", 0,-'Part III-Sources of Funds'!$P$38)</f>
        <v>-384782.82220370776</v>
      </c>
      <c r="I89" s="485">
        <f>IF('Part III-Sources of Funds'!$P$38="", 0,-'Part III-Sources of Funds'!$P$38)</f>
        <v>-384782.82220370776</v>
      </c>
      <c r="J89" s="485">
        <f>IF('Part III-Sources of Funds'!$P$38="", 0,-'Part III-Sources of Funds'!$P$38)</f>
        <v>-384782.82220370776</v>
      </c>
      <c r="K89" s="485">
        <f>IF('Part III-Sources of Funds'!$P$38="", 0,-'Part III-Sources of Funds'!$P$38)</f>
        <v>-384782.82220370776</v>
      </c>
      <c r="N89" s="3505"/>
      <c r="O89" s="3507"/>
    </row>
    <row r="90" spans="1:19" ht="13.3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05"/>
      <c r="O90" s="3507"/>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05"/>
      <c r="O91" s="3507"/>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05"/>
      <c r="O92" s="3507"/>
    </row>
    <row r="93" spans="1:19" ht="13.35" customHeight="1">
      <c r="A93" s="21" t="s">
        <v>763</v>
      </c>
      <c r="B93" s="180"/>
      <c r="C93" s="180"/>
      <c r="D93" s="180"/>
      <c r="E93" s="180"/>
      <c r="F93" s="180"/>
      <c r="G93" s="180"/>
      <c r="H93" s="180"/>
      <c r="I93" s="180"/>
      <c r="J93" s="180"/>
      <c r="K93" s="180"/>
      <c r="N93" s="3505"/>
      <c r="O93" s="3507"/>
    </row>
    <row r="94" spans="1:19" ht="13.35" customHeight="1">
      <c r="A94" s="483" t="s">
        <v>1163</v>
      </c>
      <c r="B94" s="242">
        <f>+K62</f>
        <v>0</v>
      </c>
      <c r="C94" s="242">
        <f t="shared" ref="C94:K94" si="54">+B94</f>
        <v>0</v>
      </c>
      <c r="D94" s="242">
        <f t="shared" si="54"/>
        <v>0</v>
      </c>
      <c r="E94" s="242">
        <f t="shared" si="54"/>
        <v>0</v>
      </c>
      <c r="F94" s="242">
        <f t="shared" si="54"/>
        <v>0</v>
      </c>
      <c r="G94" s="242">
        <f t="shared" si="54"/>
        <v>0</v>
      </c>
      <c r="H94" s="242">
        <f t="shared" si="54"/>
        <v>0</v>
      </c>
      <c r="I94" s="242">
        <f t="shared" si="54"/>
        <v>0</v>
      </c>
      <c r="J94" s="242">
        <f t="shared" si="54"/>
        <v>0</v>
      </c>
      <c r="K94" s="242">
        <f t="shared" si="54"/>
        <v>0</v>
      </c>
      <c r="N94" s="3505"/>
      <c r="O94" s="3507"/>
    </row>
    <row r="95" spans="1:19" ht="13.35" customHeight="1">
      <c r="A95" s="21" t="s">
        <v>1164</v>
      </c>
      <c r="B95" s="22">
        <f t="shared" ref="B95:K95" si="55">SUM(B88:B94)</f>
        <v>193745.1765662902</v>
      </c>
      <c r="C95" s="22">
        <f t="shared" si="55"/>
        <v>198526.97787726438</v>
      </c>
      <c r="D95" s="22">
        <f t="shared" si="55"/>
        <v>203200.45305452507</v>
      </c>
      <c r="E95" s="22">
        <f t="shared" si="55"/>
        <v>207757.80571059987</v>
      </c>
      <c r="F95" s="22">
        <f t="shared" si="55"/>
        <v>212190.90023432369</v>
      </c>
      <c r="G95" s="22">
        <f t="shared" si="55"/>
        <v>216489.24950748554</v>
      </c>
      <c r="H95" s="22">
        <f t="shared" si="55"/>
        <v>220645.00221084221</v>
      </c>
      <c r="I95" s="22">
        <f t="shared" si="55"/>
        <v>224646.92970633996</v>
      </c>
      <c r="J95" s="22">
        <f t="shared" si="55"/>
        <v>228486.41248196433</v>
      </c>
      <c r="K95" s="23">
        <f t="shared" si="55"/>
        <v>232152.42614522344</v>
      </c>
      <c r="N95" s="3505"/>
      <c r="O95" s="3507"/>
    </row>
    <row r="96" spans="1:19" ht="13.35" customHeight="1">
      <c r="A96" s="21" t="str">
        <f>$A65</f>
        <v>DCR Mortgage A</v>
      </c>
      <c r="B96" s="24">
        <f t="shared" ref="B96:K96" si="56">IF(B89=0,"",-B88/B89)</f>
        <v>1.5035182585768334</v>
      </c>
      <c r="C96" s="24">
        <f t="shared" si="56"/>
        <v>1.5159455319244015</v>
      </c>
      <c r="D96" s="24">
        <f t="shared" si="56"/>
        <v>1.5280912798829382</v>
      </c>
      <c r="E96" s="24">
        <f t="shared" si="56"/>
        <v>1.5399352406657356</v>
      </c>
      <c r="F96" s="24">
        <f t="shared" si="56"/>
        <v>1.5514562708882773</v>
      </c>
      <c r="G96" s="24">
        <f t="shared" si="56"/>
        <v>1.562627115908189</v>
      </c>
      <c r="H96" s="24">
        <f t="shared" si="56"/>
        <v>1.5734273711783076</v>
      </c>
      <c r="I96" s="24">
        <f t="shared" si="56"/>
        <v>1.583827854943612</v>
      </c>
      <c r="J96" s="24">
        <f t="shared" si="56"/>
        <v>1.5938061662248566</v>
      </c>
      <c r="K96" s="25">
        <f t="shared" si="56"/>
        <v>1.6033336540744008</v>
      </c>
      <c r="N96" s="3505"/>
      <c r="O96" s="3507"/>
    </row>
    <row r="97" spans="1:15" ht="13.35" customHeight="1">
      <c r="A97" s="21" t="str">
        <f>$A66</f>
        <v>DCR Mortgage B</v>
      </c>
      <c r="B97" s="24" t="str">
        <f t="shared" ref="B97:K97" si="57">IF(B90=0,"",-(B88+B89)/B90)</f>
        <v/>
      </c>
      <c r="C97" s="24" t="str">
        <f t="shared" si="57"/>
        <v/>
      </c>
      <c r="D97" s="24" t="str">
        <f t="shared" si="57"/>
        <v/>
      </c>
      <c r="E97" s="24" t="str">
        <f t="shared" si="57"/>
        <v/>
      </c>
      <c r="F97" s="24" t="str">
        <f t="shared" si="57"/>
        <v/>
      </c>
      <c r="G97" s="24" t="str">
        <f t="shared" si="57"/>
        <v/>
      </c>
      <c r="H97" s="24" t="str">
        <f t="shared" si="57"/>
        <v/>
      </c>
      <c r="I97" s="24" t="str">
        <f t="shared" si="57"/>
        <v/>
      </c>
      <c r="J97" s="24" t="str">
        <f t="shared" si="57"/>
        <v/>
      </c>
      <c r="K97" s="25" t="str">
        <f t="shared" si="57"/>
        <v/>
      </c>
      <c r="N97" s="3505"/>
      <c r="O97" s="3507"/>
    </row>
    <row r="98" spans="1:15" ht="13.35" customHeight="1">
      <c r="A98" s="21" t="str">
        <f>$A67</f>
        <v>DCR Mortgage C</v>
      </c>
      <c r="B98" s="24" t="str">
        <f t="shared" ref="B98:K98" si="58">IF(B91=0,"",-(B88+B89+B90)/B91)</f>
        <v/>
      </c>
      <c r="C98" s="24" t="str">
        <f t="shared" si="58"/>
        <v/>
      </c>
      <c r="D98" s="24" t="str">
        <f t="shared" si="58"/>
        <v/>
      </c>
      <c r="E98" s="24" t="str">
        <f t="shared" si="58"/>
        <v/>
      </c>
      <c r="F98" s="24" t="str">
        <f t="shared" si="58"/>
        <v/>
      </c>
      <c r="G98" s="24" t="str">
        <f t="shared" si="58"/>
        <v/>
      </c>
      <c r="H98" s="24" t="str">
        <f t="shared" si="58"/>
        <v/>
      </c>
      <c r="I98" s="24" t="str">
        <f t="shared" si="58"/>
        <v/>
      </c>
      <c r="J98" s="24" t="str">
        <f t="shared" si="58"/>
        <v/>
      </c>
      <c r="K98" s="25" t="str">
        <f t="shared" si="58"/>
        <v/>
      </c>
      <c r="N98" s="3505"/>
      <c r="O98" s="3507"/>
    </row>
    <row r="99" spans="1:15" ht="13.35" customHeight="1">
      <c r="A99" s="21" t="str">
        <f>$A68</f>
        <v>DCR Other Source</v>
      </c>
      <c r="B99" s="24" t="str">
        <f t="shared" ref="B99:K99" si="59">IF(B92=0,"",-(B88+B89+B90+B91)/B92)</f>
        <v/>
      </c>
      <c r="C99" s="24" t="str">
        <f t="shared" si="59"/>
        <v/>
      </c>
      <c r="D99" s="24" t="str">
        <f t="shared" si="59"/>
        <v/>
      </c>
      <c r="E99" s="24" t="str">
        <f t="shared" si="59"/>
        <v/>
      </c>
      <c r="F99" s="24" t="str">
        <f t="shared" si="59"/>
        <v/>
      </c>
      <c r="G99" s="24" t="str">
        <f t="shared" si="59"/>
        <v/>
      </c>
      <c r="H99" s="24" t="str">
        <f t="shared" si="59"/>
        <v/>
      </c>
      <c r="I99" s="24" t="str">
        <f t="shared" si="59"/>
        <v/>
      </c>
      <c r="J99" s="24" t="str">
        <f t="shared" si="59"/>
        <v/>
      </c>
      <c r="K99" s="25" t="str">
        <f t="shared" si="59"/>
        <v/>
      </c>
      <c r="N99" s="3505"/>
      <c r="O99" s="3507"/>
    </row>
    <row r="100" spans="1:15" ht="13.35" customHeight="1">
      <c r="A100" s="483" t="s">
        <v>3713</v>
      </c>
      <c r="B100" s="24">
        <f t="shared" ref="B100:K100" si="60">IF(AND(B89=0,B90=0,B91=0,B92=0),"",-B88/(B89+B90+B91+B92))</f>
        <v>1.5035182585768334</v>
      </c>
      <c r="C100" s="24">
        <f t="shared" si="60"/>
        <v>1.5159455319244015</v>
      </c>
      <c r="D100" s="24">
        <f t="shared" si="60"/>
        <v>1.5280912798829382</v>
      </c>
      <c r="E100" s="24">
        <f t="shared" si="60"/>
        <v>1.5399352406657356</v>
      </c>
      <c r="F100" s="24">
        <f t="shared" si="60"/>
        <v>1.5514562708882773</v>
      </c>
      <c r="G100" s="24">
        <f t="shared" si="60"/>
        <v>1.562627115908189</v>
      </c>
      <c r="H100" s="24">
        <f t="shared" si="60"/>
        <v>1.5734273711783076</v>
      </c>
      <c r="I100" s="24">
        <f t="shared" si="60"/>
        <v>1.583827854943612</v>
      </c>
      <c r="J100" s="24">
        <f t="shared" si="60"/>
        <v>1.5938061662248566</v>
      </c>
      <c r="K100" s="25">
        <f t="shared" si="60"/>
        <v>1.6033336540744008</v>
      </c>
      <c r="N100" s="3505"/>
      <c r="O100" s="3507"/>
    </row>
    <row r="101" spans="1:15" ht="13.35" customHeight="1">
      <c r="A101" s="21" t="s">
        <v>770</v>
      </c>
      <c r="B101" s="296">
        <f>IF(OR(B85="Choose mgt fee",B85="Choose One!"),"",(B78+B79+B80+B81+B82) / -(B84+B85+B86))</f>
        <v>1.7837827888441209</v>
      </c>
      <c r="C101" s="296">
        <f t="shared" ref="C101:K101" si="61">IF(OR(C85="Choose mgt fee",C85="Choose One!"),"",(C78+C79+C80+C81+C82) / -(C84+C85+C86))</f>
        <v>1.7678421754373954</v>
      </c>
      <c r="D101" s="296">
        <f t="shared" si="61"/>
        <v>1.7520311321692235</v>
      </c>
      <c r="E101" s="296">
        <f t="shared" si="61"/>
        <v>1.73634991007742</v>
      </c>
      <c r="F101" s="296">
        <f t="shared" si="61"/>
        <v>1.7207986242413591</v>
      </c>
      <c r="G101" s="296">
        <f t="shared" si="61"/>
        <v>1.7053732635933314</v>
      </c>
      <c r="H101" s="296">
        <f t="shared" si="61"/>
        <v>1.6900760757515538</v>
      </c>
      <c r="I101" s="296">
        <f t="shared" si="61"/>
        <v>1.6749033200972583</v>
      </c>
      <c r="J101" s="296">
        <f t="shared" si="61"/>
        <v>1.6598570542948017</v>
      </c>
      <c r="K101" s="297">
        <f t="shared" si="61"/>
        <v>1.6449354996190073</v>
      </c>
      <c r="N101" s="3505"/>
      <c r="O101" s="3507"/>
    </row>
    <row r="102" spans="1:15" ht="13.35" customHeight="1">
      <c r="A102" s="483" t="s">
        <v>2617</v>
      </c>
      <c r="B102" s="240">
        <f>IF('Part III-Sources of Funds'!$I$38="","",-FV('Part III-Sources of Funds'!$K$38/12,12,B89/12,K71))</f>
        <v>4016526.3323669042</v>
      </c>
      <c r="C102" s="240">
        <f>IF('Part III-Sources of Funds'!$I$38="","",-FV('Part III-Sources of Funds'!$K$38/12,12,C89/12,B102))</f>
        <v>3804223.1721355217</v>
      </c>
      <c r="D102" s="240">
        <f>IF('Part III-Sources of Funds'!$I$38="","",-FV('Part III-Sources of Funds'!$K$38/12,12,D89/12,C102))</f>
        <v>3582387.9676087541</v>
      </c>
      <c r="E102" s="240">
        <f>IF('Part III-Sources of Funds'!$I$38="","",-FV('Part III-Sources of Funds'!$K$38/12,12,E89/12,D102))</f>
        <v>3350592.746502297</v>
      </c>
      <c r="F102" s="240">
        <f>IF('Part III-Sources of Funds'!$I$38="","",-FV('Part III-Sources of Funds'!$K$38/12,12,F89/12,E102))</f>
        <v>3108390.3213173077</v>
      </c>
      <c r="G102" s="240">
        <f>IF('Part III-Sources of Funds'!$I$38="","",-FV('Part III-Sources of Funds'!$K$38/12,12,G89/12,F102))</f>
        <v>2855313.4266105411</v>
      </c>
      <c r="H102" s="240">
        <f>IF('Part III-Sources of Funds'!$I$38="","",-FV('Part III-Sources of Funds'!$K$38/12,12,H89/12,G102))</f>
        <v>2590873.8175294134</v>
      </c>
      <c r="I102" s="240">
        <f>IF('Part III-Sources of Funds'!$I$38="","",-FV('Part III-Sources of Funds'!$K$38/12,12,I89/12,H102))</f>
        <v>2314561.3278728453</v>
      </c>
      <c r="J102" s="240">
        <f>IF('Part III-Sources of Funds'!$I$38="","",-FV('Part III-Sources of Funds'!$K$38/12,12,J89/12,I102))</f>
        <v>2025842.8858606736</v>
      </c>
      <c r="K102" s="240">
        <f>IF('Part III-Sources of Funds'!$I$38="","",-FV('Part III-Sources of Funds'!$K$38/12,12,K89/12,J102))</f>
        <v>1724161.485712809</v>
      </c>
      <c r="N102" s="3505"/>
      <c r="O102" s="3507"/>
    </row>
    <row r="103" spans="1:15" ht="13.35" customHeight="1">
      <c r="A103" s="483" t="s">
        <v>2618</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505"/>
      <c r="O103" s="3507"/>
    </row>
    <row r="104" spans="1:15" ht="13.35" customHeight="1">
      <c r="A104" s="483" t="s">
        <v>2619</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05"/>
      <c r="O104" s="3507"/>
    </row>
    <row r="105" spans="1:15" ht="13.35" customHeight="1">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09"/>
      <c r="O105" s="3511"/>
    </row>
    <row r="106" spans="1:15" ht="4.3499999999999996" customHeight="1">
      <c r="B106" s="17"/>
      <c r="C106" s="17"/>
      <c r="D106" s="17"/>
      <c r="E106" s="17"/>
      <c r="F106" s="17"/>
      <c r="G106" s="17"/>
      <c r="H106" s="17"/>
      <c r="I106" s="17"/>
      <c r="J106" s="17"/>
      <c r="K106" s="17"/>
    </row>
    <row r="107" spans="1:15" ht="14.45" customHeight="1">
      <c r="A107" s="13" t="s">
        <v>2480</v>
      </c>
      <c r="B107" s="15">
        <f>K77+1</f>
        <v>31</v>
      </c>
      <c r="C107" s="15">
        <f>B107+1</f>
        <v>32</v>
      </c>
      <c r="D107" s="15">
        <f>C107+1</f>
        <v>33</v>
      </c>
      <c r="E107" s="15">
        <f>D107+1</f>
        <v>34</v>
      </c>
      <c r="F107" s="15">
        <f>E107+1</f>
        <v>35</v>
      </c>
      <c r="G107" s="17"/>
      <c r="H107" s="17"/>
      <c r="I107" s="17"/>
      <c r="J107" s="17"/>
      <c r="K107" s="17"/>
      <c r="N107" s="3225" t="s">
        <v>3703</v>
      </c>
      <c r="O107" s="3225"/>
    </row>
    <row r="108" spans="1:15" ht="13.35" customHeight="1">
      <c r="A108" s="18" t="s">
        <v>2404</v>
      </c>
      <c r="B108" s="19">
        <f>$B$14*(1+$B$5)^(B107-1)</f>
        <v>1691956.6284792605</v>
      </c>
      <c r="C108" s="19">
        <f>$B$14*(1+$B$5)^(C107-1)</f>
        <v>1725795.7610488452</v>
      </c>
      <c r="D108" s="19">
        <f>$B$14*(1+$B$5)^(D107-1)</f>
        <v>1760311.6762698225</v>
      </c>
      <c r="E108" s="19">
        <f>$B$14*(1+$B$5)^(E107-1)</f>
        <v>1795517.9097952191</v>
      </c>
      <c r="F108" s="729">
        <f>$B$14*(1+$B$5)^(F107-1)</f>
        <v>1831428.2679911233</v>
      </c>
      <c r="G108" s="17"/>
      <c r="H108" s="17"/>
      <c r="I108" s="17"/>
      <c r="J108" s="17"/>
      <c r="K108" s="17"/>
      <c r="N108" s="3500"/>
      <c r="O108" s="3502"/>
    </row>
    <row r="109" spans="1:15" ht="13.35" customHeight="1">
      <c r="A109" s="21" t="s">
        <v>1016</v>
      </c>
      <c r="B109" s="22">
        <f>$B$15*(1+$B$5)^(B107-1)</f>
        <v>33839.132569585214</v>
      </c>
      <c r="C109" s="22">
        <f>$B$15*(1+$B$5)^(C107-1)</f>
        <v>34515.915220976909</v>
      </c>
      <c r="D109" s="22">
        <f>$B$15*(1+$B$5)^(D107-1)</f>
        <v>35206.233525396456</v>
      </c>
      <c r="E109" s="22">
        <f>$B$15*(1+$B$5)^(E107-1)</f>
        <v>35910.358195904388</v>
      </c>
      <c r="F109" s="23">
        <f>$B$15*(1+$B$5)^(F107-1)</f>
        <v>36628.565359822467</v>
      </c>
      <c r="G109" s="17"/>
      <c r="H109" s="17"/>
      <c r="I109" s="17"/>
      <c r="J109" s="17"/>
      <c r="K109" s="17"/>
      <c r="N109" s="3505"/>
      <c r="O109" s="3507"/>
    </row>
    <row r="110" spans="1:15" ht="13.35" customHeight="1">
      <c r="A110" s="21" t="s">
        <v>2405</v>
      </c>
      <c r="B110" s="22">
        <f>-(B108+B109)*$B$8</f>
        <v>-120805.70327341922</v>
      </c>
      <c r="C110" s="22">
        <f>-(C108+C109)*$B$8</f>
        <v>-123221.81733888756</v>
      </c>
      <c r="D110" s="22">
        <f>-(D108+D109)*$B$8</f>
        <v>-125686.25368566535</v>
      </c>
      <c r="E110" s="22">
        <f>-(E108+E109)*$B$8</f>
        <v>-128199.97875937866</v>
      </c>
      <c r="F110" s="23">
        <f>-(F108+F109)*$B$8</f>
        <v>-130763.97833456621</v>
      </c>
      <c r="G110" s="17"/>
      <c r="H110" s="17"/>
      <c r="I110" s="17"/>
      <c r="J110" s="17"/>
      <c r="K110" s="17"/>
      <c r="N110" s="3505"/>
      <c r="O110" s="3507"/>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05"/>
      <c r="O111" s="3507"/>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05"/>
      <c r="O112" s="3507"/>
    </row>
    <row r="113" spans="1:19" ht="13.35" customHeight="1">
      <c r="A113" s="483" t="s">
        <v>4945</v>
      </c>
      <c r="B113" s="22">
        <f>SUM(B108:B112)</f>
        <v>1604990.0577754264</v>
      </c>
      <c r="C113" s="22">
        <f>SUM(C108:C112)</f>
        <v>1637089.8589309345</v>
      </c>
      <c r="D113" s="22">
        <f>SUM(D108:D112)</f>
        <v>1669831.6561095538</v>
      </c>
      <c r="E113" s="22">
        <f>SUM(E108:E112)</f>
        <v>1703228.2892317448</v>
      </c>
      <c r="F113" s="23">
        <f>SUM(F108:F112)</f>
        <v>1737292.8550163796</v>
      </c>
      <c r="G113" s="17"/>
      <c r="H113" s="17"/>
      <c r="I113" s="17"/>
      <c r="J113" s="17"/>
      <c r="K113" s="17"/>
      <c r="N113" s="3505"/>
      <c r="O113" s="3507"/>
    </row>
    <row r="114" spans="1:19" ht="13.35" customHeight="1">
      <c r="A114" s="21" t="s">
        <v>614</v>
      </c>
      <c r="B114" s="22">
        <f>$B$20*(1+$B$6)^(B107-1)</f>
        <v>-861377.19672590145</v>
      </c>
      <c r="C114" s="22">
        <f>$B$20*(1+$B$6)^(C107-1)</f>
        <v>-887218.51262767869</v>
      </c>
      <c r="D114" s="22">
        <f>$B$20*(1+$B$6)^(D107-1)</f>
        <v>-913835.06800650887</v>
      </c>
      <c r="E114" s="22">
        <f>$B$20*(1+$B$6)^(E107-1)</f>
        <v>-941250.12004670419</v>
      </c>
      <c r="F114" s="23">
        <f>$B$20*(1+$B$6)^(F107-1)</f>
        <v>-969487.62364810507</v>
      </c>
      <c r="G114" s="17"/>
      <c r="H114" s="17"/>
      <c r="I114" s="17"/>
      <c r="J114" s="17"/>
      <c r="K114" s="17"/>
      <c r="N114" s="3505"/>
      <c r="O114" s="3507"/>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-72225</v>
      </c>
      <c r="C115" s="22">
        <f>IF(AND('Part VII-Pro Forma'!$G$8="Yes",'Part VII-Pro Forma'!$G$9="Yes"),"Choose One!",IF('Part VII-Pro Forma'!$G$8="Yes",ROUND((-$K$8*(1+'Part VII-Pro Forma'!$B$6)^('Part VII-Pro Forma'!C107-1)),),IF('Part VII-Pro Forma'!$G$9="Yes",ROUND((-(SUM(C108:C111)*'Part VII-Pro Forma'!$K$9)),),"Choose mgt fee")))</f>
        <v>-73669</v>
      </c>
      <c r="D115" s="22">
        <f>IF(AND('Part VII-Pro Forma'!$G$8="Yes",'Part VII-Pro Forma'!$G$9="Yes"),"Choose One!",IF('Part VII-Pro Forma'!$G$8="Yes",ROUND((-$K$8*(1+'Part VII-Pro Forma'!$B$6)^('Part VII-Pro Forma'!D107-1)),),IF('Part VII-Pro Forma'!$G$9="Yes",ROUND((-(SUM(D108:D111)*'Part VII-Pro Forma'!$K$9)),),"Choose mgt fee")))</f>
        <v>-75142</v>
      </c>
      <c r="E115" s="22">
        <f>IF(AND('Part VII-Pro Forma'!$G$8="Yes",'Part VII-Pro Forma'!$G$9="Yes"),"Choose One!",IF('Part VII-Pro Forma'!$G$8="Yes",ROUND((-$K$8*(1+'Part VII-Pro Forma'!$B$6)^('Part VII-Pro Forma'!E107-1)),),IF('Part VII-Pro Forma'!$G$9="Yes",ROUND((-(SUM(E108:E111)*'Part VII-Pro Forma'!$K$9)),),"Choose mgt fee")))</f>
        <v>-76645</v>
      </c>
      <c r="F115" s="23">
        <f>IF(AND('Part VII-Pro Forma'!$G$8="Yes",'Part VII-Pro Forma'!$G$9="Yes"),"Choose One!",IF('Part VII-Pro Forma'!$G$8="Yes",ROUND((-$K$8*(1+'Part VII-Pro Forma'!$B$6)^('Part VII-Pro Forma'!F107-1)),),IF('Part VII-Pro Forma'!$G$9="Yes",ROUND((-(SUM(F108:F111)*'Part VII-Pro Forma'!$K$9)),),"Choose mgt fee")))</f>
        <v>-78178</v>
      </c>
      <c r="G115" s="17"/>
      <c r="H115" s="17"/>
      <c r="I115" s="17"/>
      <c r="J115" s="17"/>
      <c r="K115" s="17"/>
      <c r="N115" s="3505"/>
      <c r="O115" s="3507"/>
    </row>
    <row r="116" spans="1:19" ht="13.35" customHeight="1">
      <c r="A116" s="21" t="s">
        <v>1202</v>
      </c>
      <c r="B116" s="22">
        <f>$B$22*(1+$B$7)^(B107-1)</f>
        <v>-50972.511894982839</v>
      </c>
      <c r="C116" s="22">
        <f>$B$22*(1+$B$7)^(C107-1)</f>
        <v>-52501.687251832336</v>
      </c>
      <c r="D116" s="22">
        <f>$B$22*(1+$B$7)^(D107-1)</f>
        <v>-54076.737869387296</v>
      </c>
      <c r="E116" s="22">
        <f>$B$22*(1+$B$7)^(E107-1)</f>
        <v>-55699.040005468916</v>
      </c>
      <c r="F116" s="23">
        <f>$B$22*(1+$B$7)^(F107-1)</f>
        <v>-57370.011205632974</v>
      </c>
      <c r="G116" s="17"/>
      <c r="H116" s="17"/>
      <c r="I116" s="17"/>
      <c r="J116" s="17"/>
      <c r="K116" s="17"/>
      <c r="N116" s="3505"/>
      <c r="O116" s="3507"/>
    </row>
    <row r="117" spans="1:19" ht="13.35" customHeight="1">
      <c r="A117" s="483" t="s">
        <v>4944</v>
      </c>
      <c r="B117" s="2704">
        <f>IF(B107&lt;=+'Part VI-Revenues &amp; Expenses'!$K$243,-'Part VI-Revenues &amp; Expenses'!$H$243,0)</f>
        <v>0</v>
      </c>
      <c r="C117" s="2704">
        <f>IF(C107&lt;=+'Part VI-Revenues &amp; Expenses'!$K$243,-'Part VI-Revenues &amp; Expenses'!$H$243,0)</f>
        <v>0</v>
      </c>
      <c r="D117" s="2704">
        <f>IF(D107&lt;=+'Part VI-Revenues &amp; Expenses'!$K$243,-'Part VI-Revenues &amp; Expenses'!$H$243,0)</f>
        <v>0</v>
      </c>
      <c r="E117" s="2704">
        <f>IF(E107&lt;=+'Part VI-Revenues &amp; Expenses'!$K$243,-'Part VI-Revenues &amp; Expenses'!$H$243,0)</f>
        <v>0</v>
      </c>
      <c r="F117" s="2704">
        <f>IF(F107&lt;=+'Part VI-Revenues &amp; Expenses'!$K$243,-'Part VI-Revenues &amp; Expenses'!$H$243,0)</f>
        <v>0</v>
      </c>
      <c r="G117" s="17"/>
      <c r="H117" s="17"/>
      <c r="I117" s="17"/>
      <c r="J117" s="17"/>
      <c r="K117" s="17"/>
      <c r="N117" s="3505"/>
      <c r="O117" s="3507"/>
      <c r="Q117" s="1125">
        <v>10</v>
      </c>
      <c r="R117" s="1333">
        <f>-SUM(B122:K122)</f>
        <v>0</v>
      </c>
      <c r="S117" s="1333">
        <f>SUM(B123:K123)+R117</f>
        <v>0</v>
      </c>
    </row>
    <row r="118" spans="1:19" ht="13.35" customHeight="1">
      <c r="A118" s="21" t="s">
        <v>1203</v>
      </c>
      <c r="B118" s="22">
        <f t="shared" ref="B118" si="62">SUM(B113:B117)</f>
        <v>620415.34915454208</v>
      </c>
      <c r="C118" s="22">
        <f t="shared" ref="C118" si="63">SUM(C113:C117)</f>
        <v>623700.65905142343</v>
      </c>
      <c r="D118" s="22">
        <f t="shared" ref="D118" si="64">SUM(D113:D117)</f>
        <v>626777.85023365763</v>
      </c>
      <c r="E118" s="22">
        <f t="shared" ref="E118" si="65">SUM(E113:E117)</f>
        <v>629634.12917957176</v>
      </c>
      <c r="F118" s="2567">
        <f>SUM(F113:F117)</f>
        <v>632257.22016264161</v>
      </c>
      <c r="G118" s="17"/>
      <c r="H118" s="17"/>
      <c r="I118" s="17"/>
      <c r="J118" s="17"/>
      <c r="K118" s="17"/>
      <c r="N118" s="3505"/>
      <c r="O118" s="3507"/>
    </row>
    <row r="119" spans="1:19" ht="13.35" customHeight="1">
      <c r="A119" s="21" t="str">
        <f>$A89</f>
        <v>Mortgage A</v>
      </c>
      <c r="B119" s="485">
        <f>IF('Part III-Sources of Funds'!$P$38="", 0,-'Part III-Sources of Funds'!$P$38)</f>
        <v>-384782.82220370776</v>
      </c>
      <c r="C119" s="485">
        <f>IF('Part III-Sources of Funds'!$P$38="", 0,-'Part III-Sources of Funds'!$P$38)</f>
        <v>-384782.82220370776</v>
      </c>
      <c r="D119" s="485">
        <f>IF('Part III-Sources of Funds'!$P$38="", 0,-'Part III-Sources of Funds'!$P$38)</f>
        <v>-384782.82220370776</v>
      </c>
      <c r="E119" s="485">
        <f>IF('Part III-Sources of Funds'!$P$38="", 0,-'Part III-Sources of Funds'!$P$38)</f>
        <v>-384782.82220370776</v>
      </c>
      <c r="F119" s="485">
        <f>IF('Part III-Sources of Funds'!$P$38="", 0,-'Part III-Sources of Funds'!$P$38)</f>
        <v>-384782.82220370776</v>
      </c>
      <c r="G119" s="17"/>
      <c r="H119" s="17"/>
      <c r="I119" s="17"/>
      <c r="J119" s="17"/>
      <c r="K119" s="17"/>
      <c r="N119" s="3505"/>
      <c r="O119" s="3507"/>
    </row>
    <row r="120" spans="1:19" ht="13.3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05"/>
      <c r="O120" s="3507"/>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05"/>
      <c r="O121" s="3507"/>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05"/>
      <c r="O122" s="3507"/>
    </row>
    <row r="123" spans="1:19" ht="13.35" customHeight="1">
      <c r="A123" s="21" t="s">
        <v>763</v>
      </c>
      <c r="B123" s="180"/>
      <c r="C123" s="180"/>
      <c r="D123" s="180"/>
      <c r="E123" s="180"/>
      <c r="F123" s="180"/>
      <c r="G123" s="17"/>
      <c r="H123" s="17"/>
      <c r="I123" s="17"/>
      <c r="J123" s="17"/>
      <c r="K123" s="17"/>
      <c r="N123" s="3505"/>
      <c r="O123" s="3507"/>
    </row>
    <row r="124" spans="1:19" ht="13.35" customHeight="1">
      <c r="A124" s="21" t="s">
        <v>1163</v>
      </c>
      <c r="B124" s="242">
        <f>+K94</f>
        <v>0</v>
      </c>
      <c r="C124" s="242">
        <f>+B124</f>
        <v>0</v>
      </c>
      <c r="D124" s="242">
        <f>+C124</f>
        <v>0</v>
      </c>
      <c r="E124" s="242">
        <f>+D124</f>
        <v>0</v>
      </c>
      <c r="F124" s="242">
        <f>+E124</f>
        <v>0</v>
      </c>
      <c r="G124" s="17"/>
      <c r="H124" s="17"/>
      <c r="I124" s="17"/>
      <c r="J124" s="17"/>
      <c r="K124" s="17"/>
      <c r="N124" s="3505"/>
      <c r="O124" s="3507"/>
    </row>
    <row r="125" spans="1:19" ht="13.35" customHeight="1">
      <c r="A125" s="21" t="s">
        <v>1164</v>
      </c>
      <c r="B125" s="22">
        <f>SUM(B118:B124)</f>
        <v>235632.52695083432</v>
      </c>
      <c r="C125" s="22">
        <f>SUM(C118:C124)</f>
        <v>238917.83684771566</v>
      </c>
      <c r="D125" s="22">
        <f>SUM(D118:D124)</f>
        <v>241995.02802994987</v>
      </c>
      <c r="E125" s="22">
        <f>SUM(E118:E124)</f>
        <v>244851.30697586399</v>
      </c>
      <c r="F125" s="23">
        <f>SUM(F118:F124)</f>
        <v>247474.39795893384</v>
      </c>
      <c r="G125" s="17"/>
      <c r="H125" s="17"/>
      <c r="I125" s="17"/>
      <c r="J125" s="17"/>
      <c r="K125" s="17"/>
      <c r="N125" s="3505"/>
      <c r="O125" s="3507"/>
    </row>
    <row r="126" spans="1:19" ht="13.35" customHeight="1">
      <c r="A126" s="21" t="str">
        <f>$A96</f>
        <v>DCR Mortgage A</v>
      </c>
      <c r="B126" s="24">
        <f>IF(B119=0,"",-B118/B119)</f>
        <v>1.6123779788331822</v>
      </c>
      <c r="C126" s="24">
        <f>IF(C119=0,"",-C118/C119)</f>
        <v>1.6209160676128891</v>
      </c>
      <c r="D126" s="24">
        <f>IF(D119=0,"",-D118/D119)</f>
        <v>1.6289132831970221</v>
      </c>
      <c r="E126" s="24">
        <f>IF(E119=0,"",-E118/E119)</f>
        <v>1.6363363769036376</v>
      </c>
      <c r="F126" s="25">
        <f>IF(F119=0,"",-F118/F119)</f>
        <v>1.6431534457323527</v>
      </c>
      <c r="G126" s="17"/>
      <c r="H126" s="17"/>
      <c r="I126" s="17"/>
      <c r="J126" s="17"/>
      <c r="K126" s="17"/>
      <c r="N126" s="3505"/>
      <c r="O126" s="3507"/>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05"/>
      <c r="O127" s="3507"/>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05"/>
      <c r="O128" s="3507"/>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05"/>
      <c r="O129" s="3507"/>
    </row>
    <row r="130" spans="1:18" ht="13.35" customHeight="1">
      <c r="A130" s="483" t="s">
        <v>3713</v>
      </c>
      <c r="B130" s="24">
        <f>IF(AND(B119=0,B120=0,B121=0,B122=0),"",-B118/(B119+B120+B121+B122))</f>
        <v>1.6123779788331822</v>
      </c>
      <c r="C130" s="24">
        <f>IF(AND(C119=0,C120=0,C121=0,C122=0),"",-C118/(C119+C120+C121+C122))</f>
        <v>1.6209160676128891</v>
      </c>
      <c r="D130" s="24">
        <f>IF(AND(D119=0,D120=0,D121=0,D122=0),"",-D118/(D119+D120+D121+D122))</f>
        <v>1.6289132831970221</v>
      </c>
      <c r="E130" s="24">
        <f>IF(AND(E119=0,E120=0,E121=0,E122=0),"",-E118/(E119+E120+E121+E122))</f>
        <v>1.6363363769036376</v>
      </c>
      <c r="F130" s="25">
        <f>IF(AND(F119=0,F120=0,F121=0,F122=0),"",-F118/(F119+F120+F121+F122))</f>
        <v>1.6431534457323527</v>
      </c>
      <c r="G130" s="17"/>
      <c r="H130" s="17"/>
      <c r="I130" s="17"/>
      <c r="J130" s="17"/>
      <c r="K130" s="17"/>
      <c r="N130" s="3505"/>
      <c r="O130" s="3507"/>
    </row>
    <row r="131" spans="1:18" ht="13.35" customHeight="1">
      <c r="A131" s="21" t="s">
        <v>770</v>
      </c>
      <c r="B131" s="296">
        <f>IF(OR(B115="Choose mgt fee",B115="Choose One!"),"",(B108+B109+B110+B111+B112) / -(B114+B115+B116))</f>
        <v>1.6301353708583188</v>
      </c>
      <c r="C131" s="296">
        <f>IF(OR(C115="Choose mgt fee",C115="Choose One!"),"",(C108+C109+C110+C111+C112) / -(C114+C115+C116))</f>
        <v>1.615460140216197</v>
      </c>
      <c r="D131" s="296">
        <f>IF(OR(D115="Choose mgt fee",D115="Choose One!"),"",(D108+D109+D110+D111+D112) / -(D114+D115+D116))</f>
        <v>1.6009065368467026</v>
      </c>
      <c r="E131" s="296">
        <f>IF(OR(E115="Choose mgt fee",E115="Choose One!"),"",(E108+E109+E110+E111+E112) / -(E114+E115+E116))</f>
        <v>1.5864731316617573</v>
      </c>
      <c r="F131" s="730">
        <f>IF(OR(F115="Choose mgt fee",F115="Choose One!"),"",(F108+F109+F110+F111+F112) / -(F114+F115+F116))</f>
        <v>1.5721600283472548</v>
      </c>
      <c r="G131" s="17"/>
      <c r="H131" s="17"/>
      <c r="I131" s="17"/>
      <c r="J131" s="17"/>
      <c r="K131" s="17"/>
      <c r="N131" s="3505"/>
      <c r="O131" s="3507"/>
    </row>
    <row r="132" spans="1:18" ht="13.35" customHeight="1">
      <c r="A132" s="483" t="s">
        <v>2617</v>
      </c>
      <c r="B132" s="240">
        <f>IF('Part III-Sources of Funds'!$I$38="","",-FV('Part III-Sources of Funds'!$K$38/12,12,B119/12,K102))</f>
        <v>1408935.113054082</v>
      </c>
      <c r="C132" s="240">
        <f>IF('Part III-Sources of Funds'!$I$38="","",-FV('Part III-Sources of Funds'!$K$38/12,12,C119/12,B132))</f>
        <v>1079555.6220716247</v>
      </c>
      <c r="D132" s="240">
        <f>IF('Part III-Sources of Funds'!$I$38="","",-FV('Part III-Sources of Funds'!$K$38/12,12,D119/12,C132))</f>
        <v>735387.56225856463</v>
      </c>
      <c r="E132" s="240">
        <f>IF('Part III-Sources of Funds'!$I$38="","",-FV('Part III-Sources of Funds'!$K$38/12,12,E119/12,D132))</f>
        <v>375766.95248054178</v>
      </c>
      <c r="F132" s="240">
        <f>IF('Part III-Sources of Funds'!$I$38="","",-FV('Part III-Sources of Funds'!$K$38/12,12,F119/12,E132))</f>
        <v>-6.5716449171304703E-8</v>
      </c>
      <c r="G132" s="17"/>
      <c r="H132" s="17"/>
      <c r="I132" s="17"/>
      <c r="J132" s="17"/>
      <c r="K132" s="17"/>
      <c r="N132" s="3505"/>
      <c r="O132" s="3507"/>
    </row>
    <row r="133" spans="1:18" ht="13.35" customHeight="1">
      <c r="A133" s="483" t="s">
        <v>2618</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505"/>
      <c r="O133" s="3507"/>
    </row>
    <row r="134" spans="1:18" ht="13.35" customHeight="1">
      <c r="A134" s="483" t="s">
        <v>2619</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05"/>
      <c r="O134" s="3507"/>
    </row>
    <row r="135" spans="1:18" ht="13.35" customHeight="1">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09"/>
      <c r="O135" s="3511"/>
    </row>
    <row r="136" spans="1:18" ht="4.3499999999999996" customHeight="1"/>
    <row r="137" spans="1:18" ht="12" customHeight="1">
      <c r="A137" s="13" t="s">
        <v>571</v>
      </c>
      <c r="B137" s="13"/>
      <c r="G137" s="13" t="s">
        <v>1031</v>
      </c>
    </row>
    <row r="138" spans="1:18" ht="12" customHeight="1">
      <c r="B138" s="31"/>
    </row>
    <row r="139" spans="1:18" ht="409.5" customHeight="1">
      <c r="A139" s="3078" t="s">
        <v>3483</v>
      </c>
      <c r="B139" s="3587"/>
      <c r="C139" s="3587"/>
      <c r="D139" s="3587"/>
      <c r="E139" s="3587"/>
      <c r="F139" s="3588"/>
      <c r="G139" s="3589"/>
      <c r="H139" s="3590"/>
      <c r="I139" s="3590"/>
      <c r="J139" s="3590"/>
      <c r="K139" s="3591"/>
      <c r="N139" s="3164" t="s">
        <v>2693</v>
      </c>
      <c r="O139" s="3164"/>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formula1>0.07</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765"/>
  <sheetViews>
    <sheetView showGridLines="0" topLeftCell="A472" zoomScaleNormal="100" workbookViewId="0">
      <selection activeCell="S496" sqref="S49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1"/>
    <col min="33" max="16384" width="9.140625" style="35"/>
  </cols>
  <sheetData>
    <row r="1" spans="1:32" ht="14.1" customHeight="1">
      <c r="A1" s="3290" t="str">
        <f>CONCATENATE("PART EIGHT - THRESHOLD CRITERIA","  -  ",'Part I-Project Information'!$O$6," ",'Part I-Project Information'!$F$34,", ",'Part I-Project Information'!F38,", ",'Part I-Project Information'!J39," County")</f>
        <v>PART EIGHT - THRESHOLD CRITERIA  -  2019-5 Stone Terrace Phase II, Stonecrest, DeKalb County</v>
      </c>
      <c r="B1" s="3291"/>
      <c r="C1" s="3291"/>
      <c r="D1" s="3291"/>
      <c r="E1" s="3291"/>
      <c r="F1" s="3291"/>
      <c r="G1" s="3291"/>
      <c r="H1" s="3291"/>
      <c r="I1" s="3291"/>
      <c r="J1" s="3291"/>
      <c r="K1" s="3291"/>
      <c r="L1" s="3291"/>
      <c r="M1" s="3291"/>
      <c r="N1" s="3291"/>
      <c r="O1" s="3291"/>
      <c r="P1" s="3291"/>
      <c r="Q1" s="3291"/>
      <c r="R1" s="3738" t="str">
        <f>'Part I-Project Information'!$B$6</f>
        <v>May 2019 Final</v>
      </c>
      <c r="S1" s="3738"/>
    </row>
    <row r="2" spans="1:32" s="27" customFormat="1" ht="3" customHeight="1">
      <c r="R2" s="3738"/>
      <c r="S2" s="3738"/>
      <c r="AE2" s="120"/>
      <c r="AF2" s="120"/>
    </row>
    <row r="3" spans="1:32" ht="13.5" customHeight="1">
      <c r="A3" s="3726"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26"/>
      <c r="C3" s="3726"/>
      <c r="D3" s="3726"/>
      <c r="E3" s="3726"/>
      <c r="F3" s="3726"/>
      <c r="G3" s="3726"/>
      <c r="H3" s="3726"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26"/>
      <c r="J3" s="3726"/>
      <c r="K3" s="3726"/>
      <c r="L3" s="3726"/>
      <c r="M3" s="3726"/>
      <c r="N3" s="3727"/>
      <c r="O3" s="3728" t="s">
        <v>935</v>
      </c>
      <c r="P3" s="3729"/>
      <c r="Q3" s="2620" t="s">
        <v>1843</v>
      </c>
      <c r="R3" s="3738"/>
      <c r="S3" s="3738"/>
    </row>
    <row r="4" spans="1:32" ht="3" customHeight="1">
      <c r="A4" s="1378"/>
      <c r="B4" s="3730"/>
      <c r="C4" s="3730"/>
      <c r="D4" s="3730"/>
      <c r="E4" s="1378"/>
      <c r="F4" s="1378"/>
      <c r="G4" s="1378"/>
      <c r="H4" s="1378"/>
      <c r="I4" s="1378"/>
      <c r="J4" s="1378"/>
      <c r="K4" s="1378"/>
      <c r="L4" s="1378"/>
      <c r="M4" s="1378"/>
      <c r="N4" s="1378"/>
      <c r="P4" s="1378"/>
      <c r="Q4" s="1378"/>
      <c r="R4" s="3738"/>
      <c r="S4" s="3738"/>
    </row>
    <row r="5" spans="1:32" ht="11.1" hidden="1" customHeight="1">
      <c r="A5" s="1378"/>
      <c r="B5" s="1378"/>
      <c r="C5" s="1378"/>
      <c r="D5" s="1378"/>
      <c r="E5" s="1378"/>
      <c r="F5" s="1378"/>
      <c r="G5" s="1378"/>
      <c r="H5" s="1378"/>
      <c r="I5" s="1378"/>
      <c r="J5" s="1378"/>
      <c r="K5" s="1378"/>
      <c r="L5" s="1378"/>
      <c r="M5" s="1378"/>
      <c r="N5" s="1378"/>
      <c r="P5" s="1378"/>
      <c r="Q5" s="1378"/>
      <c r="R5" s="3738"/>
      <c r="S5" s="3738"/>
    </row>
    <row r="6" spans="1:32" ht="17.25" customHeight="1">
      <c r="A6" s="129" t="s">
        <v>567</v>
      </c>
      <c r="J6" s="3733" t="s">
        <v>3847</v>
      </c>
      <c r="K6" s="3733"/>
      <c r="L6" s="3733"/>
      <c r="M6" s="3733"/>
      <c r="N6" s="3733"/>
      <c r="O6" s="3734"/>
      <c r="P6" s="3731"/>
      <c r="Q6" s="3732"/>
      <c r="R6" s="3738"/>
      <c r="S6" s="3738"/>
    </row>
    <row r="7" spans="1:32" ht="12.6" customHeight="1">
      <c r="A7" s="130" t="s">
        <v>3451</v>
      </c>
      <c r="C7" s="131"/>
      <c r="D7" s="131"/>
      <c r="H7" s="1603"/>
      <c r="I7" s="1603"/>
      <c r="J7" s="1603"/>
      <c r="K7" s="1603"/>
      <c r="L7" s="1603"/>
      <c r="M7" s="1378"/>
      <c r="N7" s="1378"/>
    </row>
    <row r="8" spans="1:32" ht="24.6" customHeight="1">
      <c r="A8" s="3735" t="s">
        <v>1408</v>
      </c>
      <c r="B8" s="3736"/>
      <c r="C8" s="3736"/>
      <c r="D8" s="3736"/>
      <c r="E8" s="3736"/>
      <c r="F8" s="3736"/>
      <c r="G8" s="3736"/>
      <c r="H8" s="3736"/>
      <c r="I8" s="3736"/>
      <c r="J8" s="3736"/>
      <c r="K8" s="3736"/>
      <c r="L8" s="3736"/>
      <c r="M8" s="3736"/>
      <c r="N8" s="3736"/>
      <c r="O8" s="3736"/>
      <c r="P8" s="3736"/>
      <c r="Q8" s="3737"/>
      <c r="R8" s="3518" t="s">
        <v>2031</v>
      </c>
      <c r="S8" s="2882"/>
    </row>
    <row r="9" spans="1:32" ht="24.6" customHeight="1">
      <c r="A9" s="3723" t="s">
        <v>226</v>
      </c>
      <c r="B9" s="3724"/>
      <c r="C9" s="3724"/>
      <c r="D9" s="3724"/>
      <c r="E9" s="3724"/>
      <c r="F9" s="3724"/>
      <c r="G9" s="3724"/>
      <c r="H9" s="3724"/>
      <c r="I9" s="3724"/>
      <c r="J9" s="3724"/>
      <c r="K9" s="3724"/>
      <c r="L9" s="3724"/>
      <c r="M9" s="3724"/>
      <c r="N9" s="3724"/>
      <c r="O9" s="3724"/>
      <c r="P9" s="3724"/>
      <c r="Q9" s="3725"/>
      <c r="R9" s="3518"/>
      <c r="S9" s="2882"/>
    </row>
    <row r="10" spans="1:32" ht="24.6" customHeight="1">
      <c r="A10" s="3723" t="s">
        <v>1404</v>
      </c>
      <c r="B10" s="3724"/>
      <c r="C10" s="3724"/>
      <c r="D10" s="3724"/>
      <c r="E10" s="3724"/>
      <c r="F10" s="3724"/>
      <c r="G10" s="3724"/>
      <c r="H10" s="3724"/>
      <c r="I10" s="3724"/>
      <c r="J10" s="3724"/>
      <c r="K10" s="3724"/>
      <c r="L10" s="3724"/>
      <c r="M10" s="3724"/>
      <c r="N10" s="3724"/>
      <c r="O10" s="3724"/>
      <c r="P10" s="3724"/>
      <c r="Q10" s="3725"/>
      <c r="R10" s="3518"/>
      <c r="S10" s="2882"/>
    </row>
    <row r="11" spans="1:32" ht="24.6" customHeight="1">
      <c r="A11" s="3723" t="s">
        <v>1405</v>
      </c>
      <c r="B11" s="3724"/>
      <c r="C11" s="3724"/>
      <c r="D11" s="3724"/>
      <c r="E11" s="3724"/>
      <c r="F11" s="3724"/>
      <c r="G11" s="3724"/>
      <c r="H11" s="3724"/>
      <c r="I11" s="3724"/>
      <c r="J11" s="3724"/>
      <c r="K11" s="3724"/>
      <c r="L11" s="3724"/>
      <c r="M11" s="3724"/>
      <c r="N11" s="3724"/>
      <c r="O11" s="3724"/>
      <c r="P11" s="3724"/>
      <c r="Q11" s="3725"/>
      <c r="R11" s="3518"/>
      <c r="S11" s="2882"/>
    </row>
    <row r="12" spans="1:32" ht="24" customHeight="1">
      <c r="A12" s="3723" t="s">
        <v>1406</v>
      </c>
      <c r="B12" s="3724"/>
      <c r="C12" s="3724"/>
      <c r="D12" s="3724"/>
      <c r="E12" s="3724"/>
      <c r="F12" s="3724"/>
      <c r="G12" s="3724"/>
      <c r="H12" s="3724"/>
      <c r="I12" s="3724"/>
      <c r="J12" s="3724"/>
      <c r="K12" s="3724"/>
      <c r="L12" s="3724"/>
      <c r="M12" s="3724"/>
      <c r="N12" s="3724"/>
      <c r="O12" s="3724"/>
      <c r="P12" s="3724"/>
      <c r="Q12" s="3725"/>
      <c r="R12" s="1375"/>
      <c r="S12" s="1375"/>
    </row>
    <row r="13" spans="1:32" ht="11.25" customHeight="1">
      <c r="A13" s="3723" t="s">
        <v>1407</v>
      </c>
      <c r="B13" s="3724"/>
      <c r="C13" s="3724"/>
      <c r="D13" s="3724"/>
      <c r="E13" s="3724"/>
      <c r="F13" s="3724"/>
      <c r="G13" s="3724"/>
      <c r="H13" s="3724"/>
      <c r="I13" s="3724"/>
      <c r="J13" s="3724"/>
      <c r="K13" s="3724"/>
      <c r="L13" s="3724"/>
      <c r="M13" s="3724"/>
      <c r="N13" s="3724"/>
      <c r="O13" s="3724"/>
      <c r="P13" s="3724"/>
      <c r="Q13" s="3725"/>
      <c r="R13" s="1375"/>
      <c r="S13" s="1375"/>
    </row>
    <row r="14" spans="1:32" ht="11.25" customHeight="1">
      <c r="A14" s="3723" t="s">
        <v>1409</v>
      </c>
      <c r="B14" s="3724"/>
      <c r="C14" s="3724"/>
      <c r="D14" s="3724"/>
      <c r="E14" s="3724"/>
      <c r="F14" s="3724"/>
      <c r="G14" s="3724"/>
      <c r="H14" s="3724"/>
      <c r="I14" s="3724"/>
      <c r="J14" s="3724"/>
      <c r="K14" s="3724"/>
      <c r="L14" s="3724"/>
      <c r="M14" s="3724"/>
      <c r="N14" s="3724"/>
      <c r="O14" s="3724"/>
      <c r="P14" s="3724"/>
      <c r="Q14" s="3725"/>
    </row>
    <row r="15" spans="1:32" ht="11.25" customHeight="1">
      <c r="A15" s="3723" t="s">
        <v>2018</v>
      </c>
      <c r="B15" s="3724"/>
      <c r="C15" s="3724"/>
      <c r="D15" s="3724"/>
      <c r="E15" s="3724"/>
      <c r="F15" s="3724"/>
      <c r="G15" s="3724"/>
      <c r="H15" s="3724"/>
      <c r="I15" s="3724"/>
      <c r="J15" s="3724"/>
      <c r="K15" s="3724"/>
      <c r="L15" s="3724"/>
      <c r="M15" s="3724"/>
      <c r="N15" s="3724"/>
      <c r="O15" s="3724"/>
      <c r="P15" s="3724"/>
      <c r="Q15" s="3725"/>
      <c r="R15" s="3518" t="s">
        <v>2031</v>
      </c>
      <c r="S15" s="3147"/>
    </row>
    <row r="16" spans="1:32" ht="11.25" customHeight="1">
      <c r="A16" s="3723" t="s">
        <v>2019</v>
      </c>
      <c r="B16" s="3724"/>
      <c r="C16" s="3724"/>
      <c r="D16" s="3724"/>
      <c r="E16" s="3724"/>
      <c r="F16" s="3724"/>
      <c r="G16" s="3724"/>
      <c r="H16" s="3724"/>
      <c r="I16" s="3724"/>
      <c r="J16" s="3724"/>
      <c r="K16" s="3724"/>
      <c r="L16" s="3724"/>
      <c r="M16" s="3724"/>
      <c r="N16" s="3724"/>
      <c r="O16" s="3724"/>
      <c r="P16" s="3724"/>
      <c r="Q16" s="3725"/>
      <c r="R16" s="3518"/>
      <c r="S16" s="3147"/>
    </row>
    <row r="17" spans="1:31" ht="11.25" customHeight="1">
      <c r="A17" s="3723" t="s">
        <v>2020</v>
      </c>
      <c r="B17" s="3724"/>
      <c r="C17" s="3724"/>
      <c r="D17" s="3724"/>
      <c r="E17" s="3724"/>
      <c r="F17" s="3724"/>
      <c r="G17" s="3724"/>
      <c r="H17" s="3724"/>
      <c r="I17" s="3724"/>
      <c r="J17" s="3724"/>
      <c r="K17" s="3724"/>
      <c r="L17" s="3724"/>
      <c r="M17" s="3724"/>
      <c r="N17" s="3724"/>
      <c r="O17" s="3724"/>
      <c r="P17" s="3724"/>
      <c r="Q17" s="3725"/>
      <c r="R17" s="3518"/>
      <c r="S17" s="3147"/>
    </row>
    <row r="18" spans="1:31" ht="11.25" customHeight="1">
      <c r="A18" s="3723" t="s">
        <v>2021</v>
      </c>
      <c r="B18" s="3724"/>
      <c r="C18" s="3724"/>
      <c r="D18" s="3724"/>
      <c r="E18" s="3724"/>
      <c r="F18" s="3724"/>
      <c r="G18" s="3724"/>
      <c r="H18" s="3724"/>
      <c r="I18" s="3724"/>
      <c r="J18" s="3724"/>
      <c r="K18" s="3724"/>
      <c r="L18" s="3724"/>
      <c r="M18" s="3724"/>
      <c r="N18" s="3724"/>
      <c r="O18" s="3724"/>
      <c r="P18" s="3724"/>
      <c r="Q18" s="3725"/>
      <c r="R18" s="3518"/>
      <c r="S18" s="3147"/>
    </row>
    <row r="19" spans="1:31" ht="11.25" customHeight="1">
      <c r="A19" s="3723" t="s">
        <v>2022</v>
      </c>
      <c r="B19" s="3724"/>
      <c r="C19" s="3724"/>
      <c r="D19" s="3724"/>
      <c r="E19" s="3724"/>
      <c r="F19" s="3724"/>
      <c r="G19" s="3724"/>
      <c r="H19" s="3724"/>
      <c r="I19" s="3724"/>
      <c r="J19" s="3724"/>
      <c r="K19" s="3724"/>
      <c r="L19" s="3724"/>
      <c r="M19" s="3724"/>
      <c r="N19" s="3724"/>
      <c r="O19" s="3724"/>
      <c r="P19" s="3724"/>
      <c r="Q19" s="3725"/>
      <c r="R19" s="3518"/>
      <c r="S19" s="3147"/>
    </row>
    <row r="20" spans="1:31" ht="11.25" customHeight="1">
      <c r="A20" s="3723" t="s">
        <v>2023</v>
      </c>
      <c r="B20" s="3724"/>
      <c r="C20" s="3724"/>
      <c r="D20" s="3724"/>
      <c r="E20" s="3724"/>
      <c r="F20" s="3724"/>
      <c r="G20" s="3724"/>
      <c r="H20" s="3724"/>
      <c r="I20" s="3724"/>
      <c r="J20" s="3724"/>
      <c r="K20" s="3724"/>
      <c r="L20" s="3724"/>
      <c r="M20" s="3724"/>
      <c r="N20" s="3724"/>
      <c r="O20" s="3724"/>
      <c r="P20" s="3724"/>
      <c r="Q20" s="3725"/>
      <c r="R20" s="3518"/>
      <c r="S20" s="3147"/>
    </row>
    <row r="21" spans="1:31" ht="11.25" customHeight="1">
      <c r="A21" s="3723" t="s">
        <v>2024</v>
      </c>
      <c r="B21" s="3724"/>
      <c r="C21" s="3724"/>
      <c r="D21" s="3724"/>
      <c r="E21" s="3724"/>
      <c r="F21" s="3724"/>
      <c r="G21" s="3724"/>
      <c r="H21" s="3724"/>
      <c r="I21" s="3724"/>
      <c r="J21" s="3724"/>
      <c r="K21" s="3724"/>
      <c r="L21" s="3724"/>
      <c r="M21" s="3724"/>
      <c r="N21" s="3724"/>
      <c r="O21" s="3724"/>
      <c r="P21" s="3724"/>
      <c r="Q21" s="3725"/>
    </row>
    <row r="22" spans="1:31" ht="11.25" customHeight="1">
      <c r="A22" s="3723" t="s">
        <v>2025</v>
      </c>
      <c r="B22" s="3724"/>
      <c r="C22" s="3724"/>
      <c r="D22" s="3724"/>
      <c r="E22" s="3724"/>
      <c r="F22" s="3724"/>
      <c r="G22" s="3724"/>
      <c r="H22" s="3724"/>
      <c r="I22" s="3724"/>
      <c r="J22" s="3724"/>
      <c r="K22" s="3724"/>
      <c r="L22" s="3724"/>
      <c r="M22" s="3724"/>
      <c r="N22" s="3724"/>
      <c r="O22" s="3724"/>
      <c r="P22" s="3724"/>
      <c r="Q22" s="3725"/>
      <c r="R22" s="3518" t="s">
        <v>2031</v>
      </c>
      <c r="S22" s="3147"/>
    </row>
    <row r="23" spans="1:31" ht="11.25" customHeight="1">
      <c r="A23" s="3723" t="s">
        <v>2026</v>
      </c>
      <c r="B23" s="3724"/>
      <c r="C23" s="3724"/>
      <c r="D23" s="3724"/>
      <c r="E23" s="3724"/>
      <c r="F23" s="3724"/>
      <c r="G23" s="3724"/>
      <c r="H23" s="3724"/>
      <c r="I23" s="3724"/>
      <c r="J23" s="3724"/>
      <c r="K23" s="3724"/>
      <c r="L23" s="3724"/>
      <c r="M23" s="3724"/>
      <c r="N23" s="3724"/>
      <c r="O23" s="3724"/>
      <c r="P23" s="3724"/>
      <c r="Q23" s="3725"/>
      <c r="R23" s="3518"/>
      <c r="S23" s="3147"/>
    </row>
    <row r="24" spans="1:31" ht="11.25" customHeight="1">
      <c r="A24" s="3723" t="s">
        <v>2027</v>
      </c>
      <c r="B24" s="3724"/>
      <c r="C24" s="3724"/>
      <c r="D24" s="3724"/>
      <c r="E24" s="3724"/>
      <c r="F24" s="3724"/>
      <c r="G24" s="3724"/>
      <c r="H24" s="3724"/>
      <c r="I24" s="3724"/>
      <c r="J24" s="3724"/>
      <c r="K24" s="3724"/>
      <c r="L24" s="3724"/>
      <c r="M24" s="3724"/>
      <c r="N24" s="3724"/>
      <c r="O24" s="3724"/>
      <c r="P24" s="3724"/>
      <c r="Q24" s="3725"/>
      <c r="R24" s="3518"/>
      <c r="S24" s="3147"/>
    </row>
    <row r="25" spans="1:31" ht="11.25" customHeight="1">
      <c r="A25" s="3723" t="s">
        <v>2028</v>
      </c>
      <c r="B25" s="3724"/>
      <c r="C25" s="3724"/>
      <c r="D25" s="3724"/>
      <c r="E25" s="3724"/>
      <c r="F25" s="3724"/>
      <c r="G25" s="3724"/>
      <c r="H25" s="3724"/>
      <c r="I25" s="3724"/>
      <c r="J25" s="3724"/>
      <c r="K25" s="3724"/>
      <c r="L25" s="3724"/>
      <c r="M25" s="3724"/>
      <c r="N25" s="3724"/>
      <c r="O25" s="3724"/>
      <c r="P25" s="3724"/>
      <c r="Q25" s="3725"/>
      <c r="R25" s="3518"/>
      <c r="S25" s="3147"/>
    </row>
    <row r="26" spans="1:31" ht="11.25" customHeight="1">
      <c r="A26" s="3723" t="s">
        <v>2029</v>
      </c>
      <c r="B26" s="3724"/>
      <c r="C26" s="3724"/>
      <c r="D26" s="3724"/>
      <c r="E26" s="3724"/>
      <c r="F26" s="3724"/>
      <c r="G26" s="3724"/>
      <c r="H26" s="3724"/>
      <c r="I26" s="3724"/>
      <c r="J26" s="3724"/>
      <c r="K26" s="3724"/>
      <c r="L26" s="3724"/>
      <c r="M26" s="3724"/>
      <c r="N26" s="3724"/>
      <c r="O26" s="3724"/>
      <c r="P26" s="3724"/>
      <c r="Q26" s="3725"/>
      <c r="R26" s="3518"/>
      <c r="S26" s="3147"/>
    </row>
    <row r="27" spans="1:31" ht="11.25" customHeight="1">
      <c r="A27" s="3746" t="s">
        <v>2030</v>
      </c>
      <c r="B27" s="3747"/>
      <c r="C27" s="3747"/>
      <c r="D27" s="3747"/>
      <c r="E27" s="3747"/>
      <c r="F27" s="3747"/>
      <c r="G27" s="3747"/>
      <c r="H27" s="3747"/>
      <c r="I27" s="3747"/>
      <c r="J27" s="3747"/>
      <c r="K27" s="3747"/>
      <c r="L27" s="3747"/>
      <c r="M27" s="3747"/>
      <c r="N27" s="3747"/>
      <c r="O27" s="3747"/>
      <c r="P27" s="3747"/>
      <c r="Q27" s="3748"/>
      <c r="R27" s="3518"/>
      <c r="S27" s="3147"/>
    </row>
    <row r="28" spans="1:31" ht="6" customHeight="1"/>
    <row r="29" spans="1:31" ht="14.1" customHeight="1">
      <c r="A29" s="132" t="s">
        <v>616</v>
      </c>
      <c r="B29" s="133" t="s">
        <v>2651</v>
      </c>
      <c r="C29" s="134"/>
      <c r="D29" s="88"/>
      <c r="E29" s="88"/>
      <c r="F29" s="88"/>
      <c r="G29" s="88"/>
      <c r="I29" s="1385"/>
      <c r="J29" s="1385"/>
      <c r="K29" s="1385"/>
      <c r="L29" s="1378"/>
      <c r="M29" s="1378"/>
      <c r="O29" s="135" t="s">
        <v>1867</v>
      </c>
      <c r="P29" s="3606"/>
      <c r="Q29" s="3607"/>
    </row>
    <row r="30" spans="1:31" ht="3" customHeight="1"/>
    <row r="31" spans="1:31" ht="11.25" customHeight="1">
      <c r="B31" s="67" t="s">
        <v>3756</v>
      </c>
      <c r="C31" s="67"/>
      <c r="D31" s="67"/>
      <c r="E31" s="67"/>
      <c r="F31" s="67"/>
      <c r="G31" s="1385"/>
      <c r="H31" s="1385"/>
      <c r="I31" s="1385"/>
      <c r="J31" s="1385"/>
      <c r="K31" s="1378"/>
      <c r="L31" s="1378"/>
      <c r="M31" s="1378"/>
      <c r="N31" s="1378"/>
      <c r="O31" s="1378"/>
      <c r="P31" s="1020"/>
      <c r="S31" s="162"/>
      <c r="T31" s="162"/>
    </row>
    <row r="32" spans="1:31" ht="108.75" customHeight="1">
      <c r="A32" s="3647" t="s">
        <v>5270</v>
      </c>
      <c r="B32" s="3648"/>
      <c r="C32" s="3648"/>
      <c r="D32" s="3648"/>
      <c r="E32" s="3648"/>
      <c r="F32" s="3648"/>
      <c r="G32" s="3648"/>
      <c r="H32" s="3648"/>
      <c r="I32" s="3648"/>
      <c r="J32" s="3648"/>
      <c r="K32" s="3648"/>
      <c r="L32" s="3648"/>
      <c r="M32" s="3648"/>
      <c r="N32" s="3648"/>
      <c r="O32" s="3648"/>
      <c r="P32" s="3648"/>
      <c r="Q32" s="3649"/>
      <c r="R32" s="509" t="s">
        <v>1254</v>
      </c>
      <c r="S32" s="510"/>
      <c r="T32" s="162"/>
      <c r="U32" s="139"/>
      <c r="V32" s="139"/>
      <c r="W32" s="139"/>
      <c r="X32" s="139"/>
      <c r="Y32" s="139"/>
      <c r="Z32" s="139"/>
      <c r="AA32" s="139"/>
      <c r="AB32" s="139"/>
      <c r="AC32" s="139"/>
      <c r="AD32" s="139"/>
      <c r="AE32" s="529"/>
    </row>
    <row r="33" spans="1:295" ht="11.25" customHeight="1">
      <c r="B33" s="140" t="s">
        <v>1866</v>
      </c>
      <c r="C33" s="141"/>
      <c r="D33" s="1379"/>
      <c r="E33" s="1379"/>
      <c r="F33" s="1379"/>
      <c r="G33" s="1379"/>
      <c r="H33" s="1379"/>
      <c r="I33" s="1379"/>
      <c r="J33" s="1379"/>
      <c r="K33" s="1379"/>
      <c r="L33" s="1379"/>
      <c r="M33" s="1379"/>
      <c r="N33" s="1379"/>
      <c r="O33" s="1379"/>
      <c r="P33" s="1379"/>
    </row>
    <row r="34" spans="1:295" ht="36" customHeight="1">
      <c r="A34" s="3749"/>
      <c r="B34" s="3749"/>
      <c r="C34" s="3749"/>
      <c r="D34" s="3749"/>
      <c r="E34" s="3749"/>
      <c r="F34" s="3749"/>
      <c r="G34" s="3749"/>
      <c r="H34" s="3749"/>
      <c r="I34" s="3749"/>
      <c r="J34" s="3749"/>
      <c r="K34" s="3749"/>
      <c r="L34" s="3749"/>
      <c r="M34" s="3749"/>
      <c r="N34" s="3749"/>
      <c r="O34" s="3749"/>
      <c r="P34" s="3749"/>
      <c r="Q34" s="3749"/>
      <c r="R34" s="509" t="s">
        <v>1254</v>
      </c>
      <c r="S34" s="510"/>
    </row>
    <row r="35" spans="1:295" ht="3" customHeight="1">
      <c r="B35" s="1385"/>
      <c r="C35" s="1379"/>
      <c r="D35" s="1379"/>
      <c r="E35" s="1379"/>
      <c r="F35" s="1379"/>
      <c r="G35" s="1379"/>
      <c r="H35" s="1379"/>
      <c r="I35" s="1379"/>
      <c r="J35" s="1379"/>
      <c r="K35" s="1379"/>
      <c r="L35" s="1379"/>
      <c r="M35" s="1379"/>
      <c r="N35" s="1379"/>
      <c r="O35" s="1379"/>
      <c r="P35" s="1379"/>
      <c r="Q35" s="1378"/>
    </row>
    <row r="36" spans="1:295" ht="12.75" customHeight="1">
      <c r="A36" s="1384" t="s">
        <v>740</v>
      </c>
      <c r="B36" s="4" t="s">
        <v>2711</v>
      </c>
      <c r="C36" s="4"/>
      <c r="D36" s="4"/>
      <c r="E36" s="1379"/>
      <c r="G36" s="715"/>
      <c r="H36" s="715"/>
      <c r="I36" s="715"/>
      <c r="J36" s="42"/>
      <c r="L36" s="716"/>
      <c r="M36" s="716"/>
      <c r="N36" s="716"/>
      <c r="O36" s="135" t="s">
        <v>1867</v>
      </c>
      <c r="P36" s="3606"/>
      <c r="Q36" s="3607"/>
    </row>
    <row r="37" spans="1:295" ht="11.25" customHeight="1">
      <c r="A37" s="3610"/>
      <c r="B37" s="3610"/>
      <c r="C37" s="3610"/>
      <c r="D37" s="3610"/>
      <c r="E37" s="3610"/>
      <c r="F37" s="2624"/>
      <c r="G37" s="3750" t="s">
        <v>2715</v>
      </c>
      <c r="H37" s="3751"/>
      <c r="I37" s="719"/>
      <c r="J37" s="42"/>
      <c r="K37" s="3752" t="s">
        <v>3635</v>
      </c>
      <c r="L37" s="3753"/>
      <c r="M37" s="3753"/>
      <c r="N37" s="3754"/>
    </row>
    <row r="38" spans="1:295" ht="11.25" customHeight="1">
      <c r="A38" s="3610"/>
      <c r="B38" s="3610"/>
      <c r="C38" s="3610"/>
      <c r="D38" s="3610"/>
      <c r="E38" s="3610"/>
      <c r="F38" s="2624"/>
      <c r="G38" s="3755" t="s">
        <v>346</v>
      </c>
      <c r="H38" s="3756"/>
      <c r="I38" s="719"/>
      <c r="J38" s="42"/>
      <c r="K38" s="3757" t="s">
        <v>3636</v>
      </c>
      <c r="L38" s="3758"/>
      <c r="M38" s="3758"/>
      <c r="N38" s="3759"/>
      <c r="P38" s="596" t="s">
        <v>2735</v>
      </c>
      <c r="Q38" s="98" t="s">
        <v>2990</v>
      </c>
    </row>
    <row r="39" spans="1:295" ht="4.5" customHeight="1">
      <c r="A39" s="2624"/>
      <c r="B39" s="2624"/>
      <c r="C39" s="2624"/>
      <c r="D39" s="2624"/>
      <c r="E39" s="2624"/>
      <c r="F39" s="2624"/>
      <c r="G39" s="235"/>
      <c r="H39" s="235"/>
      <c r="I39" s="235"/>
      <c r="J39" s="42"/>
      <c r="K39" s="3614"/>
      <c r="L39" s="3614"/>
      <c r="M39" s="3614"/>
      <c r="N39" s="3614"/>
    </row>
    <row r="40" spans="1:295" s="84" customFormat="1" ht="10.5" customHeight="1">
      <c r="D40" s="720" t="s">
        <v>2714</v>
      </c>
      <c r="E40" s="35"/>
      <c r="F40" s="721" t="s">
        <v>3453</v>
      </c>
      <c r="G40" s="3760" t="s">
        <v>5046</v>
      </c>
      <c r="H40" s="3760"/>
      <c r="I40" s="3760"/>
      <c r="J40" s="35"/>
      <c r="K40" s="721" t="s">
        <v>3453</v>
      </c>
      <c r="L40" s="3760" t="s">
        <v>5045</v>
      </c>
      <c r="M40" s="3760"/>
      <c r="N40" s="3760"/>
      <c r="O40" s="35"/>
      <c r="R40" s="466"/>
      <c r="U40" s="35"/>
      <c r="V40" s="514"/>
      <c r="W40" s="514"/>
      <c r="X40" s="515"/>
      <c r="Y40" s="514"/>
      <c r="Z40" s="521"/>
      <c r="AA40" s="522"/>
      <c r="AB40" s="522"/>
      <c r="AC40" s="522"/>
      <c r="AD40" s="522"/>
      <c r="AE40" s="522"/>
      <c r="AF40" s="522"/>
      <c r="AG40" s="742"/>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45" t="s">
        <v>3358</v>
      </c>
      <c r="B41" s="3745"/>
      <c r="C41" s="3745"/>
      <c r="D41" s="970" t="s">
        <v>568</v>
      </c>
      <c r="E41" s="971">
        <v>0</v>
      </c>
      <c r="F41" s="2622" t="str">
        <f>IF('Part VI-Revenues &amp; Expenses'!$J$135 =0,"",'Part VI-Revenues &amp; Expenses'!$J$135)</f>
        <v/>
      </c>
      <c r="G41" s="972">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23" t="str">
        <f>IF(F41="","",F41*G41)</f>
        <v/>
      </c>
      <c r="J41" s="42"/>
      <c r="K41" s="2622" t="str">
        <f>IF('Part VI-Revenues &amp; Expenses'!$J$136 =0,"",'Part VI-Revenues &amp; Expenses'!$J$136)</f>
        <v/>
      </c>
      <c r="L41" s="972">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23" t="str">
        <f>IF(K41="","",K41*L41)</f>
        <v/>
      </c>
      <c r="O41" s="1379"/>
      <c r="P41" s="3767" t="s">
        <v>3894</v>
      </c>
      <c r="Q41" s="3767"/>
      <c r="R41" s="466"/>
      <c r="U41" s="35"/>
      <c r="V41" s="514"/>
      <c r="W41" s="514"/>
      <c r="X41" s="515"/>
      <c r="Y41" s="514"/>
      <c r="Z41" s="521"/>
      <c r="AA41" s="522"/>
      <c r="AB41" s="522"/>
      <c r="AC41" s="522"/>
      <c r="AD41" s="522"/>
      <c r="AE41" s="522"/>
      <c r="AF41" s="522"/>
      <c r="AG41" s="742"/>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45"/>
      <c r="B42" s="3745"/>
      <c r="C42" s="3745"/>
      <c r="D42" s="970" t="s">
        <v>2440</v>
      </c>
      <c r="E42" s="971">
        <v>1</v>
      </c>
      <c r="F42" s="2622" t="str">
        <f>IF('Part VI-Revenues &amp; Expenses'!$K$135 =0,"",'Part VI-Revenues &amp; Expenses'!$K$135)</f>
        <v/>
      </c>
      <c r="G42" s="972">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23" t="str">
        <f>IF(F42="","",F42*G42)</f>
        <v/>
      </c>
      <c r="J42" s="42"/>
      <c r="K42" s="2622" t="str">
        <f>IF('Part VI-Revenues &amp; Expenses'!$K$136 =0,"",'Part VI-Revenues &amp; Expenses'!$K$136)</f>
        <v/>
      </c>
      <c r="L42" s="972">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23" t="str">
        <f>IF(K42="","",K42*L42)</f>
        <v/>
      </c>
      <c r="O42" s="1379"/>
      <c r="P42" s="3761" t="str">
        <f>IF('Part I-Project Information'!$F$38="","",VLOOKUP('Part I-Project Information'!$J$39,'DCA Underwriting Assumptions'!$G$158:$N$317,8,FALSE))</f>
        <v>Atlanta</v>
      </c>
      <c r="Q42" s="3762"/>
      <c r="R42" s="466"/>
      <c r="W42" s="514"/>
      <c r="X42" s="515"/>
      <c r="Y42" s="514"/>
      <c r="Z42" s="521"/>
      <c r="AA42" s="522"/>
      <c r="AB42" s="522"/>
      <c r="AC42" s="522"/>
      <c r="AD42" s="522"/>
      <c r="AE42" s="522"/>
      <c r="AF42" s="522"/>
      <c r="AG42" s="742"/>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45"/>
      <c r="B43" s="3745"/>
      <c r="C43" s="3745"/>
      <c r="D43" s="970" t="s">
        <v>2441</v>
      </c>
      <c r="E43" s="971">
        <v>2</v>
      </c>
      <c r="F43" s="2622" t="str">
        <f>IF('Part VI-Revenues &amp; Expenses'!$L$135 =0,"",'Part VI-Revenues &amp; Expenses'!$L$135)</f>
        <v/>
      </c>
      <c r="G43" s="972">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23" t="str">
        <f t="shared" ref="I43:I45" si="0">IF(F43="","",F43*G43)</f>
        <v/>
      </c>
      <c r="J43" s="42"/>
      <c r="K43" s="2622" t="str">
        <f>IF('Part VI-Revenues &amp; Expenses'!$L$136 =0,"",'Part VI-Revenues &amp; Expenses'!$L$136)</f>
        <v/>
      </c>
      <c r="L43" s="972">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23" t="str">
        <f t="shared" ref="N43:N45" si="1">IF(K43="","",K43*L43)</f>
        <v/>
      </c>
      <c r="O43" s="1379"/>
      <c r="P43" s="3763"/>
      <c r="Q43" s="3764"/>
      <c r="W43" s="514"/>
      <c r="X43" s="515"/>
      <c r="Y43" s="514"/>
      <c r="Z43" s="521"/>
      <c r="AA43" s="522"/>
      <c r="AB43" s="522"/>
      <c r="AC43" s="522"/>
      <c r="AD43" s="522"/>
      <c r="AE43" s="522"/>
      <c r="AF43" s="522"/>
      <c r="AG43" s="742"/>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45"/>
      <c r="B44" s="3745"/>
      <c r="C44" s="3745"/>
      <c r="D44" s="970" t="s">
        <v>2442</v>
      </c>
      <c r="E44" s="971">
        <v>3</v>
      </c>
      <c r="F44" s="2622" t="str">
        <f>IF('Part VI-Revenues &amp; Expenses'!$M$135 =0,"",'Part VI-Revenues &amp; Expenses'!$M$135)</f>
        <v/>
      </c>
      <c r="G44" s="972">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23" t="str">
        <f t="shared" si="0"/>
        <v/>
      </c>
      <c r="J44" s="42"/>
      <c r="K44" s="2622" t="str">
        <f>IF('Part VI-Revenues &amp; Expenses'!$M$136 =0,"",'Part VI-Revenues &amp; Expenses'!$M$136)</f>
        <v/>
      </c>
      <c r="L44" s="972">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23" t="str">
        <f t="shared" si="1"/>
        <v/>
      </c>
      <c r="O44" s="1379"/>
      <c r="P44" s="3608" t="s">
        <v>5044</v>
      </c>
      <c r="Q44" s="3608"/>
      <c r="W44" s="514"/>
      <c r="X44" s="515"/>
      <c r="AC44" s="522"/>
      <c r="AD44" s="522"/>
      <c r="AE44" s="522"/>
      <c r="AF44" s="522"/>
      <c r="AG44" s="742"/>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4" t="s">
        <v>2443</v>
      </c>
      <c r="E45" s="971">
        <v>4</v>
      </c>
      <c r="F45" s="2622" t="str">
        <f>IF('Part VI-Revenues &amp; Expenses'!$N$135 =0,"",'Part VI-Revenues &amp; Expenses'!$N$135)</f>
        <v/>
      </c>
      <c r="G45" s="972">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23" t="str">
        <f t="shared" si="0"/>
        <v/>
      </c>
      <c r="J45" s="42"/>
      <c r="K45" s="2622" t="str">
        <f>IF('Part VI-Revenues &amp; Expenses'!$N$136 =0,"",'Part VI-Revenues &amp; Expenses'!$N$136)</f>
        <v/>
      </c>
      <c r="L45" s="972">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23" t="str">
        <f t="shared" si="1"/>
        <v/>
      </c>
      <c r="O45" s="1379"/>
      <c r="P45" s="3790">
        <f>'Part IV-A-Uses of Funds'!$G$132</f>
        <v>18093801</v>
      </c>
      <c r="Q45" s="3791"/>
      <c r="AC45" s="522"/>
      <c r="AD45" s="522"/>
      <c r="AE45" s="522"/>
      <c r="AF45" s="522"/>
      <c r="AG45" s="742"/>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3368</v>
      </c>
      <c r="E46" s="136"/>
      <c r="F46" s="1334">
        <f>SUM(F41:F45)</f>
        <v>0</v>
      </c>
      <c r="G46" s="722"/>
      <c r="H46" s="1335"/>
      <c r="I46" s="1336">
        <f>SUM(I41:I45)</f>
        <v>0</v>
      </c>
      <c r="J46" s="1337"/>
      <c r="K46" s="1334">
        <f>SUM(K41:K45)</f>
        <v>0</v>
      </c>
      <c r="L46" s="1337"/>
      <c r="M46" s="1335"/>
      <c r="N46" s="1336">
        <f>SUM(N41:N45)</f>
        <v>0</v>
      </c>
      <c r="O46" s="1379"/>
      <c r="P46" s="3792"/>
      <c r="Q46" s="3793"/>
      <c r="AC46" s="522"/>
      <c r="AD46" s="522"/>
      <c r="AE46" s="522"/>
      <c r="AF46" s="522"/>
      <c r="AG46" s="742"/>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23"/>
      <c r="G47" s="143"/>
      <c r="H47" s="131"/>
      <c r="I47" s="1383"/>
      <c r="J47" s="131"/>
      <c r="K47" s="723"/>
      <c r="L47" s="131"/>
      <c r="M47" s="1379"/>
      <c r="N47" s="1383"/>
      <c r="O47" s="1379"/>
      <c r="R47" s="466"/>
      <c r="AC47" s="522"/>
      <c r="AD47" s="522"/>
      <c r="AE47" s="522"/>
      <c r="AF47" s="522"/>
      <c r="AG47" s="742"/>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45" t="s">
        <v>3353</v>
      </c>
      <c r="B48" s="3745"/>
      <c r="C48" s="3745"/>
      <c r="D48" s="970" t="s">
        <v>568</v>
      </c>
      <c r="E48" s="975">
        <v>0</v>
      </c>
      <c r="F48" s="2622" t="str">
        <f>IF('Part VI-Revenues &amp; Expenses'!$J$137 =0,"",'Part VI-Revenues &amp; Expenses'!$J$137)</f>
        <v/>
      </c>
      <c r="G48" s="972">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23" t="str">
        <f>IF(F48="","",F48*G48)</f>
        <v/>
      </c>
      <c r="J48" s="42"/>
      <c r="K48" s="2622" t="str">
        <f>IF('Part VI-Revenues &amp; Expenses'!$J$138 =0,"",'Part VI-Revenues &amp; Expenses'!$J$138)</f>
        <v/>
      </c>
      <c r="L48" s="972">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23" t="str">
        <f>IF(K48="","",K48*L48)</f>
        <v/>
      </c>
      <c r="P48" s="2621"/>
      <c r="Q48" s="2621"/>
      <c r="S48" s="3768" t="s">
        <v>4748</v>
      </c>
      <c r="T48" s="3769"/>
      <c r="U48" s="3769"/>
      <c r="V48" s="3770"/>
      <c r="AC48" s="522"/>
      <c r="AD48" s="522"/>
      <c r="AE48" s="522"/>
      <c r="AF48" s="522"/>
      <c r="AG48" s="742"/>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45"/>
      <c r="B49" s="3745"/>
      <c r="C49" s="3745"/>
      <c r="D49" s="970" t="s">
        <v>2440</v>
      </c>
      <c r="E49" s="971">
        <v>1</v>
      </c>
      <c r="F49" s="2622" t="str">
        <f>IF('Part VI-Revenues &amp; Expenses'!$K$137 =0,"",'Part VI-Revenues &amp; Expenses'!$K$137)</f>
        <v/>
      </c>
      <c r="G49" s="972">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23" t="str">
        <f>IF(F49="","",F49*G49)</f>
        <v/>
      </c>
      <c r="J49" s="42"/>
      <c r="K49" s="2622" t="str">
        <f>IF('Part VI-Revenues &amp; Expenses'!$K$138 =0,"",'Part VI-Revenues &amp; Expenses'!$K$138)</f>
        <v/>
      </c>
      <c r="L49" s="972">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23" t="str">
        <f>IF(K49="","",K49*L49)</f>
        <v/>
      </c>
      <c r="P49" s="3314" t="s">
        <v>4091</v>
      </c>
      <c r="Q49" s="3314"/>
      <c r="S49" s="3771"/>
      <c r="T49" s="3772"/>
      <c r="U49" s="3772"/>
      <c r="V49" s="3773"/>
      <c r="AC49" s="522"/>
      <c r="AD49" s="522"/>
      <c r="AE49" s="522"/>
      <c r="AF49" s="522"/>
      <c r="AG49" s="742"/>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45"/>
      <c r="B50" s="3745"/>
      <c r="C50" s="3745"/>
      <c r="D50" s="970" t="s">
        <v>2441</v>
      </c>
      <c r="E50" s="971">
        <v>2</v>
      </c>
      <c r="F50" s="2622" t="str">
        <f>IF('Part VI-Revenues &amp; Expenses'!$L$137 =0,"",'Part VI-Revenues &amp; Expenses'!$L$137)</f>
        <v/>
      </c>
      <c r="G50" s="972">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units = </v>
      </c>
      <c r="I50" s="2623" t="str">
        <f t="shared" ref="I50:I52" si="2">IF(F50="","",F50*G50)</f>
        <v/>
      </c>
      <c r="J50" s="42"/>
      <c r="K50" s="2622" t="str">
        <f>IF('Part VI-Revenues &amp; Expenses'!$L$138 =0,"",'Part VI-Revenues &amp; Expenses'!$L$138)</f>
        <v/>
      </c>
      <c r="L50" s="972">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23" t="str">
        <f t="shared" ref="N50:N52" si="3">IF(K50="","",K50*L50)</f>
        <v/>
      </c>
      <c r="O50" s="652"/>
      <c r="P50" s="3779"/>
      <c r="Q50" s="3780"/>
      <c r="R50" s="466"/>
      <c r="S50" s="3771"/>
      <c r="T50" s="3772"/>
      <c r="U50" s="3772"/>
      <c r="V50" s="3773"/>
      <c r="AC50" s="522"/>
      <c r="AD50" s="522"/>
      <c r="AE50" s="522"/>
      <c r="AF50" s="522"/>
      <c r="AG50" s="742"/>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70" t="s">
        <v>2442</v>
      </c>
      <c r="E51" s="971">
        <v>3</v>
      </c>
      <c r="F51" s="2622" t="str">
        <f>IF('Part VI-Revenues &amp; Expenses'!$M$137 =0,"",'Part VI-Revenues &amp; Expenses'!$M$137)</f>
        <v/>
      </c>
      <c r="G51" s="972">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units = </v>
      </c>
      <c r="I51" s="2623" t="str">
        <f t="shared" si="2"/>
        <v/>
      </c>
      <c r="J51" s="42"/>
      <c r="K51" s="2622" t="str">
        <f>IF('Part VI-Revenues &amp; Expenses'!$M$138 =0,"",'Part VI-Revenues &amp; Expenses'!$M$138)</f>
        <v/>
      </c>
      <c r="L51" s="972">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23" t="str">
        <f t="shared" si="3"/>
        <v/>
      </c>
      <c r="O51" s="652"/>
      <c r="P51" s="3781"/>
      <c r="Q51" s="3782"/>
      <c r="S51" s="3771"/>
      <c r="T51" s="3772"/>
      <c r="U51" s="3772"/>
      <c r="V51" s="3773"/>
      <c r="AC51" s="522"/>
      <c r="AD51" s="522"/>
      <c r="AE51" s="522"/>
      <c r="AF51" s="522"/>
      <c r="AG51" s="742"/>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4" t="s">
        <v>2443</v>
      </c>
      <c r="E52" s="971">
        <v>4</v>
      </c>
      <c r="F52" s="2622" t="str">
        <f>IF('Part VI-Revenues &amp; Expenses'!$N$137 =0,"",'Part VI-Revenues &amp; Expenses'!$N$137)</f>
        <v/>
      </c>
      <c r="G52" s="972">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23" t="str">
        <f t="shared" si="2"/>
        <v/>
      </c>
      <c r="J52" s="42"/>
      <c r="K52" s="2622" t="str">
        <f>IF('Part VI-Revenues &amp; Expenses'!$N$138 =0,"",'Part VI-Revenues &amp; Expenses'!$N$138)</f>
        <v/>
      </c>
      <c r="L52" s="972">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23" t="str">
        <f t="shared" si="3"/>
        <v/>
      </c>
      <c r="O52" s="652"/>
      <c r="P52" s="3789" t="s">
        <v>3630</v>
      </c>
      <c r="Q52" s="3789"/>
      <c r="S52" s="3771"/>
      <c r="T52" s="3772"/>
      <c r="U52" s="3772"/>
      <c r="V52" s="3773"/>
      <c r="AC52" s="522"/>
      <c r="AD52" s="522"/>
      <c r="AE52" s="522"/>
      <c r="AF52" s="522"/>
      <c r="AG52" s="742"/>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3368</v>
      </c>
      <c r="E53" s="136"/>
      <c r="F53" s="1334">
        <f>SUM(F48:F52)</f>
        <v>0</v>
      </c>
      <c r="G53" s="722"/>
      <c r="H53" s="1335"/>
      <c r="I53" s="1336">
        <f>SUM(I48:I52)</f>
        <v>0</v>
      </c>
      <c r="J53" s="1337"/>
      <c r="K53" s="1334">
        <f>SUM(K48:K52)</f>
        <v>0</v>
      </c>
      <c r="L53" s="1337"/>
      <c r="M53" s="1335"/>
      <c r="N53" s="1336">
        <f>SUM(N48:N52)</f>
        <v>0</v>
      </c>
      <c r="O53" s="652"/>
      <c r="P53" s="1342" t="s">
        <v>3246</v>
      </c>
      <c r="Q53" s="1342" t="s">
        <v>256</v>
      </c>
      <c r="R53" s="466"/>
      <c r="S53" s="3771"/>
      <c r="T53" s="3772"/>
      <c r="U53" s="3772"/>
      <c r="V53" s="3773"/>
      <c r="AA53" s="522"/>
      <c r="AB53" s="522"/>
      <c r="AC53" s="522"/>
      <c r="AD53" s="522"/>
      <c r="AE53" s="522"/>
      <c r="AF53" s="522"/>
      <c r="AG53" s="742"/>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23"/>
      <c r="G54" s="143"/>
      <c r="H54" s="35"/>
      <c r="I54" s="1383"/>
      <c r="J54" s="35"/>
      <c r="K54" s="723"/>
      <c r="L54" s="35"/>
      <c r="M54" s="1379"/>
      <c r="N54" s="1383"/>
      <c r="O54" s="652"/>
      <c r="R54" s="466"/>
      <c r="S54" s="3771"/>
      <c r="T54" s="3772"/>
      <c r="U54" s="3772"/>
      <c r="V54" s="3773"/>
      <c r="W54" s="514"/>
      <c r="X54" s="515"/>
      <c r="Y54" s="514"/>
      <c r="Z54" s="521"/>
      <c r="AA54" s="522"/>
      <c r="AB54" s="522"/>
      <c r="AC54" s="522"/>
      <c r="AD54" s="522"/>
      <c r="AE54" s="522"/>
      <c r="AF54" s="522"/>
      <c r="AG54" s="74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3354</v>
      </c>
      <c r="B55" s="663"/>
      <c r="C55" s="1"/>
      <c r="D55" s="970" t="s">
        <v>568</v>
      </c>
      <c r="E55" s="971">
        <v>0</v>
      </c>
      <c r="F55" s="2622" t="str">
        <f>IF('Part VI-Revenues &amp; Expenses'!$J$139 =0,"",'Part VI-Revenues &amp; Expenses'!$J$139)</f>
        <v/>
      </c>
      <c r="G55" s="972">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23" t="str">
        <f>IF(F55="","",F55*G55)</f>
        <v/>
      </c>
      <c r="J55" s="42"/>
      <c r="K55" s="2622" t="str">
        <f>IF('Part VI-Revenues &amp; Expenses'!$J$140 =0,"",'Part VI-Revenues &amp; Expenses'!$J$140)</f>
        <v/>
      </c>
      <c r="L55" s="972">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23" t="str">
        <f>IF(K55="","",K55*L55)</f>
        <v/>
      </c>
      <c r="O55" s="652"/>
      <c r="P55" s="1341">
        <f>'Part IX Scoring Criteria'!O420</f>
        <v>0</v>
      </c>
      <c r="Q55" s="1341">
        <f>'Part IX Scoring Criteria'!P420</f>
        <v>0</v>
      </c>
      <c r="R55" s="466"/>
      <c r="S55" s="3771"/>
      <c r="T55" s="3772"/>
      <c r="U55" s="3772"/>
      <c r="V55" s="3773"/>
      <c r="W55" s="514"/>
      <c r="X55" s="515"/>
      <c r="Y55" s="514"/>
      <c r="Z55" s="521"/>
      <c r="AA55" s="522"/>
      <c r="AB55" s="522"/>
      <c r="AC55" s="522"/>
      <c r="AD55" s="522"/>
      <c r="AE55" s="522"/>
      <c r="AF55" s="522"/>
      <c r="AG55" s="742"/>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70" t="s">
        <v>2440</v>
      </c>
      <c r="E56" s="971">
        <v>1</v>
      </c>
      <c r="F56" s="2622" t="str">
        <f>IF('Part VI-Revenues &amp; Expenses'!$K$139 =0,"",'Part VI-Revenues &amp; Expenses'!$K$139)</f>
        <v/>
      </c>
      <c r="G56" s="972">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units = </v>
      </c>
      <c r="I56" s="2623" t="str">
        <f>IF(F56="","",F56*G56)</f>
        <v/>
      </c>
      <c r="J56" s="42"/>
      <c r="K56" s="2622" t="str">
        <f>IF('Part VI-Revenues &amp; Expenses'!$K$140 =0,"",'Part VI-Revenues &amp; Expenses'!$K$140)</f>
        <v/>
      </c>
      <c r="L56" s="972">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23" t="str">
        <f>IF(K56="","",K56*L56)</f>
        <v/>
      </c>
      <c r="P56" s="3789" t="s">
        <v>3631</v>
      </c>
      <c r="Q56" s="3789"/>
      <c r="S56" s="3771"/>
      <c r="T56" s="3772"/>
      <c r="U56" s="3772"/>
      <c r="V56" s="3773"/>
      <c r="W56" s="514"/>
      <c r="X56" s="515"/>
      <c r="Y56" s="514"/>
      <c r="Z56" s="521"/>
      <c r="AA56" s="522"/>
      <c r="AB56" s="522"/>
      <c r="AC56" s="522"/>
      <c r="AD56" s="522"/>
      <c r="AE56" s="522"/>
      <c r="AF56" s="522"/>
      <c r="AG56" s="742"/>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70" t="s">
        <v>2441</v>
      </c>
      <c r="E57" s="971">
        <v>2</v>
      </c>
      <c r="F57" s="2622" t="str">
        <f>IF('Part VI-Revenues &amp; Expenses'!$L$139 =0,"",'Part VI-Revenues &amp; Expenses'!$L$139)</f>
        <v/>
      </c>
      <c r="G57" s="972">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units = </v>
      </c>
      <c r="I57" s="2623" t="str">
        <f t="shared" ref="I57:I59" si="4">IF(F57="","",F57*G57)</f>
        <v/>
      </c>
      <c r="J57" s="42"/>
      <c r="K57" s="2622" t="str">
        <f>IF('Part VI-Revenues &amp; Expenses'!$L$140 =0,"",'Part VI-Revenues &amp; Expenses'!$L$140)</f>
        <v/>
      </c>
      <c r="L57" s="972">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23" t="str">
        <f t="shared" ref="N57:N59" si="5">IF(K57="","",K57*L57)</f>
        <v/>
      </c>
      <c r="P57" s="1342" t="s">
        <v>3246</v>
      </c>
      <c r="Q57" s="1342" t="s">
        <v>256</v>
      </c>
      <c r="S57" s="3771"/>
      <c r="T57" s="3772"/>
      <c r="U57" s="3772"/>
      <c r="V57" s="3773"/>
      <c r="W57" s="514"/>
      <c r="X57" s="515"/>
      <c r="Y57" s="514"/>
      <c r="Z57" s="521"/>
      <c r="AA57" s="522"/>
      <c r="AB57" s="522"/>
      <c r="AC57" s="522"/>
      <c r="AD57" s="522"/>
      <c r="AE57" s="522"/>
      <c r="AF57" s="522"/>
      <c r="AG57" s="742"/>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70" t="s">
        <v>2442</v>
      </c>
      <c r="E58" s="971">
        <v>3</v>
      </c>
      <c r="F58" s="2622" t="str">
        <f>IF('Part VI-Revenues &amp; Expenses'!$M$139 =0,"",'Part VI-Revenues &amp; Expenses'!$M$139)</f>
        <v/>
      </c>
      <c r="G58" s="972">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units = </v>
      </c>
      <c r="I58" s="2623" t="str">
        <f t="shared" si="4"/>
        <v/>
      </c>
      <c r="J58" s="42"/>
      <c r="K58" s="2622" t="str">
        <f>IF('Part VI-Revenues &amp; Expenses'!$M$140 =0,"",'Part VI-Revenues &amp; Expenses'!$M$140)</f>
        <v/>
      </c>
      <c r="L58" s="972">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23" t="str">
        <f t="shared" si="5"/>
        <v/>
      </c>
      <c r="O58" s="652"/>
      <c r="P58" s="1341">
        <f>'Part IX Scoring Criteria'!O71</f>
        <v>0</v>
      </c>
      <c r="Q58" s="1341">
        <f>'Part IX Scoring Criteria'!P71</f>
        <v>0</v>
      </c>
      <c r="S58" s="3774"/>
      <c r="T58" s="3775"/>
      <c r="U58" s="3775"/>
      <c r="V58" s="3776"/>
      <c r="W58" s="514"/>
      <c r="X58" s="515"/>
      <c r="Y58" s="514"/>
      <c r="Z58" s="521"/>
      <c r="AA58" s="522"/>
      <c r="AB58" s="522"/>
      <c r="AC58" s="522"/>
      <c r="AD58" s="522"/>
      <c r="AE58" s="522"/>
      <c r="AF58" s="522"/>
      <c r="AG58" s="742"/>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4" t="s">
        <v>2443</v>
      </c>
      <c r="E59" s="971">
        <v>4</v>
      </c>
      <c r="F59" s="2622" t="str">
        <f>IF('Part VI-Revenues &amp; Expenses'!$N$139 =0,"",'Part VI-Revenues &amp; Expenses'!$N$139)</f>
        <v/>
      </c>
      <c r="G59" s="972">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units = </v>
      </c>
      <c r="I59" s="2623" t="str">
        <f t="shared" si="4"/>
        <v/>
      </c>
      <c r="J59" s="42"/>
      <c r="K59" s="2622" t="str">
        <f>IF('Part VI-Revenues &amp; Expenses'!$N$140 =0,"",'Part VI-Revenues &amp; Expenses'!$N$140)</f>
        <v/>
      </c>
      <c r="L59" s="972">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23" t="str">
        <f t="shared" si="5"/>
        <v/>
      </c>
      <c r="O59" s="652"/>
      <c r="P59" s="3739" t="s">
        <v>2770</v>
      </c>
      <c r="Q59" s="3739"/>
      <c r="U59" s="35"/>
      <c r="V59" s="514"/>
      <c r="W59" s="514"/>
      <c r="X59" s="515"/>
      <c r="Y59" s="514"/>
      <c r="Z59" s="521"/>
      <c r="AA59" s="522"/>
      <c r="AB59" s="522"/>
      <c r="AC59" s="522"/>
      <c r="AD59" s="522"/>
      <c r="AE59" s="522"/>
      <c r="AF59" s="522"/>
      <c r="AG59" s="74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3368</v>
      </c>
      <c r="E60" s="136"/>
      <c r="F60" s="1334">
        <f>SUM(F55:F59)</f>
        <v>0</v>
      </c>
      <c r="G60" s="722"/>
      <c r="H60" s="1335"/>
      <c r="I60" s="1336">
        <f>SUM(I55:I59)</f>
        <v>0</v>
      </c>
      <c r="J60" s="1337"/>
      <c r="K60" s="1334">
        <f>SUM(K55:K59)</f>
        <v>0</v>
      </c>
      <c r="L60" s="1337"/>
      <c r="M60" s="1335"/>
      <c r="N60" s="1336">
        <f>SUM(N55:N59)</f>
        <v>0</v>
      </c>
      <c r="O60" s="652"/>
      <c r="P60" s="3739"/>
      <c r="Q60" s="3739"/>
      <c r="U60" s="35"/>
      <c r="V60" s="514"/>
      <c r="W60" s="514"/>
      <c r="X60" s="515"/>
      <c r="Y60" s="514"/>
      <c r="Z60" s="521"/>
      <c r="AA60" s="522"/>
      <c r="AB60" s="522"/>
      <c r="AC60" s="522"/>
      <c r="AD60" s="522"/>
      <c r="AE60" s="522"/>
      <c r="AF60" s="522"/>
      <c r="AG60" s="74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23"/>
      <c r="G61" s="143"/>
      <c r="H61" s="35"/>
      <c r="I61" s="1383"/>
      <c r="J61" s="35"/>
      <c r="K61" s="723"/>
      <c r="L61" s="35"/>
      <c r="M61" s="1379"/>
      <c r="N61" s="1383"/>
      <c r="O61" s="652"/>
      <c r="P61" s="3739"/>
      <c r="Q61" s="3739"/>
      <c r="R61" s="466"/>
      <c r="U61" s="35"/>
      <c r="V61" s="514"/>
      <c r="W61" s="514"/>
      <c r="X61" s="515"/>
      <c r="Y61" s="514"/>
      <c r="Z61" s="521"/>
      <c r="AA61" s="522"/>
      <c r="AB61" s="522"/>
      <c r="AC61" s="522"/>
      <c r="AD61" s="522"/>
      <c r="AE61" s="522"/>
      <c r="AF61" s="522"/>
      <c r="AG61" s="742"/>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3355</v>
      </c>
      <c r="B62" s="8"/>
      <c r="C62" s="1"/>
      <c r="D62" s="970" t="s">
        <v>568</v>
      </c>
      <c r="E62" s="971">
        <v>0</v>
      </c>
      <c r="F62" s="2622" t="str">
        <f>IF('Part VI-Revenues &amp; Expenses'!$J$141 =0,"",'Part VI-Revenues &amp; Expenses'!$J$141)</f>
        <v/>
      </c>
      <c r="G62" s="972">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23" t="str">
        <f>IF(F62="","",F62*G62)</f>
        <v/>
      </c>
      <c r="J62" s="42"/>
      <c r="K62" s="2622" t="str">
        <f>IF('Part VI-Revenues &amp; Expenses'!$J$142 =0,"",'Part VI-Revenues &amp; Expenses'!$J$142)</f>
        <v/>
      </c>
      <c r="L62" s="972">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23" t="str">
        <f>IF(K62="","",K62*L62)</f>
        <v/>
      </c>
      <c r="O62" s="652"/>
      <c r="P62" s="3740"/>
      <c r="Q62" s="3740"/>
      <c r="R62" s="466"/>
      <c r="U62" s="35"/>
      <c r="V62" s="514"/>
      <c r="W62" s="514"/>
      <c r="X62" s="515"/>
      <c r="Y62" s="514"/>
      <c r="Z62" s="521"/>
      <c r="AA62" s="522"/>
      <c r="AB62" s="522"/>
      <c r="AC62" s="522"/>
      <c r="AD62" s="522"/>
      <c r="AE62" s="522"/>
      <c r="AF62" s="522"/>
      <c r="AG62" s="742"/>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70" t="s">
        <v>2440</v>
      </c>
      <c r="E63" s="971">
        <v>1</v>
      </c>
      <c r="F63" s="2622">
        <f>IF('Part VI-Revenues &amp; Expenses'!$K$141 =0,"",'Part VI-Revenues &amp; Expenses'!$K$141)</f>
        <v>12</v>
      </c>
      <c r="G63" s="972">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12 units = </v>
      </c>
      <c r="I63" s="2623">
        <f>IF(F63="","",F63*G63)</f>
        <v>1940460</v>
      </c>
      <c r="J63" s="42"/>
      <c r="K63" s="2622" t="str">
        <f>IF('Part VI-Revenues &amp; Expenses'!$K$142 =0,"",'Part VI-Revenues &amp; Expenses'!$K$142)</f>
        <v/>
      </c>
      <c r="L63" s="972">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23" t="str">
        <f>IF(K63="","",K63*L63)</f>
        <v/>
      </c>
      <c r="O63" s="652"/>
      <c r="P63" s="3741">
        <f>IF(P50&gt;1,P50, IF(OR('Part IX Scoring Criteria'!$O$71='Part IX Scoring Criteria'!$M$71,AND('Part IV-A-Uses of Funds'!$T$165="Yes",'Part IX Scoring Criteria'!$O$420&gt;0)),H69+M69,H69))</f>
        <v>18573020</v>
      </c>
      <c r="Q63" s="3742"/>
      <c r="R63" s="3786"/>
      <c r="S63" s="3787"/>
      <c r="U63" s="35"/>
      <c r="V63" s="514"/>
      <c r="W63" s="514"/>
      <c r="X63" s="515"/>
      <c r="Y63" s="514"/>
      <c r="Z63" s="521"/>
      <c r="AA63" s="522"/>
      <c r="AB63" s="522"/>
      <c r="AC63" s="522"/>
      <c r="AD63" s="522"/>
      <c r="AE63" s="522"/>
      <c r="AF63" s="522"/>
      <c r="AG63" s="742"/>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70" t="s">
        <v>2441</v>
      </c>
      <c r="E64" s="971">
        <v>2</v>
      </c>
      <c r="F64" s="2622">
        <f>IF('Part VI-Revenues &amp; Expenses'!$L$141 =0,"",'Part VI-Revenues &amp; Expenses'!$L$141)</f>
        <v>56</v>
      </c>
      <c r="G64" s="972">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56 units = </v>
      </c>
      <c r="I64" s="2623">
        <f t="shared" ref="I64:I66" si="6">IF(F64="","",F64*G64)</f>
        <v>11642792</v>
      </c>
      <c r="J64" s="42"/>
      <c r="K64" s="2622" t="str">
        <f>IF('Part VI-Revenues &amp; Expenses'!$L$142 =0,"",'Part VI-Revenues &amp; Expenses'!$L$142)</f>
        <v/>
      </c>
      <c r="L64" s="972">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23" t="str">
        <f t="shared" ref="N64:N66" si="7">IF(K64="","",K64*L64)</f>
        <v/>
      </c>
      <c r="P64" s="3743"/>
      <c r="Q64" s="3744"/>
      <c r="R64" s="3786"/>
      <c r="S64" s="3787"/>
      <c r="U64" s="35"/>
      <c r="V64" s="514"/>
      <c r="W64" s="514"/>
      <c r="X64" s="515"/>
      <c r="Y64" s="514"/>
      <c r="Z64" s="521"/>
      <c r="AA64" s="522"/>
      <c r="AB64" s="522"/>
      <c r="AC64" s="522"/>
      <c r="AD64" s="522"/>
      <c r="AE64" s="522"/>
      <c r="AF64" s="522"/>
      <c r="AG64" s="742"/>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70" t="s">
        <v>2442</v>
      </c>
      <c r="E65" s="971">
        <v>3</v>
      </c>
      <c r="F65" s="2622">
        <f>IF('Part VI-Revenues &amp; Expenses'!$M$141 =0,"",'Part VI-Revenues &amp; Expenses'!$M$141)</f>
        <v>8</v>
      </c>
      <c r="G65" s="972">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8 units = </v>
      </c>
      <c r="I65" s="2623">
        <f t="shared" si="6"/>
        <v>2217672</v>
      </c>
      <c r="J65" s="42"/>
      <c r="K65" s="2622" t="str">
        <f>IF('Part VI-Revenues &amp; Expenses'!$M$142 =0,"",'Part VI-Revenues &amp; Expenses'!$M$142)</f>
        <v/>
      </c>
      <c r="L65" s="972">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23" t="str">
        <f t="shared" si="7"/>
        <v/>
      </c>
      <c r="P65" s="3783" t="s">
        <v>4243</v>
      </c>
      <c r="Q65" s="3783"/>
      <c r="R65" s="466"/>
      <c r="U65" s="35"/>
      <c r="V65" s="514"/>
      <c r="W65" s="514"/>
      <c r="X65" s="515"/>
      <c r="Y65" s="514"/>
      <c r="Z65" s="521"/>
      <c r="AA65" s="522"/>
      <c r="AB65" s="522"/>
      <c r="AC65" s="522"/>
      <c r="AD65" s="522"/>
      <c r="AE65" s="522"/>
      <c r="AF65" s="522"/>
      <c r="AG65" s="742"/>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4" t="s">
        <v>2443</v>
      </c>
      <c r="E66" s="971">
        <v>4</v>
      </c>
      <c r="F66" s="2622">
        <f>IF('Part VI-Revenues &amp; Expenses'!$N$141 =0,"",'Part VI-Revenues &amp; Expenses'!$N$141)</f>
        <v>8</v>
      </c>
      <c r="G66" s="972">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8 units = </v>
      </c>
      <c r="I66" s="2623">
        <f t="shared" si="6"/>
        <v>2772096</v>
      </c>
      <c r="J66" s="42"/>
      <c r="K66" s="2622" t="str">
        <f>IF('Part VI-Revenues &amp; Expenses'!$N$142 =0,"",'Part VI-Revenues &amp; Expenses'!$N$142)</f>
        <v/>
      </c>
      <c r="L66" s="972">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23" t="str">
        <f t="shared" si="7"/>
        <v/>
      </c>
      <c r="O66" s="652"/>
      <c r="P66" s="3784"/>
      <c r="Q66" s="3784"/>
      <c r="R66" s="466"/>
      <c r="U66" s="35"/>
      <c r="V66" s="514"/>
      <c r="W66" s="514"/>
      <c r="X66" s="515"/>
      <c r="Y66" s="514"/>
      <c r="Z66" s="521"/>
      <c r="AA66" s="522"/>
      <c r="AB66" s="522"/>
      <c r="AC66" s="522"/>
      <c r="AD66" s="522"/>
      <c r="AE66" s="522"/>
      <c r="AF66" s="522"/>
      <c r="AG66" s="742"/>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3368</v>
      </c>
      <c r="E67" s="136"/>
      <c r="F67" s="1334">
        <f>SUM(F62:F66)</f>
        <v>84</v>
      </c>
      <c r="G67" s="722"/>
      <c r="H67" s="1335"/>
      <c r="I67" s="1338">
        <f>SUM(I62:I66)</f>
        <v>18573020</v>
      </c>
      <c r="J67" s="1337"/>
      <c r="K67" s="1334">
        <f>SUM(K62:K66)</f>
        <v>0</v>
      </c>
      <c r="L67" s="1337"/>
      <c r="M67" s="1335"/>
      <c r="N67" s="1338">
        <f>SUM(N62:N66)</f>
        <v>0</v>
      </c>
      <c r="O67" s="652"/>
      <c r="P67" s="3784"/>
      <c r="Q67" s="3784"/>
      <c r="R67" s="466"/>
      <c r="U67" s="35"/>
      <c r="V67" s="514"/>
      <c r="W67" s="514"/>
      <c r="X67" s="515"/>
      <c r="Y67" s="514"/>
      <c r="Z67" s="521"/>
      <c r="AA67" s="522"/>
      <c r="AB67" s="522"/>
      <c r="AC67" s="522"/>
      <c r="AD67" s="522"/>
      <c r="AE67" s="522"/>
      <c r="AF67" s="522"/>
      <c r="AG67" s="742"/>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80"/>
      <c r="O68" s="652"/>
      <c r="P68" s="3784"/>
      <c r="Q68" s="3784"/>
      <c r="R68" s="466"/>
      <c r="S68" s="466"/>
      <c r="T68" s="35"/>
      <c r="U68" s="35"/>
      <c r="V68" s="514"/>
      <c r="W68" s="514"/>
      <c r="X68" s="515"/>
      <c r="Y68" s="514"/>
      <c r="Z68" s="521"/>
      <c r="AA68" s="522"/>
      <c r="AB68" s="522"/>
      <c r="AC68" s="522"/>
      <c r="AD68" s="522"/>
      <c r="AE68" s="522"/>
      <c r="AF68" s="522"/>
      <c r="AG68" s="742"/>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3369</v>
      </c>
      <c r="B69" s="1"/>
      <c r="C69" s="1"/>
      <c r="D69" s="92"/>
      <c r="E69" s="114"/>
      <c r="F69" s="713">
        <f>F46+F53+F60+F67</f>
        <v>84</v>
      </c>
      <c r="G69" s="370"/>
      <c r="H69" s="3788">
        <f>I46+I53+I60+I67</f>
        <v>18573020</v>
      </c>
      <c r="I69" s="3788"/>
      <c r="J69" s="3788"/>
      <c r="K69" s="713">
        <f>K46+K53+K60+K67</f>
        <v>0</v>
      </c>
      <c r="L69" s="714"/>
      <c r="M69" s="3788">
        <f>N46+N53+N60+N67</f>
        <v>0</v>
      </c>
      <c r="N69" s="3788"/>
      <c r="O69" s="3788"/>
      <c r="P69" s="3784"/>
      <c r="Q69" s="3784"/>
      <c r="R69" s="466"/>
      <c r="S69" s="466"/>
      <c r="T69" s="35"/>
      <c r="U69" s="35"/>
      <c r="V69" s="514"/>
      <c r="W69" s="514"/>
      <c r="X69" s="515"/>
      <c r="Y69" s="514"/>
      <c r="Z69" s="521"/>
      <c r="AA69" s="522"/>
      <c r="AB69" s="522"/>
      <c r="AC69" s="522"/>
      <c r="AD69" s="522"/>
      <c r="AE69" s="522"/>
      <c r="AF69" s="522"/>
      <c r="AG69" s="742"/>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3756</v>
      </c>
      <c r="D70" s="97"/>
      <c r="E70" s="97"/>
      <c r="F70" s="97"/>
      <c r="G70" s="97"/>
      <c r="H70" s="40"/>
      <c r="I70" s="1385"/>
      <c r="J70" s="1385"/>
      <c r="K70" s="140" t="s">
        <v>1866</v>
      </c>
      <c r="L70" s="1378"/>
      <c r="M70" s="1378"/>
      <c r="N70" s="1378"/>
      <c r="O70" s="1378"/>
      <c r="P70" s="3785"/>
      <c r="Q70" s="3785"/>
    </row>
    <row r="71" spans="1:295" ht="10.5" customHeight="1">
      <c r="A71" s="3647" t="s">
        <v>5271</v>
      </c>
      <c r="B71" s="3648"/>
      <c r="C71" s="3648"/>
      <c r="D71" s="3648"/>
      <c r="E71" s="3648"/>
      <c r="F71" s="3648"/>
      <c r="G71" s="3648"/>
      <c r="H71" s="3648"/>
      <c r="I71" s="3648"/>
      <c r="J71" s="3649"/>
      <c r="K71" s="3603"/>
      <c r="L71" s="3604"/>
      <c r="M71" s="3604"/>
      <c r="N71" s="3604"/>
      <c r="O71" s="3604"/>
      <c r="P71" s="3604"/>
      <c r="Q71" s="3605"/>
      <c r="R71" s="509" t="s">
        <v>1254</v>
      </c>
      <c r="U71" s="139"/>
      <c r="V71" s="139"/>
      <c r="W71" s="139"/>
      <c r="X71" s="139"/>
      <c r="Y71" s="139"/>
      <c r="Z71" s="139"/>
      <c r="AA71" s="139"/>
      <c r="AB71" s="139"/>
      <c r="AC71" s="139"/>
      <c r="AD71" s="139"/>
      <c r="AE71" s="529"/>
    </row>
    <row r="72" spans="1:295" ht="3" customHeight="1">
      <c r="B72" s="1385"/>
      <c r="C72" s="1379"/>
      <c r="D72" s="1379"/>
      <c r="E72" s="1379"/>
      <c r="F72" s="1379"/>
      <c r="G72" s="1379"/>
      <c r="H72" s="1379"/>
      <c r="I72" s="1379"/>
      <c r="J72" s="1379"/>
      <c r="K72" s="1379"/>
      <c r="L72" s="1379"/>
      <c r="M72" s="1379"/>
      <c r="N72" s="1379"/>
      <c r="O72" s="1379"/>
      <c r="P72" s="1379"/>
      <c r="Q72" s="1378"/>
    </row>
    <row r="73" spans="1:295" ht="12.75" customHeight="1">
      <c r="A73" s="1384" t="s">
        <v>742</v>
      </c>
      <c r="B73" s="4" t="s">
        <v>1191</v>
      </c>
      <c r="C73" s="4"/>
      <c r="D73" s="4"/>
      <c r="E73" s="1379"/>
      <c r="F73" s="1379"/>
      <c r="G73" s="143" t="s">
        <v>99</v>
      </c>
      <c r="H73" s="1379"/>
      <c r="J73" s="3794" t="str">
        <f>'Part I-Project Information'!$H$82</f>
        <v>Family</v>
      </c>
      <c r="K73" s="3794"/>
      <c r="L73" s="3794"/>
      <c r="O73" s="135" t="s">
        <v>1867</v>
      </c>
      <c r="P73" s="3606"/>
      <c r="Q73" s="3607"/>
    </row>
    <row r="74" spans="1:295" ht="10.5" customHeight="1">
      <c r="B74" s="97" t="s">
        <v>3756</v>
      </c>
      <c r="D74" s="97"/>
      <c r="E74" s="97"/>
      <c r="F74" s="97"/>
      <c r="G74" s="97"/>
      <c r="H74" s="40"/>
      <c r="I74" s="1385"/>
      <c r="J74" s="1385"/>
      <c r="K74" s="140" t="s">
        <v>1866</v>
      </c>
      <c r="L74" s="1378"/>
      <c r="M74" s="1378"/>
      <c r="N74" s="1378"/>
      <c r="O74" s="1378"/>
      <c r="P74" s="1378"/>
      <c r="Q74" s="1020"/>
    </row>
    <row r="75" spans="1:295" ht="10.5" customHeight="1">
      <c r="A75" s="3647"/>
      <c r="B75" s="3648"/>
      <c r="C75" s="3648"/>
      <c r="D75" s="3648"/>
      <c r="E75" s="3648"/>
      <c r="F75" s="3648"/>
      <c r="G75" s="3648"/>
      <c r="H75" s="3648"/>
      <c r="I75" s="3648"/>
      <c r="J75" s="3649"/>
      <c r="K75" s="3603"/>
      <c r="L75" s="3604"/>
      <c r="M75" s="3604"/>
      <c r="N75" s="3604"/>
      <c r="O75" s="3604"/>
      <c r="P75" s="3604"/>
      <c r="Q75" s="3605"/>
      <c r="R75" s="509" t="s">
        <v>1254</v>
      </c>
      <c r="U75" s="139"/>
      <c r="V75" s="139"/>
      <c r="W75" s="139"/>
      <c r="X75" s="139"/>
      <c r="Y75" s="139"/>
      <c r="Z75" s="139"/>
      <c r="AA75" s="139"/>
      <c r="AB75" s="139"/>
      <c r="AC75" s="139"/>
      <c r="AD75" s="139"/>
      <c r="AE75" s="529"/>
    </row>
    <row r="76" spans="1:295" ht="3" customHeight="1">
      <c r="A76" s="1378"/>
      <c r="B76" s="1385"/>
      <c r="C76" s="1379"/>
      <c r="D76" s="1379"/>
      <c r="E76" s="1379"/>
      <c r="F76" s="1379"/>
      <c r="G76" s="1379"/>
      <c r="H76" s="1379"/>
      <c r="I76" s="1379"/>
      <c r="J76" s="1379"/>
      <c r="K76" s="1379"/>
      <c r="L76" s="1379"/>
      <c r="M76" s="1379"/>
      <c r="N76" s="1379"/>
      <c r="O76" s="1379"/>
      <c r="P76" s="1379"/>
      <c r="Q76" s="1378"/>
    </row>
    <row r="77" spans="1:295" ht="12.75" customHeight="1">
      <c r="A77" s="1384" t="s">
        <v>1792</v>
      </c>
      <c r="B77" s="1384" t="s">
        <v>2652</v>
      </c>
      <c r="C77" s="117"/>
      <c r="D77" s="1379"/>
      <c r="E77" s="1379"/>
      <c r="F77" s="1379"/>
      <c r="G77" s="1379"/>
      <c r="H77" s="1379"/>
      <c r="I77" s="1379"/>
      <c r="J77" s="1379"/>
      <c r="L77" s="2413" t="s">
        <v>4757</v>
      </c>
      <c r="M77" s="2414" t="s">
        <v>4758</v>
      </c>
      <c r="O77" s="135" t="s">
        <v>1867</v>
      </c>
      <c r="P77" s="3606"/>
      <c r="Q77" s="3607"/>
    </row>
    <row r="78" spans="1:295" ht="1.5" customHeight="1"/>
    <row r="79" spans="1:295" ht="12" customHeight="1">
      <c r="A79" s="145" t="s">
        <v>1983</v>
      </c>
      <c r="B79" s="3665" t="s">
        <v>4749</v>
      </c>
      <c r="C79" s="3665"/>
      <c r="D79" s="3665"/>
      <c r="E79" s="3665"/>
      <c r="F79" s="3665"/>
      <c r="G79" s="3665"/>
      <c r="H79" s="3665"/>
      <c r="I79" s="3665"/>
      <c r="J79" s="3665"/>
      <c r="K79" s="151"/>
      <c r="L79" s="498" t="s">
        <v>2911</v>
      </c>
      <c r="M79" s="2519">
        <v>2</v>
      </c>
      <c r="N79" s="450" t="s">
        <v>3697</v>
      </c>
      <c r="P79" s="3777" t="s">
        <v>5272</v>
      </c>
      <c r="Q79" s="3765"/>
    </row>
    <row r="80" spans="1:295" ht="12" customHeight="1">
      <c r="A80" s="145"/>
      <c r="B80" s="3665"/>
      <c r="C80" s="3665"/>
      <c r="D80" s="3665"/>
      <c r="E80" s="3665"/>
      <c r="F80" s="3665"/>
      <c r="G80" s="3665"/>
      <c r="H80" s="3665"/>
      <c r="I80" s="3665"/>
      <c r="J80" s="3665"/>
      <c r="K80" s="151"/>
      <c r="L80" s="498" t="s">
        <v>4756</v>
      </c>
      <c r="M80" s="2520">
        <v>4</v>
      </c>
      <c r="O80" s="146"/>
      <c r="P80" s="3778"/>
      <c r="Q80" s="3766"/>
    </row>
    <row r="81" spans="1:31" ht="12" customHeight="1">
      <c r="A81" s="47" t="s">
        <v>1985</v>
      </c>
      <c r="B81" s="450" t="s">
        <v>4759</v>
      </c>
      <c r="C81" s="450"/>
      <c r="D81" s="450"/>
      <c r="E81" s="450"/>
      <c r="F81" s="450"/>
      <c r="G81" s="450"/>
      <c r="H81" s="450"/>
      <c r="I81" s="450"/>
      <c r="J81" s="450"/>
      <c r="K81" s="675"/>
      <c r="L81" s="450"/>
      <c r="M81" s="151"/>
      <c r="N81" s="1080"/>
      <c r="O81" s="1080"/>
      <c r="P81" s="1080"/>
    </row>
    <row r="82" spans="1:31" ht="12" customHeight="1">
      <c r="A82" s="2408"/>
      <c r="B82" s="2579" t="s">
        <v>1737</v>
      </c>
      <c r="C82" s="450" t="s">
        <v>4763</v>
      </c>
      <c r="D82" s="2412"/>
      <c r="E82" s="2412"/>
      <c r="F82" s="2412"/>
      <c r="G82" s="2412"/>
      <c r="H82" s="2412"/>
      <c r="I82" s="2412"/>
      <c r="J82" s="2412"/>
      <c r="K82" s="2411"/>
      <c r="L82" s="1079"/>
      <c r="N82" s="450" t="s">
        <v>3697</v>
      </c>
      <c r="O82" s="1080"/>
      <c r="P82" s="238" t="s">
        <v>5272</v>
      </c>
      <c r="Q82" s="617"/>
    </row>
    <row r="83" spans="1:31" ht="12" customHeight="1">
      <c r="A83" s="2408"/>
      <c r="B83" s="2579" t="s">
        <v>1738</v>
      </c>
      <c r="C83" s="450" t="s">
        <v>4760</v>
      </c>
      <c r="D83" s="2412"/>
      <c r="E83" s="2412"/>
      <c r="F83" s="2412"/>
      <c r="G83" s="2412"/>
      <c r="H83" s="2412"/>
      <c r="I83" s="2412"/>
      <c r="J83" s="2412"/>
      <c r="K83" s="2411"/>
      <c r="L83" s="1079"/>
      <c r="N83" s="450" t="s">
        <v>3697</v>
      </c>
      <c r="O83" s="1080"/>
      <c r="P83" s="422" t="s">
        <v>5272</v>
      </c>
      <c r="Q83" s="618"/>
    </row>
    <row r="84" spans="1:31" ht="12" customHeight="1">
      <c r="A84" s="2407"/>
      <c r="B84" s="2579" t="s">
        <v>1739</v>
      </c>
      <c r="C84" s="450" t="s">
        <v>4761</v>
      </c>
      <c r="E84" s="2412"/>
      <c r="F84" s="2412"/>
      <c r="G84" s="2412"/>
      <c r="H84" s="2412"/>
      <c r="I84" s="2412"/>
      <c r="J84" s="2412"/>
      <c r="K84" s="2411"/>
      <c r="L84" s="1079"/>
      <c r="M84" s="1080"/>
      <c r="N84" s="450" t="s">
        <v>3697</v>
      </c>
      <c r="O84" s="1080"/>
      <c r="P84" s="422" t="s">
        <v>5272</v>
      </c>
      <c r="Q84" s="618"/>
    </row>
    <row r="85" spans="1:31" ht="11.1" customHeight="1">
      <c r="A85" s="147"/>
      <c r="B85" s="541" t="s">
        <v>2365</v>
      </c>
      <c r="C85" s="541" t="s">
        <v>4764</v>
      </c>
      <c r="D85" s="137"/>
      <c r="E85" s="137"/>
      <c r="F85" s="137"/>
      <c r="G85" s="137"/>
      <c r="H85" s="137"/>
      <c r="I85" s="42"/>
      <c r="J85" s="42"/>
      <c r="N85" s="450" t="s">
        <v>3697</v>
      </c>
      <c r="O85" s="1080"/>
      <c r="P85" s="239"/>
      <c r="Q85" s="619"/>
    </row>
    <row r="86" spans="1:31" ht="11.1" customHeight="1">
      <c r="A86" s="147"/>
      <c r="B86" s="541"/>
      <c r="C86" s="450" t="s">
        <v>4765</v>
      </c>
      <c r="D86" s="137"/>
      <c r="E86" s="137"/>
      <c r="F86" s="137"/>
      <c r="G86" s="137"/>
      <c r="H86" s="137"/>
      <c r="I86" s="42"/>
      <c r="J86" s="42"/>
      <c r="L86" s="3633"/>
      <c r="M86" s="3634"/>
      <c r="N86" s="3634"/>
      <c r="O86" s="3634"/>
      <c r="P86" s="3634"/>
      <c r="Q86" s="3635"/>
    </row>
    <row r="87" spans="1:31" ht="11.1" customHeight="1">
      <c r="A87" s="147"/>
      <c r="B87" s="541" t="s">
        <v>1549</v>
      </c>
      <c r="C87" s="3665" t="s">
        <v>4762</v>
      </c>
      <c r="D87" s="3665"/>
      <c r="E87" s="3665"/>
      <c r="F87" s="3665"/>
      <c r="G87" s="3665"/>
      <c r="H87" s="3665"/>
      <c r="I87" s="3665"/>
      <c r="J87" s="3665"/>
      <c r="K87" s="3665"/>
      <c r="L87" s="3665"/>
      <c r="M87" s="610"/>
      <c r="N87" s="450" t="s">
        <v>3697</v>
      </c>
      <c r="O87" s="1080"/>
      <c r="P87" s="542"/>
      <c r="Q87" s="616"/>
    </row>
    <row r="88" spans="1:31" ht="11.1" customHeight="1">
      <c r="A88" s="47"/>
      <c r="C88" s="3665"/>
      <c r="D88" s="3665"/>
      <c r="E88" s="3665"/>
      <c r="F88" s="3665"/>
      <c r="G88" s="3665"/>
      <c r="H88" s="3665"/>
      <c r="I88" s="3665"/>
      <c r="J88" s="3665"/>
      <c r="K88" s="3665"/>
      <c r="L88" s="3665"/>
      <c r="M88" s="610"/>
    </row>
    <row r="89" spans="1:31" ht="10.5" customHeight="1">
      <c r="B89" s="97" t="s">
        <v>3756</v>
      </c>
      <c r="D89" s="97"/>
      <c r="E89" s="97"/>
      <c r="F89" s="97"/>
      <c r="G89" s="97"/>
      <c r="H89" s="40"/>
      <c r="I89" s="1385"/>
      <c r="J89" s="1385"/>
      <c r="K89" s="140" t="s">
        <v>1866</v>
      </c>
      <c r="L89" s="1378"/>
      <c r="M89" s="1378"/>
      <c r="N89" s="1378"/>
      <c r="O89" s="1378"/>
      <c r="P89" s="1378"/>
      <c r="Q89" s="1020"/>
    </row>
    <row r="90" spans="1:31" ht="10.5" customHeight="1">
      <c r="A90" s="3647"/>
      <c r="B90" s="3648"/>
      <c r="C90" s="3648"/>
      <c r="D90" s="3648"/>
      <c r="E90" s="3648"/>
      <c r="F90" s="3648"/>
      <c r="G90" s="3648"/>
      <c r="H90" s="3648"/>
      <c r="I90" s="3648"/>
      <c r="J90" s="3649"/>
      <c r="K90" s="3603"/>
      <c r="L90" s="3604"/>
      <c r="M90" s="3604"/>
      <c r="N90" s="3604"/>
      <c r="O90" s="3604"/>
      <c r="P90" s="3604"/>
      <c r="Q90" s="3605"/>
      <c r="R90" s="509" t="s">
        <v>1254</v>
      </c>
      <c r="U90" s="139"/>
      <c r="V90" s="139"/>
      <c r="W90" s="139"/>
      <c r="X90" s="139"/>
      <c r="Y90" s="139"/>
      <c r="Z90" s="139"/>
      <c r="AA90" s="139"/>
      <c r="AB90" s="139"/>
      <c r="AC90" s="139"/>
      <c r="AD90" s="139"/>
      <c r="AE90" s="529"/>
    </row>
    <row r="91" spans="1:31" ht="3" customHeight="1">
      <c r="A91" s="1378"/>
      <c r="B91" s="1385"/>
      <c r="C91" s="1379"/>
      <c r="D91" s="1379"/>
      <c r="E91" s="1379"/>
      <c r="F91" s="1379"/>
      <c r="G91" s="1379"/>
      <c r="H91" s="1379"/>
      <c r="I91" s="1379"/>
      <c r="J91" s="1379"/>
      <c r="K91" s="1379"/>
      <c r="L91" s="1379"/>
      <c r="M91" s="1379"/>
      <c r="N91" s="1379"/>
      <c r="O91" s="1379"/>
      <c r="P91" s="1379"/>
      <c r="Q91" s="1378"/>
    </row>
    <row r="92" spans="1:31" ht="14.1" customHeight="1">
      <c r="A92" s="1384" t="s">
        <v>1794</v>
      </c>
      <c r="B92" s="1384" t="s">
        <v>2653</v>
      </c>
      <c r="C92" s="1384"/>
      <c r="D92" s="1379"/>
      <c r="E92" s="1379"/>
      <c r="F92" s="1379"/>
      <c r="G92" s="1379"/>
      <c r="H92" s="1379"/>
      <c r="I92" s="1379"/>
      <c r="J92" s="1379"/>
      <c r="K92" s="1379"/>
      <c r="O92" s="135" t="s">
        <v>1867</v>
      </c>
      <c r="P92" s="3606"/>
      <c r="Q92" s="3607"/>
    </row>
    <row r="93" spans="1:31" ht="3" customHeight="1"/>
    <row r="94" spans="1:31" ht="10.5" customHeight="1">
      <c r="A94" s="47" t="s">
        <v>1983</v>
      </c>
      <c r="B94" s="148" t="s">
        <v>2460</v>
      </c>
      <c r="D94" s="137"/>
      <c r="E94" s="137"/>
      <c r="F94" s="137"/>
      <c r="G94" s="137"/>
      <c r="H94" s="137"/>
      <c r="I94" s="42"/>
      <c r="J94" s="42"/>
      <c r="K94" s="42"/>
      <c r="L94" s="527" t="s">
        <v>1983</v>
      </c>
      <c r="M94" s="3650" t="s">
        <v>5273</v>
      </c>
      <c r="N94" s="3651"/>
      <c r="O94" s="3651"/>
      <c r="P94" s="3802"/>
      <c r="Q94" s="617"/>
    </row>
    <row r="95" spans="1:31" ht="10.5" customHeight="1">
      <c r="A95" s="47" t="s">
        <v>1985</v>
      </c>
      <c r="B95" s="52" t="s">
        <v>2036</v>
      </c>
      <c r="D95" s="137"/>
      <c r="E95" s="137"/>
      <c r="F95" s="137"/>
      <c r="L95" s="527" t="s">
        <v>1985</v>
      </c>
      <c r="M95" s="3803" t="s">
        <v>5331</v>
      </c>
      <c r="N95" s="3804"/>
      <c r="O95" s="3804"/>
      <c r="P95" s="3805"/>
      <c r="Q95" s="618"/>
    </row>
    <row r="96" spans="1:31" ht="10.5" customHeight="1">
      <c r="A96" s="47" t="s">
        <v>749</v>
      </c>
      <c r="B96" s="52" t="s">
        <v>2879</v>
      </c>
      <c r="D96" s="137"/>
      <c r="E96" s="137"/>
      <c r="F96" s="137"/>
      <c r="L96" s="527" t="s">
        <v>749</v>
      </c>
      <c r="M96" s="3806" t="s">
        <v>5274</v>
      </c>
      <c r="N96" s="3807"/>
      <c r="O96" s="3807"/>
      <c r="P96" s="3808"/>
      <c r="Q96" s="618"/>
    </row>
    <row r="97" spans="1:31" ht="10.5" customHeight="1">
      <c r="A97" s="47" t="s">
        <v>2115</v>
      </c>
      <c r="B97" s="52" t="s">
        <v>3898</v>
      </c>
      <c r="D97" s="137"/>
      <c r="E97" s="137"/>
      <c r="F97" s="137"/>
      <c r="L97" s="527" t="s">
        <v>3899</v>
      </c>
      <c r="M97" s="1497">
        <v>3.5999999999999997E-2</v>
      </c>
      <c r="N97" s="1343"/>
      <c r="O97" s="1344" t="s">
        <v>4130</v>
      </c>
      <c r="P97" s="1345">
        <v>3.5999999999999997E-2</v>
      </c>
      <c r="Q97" s="619"/>
    </row>
    <row r="98" spans="1:31" ht="10.5" customHeight="1">
      <c r="A98" s="145" t="s">
        <v>1735</v>
      </c>
      <c r="B98" s="143" t="s">
        <v>3897</v>
      </c>
      <c r="D98" s="143"/>
      <c r="E98" s="143"/>
      <c r="F98" s="143"/>
      <c r="G98" s="143"/>
      <c r="H98" s="143"/>
      <c r="I98" s="143"/>
      <c r="J98" s="143"/>
      <c r="K98" s="143"/>
      <c r="L98" s="143"/>
      <c r="M98" s="143"/>
      <c r="N98" s="143"/>
      <c r="O98" s="143"/>
      <c r="P98" s="143"/>
      <c r="Q98" s="143"/>
    </row>
    <row r="99" spans="1:31" ht="10.5" customHeight="1">
      <c r="B99" s="47"/>
      <c r="C99" s="52"/>
      <c r="D99" s="1386" t="s">
        <v>2378</v>
      </c>
      <c r="E99" s="1021" t="s">
        <v>617</v>
      </c>
      <c r="F99" s="1021"/>
      <c r="H99" s="52"/>
      <c r="I99" s="1386" t="s">
        <v>2378</v>
      </c>
      <c r="J99" s="1021" t="s">
        <v>617</v>
      </c>
      <c r="K99" s="1021"/>
      <c r="M99" s="52"/>
      <c r="N99" s="1386" t="s">
        <v>2378</v>
      </c>
      <c r="O99" s="1021" t="s">
        <v>617</v>
      </c>
      <c r="P99" s="1021"/>
      <c r="Q99" s="527"/>
    </row>
    <row r="100" spans="1:31" ht="10.5" customHeight="1">
      <c r="C100" s="527" t="s">
        <v>1737</v>
      </c>
      <c r="D100" s="559"/>
      <c r="E100" s="3795" t="s">
        <v>5275</v>
      </c>
      <c r="F100" s="3795"/>
      <c r="G100" s="3795"/>
      <c r="H100" s="66" t="s">
        <v>1739</v>
      </c>
      <c r="I100" s="559" t="s">
        <v>5279</v>
      </c>
      <c r="J100" s="3795" t="s">
        <v>5277</v>
      </c>
      <c r="K100" s="3795"/>
      <c r="L100" s="3795"/>
      <c r="M100" s="65" t="s">
        <v>1549</v>
      </c>
      <c r="N100" s="559" t="s">
        <v>5282</v>
      </c>
      <c r="O100" s="3795" t="s">
        <v>5281</v>
      </c>
      <c r="P100" s="3795"/>
      <c r="Q100" s="3795"/>
    </row>
    <row r="101" spans="1:31" ht="10.5" customHeight="1">
      <c r="C101" s="66" t="s">
        <v>1738</v>
      </c>
      <c r="D101" s="560" t="s">
        <v>5280</v>
      </c>
      <c r="E101" s="3814" t="s">
        <v>5276</v>
      </c>
      <c r="F101" s="3814"/>
      <c r="G101" s="3814"/>
      <c r="H101" s="527" t="s">
        <v>2365</v>
      </c>
      <c r="I101" s="560"/>
      <c r="J101" s="3814" t="s">
        <v>5278</v>
      </c>
      <c r="K101" s="3814"/>
      <c r="L101" s="3814"/>
      <c r="M101" s="65" t="s">
        <v>1550</v>
      </c>
      <c r="N101" s="560" t="s">
        <v>5283</v>
      </c>
      <c r="O101" s="3814" t="s">
        <v>5284</v>
      </c>
      <c r="P101" s="3814"/>
      <c r="Q101" s="3814"/>
    </row>
    <row r="102" spans="1:31" ht="10.5" customHeight="1">
      <c r="A102" s="47" t="s">
        <v>1736</v>
      </c>
      <c r="B102" s="52" t="s">
        <v>0</v>
      </c>
      <c r="D102" s="137"/>
      <c r="E102" s="137"/>
      <c r="F102" s="137"/>
      <c r="G102" s="137"/>
      <c r="H102" s="137"/>
      <c r="I102" s="42"/>
      <c r="J102" s="42"/>
      <c r="K102" s="137"/>
      <c r="L102" s="1381"/>
      <c r="M102" s="1381"/>
      <c r="O102" s="527" t="s">
        <v>1736</v>
      </c>
      <c r="P102" s="113" t="s">
        <v>2990</v>
      </c>
      <c r="Q102" s="621"/>
    </row>
    <row r="103" spans="1:31" ht="9.75" customHeight="1">
      <c r="B103" s="144" t="s">
        <v>3756</v>
      </c>
      <c r="D103" s="144"/>
      <c r="E103" s="144"/>
      <c r="F103" s="144"/>
      <c r="G103" s="144"/>
      <c r="H103" s="40"/>
      <c r="I103" s="1385"/>
      <c r="J103" s="1385"/>
      <c r="K103" s="1385"/>
      <c r="L103" s="1378"/>
      <c r="M103" s="1378"/>
      <c r="N103" s="1378"/>
      <c r="O103" s="1378"/>
      <c r="P103" s="1378"/>
      <c r="Q103" s="1020"/>
    </row>
    <row r="104" spans="1:31" ht="44.25" customHeight="1">
      <c r="A104" s="3647"/>
      <c r="B104" s="3648"/>
      <c r="C104" s="3648"/>
      <c r="D104" s="3648"/>
      <c r="E104" s="3648"/>
      <c r="F104" s="3648"/>
      <c r="G104" s="3648"/>
      <c r="H104" s="3648"/>
      <c r="I104" s="3648"/>
      <c r="J104" s="3648"/>
      <c r="K104" s="3648"/>
      <c r="L104" s="3648"/>
      <c r="M104" s="3648"/>
      <c r="N104" s="3648"/>
      <c r="O104" s="3648"/>
      <c r="P104" s="3648"/>
      <c r="Q104" s="3649"/>
      <c r="U104" s="139"/>
      <c r="V104" s="139"/>
      <c r="W104" s="139"/>
      <c r="X104" s="139"/>
      <c r="Y104" s="139"/>
      <c r="Z104" s="139"/>
      <c r="AA104" s="139"/>
      <c r="AB104" s="139"/>
      <c r="AC104" s="139"/>
      <c r="AD104" s="139"/>
      <c r="AE104" s="529"/>
    </row>
    <row r="105" spans="1:31" ht="9.75" customHeight="1">
      <c r="B105" s="140" t="s">
        <v>1866</v>
      </c>
      <c r="C105" s="141"/>
      <c r="D105" s="1379"/>
      <c r="E105" s="1379"/>
      <c r="F105" s="1379"/>
      <c r="G105" s="1379"/>
      <c r="H105" s="1379"/>
      <c r="I105" s="1379"/>
      <c r="J105" s="1379"/>
      <c r="K105" s="1379"/>
      <c r="L105" s="1379"/>
      <c r="M105" s="1379"/>
      <c r="N105" s="1379"/>
      <c r="O105" s="1379"/>
      <c r="P105" s="1379"/>
      <c r="Q105" s="1379"/>
    </row>
    <row r="106" spans="1:31" ht="44.25" customHeight="1">
      <c r="A106" s="3603"/>
      <c r="B106" s="3604"/>
      <c r="C106" s="3604"/>
      <c r="D106" s="3604"/>
      <c r="E106" s="3604"/>
      <c r="F106" s="3604"/>
      <c r="G106" s="3604"/>
      <c r="H106" s="3604"/>
      <c r="I106" s="3604"/>
      <c r="J106" s="3604"/>
      <c r="K106" s="3604"/>
      <c r="L106" s="3604"/>
      <c r="M106" s="3604"/>
      <c r="N106" s="3604"/>
      <c r="O106" s="3604"/>
      <c r="P106" s="3604"/>
      <c r="Q106" s="3605"/>
    </row>
    <row r="107" spans="1:31" ht="14.1" customHeight="1">
      <c r="A107" s="1384" t="s">
        <v>530</v>
      </c>
      <c r="B107" s="1384" t="s">
        <v>2654</v>
      </c>
      <c r="C107" s="1384"/>
      <c r="D107" s="1379"/>
      <c r="E107" s="1379"/>
      <c r="F107" s="1379"/>
      <c r="G107" s="1379"/>
      <c r="H107" s="1379"/>
      <c r="I107" s="1379"/>
      <c r="J107" s="1379"/>
      <c r="K107" s="1379"/>
      <c r="L107" s="1379"/>
      <c r="M107" s="1379"/>
      <c r="O107" s="135" t="s">
        <v>1867</v>
      </c>
      <c r="P107" s="3606"/>
      <c r="Q107" s="3607"/>
    </row>
    <row r="108" spans="1:31" ht="3" customHeight="1"/>
    <row r="109" spans="1:31" ht="9.75" customHeight="1">
      <c r="B109" s="55" t="s">
        <v>4943</v>
      </c>
      <c r="P109" s="542" t="s">
        <v>2990</v>
      </c>
      <c r="Q109" s="616"/>
    </row>
    <row r="110" spans="1:31" ht="10.5" customHeight="1">
      <c r="A110" s="47" t="s">
        <v>1983</v>
      </c>
      <c r="B110" s="52" t="s">
        <v>493</v>
      </c>
      <c r="C110" s="52"/>
      <c r="E110" s="52"/>
      <c r="F110" s="52"/>
      <c r="G110" s="52"/>
      <c r="H110" s="52"/>
      <c r="I110" s="52"/>
      <c r="J110" s="52"/>
      <c r="K110" s="52"/>
      <c r="L110" s="52"/>
      <c r="M110" s="52"/>
      <c r="O110" s="527" t="s">
        <v>1983</v>
      </c>
      <c r="P110" s="1174" t="s">
        <v>2993</v>
      </c>
      <c r="Q110" s="1084"/>
    </row>
    <row r="111" spans="1:31" ht="10.5" customHeight="1">
      <c r="A111" s="47" t="s">
        <v>1985</v>
      </c>
      <c r="B111" s="52" t="s">
        <v>1304</v>
      </c>
      <c r="C111" s="52"/>
      <c r="E111" s="52"/>
      <c r="F111" s="52"/>
      <c r="G111" s="52"/>
      <c r="H111" s="52"/>
      <c r="I111" s="52"/>
      <c r="J111" s="52"/>
      <c r="K111" s="52"/>
      <c r="L111" s="1021"/>
      <c r="M111" s="1021"/>
      <c r="O111" s="527" t="s">
        <v>1985</v>
      </c>
      <c r="P111" s="239" t="s">
        <v>2990</v>
      </c>
      <c r="Q111" s="618"/>
    </row>
    <row r="112" spans="1:31" ht="10.5" customHeight="1">
      <c r="A112" s="36"/>
      <c r="B112" s="39" t="s">
        <v>554</v>
      </c>
      <c r="E112" s="42"/>
      <c r="F112" s="42"/>
      <c r="G112" s="42"/>
      <c r="H112" s="42"/>
      <c r="I112" s="42"/>
      <c r="L112" s="66" t="s">
        <v>555</v>
      </c>
      <c r="M112" s="3633" t="s">
        <v>5285</v>
      </c>
      <c r="N112" s="3634"/>
      <c r="O112" s="3634"/>
      <c r="P112" s="3275"/>
      <c r="Q112" s="618"/>
    </row>
    <row r="113" spans="1:32" ht="10.5" customHeight="1">
      <c r="A113" s="2403"/>
      <c r="B113" s="2579" t="s">
        <v>1737</v>
      </c>
      <c r="C113" s="1021" t="s">
        <v>4766</v>
      </c>
      <c r="D113" s="1186"/>
      <c r="E113" s="1186"/>
      <c r="F113" s="1186"/>
      <c r="G113" s="1186"/>
      <c r="H113" s="1186"/>
      <c r="I113" s="1186"/>
      <c r="J113" s="1186"/>
      <c r="K113" s="1186"/>
      <c r="L113" s="1186"/>
      <c r="M113" s="1186"/>
      <c r="O113" s="153" t="s">
        <v>1737</v>
      </c>
      <c r="P113" s="238" t="s">
        <v>2990</v>
      </c>
      <c r="Q113" s="618"/>
    </row>
    <row r="114" spans="1:32" ht="10.5" customHeight="1">
      <c r="A114" s="2403"/>
      <c r="B114" s="149" t="s">
        <v>1738</v>
      </c>
      <c r="C114" s="1021" t="s">
        <v>3471</v>
      </c>
      <c r="D114" s="1186"/>
      <c r="E114" s="1186"/>
      <c r="F114" s="1186"/>
      <c r="G114" s="1186"/>
      <c r="H114" s="1186"/>
      <c r="I114" s="1186"/>
      <c r="J114" s="1186"/>
      <c r="K114" s="1186"/>
      <c r="L114" s="1186"/>
      <c r="M114" s="1186"/>
      <c r="O114" s="66" t="s">
        <v>1738</v>
      </c>
      <c r="P114" s="422" t="s">
        <v>2990</v>
      </c>
      <c r="Q114" s="618"/>
    </row>
    <row r="115" spans="1:32" ht="10.5" customHeight="1">
      <c r="A115" s="1385"/>
      <c r="B115" s="2579" t="s">
        <v>1739</v>
      </c>
      <c r="C115" s="1021" t="s">
        <v>3472</v>
      </c>
      <c r="D115" s="1186"/>
      <c r="E115" s="1186"/>
      <c r="F115" s="1186"/>
      <c r="G115" s="1186"/>
      <c r="H115" s="1186"/>
      <c r="I115" s="1186"/>
      <c r="J115" s="1186"/>
      <c r="K115" s="1186"/>
      <c r="L115" s="1186"/>
      <c r="M115" s="1186"/>
      <c r="O115" s="153" t="s">
        <v>1739</v>
      </c>
      <c r="P115" s="422" t="s">
        <v>2990</v>
      </c>
      <c r="Q115" s="618"/>
    </row>
    <row r="116" spans="1:32" ht="10.5" customHeight="1">
      <c r="A116" s="1385"/>
      <c r="B116" s="541" t="s">
        <v>2365</v>
      </c>
      <c r="C116" s="1021" t="s">
        <v>2880</v>
      </c>
      <c r="D116" s="1021"/>
      <c r="E116" s="1021"/>
      <c r="F116" s="1021"/>
      <c r="G116" s="1021"/>
      <c r="H116" s="1021"/>
      <c r="I116" s="1021"/>
      <c r="J116" s="1021"/>
      <c r="K116" s="1021"/>
      <c r="L116" s="1021"/>
      <c r="M116" s="1450"/>
      <c r="O116" s="166" t="s">
        <v>2365</v>
      </c>
      <c r="P116" s="422" t="s">
        <v>2990</v>
      </c>
      <c r="Q116" s="618"/>
    </row>
    <row r="117" spans="1:32" s="136" customFormat="1" ht="24.75" customHeight="1">
      <c r="A117" s="498"/>
      <c r="B117" s="541" t="s">
        <v>1549</v>
      </c>
      <c r="C117" s="3602" t="s">
        <v>2689</v>
      </c>
      <c r="D117" s="3602"/>
      <c r="E117" s="3602"/>
      <c r="F117" s="3602"/>
      <c r="G117" s="3602"/>
      <c r="H117" s="3602"/>
      <c r="I117" s="3602"/>
      <c r="J117" s="3602"/>
      <c r="K117" s="3602"/>
      <c r="L117" s="3602"/>
      <c r="M117" s="3602"/>
      <c r="N117" s="3602"/>
      <c r="O117" s="166" t="s">
        <v>1549</v>
      </c>
      <c r="P117" s="633"/>
      <c r="Q117" s="620"/>
      <c r="AE117" s="530"/>
      <c r="AF117" s="530"/>
    </row>
    <row r="118" spans="1:32" ht="10.5" customHeight="1">
      <c r="A118" s="47" t="s">
        <v>749</v>
      </c>
      <c r="B118" s="52" t="s">
        <v>146</v>
      </c>
      <c r="D118" s="52"/>
      <c r="E118" s="52"/>
      <c r="F118" s="52"/>
      <c r="G118" s="52"/>
      <c r="H118" s="52"/>
      <c r="I118" s="52"/>
      <c r="J118" s="52"/>
      <c r="K118" s="52"/>
      <c r="L118" s="52"/>
      <c r="M118" s="52"/>
      <c r="O118" s="527" t="s">
        <v>749</v>
      </c>
      <c r="P118" s="239"/>
      <c r="Q118" s="619"/>
    </row>
    <row r="119" spans="1:32" ht="10.5" customHeight="1">
      <c r="A119" s="47" t="s">
        <v>2115</v>
      </c>
      <c r="B119" s="52" t="s">
        <v>1428</v>
      </c>
      <c r="D119" s="52"/>
      <c r="E119" s="52"/>
      <c r="G119" s="52"/>
      <c r="I119" s="52"/>
      <c r="K119" s="52"/>
      <c r="L119" s="1021"/>
      <c r="M119" s="1021"/>
      <c r="N119" s="1021"/>
      <c r="O119" s="527" t="s">
        <v>2115</v>
      </c>
      <c r="P119" s="1021"/>
      <c r="Q119" s="1021"/>
    </row>
    <row r="120" spans="1:32" ht="10.5" customHeight="1">
      <c r="B120" s="149" t="s">
        <v>1737</v>
      </c>
      <c r="C120" s="52" t="s">
        <v>1429</v>
      </c>
      <c r="E120" s="52"/>
      <c r="F120" s="52"/>
      <c r="G120" s="52"/>
      <c r="H120" s="52"/>
      <c r="I120" s="52"/>
      <c r="J120" s="52"/>
      <c r="K120" s="52"/>
      <c r="L120" s="1021"/>
      <c r="M120" s="1021"/>
      <c r="O120" s="66" t="s">
        <v>1737</v>
      </c>
      <c r="P120" s="238" t="s">
        <v>2993</v>
      </c>
      <c r="Q120" s="617"/>
    </row>
    <row r="121" spans="1:32" ht="10.5" customHeight="1">
      <c r="B121" s="149" t="s">
        <v>1738</v>
      </c>
      <c r="C121" s="52" t="s">
        <v>1430</v>
      </c>
      <c r="E121" s="52"/>
      <c r="F121" s="52"/>
      <c r="G121" s="52"/>
      <c r="H121" s="52"/>
      <c r="I121" s="52"/>
      <c r="J121" s="52"/>
      <c r="K121" s="52"/>
      <c r="L121" s="1021"/>
      <c r="M121" s="1021"/>
      <c r="O121" s="66" t="s">
        <v>1738</v>
      </c>
      <c r="P121" s="422" t="s">
        <v>2993</v>
      </c>
      <c r="Q121" s="618"/>
    </row>
    <row r="122" spans="1:32" ht="10.5" customHeight="1">
      <c r="B122" s="149" t="s">
        <v>1739</v>
      </c>
      <c r="C122" s="52" t="s">
        <v>1431</v>
      </c>
      <c r="E122" s="52"/>
      <c r="F122" s="52"/>
      <c r="G122" s="52"/>
      <c r="H122" s="52"/>
      <c r="I122" s="52"/>
      <c r="J122" s="52"/>
      <c r="K122" s="52"/>
      <c r="L122" s="1021"/>
      <c r="M122" s="1021"/>
      <c r="O122" s="66" t="s">
        <v>1739</v>
      </c>
      <c r="P122" s="239" t="s">
        <v>2993</v>
      </c>
      <c r="Q122" s="619"/>
    </row>
    <row r="123" spans="1:32" ht="10.5" customHeight="1">
      <c r="B123" s="144" t="s">
        <v>3756</v>
      </c>
      <c r="D123" s="144"/>
      <c r="E123" s="144"/>
      <c r="F123" s="144"/>
      <c r="G123" s="144"/>
      <c r="H123" s="40"/>
      <c r="I123" s="1385"/>
      <c r="J123" s="1385"/>
      <c r="K123" s="1385"/>
      <c r="L123" s="1378"/>
      <c r="M123" s="1378"/>
      <c r="N123" s="1378"/>
      <c r="O123" s="1378"/>
      <c r="P123" s="1378"/>
      <c r="Q123" s="1020"/>
    </row>
    <row r="124" spans="1:32" ht="22.5" customHeight="1">
      <c r="A124" s="3647"/>
      <c r="B124" s="3648"/>
      <c r="C124" s="3648"/>
      <c r="D124" s="3648"/>
      <c r="E124" s="3648"/>
      <c r="F124" s="3648"/>
      <c r="G124" s="3648"/>
      <c r="H124" s="3648"/>
      <c r="I124" s="3648"/>
      <c r="J124" s="3648"/>
      <c r="K124" s="3648"/>
      <c r="L124" s="3648"/>
      <c r="M124" s="3648"/>
      <c r="N124" s="3648"/>
      <c r="O124" s="3648"/>
      <c r="P124" s="3648"/>
      <c r="Q124" s="3649"/>
      <c r="U124" s="139"/>
      <c r="V124" s="139"/>
      <c r="W124" s="139"/>
      <c r="X124" s="139"/>
      <c r="Y124" s="139"/>
      <c r="Z124" s="139"/>
      <c r="AA124" s="139"/>
      <c r="AB124" s="139"/>
      <c r="AC124" s="139"/>
      <c r="AD124" s="139"/>
      <c r="AE124" s="529"/>
    </row>
    <row r="125" spans="1:32" ht="11.25" customHeight="1">
      <c r="B125" s="140" t="s">
        <v>1866</v>
      </c>
      <c r="C125" s="141"/>
      <c r="D125" s="1379"/>
      <c r="E125" s="1379"/>
      <c r="F125" s="1379"/>
      <c r="G125" s="1379"/>
      <c r="H125" s="1379"/>
      <c r="I125" s="1379"/>
      <c r="J125" s="1379"/>
      <c r="K125" s="1379"/>
      <c r="L125" s="1379"/>
      <c r="M125" s="1379"/>
      <c r="N125" s="1379"/>
      <c r="O125" s="1379"/>
      <c r="P125" s="1379"/>
      <c r="Q125" s="1379"/>
    </row>
    <row r="126" spans="1:32" ht="22.5" customHeight="1">
      <c r="A126" s="3603"/>
      <c r="B126" s="3604"/>
      <c r="C126" s="3604"/>
      <c r="D126" s="3604"/>
      <c r="E126" s="3604"/>
      <c r="F126" s="3604"/>
      <c r="G126" s="3604"/>
      <c r="H126" s="3604"/>
      <c r="I126" s="3604"/>
      <c r="J126" s="3604"/>
      <c r="K126" s="3604"/>
      <c r="L126" s="3604"/>
      <c r="M126" s="3604"/>
      <c r="N126" s="3604"/>
      <c r="O126" s="3604"/>
      <c r="P126" s="3604"/>
      <c r="Q126" s="3605"/>
    </row>
    <row r="127" spans="1:32" ht="14.1" customHeight="1">
      <c r="A127" s="1384" t="s">
        <v>772</v>
      </c>
      <c r="B127" s="1384" t="s">
        <v>2655</v>
      </c>
      <c r="C127" s="40"/>
      <c r="D127" s="1379"/>
      <c r="E127" s="1379"/>
      <c r="F127" s="1379"/>
      <c r="G127" s="1379"/>
      <c r="H127" s="1379"/>
      <c r="I127" s="1379"/>
      <c r="J127" s="1379"/>
      <c r="K127" s="1379"/>
      <c r="L127" s="1379"/>
      <c r="M127" s="1379"/>
      <c r="O127" s="135" t="s">
        <v>1867</v>
      </c>
      <c r="P127" s="3606"/>
      <c r="Q127" s="3607"/>
    </row>
    <row r="128" spans="1:32" ht="6.6" customHeight="1"/>
    <row r="129" spans="1:17" ht="12" customHeight="1">
      <c r="A129" s="47" t="s">
        <v>1983</v>
      </c>
      <c r="B129" s="52" t="s">
        <v>3637</v>
      </c>
      <c r="D129" s="137"/>
      <c r="E129" s="137"/>
      <c r="F129" s="137"/>
      <c r="G129" s="137"/>
      <c r="H129" s="137"/>
      <c r="I129" s="42"/>
      <c r="J129" s="42"/>
      <c r="K129" s="527" t="s">
        <v>1983</v>
      </c>
      <c r="L129" s="3810" t="s">
        <v>5286</v>
      </c>
      <c r="M129" s="3810"/>
      <c r="N129" s="3810"/>
      <c r="O129" s="3810"/>
      <c r="P129" s="3810"/>
      <c r="Q129" s="616"/>
    </row>
    <row r="130" spans="1:17" ht="12" customHeight="1">
      <c r="A130" s="47" t="s">
        <v>1985</v>
      </c>
      <c r="B130" s="52" t="s">
        <v>1538</v>
      </c>
      <c r="D130" s="137"/>
      <c r="E130" s="137"/>
      <c r="F130" s="137"/>
      <c r="G130" s="137"/>
      <c r="H130" s="137"/>
      <c r="I130" s="42"/>
      <c r="J130" s="42"/>
      <c r="K130" s="137"/>
      <c r="L130" s="1381"/>
      <c r="O130" s="527" t="s">
        <v>1985</v>
      </c>
      <c r="P130" s="1174" t="s">
        <v>2993</v>
      </c>
      <c r="Q130" s="1084"/>
    </row>
    <row r="131" spans="1:17" ht="12" customHeight="1">
      <c r="A131" s="47" t="s">
        <v>749</v>
      </c>
      <c r="B131" s="52" t="s">
        <v>151</v>
      </c>
      <c r="D131" s="137"/>
      <c r="E131" s="137"/>
      <c r="F131" s="137"/>
      <c r="G131" s="137"/>
      <c r="H131" s="137"/>
      <c r="I131" s="42"/>
      <c r="J131" s="42"/>
      <c r="K131" s="1381"/>
      <c r="L131" s="1381"/>
      <c r="O131" s="527" t="s">
        <v>749</v>
      </c>
      <c r="P131" s="239" t="s">
        <v>2990</v>
      </c>
      <c r="Q131" s="1035"/>
    </row>
    <row r="132" spans="1:17" ht="12" customHeight="1">
      <c r="A132" s="47"/>
      <c r="B132" s="1021" t="s">
        <v>1737</v>
      </c>
      <c r="C132" s="52" t="s">
        <v>2688</v>
      </c>
      <c r="E132" s="137"/>
      <c r="F132" s="137"/>
      <c r="G132" s="137"/>
      <c r="H132" s="137"/>
      <c r="I132" s="42"/>
      <c r="J132" s="42"/>
      <c r="K132" s="66" t="s">
        <v>1737</v>
      </c>
      <c r="L132" s="3810" t="s">
        <v>5286</v>
      </c>
      <c r="M132" s="3810"/>
      <c r="N132" s="3810"/>
      <c r="O132" s="3810"/>
      <c r="P132" s="3810"/>
      <c r="Q132" s="616"/>
    </row>
    <row r="133" spans="1:17" ht="12" customHeight="1">
      <c r="A133" s="142"/>
      <c r="B133" s="149" t="s">
        <v>1738</v>
      </c>
      <c r="C133" s="36" t="s">
        <v>3473</v>
      </c>
      <c r="E133" s="42"/>
      <c r="F133" s="42"/>
      <c r="G133" s="42"/>
      <c r="H133" s="52"/>
      <c r="I133" s="42"/>
      <c r="J133" s="42"/>
      <c r="K133" s="137"/>
      <c r="L133" s="1381"/>
      <c r="M133" s="1381"/>
      <c r="O133" s="527" t="s">
        <v>1738</v>
      </c>
      <c r="P133" s="113">
        <v>69.5</v>
      </c>
      <c r="Q133" s="621"/>
    </row>
    <row r="134" spans="1:17" ht="12" customHeight="1">
      <c r="A134" s="142"/>
      <c r="B134" s="40" t="s">
        <v>1739</v>
      </c>
      <c r="C134" s="36" t="s">
        <v>4750</v>
      </c>
      <c r="D134" s="151"/>
      <c r="E134" s="42"/>
      <c r="F134" s="42"/>
      <c r="G134" s="42"/>
      <c r="H134" s="52"/>
      <c r="I134" s="42"/>
      <c r="J134" s="42"/>
      <c r="K134" s="137"/>
      <c r="L134" s="2400"/>
      <c r="M134" s="2400"/>
      <c r="O134" s="527" t="s">
        <v>1739</v>
      </c>
      <c r="P134" s="113" t="s">
        <v>2990</v>
      </c>
      <c r="Q134" s="621"/>
    </row>
    <row r="135" spans="1:17" ht="12" customHeight="1">
      <c r="A135" s="47" t="s">
        <v>2115</v>
      </c>
      <c r="B135" s="52" t="s">
        <v>1260</v>
      </c>
      <c r="D135" s="137"/>
      <c r="E135" s="137"/>
      <c r="F135" s="137"/>
      <c r="G135" s="137"/>
      <c r="H135" s="137"/>
      <c r="I135" s="42"/>
      <c r="J135" s="42"/>
      <c r="K135" s="137"/>
      <c r="L135" s="1381"/>
      <c r="M135" s="1381"/>
      <c r="N135" s="1381"/>
      <c r="O135" s="527" t="s">
        <v>2115</v>
      </c>
    </row>
    <row r="136" spans="1:17" ht="12" customHeight="1">
      <c r="A136" s="47"/>
      <c r="B136" s="149" t="s">
        <v>1737</v>
      </c>
      <c r="C136" s="52" t="s">
        <v>149</v>
      </c>
      <c r="E136" s="137"/>
      <c r="F136" s="137"/>
      <c r="G136" s="137"/>
      <c r="H136" s="137"/>
      <c r="I136" s="42"/>
      <c r="J136" s="42"/>
      <c r="K136" s="137"/>
      <c r="L136" s="1381"/>
      <c r="M136" s="1381"/>
      <c r="O136" s="66" t="s">
        <v>1737</v>
      </c>
      <c r="P136" s="238" t="s">
        <v>2993</v>
      </c>
      <c r="Q136" s="617"/>
    </row>
    <row r="137" spans="1:17" ht="12" customHeight="1">
      <c r="A137" s="47"/>
      <c r="B137" s="149" t="s">
        <v>1738</v>
      </c>
      <c r="C137" s="52" t="s">
        <v>1261</v>
      </c>
      <c r="E137" s="137"/>
      <c r="F137" s="137"/>
      <c r="G137" s="137"/>
      <c r="H137" s="42"/>
      <c r="I137" s="42"/>
      <c r="J137" s="42"/>
      <c r="K137" s="137"/>
      <c r="L137" s="1381"/>
      <c r="M137" s="1381"/>
      <c r="O137" s="66" t="s">
        <v>1738</v>
      </c>
      <c r="P137" s="422" t="s">
        <v>2993</v>
      </c>
      <c r="Q137" s="618"/>
    </row>
    <row r="138" spans="1:17" ht="12" customHeight="1">
      <c r="A138" s="47"/>
      <c r="B138" s="149"/>
      <c r="C138" s="52" t="s">
        <v>2632</v>
      </c>
      <c r="E138" s="527" t="s">
        <v>2435</v>
      </c>
      <c r="F138" s="52" t="s">
        <v>2633</v>
      </c>
      <c r="G138" s="42"/>
      <c r="H138" s="52"/>
      <c r="I138" s="42"/>
      <c r="J138" s="42"/>
      <c r="K138" s="137"/>
      <c r="L138" s="1381"/>
      <c r="M138" s="1381"/>
      <c r="O138" s="527" t="s">
        <v>2435</v>
      </c>
      <c r="P138" s="634"/>
      <c r="Q138" s="976"/>
    </row>
    <row r="139" spans="1:17" ht="12" customHeight="1">
      <c r="A139" s="47"/>
      <c r="B139" s="149"/>
      <c r="E139" s="527" t="s">
        <v>2436</v>
      </c>
      <c r="F139" s="52" t="s">
        <v>2634</v>
      </c>
      <c r="G139" s="42"/>
      <c r="H139" s="52"/>
      <c r="I139" s="42"/>
      <c r="J139" s="42"/>
      <c r="K139" s="137"/>
      <c r="L139" s="1381"/>
      <c r="M139" s="1381"/>
      <c r="O139" s="527" t="s">
        <v>2436</v>
      </c>
      <c r="P139" s="422"/>
      <c r="Q139" s="618"/>
    </row>
    <row r="140" spans="1:17" ht="12" customHeight="1">
      <c r="A140" s="47"/>
      <c r="B140" s="149"/>
      <c r="E140" s="527" t="s">
        <v>2437</v>
      </c>
      <c r="F140" s="52" t="s">
        <v>2635</v>
      </c>
      <c r="G140" s="42"/>
      <c r="H140" s="52"/>
      <c r="I140" s="42"/>
      <c r="J140" s="42"/>
      <c r="K140" s="137"/>
      <c r="L140" s="1381"/>
      <c r="M140" s="1381"/>
      <c r="O140" s="527" t="s">
        <v>2437</v>
      </c>
      <c r="P140" s="422"/>
      <c r="Q140" s="618"/>
    </row>
    <row r="141" spans="1:17" ht="12" customHeight="1">
      <c r="A141" s="47"/>
      <c r="B141" s="149" t="s">
        <v>1739</v>
      </c>
      <c r="C141" s="52" t="s">
        <v>1262</v>
      </c>
      <c r="E141" s="137"/>
      <c r="F141" s="137"/>
      <c r="G141" s="137"/>
      <c r="H141" s="52"/>
      <c r="I141" s="42"/>
      <c r="J141" s="42"/>
      <c r="K141" s="137"/>
      <c r="L141" s="1381"/>
      <c r="M141" s="1381"/>
      <c r="O141" s="66" t="s">
        <v>1739</v>
      </c>
      <c r="P141" s="422" t="s">
        <v>2993</v>
      </c>
      <c r="Q141" s="618"/>
    </row>
    <row r="142" spans="1:17" ht="12" customHeight="1">
      <c r="A142" s="47"/>
      <c r="B142" s="66"/>
      <c r="C142" s="52" t="s">
        <v>2632</v>
      </c>
      <c r="E142" s="527" t="s">
        <v>2435</v>
      </c>
      <c r="F142" s="52" t="s">
        <v>2636</v>
      </c>
      <c r="G142" s="42"/>
      <c r="H142" s="52"/>
      <c r="I142" s="42"/>
      <c r="J142" s="42"/>
      <c r="K142" s="137"/>
      <c r="L142" s="1381"/>
      <c r="O142" s="527" t="s">
        <v>2435</v>
      </c>
      <c r="P142" s="634"/>
      <c r="Q142" s="976"/>
    </row>
    <row r="143" spans="1:17" ht="12" customHeight="1">
      <c r="A143" s="47"/>
      <c r="B143" s="66"/>
      <c r="E143" s="527" t="s">
        <v>2436</v>
      </c>
      <c r="F143" s="52" t="s">
        <v>2637</v>
      </c>
      <c r="G143" s="42"/>
      <c r="H143" s="52"/>
      <c r="I143" s="42"/>
      <c r="J143" s="42"/>
      <c r="O143" s="527" t="s">
        <v>2436</v>
      </c>
      <c r="P143" s="422"/>
      <c r="Q143" s="618"/>
    </row>
    <row r="144" spans="1:17" ht="12" customHeight="1">
      <c r="A144" s="47"/>
      <c r="B144" s="66"/>
      <c r="E144" s="527" t="s">
        <v>2437</v>
      </c>
      <c r="F144" s="52" t="s">
        <v>2635</v>
      </c>
      <c r="G144" s="42"/>
      <c r="H144" s="52"/>
      <c r="I144" s="42"/>
      <c r="J144" s="42"/>
      <c r="O144" s="527" t="s">
        <v>2437</v>
      </c>
      <c r="P144" s="239"/>
      <c r="Q144" s="619"/>
    </row>
    <row r="145" spans="1:32" ht="12" customHeight="1">
      <c r="A145" s="47" t="s">
        <v>1735</v>
      </c>
      <c r="B145" s="149" t="s">
        <v>2414</v>
      </c>
      <c r="D145" s="137"/>
      <c r="E145" s="137"/>
      <c r="F145" s="137"/>
      <c r="G145" s="137"/>
      <c r="H145" s="137"/>
      <c r="I145" s="42"/>
      <c r="J145" s="42"/>
      <c r="K145" s="137"/>
      <c r="L145" s="1381"/>
      <c r="M145" s="1381"/>
      <c r="N145" s="1381"/>
      <c r="O145" s="1381"/>
      <c r="P145" s="1381"/>
      <c r="Q145" s="1381"/>
    </row>
    <row r="146" spans="1:32" ht="12" customHeight="1">
      <c r="B146" s="149" t="s">
        <v>1737</v>
      </c>
      <c r="C146" s="52" t="s">
        <v>2495</v>
      </c>
      <c r="E146" s="137"/>
      <c r="F146" s="238" t="s">
        <v>2993</v>
      </c>
      <c r="G146" s="617"/>
      <c r="H146" s="527" t="s">
        <v>4987</v>
      </c>
      <c r="I146" s="55" t="s">
        <v>2640</v>
      </c>
      <c r="L146" s="238" t="s">
        <v>2993</v>
      </c>
      <c r="M146" s="617"/>
      <c r="N146" s="527" t="s">
        <v>4991</v>
      </c>
      <c r="O146" s="52" t="s">
        <v>1552</v>
      </c>
      <c r="P146" s="238" t="s">
        <v>2993</v>
      </c>
      <c r="Q146" s="617"/>
    </row>
    <row r="147" spans="1:32" ht="12" customHeight="1">
      <c r="A147" s="36"/>
      <c r="B147" s="149" t="s">
        <v>1738</v>
      </c>
      <c r="C147" s="52" t="s">
        <v>2803</v>
      </c>
      <c r="E147" s="137"/>
      <c r="F147" s="422" t="s">
        <v>2990</v>
      </c>
      <c r="G147" s="618"/>
      <c r="H147" s="527" t="s">
        <v>4988</v>
      </c>
      <c r="I147" s="55" t="s">
        <v>2641</v>
      </c>
      <c r="L147" s="422" t="s">
        <v>2993</v>
      </c>
      <c r="M147" s="618"/>
      <c r="N147" s="527" t="s">
        <v>4992</v>
      </c>
      <c r="O147" s="52" t="s">
        <v>1551</v>
      </c>
      <c r="P147" s="422" t="s">
        <v>2993</v>
      </c>
      <c r="Q147" s="618"/>
    </row>
    <row r="148" spans="1:32" ht="12" customHeight="1">
      <c r="A148" s="36"/>
      <c r="B148" s="149" t="s">
        <v>1739</v>
      </c>
      <c r="C148" s="52" t="s">
        <v>2639</v>
      </c>
      <c r="E148" s="137"/>
      <c r="F148" s="422" t="s">
        <v>2993</v>
      </c>
      <c r="G148" s="618"/>
      <c r="H148" s="527" t="s">
        <v>4989</v>
      </c>
      <c r="I148" s="55" t="s">
        <v>3848</v>
      </c>
      <c r="L148" s="422" t="s">
        <v>2993</v>
      </c>
      <c r="M148" s="618"/>
      <c r="N148" s="527" t="s">
        <v>4993</v>
      </c>
      <c r="O148" s="52" t="s">
        <v>1553</v>
      </c>
      <c r="P148" s="239" t="s">
        <v>2993</v>
      </c>
      <c r="Q148" s="619"/>
    </row>
    <row r="149" spans="1:32" ht="12" customHeight="1">
      <c r="A149" s="36"/>
      <c r="B149" s="149" t="s">
        <v>2365</v>
      </c>
      <c r="C149" s="52" t="s">
        <v>2806</v>
      </c>
      <c r="E149" s="137"/>
      <c r="F149" s="239" t="s">
        <v>2993</v>
      </c>
      <c r="G149" s="619"/>
      <c r="H149" s="527" t="s">
        <v>4990</v>
      </c>
      <c r="I149" s="52" t="s">
        <v>2802</v>
      </c>
      <c r="L149" s="239" t="s">
        <v>2993</v>
      </c>
      <c r="M149" s="619"/>
      <c r="O149" s="66"/>
    </row>
    <row r="150" spans="1:32" ht="12" customHeight="1">
      <c r="A150" s="36"/>
      <c r="B150" s="40" t="s">
        <v>2894</v>
      </c>
      <c r="C150" s="52" t="s">
        <v>2804</v>
      </c>
      <c r="E150" s="137"/>
      <c r="F150" s="137"/>
      <c r="G150" s="137"/>
      <c r="H150" s="137"/>
      <c r="I150" s="137"/>
      <c r="J150" s="137"/>
      <c r="K150" s="137"/>
      <c r="L150" s="137"/>
      <c r="M150" s="52"/>
      <c r="O150" s="66"/>
      <c r="P150" s="66"/>
    </row>
    <row r="151" spans="1:32" ht="12" customHeight="1">
      <c r="A151" s="36"/>
      <c r="C151" s="3809" t="s">
        <v>970</v>
      </c>
      <c r="D151" s="3809"/>
      <c r="E151" s="3809"/>
      <c r="F151" s="3809"/>
      <c r="G151" s="3809"/>
      <c r="H151" s="3809"/>
      <c r="I151" s="3809"/>
      <c r="J151" s="3809"/>
      <c r="K151" s="3809"/>
      <c r="L151" s="3809"/>
      <c r="M151" s="3809"/>
      <c r="N151" s="3809"/>
      <c r="O151" s="3809"/>
      <c r="P151" s="3809"/>
      <c r="Q151" s="3809"/>
    </row>
    <row r="152" spans="1:32" ht="12" customHeight="1">
      <c r="A152" s="47" t="s">
        <v>1736</v>
      </c>
      <c r="B152" s="52" t="s">
        <v>3571</v>
      </c>
      <c r="D152" s="137"/>
      <c r="E152" s="137"/>
      <c r="F152" s="137"/>
      <c r="G152" s="137"/>
      <c r="H152" s="137"/>
      <c r="I152" s="42"/>
      <c r="J152" s="42"/>
      <c r="K152" s="137"/>
      <c r="L152" s="137"/>
      <c r="M152" s="1381"/>
    </row>
    <row r="153" spans="1:32" ht="12" customHeight="1">
      <c r="A153" s="42"/>
      <c r="B153" s="149" t="s">
        <v>1737</v>
      </c>
      <c r="C153" s="52" t="s">
        <v>2807</v>
      </c>
      <c r="E153" s="137"/>
      <c r="F153" s="137"/>
      <c r="G153" s="137"/>
      <c r="H153" s="137"/>
      <c r="O153" s="66" t="s">
        <v>1737</v>
      </c>
      <c r="P153" s="238"/>
      <c r="Q153" s="617"/>
    </row>
    <row r="154" spans="1:32" ht="12" customHeight="1">
      <c r="A154" s="1385"/>
      <c r="B154" s="149" t="s">
        <v>1738</v>
      </c>
      <c r="C154" s="52" t="s">
        <v>490</v>
      </c>
      <c r="E154" s="52"/>
      <c r="F154" s="52"/>
      <c r="G154" s="52"/>
      <c r="H154" s="52"/>
      <c r="I154" s="42"/>
      <c r="J154" s="42"/>
      <c r="K154" s="52"/>
      <c r="L154" s="52"/>
      <c r="M154" s="52"/>
      <c r="O154" s="66" t="s">
        <v>1738</v>
      </c>
      <c r="P154" s="422"/>
      <c r="Q154" s="618"/>
    </row>
    <row r="155" spans="1:32" ht="12" customHeight="1">
      <c r="A155" s="1385"/>
      <c r="B155" s="149" t="s">
        <v>1739</v>
      </c>
      <c r="C155" s="52" t="s">
        <v>681</v>
      </c>
      <c r="E155" s="52"/>
      <c r="F155" s="52"/>
      <c r="G155" s="52"/>
      <c r="H155" s="52"/>
      <c r="I155" s="42"/>
      <c r="J155" s="42"/>
      <c r="K155" s="52"/>
      <c r="L155" s="52"/>
      <c r="M155" s="52"/>
      <c r="O155" s="66" t="s">
        <v>1739</v>
      </c>
      <c r="P155" s="422"/>
      <c r="Q155" s="618"/>
    </row>
    <row r="156" spans="1:32" ht="12" customHeight="1">
      <c r="A156" s="2558"/>
      <c r="B156" s="40" t="s">
        <v>2365</v>
      </c>
      <c r="C156" s="52" t="s">
        <v>4969</v>
      </c>
      <c r="E156" s="52"/>
      <c r="F156" s="52"/>
      <c r="G156" s="52"/>
      <c r="H156" s="52"/>
      <c r="I156" s="42"/>
      <c r="J156" s="42"/>
      <c r="K156" s="52"/>
      <c r="L156" s="52"/>
      <c r="M156" s="52"/>
      <c r="O156" s="527" t="s">
        <v>2365</v>
      </c>
      <c r="P156" s="239"/>
      <c r="Q156" s="619"/>
    </row>
    <row r="157" spans="1:32" ht="12" customHeight="1">
      <c r="A157" s="470" t="s">
        <v>3463</v>
      </c>
      <c r="C157" s="52"/>
      <c r="D157" s="137"/>
      <c r="E157" s="137"/>
      <c r="F157" s="137"/>
      <c r="G157" s="137"/>
      <c r="H157" s="137"/>
      <c r="I157" s="42"/>
      <c r="J157" s="42"/>
      <c r="K157" s="137"/>
      <c r="L157" s="137"/>
      <c r="M157" s="1381"/>
      <c r="N157" s="1381"/>
      <c r="O157" s="1381"/>
      <c r="P157" s="1381"/>
      <c r="Q157" s="1381"/>
      <c r="R157" s="1381"/>
    </row>
    <row r="158" spans="1:32" s="1" customFormat="1" ht="23.45" customHeight="1">
      <c r="A158" s="47" t="s">
        <v>1947</v>
      </c>
      <c r="B158" s="3602" t="s">
        <v>148</v>
      </c>
      <c r="C158" s="3602"/>
      <c r="D158" s="3602"/>
      <c r="E158" s="3602"/>
      <c r="F158" s="3602"/>
      <c r="G158" s="3602"/>
      <c r="H158" s="3602"/>
      <c r="I158" s="3602"/>
      <c r="J158" s="3602"/>
      <c r="K158" s="3602"/>
      <c r="L158" s="3602"/>
      <c r="M158" s="527" t="s">
        <v>1947</v>
      </c>
      <c r="N158" s="3815" t="s">
        <v>1771</v>
      </c>
      <c r="O158" s="3816"/>
      <c r="P158" s="3817" t="s">
        <v>1771</v>
      </c>
      <c r="Q158" s="3818"/>
      <c r="AE158" s="5"/>
      <c r="AF158" s="5"/>
    </row>
    <row r="159" spans="1:32" ht="11.25" customHeight="1">
      <c r="B159" s="144" t="s">
        <v>3756</v>
      </c>
      <c r="D159" s="144"/>
      <c r="E159" s="144"/>
      <c r="F159" s="144"/>
      <c r="G159" s="144"/>
      <c r="H159" s="40"/>
      <c r="I159" s="1385"/>
      <c r="J159" s="1385"/>
      <c r="K159" s="1385"/>
      <c r="L159" s="1378"/>
      <c r="M159" s="1378"/>
      <c r="N159" s="1378"/>
      <c r="O159" s="1378"/>
      <c r="P159" s="1378"/>
      <c r="Q159" s="1020"/>
    </row>
    <row r="160" spans="1:32" ht="11.45" customHeight="1">
      <c r="A160" s="3647"/>
      <c r="B160" s="3648"/>
      <c r="C160" s="3648"/>
      <c r="D160" s="3648"/>
      <c r="E160" s="3648"/>
      <c r="F160" s="3648"/>
      <c r="G160" s="3648"/>
      <c r="H160" s="3648"/>
      <c r="I160" s="3648"/>
      <c r="J160" s="3648"/>
      <c r="K160" s="3648"/>
      <c r="L160" s="3648"/>
      <c r="M160" s="3648"/>
      <c r="N160" s="3648"/>
      <c r="O160" s="3648"/>
      <c r="P160" s="3648"/>
      <c r="Q160" s="3649"/>
      <c r="R160" s="510" t="s">
        <v>1254</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1866</v>
      </c>
      <c r="C162" s="141"/>
      <c r="D162" s="1379"/>
      <c r="E162" s="1379"/>
      <c r="F162" s="1379"/>
      <c r="G162" s="1379"/>
      <c r="H162" s="1379"/>
      <c r="I162" s="1379"/>
      <c r="J162" s="1379"/>
      <c r="K162" s="1379"/>
      <c r="L162" s="1379"/>
      <c r="M162" s="1379"/>
      <c r="N162" s="1379"/>
      <c r="O162" s="1379"/>
      <c r="P162" s="1379"/>
      <c r="Q162" s="1379"/>
    </row>
    <row r="163" spans="1:32" ht="11.45" customHeight="1">
      <c r="A163" s="3603"/>
      <c r="B163" s="3604"/>
      <c r="C163" s="3604"/>
      <c r="D163" s="3604"/>
      <c r="E163" s="3604"/>
      <c r="F163" s="3604"/>
      <c r="G163" s="3604"/>
      <c r="H163" s="3604"/>
      <c r="I163" s="3604"/>
      <c r="J163" s="3604"/>
      <c r="K163" s="3604"/>
      <c r="L163" s="3604"/>
      <c r="M163" s="3604"/>
      <c r="N163" s="3604"/>
      <c r="O163" s="3604"/>
      <c r="P163" s="3604"/>
      <c r="Q163" s="3605"/>
    </row>
    <row r="164" spans="1:32" ht="3" customHeight="1">
      <c r="A164" s="1378"/>
      <c r="B164" s="1385"/>
      <c r="C164" s="1379"/>
      <c r="D164" s="1379"/>
      <c r="E164" s="1379"/>
      <c r="F164" s="1379"/>
      <c r="G164" s="1379"/>
      <c r="H164" s="1379"/>
      <c r="I164" s="1379"/>
      <c r="J164" s="1379"/>
      <c r="K164" s="1379"/>
      <c r="L164" s="1379"/>
      <c r="M164" s="1379"/>
      <c r="N164" s="1379"/>
      <c r="O164" s="1379"/>
      <c r="P164" s="1379"/>
      <c r="Q164" s="1378"/>
    </row>
    <row r="165" spans="1:32" ht="14.1" customHeight="1">
      <c r="A165" s="1384" t="s">
        <v>292</v>
      </c>
      <c r="B165" s="1384" t="s">
        <v>2656</v>
      </c>
      <c r="C165" s="1384"/>
      <c r="D165" s="1379"/>
      <c r="E165" s="1379"/>
      <c r="F165" s="1379"/>
      <c r="G165" s="1379"/>
      <c r="H165" s="1379"/>
      <c r="I165" s="1379"/>
      <c r="J165" s="1379"/>
      <c r="K165" s="1379"/>
      <c r="O165" s="135" t="s">
        <v>1867</v>
      </c>
      <c r="P165" s="3606"/>
      <c r="Q165" s="3607"/>
    </row>
    <row r="166" spans="1:32" ht="12" customHeight="1">
      <c r="A166" s="47" t="s">
        <v>1983</v>
      </c>
      <c r="B166" s="52" t="s">
        <v>4751</v>
      </c>
      <c r="D166" s="52"/>
      <c r="E166" s="52"/>
      <c r="F166" s="52"/>
      <c r="G166" s="52"/>
      <c r="H166" s="52" t="s">
        <v>2707</v>
      </c>
      <c r="K166" s="3796">
        <v>43950</v>
      </c>
      <c r="L166" s="3797"/>
      <c r="N166" s="52"/>
      <c r="O166" s="527" t="s">
        <v>1983</v>
      </c>
      <c r="P166" s="98" t="s">
        <v>2990</v>
      </c>
      <c r="Q166" s="615"/>
    </row>
    <row r="167" spans="1:32" ht="12" customHeight="1">
      <c r="A167" s="47" t="s">
        <v>1985</v>
      </c>
      <c r="B167" s="143" t="s">
        <v>150</v>
      </c>
      <c r="D167" s="143"/>
      <c r="E167" s="143"/>
      <c r="F167" s="143" t="str">
        <f>IF(N167="Ground lease/Option","Ground lease/Option:","")</f>
        <v/>
      </c>
      <c r="H167" s="55" t="str">
        <f>IF(N167="Ground lease/Option","Annual Pymt:","")</f>
        <v/>
      </c>
      <c r="I167" s="2608" t="str">
        <f>IF(N167="Ground lease/Option",'Part VI-Revenues &amp; Expenses'!$H$243,"")</f>
        <v/>
      </c>
      <c r="K167" s="507" t="str">
        <f>IF(N167="Ground lease/Option","Term:","")</f>
        <v/>
      </c>
      <c r="L167" s="2607" t="str">
        <f>IF(N167="Ground lease/Option",'Part VI-Revenues &amp; Expenses'!$K$243,"")</f>
        <v/>
      </c>
      <c r="M167" s="527" t="s">
        <v>1985</v>
      </c>
      <c r="N167" s="3798" t="s">
        <v>5287</v>
      </c>
      <c r="O167" s="3799"/>
      <c r="P167" s="3800" t="s">
        <v>1771</v>
      </c>
      <c r="Q167" s="3801"/>
    </row>
    <row r="168" spans="1:32" ht="12" customHeight="1">
      <c r="A168" s="47" t="s">
        <v>749</v>
      </c>
      <c r="B168" s="143" t="s">
        <v>682</v>
      </c>
      <c r="D168" s="143"/>
      <c r="E168" s="143"/>
      <c r="F168" s="143"/>
      <c r="G168" s="143"/>
      <c r="H168" s="143"/>
      <c r="J168" s="527" t="s">
        <v>749</v>
      </c>
      <c r="K168" s="3633" t="s">
        <v>5245</v>
      </c>
      <c r="L168" s="3634"/>
      <c r="M168" s="3634"/>
      <c r="N168" s="3634"/>
      <c r="O168" s="3634"/>
      <c r="P168" s="3635"/>
      <c r="Q168" s="615"/>
    </row>
    <row r="169" spans="1:32" ht="12" customHeight="1">
      <c r="B169" s="144" t="s">
        <v>3756</v>
      </c>
      <c r="D169" s="144"/>
      <c r="E169" s="144"/>
      <c r="F169" s="144"/>
      <c r="G169" s="144"/>
      <c r="H169" s="40"/>
      <c r="I169" s="1385"/>
      <c r="J169" s="1385"/>
      <c r="K169" s="1385"/>
      <c r="L169" s="1378"/>
      <c r="M169" s="1378"/>
      <c r="N169" s="1378"/>
      <c r="O169" s="1378"/>
      <c r="P169" s="1378"/>
      <c r="Q169" s="1020"/>
    </row>
    <row r="170" spans="1:32" ht="11.45" customHeight="1">
      <c r="A170" s="3647" t="s">
        <v>5288</v>
      </c>
      <c r="B170" s="3648"/>
      <c r="C170" s="3648"/>
      <c r="D170" s="3648"/>
      <c r="E170" s="3648"/>
      <c r="F170" s="3648"/>
      <c r="G170" s="3648"/>
      <c r="H170" s="3648"/>
      <c r="I170" s="3648"/>
      <c r="J170" s="3648"/>
      <c r="K170" s="3648"/>
      <c r="L170" s="3648"/>
      <c r="M170" s="3648"/>
      <c r="N170" s="3648"/>
      <c r="O170" s="3648"/>
      <c r="P170" s="3648"/>
      <c r="Q170" s="3649"/>
      <c r="U170" s="139"/>
      <c r="V170" s="139"/>
      <c r="W170" s="139"/>
      <c r="X170" s="139"/>
      <c r="Y170" s="139"/>
      <c r="Z170" s="139"/>
      <c r="AA170" s="139"/>
      <c r="AB170" s="139"/>
      <c r="AC170" s="139"/>
      <c r="AD170" s="139"/>
      <c r="AE170" s="529"/>
    </row>
    <row r="171" spans="1:32" ht="12" customHeight="1">
      <c r="B171" s="140" t="s">
        <v>1866</v>
      </c>
      <c r="C171" s="141"/>
      <c r="D171" s="1379"/>
      <c r="E171" s="1379"/>
      <c r="F171" s="1379"/>
      <c r="G171" s="1379"/>
      <c r="H171" s="1379"/>
      <c r="I171" s="1379"/>
      <c r="J171" s="1379"/>
      <c r="K171" s="1379"/>
      <c r="L171" s="1379"/>
      <c r="M171" s="1379"/>
      <c r="N171" s="1379"/>
      <c r="O171" s="1379"/>
      <c r="P171" s="1379"/>
      <c r="Q171" s="1379"/>
    </row>
    <row r="172" spans="1:32" ht="11.45" customHeight="1">
      <c r="A172" s="3603"/>
      <c r="B172" s="3604"/>
      <c r="C172" s="3604"/>
      <c r="D172" s="3604"/>
      <c r="E172" s="3604"/>
      <c r="F172" s="3604"/>
      <c r="G172" s="3604"/>
      <c r="H172" s="3604"/>
      <c r="I172" s="3604"/>
      <c r="J172" s="3604"/>
      <c r="K172" s="3604"/>
      <c r="L172" s="3604"/>
      <c r="M172" s="3604"/>
      <c r="N172" s="3604"/>
      <c r="O172" s="3604"/>
      <c r="P172" s="3604"/>
      <c r="Q172" s="3605"/>
    </row>
    <row r="173" spans="1:32" ht="3" customHeight="1">
      <c r="A173" s="1378"/>
      <c r="B173" s="1385"/>
      <c r="C173" s="1379"/>
      <c r="D173" s="1379"/>
      <c r="E173" s="1379"/>
      <c r="F173" s="1379"/>
      <c r="G173" s="1379"/>
      <c r="H173" s="1379"/>
      <c r="I173" s="1379"/>
      <c r="J173" s="1379"/>
      <c r="K173" s="1379"/>
      <c r="L173" s="1379"/>
      <c r="M173" s="1379"/>
      <c r="Q173" s="1378"/>
    </row>
    <row r="174" spans="1:32" ht="14.1" customHeight="1">
      <c r="A174" s="1384" t="s">
        <v>426</v>
      </c>
      <c r="B174" s="1384" t="s">
        <v>2657</v>
      </c>
      <c r="C174" s="1384"/>
      <c r="D174" s="1379"/>
      <c r="E174" s="1379"/>
      <c r="F174" s="1379"/>
      <c r="G174" s="1379"/>
      <c r="H174" s="1379"/>
      <c r="I174" s="1379"/>
      <c r="J174" s="1379"/>
      <c r="K174" s="1379"/>
      <c r="L174" s="1379"/>
      <c r="M174" s="1379"/>
      <c r="O174" s="135" t="s">
        <v>1867</v>
      </c>
      <c r="P174" s="3606"/>
      <c r="Q174" s="3607"/>
    </row>
    <row r="175" spans="1:32" ht="21.75" customHeight="1">
      <c r="A175" s="145" t="s">
        <v>1983</v>
      </c>
      <c r="B175" s="3602" t="s">
        <v>3745</v>
      </c>
      <c r="C175" s="3602"/>
      <c r="D175" s="3602"/>
      <c r="E175" s="3602"/>
      <c r="F175" s="3602"/>
      <c r="G175" s="3602"/>
      <c r="H175" s="3602"/>
      <c r="I175" s="3602"/>
      <c r="J175" s="3602"/>
      <c r="K175" s="3602"/>
      <c r="L175" s="3602"/>
      <c r="M175" s="3602"/>
      <c r="N175" s="3602"/>
      <c r="O175" s="166" t="s">
        <v>1983</v>
      </c>
      <c r="P175" s="1422" t="s">
        <v>2990</v>
      </c>
      <c r="Q175" s="1421"/>
    </row>
    <row r="176" spans="1:32" ht="22.35" customHeight="1">
      <c r="A176" s="145" t="s">
        <v>1985</v>
      </c>
      <c r="B176" s="3602" t="s">
        <v>4767</v>
      </c>
      <c r="C176" s="3602"/>
      <c r="D176" s="3602"/>
      <c r="E176" s="3602"/>
      <c r="F176" s="3602"/>
      <c r="G176" s="3602"/>
      <c r="H176" s="3602"/>
      <c r="I176" s="3602"/>
      <c r="J176" s="3602"/>
      <c r="K176" s="3602"/>
      <c r="L176" s="3602"/>
      <c r="M176" s="3602"/>
      <c r="N176" s="3602"/>
      <c r="O176" s="166" t="s">
        <v>1985</v>
      </c>
      <c r="P176" s="633"/>
      <c r="Q176" s="620"/>
    </row>
    <row r="177" spans="1:32" ht="22.35" customHeight="1">
      <c r="A177" s="145" t="s">
        <v>749</v>
      </c>
      <c r="B177" s="3602" t="s">
        <v>3746</v>
      </c>
      <c r="C177" s="3602"/>
      <c r="D177" s="3602"/>
      <c r="E177" s="3602"/>
      <c r="F177" s="3602"/>
      <c r="G177" s="3602"/>
      <c r="H177" s="3602"/>
      <c r="I177" s="3602"/>
      <c r="J177" s="3602"/>
      <c r="K177" s="3602"/>
      <c r="L177" s="3602"/>
      <c r="M177" s="3602"/>
      <c r="N177" s="3602"/>
      <c r="O177" s="166" t="s">
        <v>749</v>
      </c>
      <c r="P177" s="633"/>
      <c r="Q177" s="620"/>
    </row>
    <row r="178" spans="1:32" ht="21.75" customHeight="1">
      <c r="A178" s="145" t="s">
        <v>2115</v>
      </c>
      <c r="B178" s="3602" t="s">
        <v>4913</v>
      </c>
      <c r="C178" s="3602"/>
      <c r="D178" s="3602"/>
      <c r="E178" s="3602"/>
      <c r="F178" s="3602"/>
      <c r="G178" s="3602"/>
      <c r="H178" s="3602"/>
      <c r="I178" s="3602"/>
      <c r="J178" s="3602"/>
      <c r="K178" s="3602"/>
      <c r="L178" s="3602"/>
      <c r="M178" s="3602"/>
      <c r="N178" s="3602"/>
      <c r="O178" s="166" t="s">
        <v>2115</v>
      </c>
      <c r="P178" s="1426"/>
      <c r="Q178" s="1423"/>
    </row>
    <row r="179" spans="1:32" ht="12" customHeight="1">
      <c r="B179" s="144" t="s">
        <v>3756</v>
      </c>
      <c r="D179" s="144"/>
      <c r="E179" s="144"/>
      <c r="F179" s="144"/>
      <c r="G179" s="144"/>
      <c r="H179" s="40"/>
      <c r="I179" s="1385"/>
      <c r="J179" s="1385"/>
      <c r="K179" s="1385"/>
      <c r="L179" s="1378"/>
      <c r="M179" s="1378"/>
      <c r="N179" s="1378"/>
      <c r="O179" s="1378"/>
      <c r="P179" s="1378"/>
      <c r="Q179" s="1020"/>
    </row>
    <row r="180" spans="1:32" ht="11.45" customHeight="1">
      <c r="A180" s="3647"/>
      <c r="B180" s="3648"/>
      <c r="C180" s="3648"/>
      <c r="D180" s="3648"/>
      <c r="E180" s="3648"/>
      <c r="F180" s="3648"/>
      <c r="G180" s="3648"/>
      <c r="H180" s="3648"/>
      <c r="I180" s="3648"/>
      <c r="J180" s="3648"/>
      <c r="K180" s="3648"/>
      <c r="L180" s="3648"/>
      <c r="M180" s="3648"/>
      <c r="N180" s="3648"/>
      <c r="O180" s="3648"/>
      <c r="P180" s="3648"/>
      <c r="Q180" s="3649"/>
      <c r="U180" s="139"/>
      <c r="V180" s="139"/>
      <c r="W180" s="139"/>
      <c r="X180" s="139"/>
      <c r="Y180" s="139"/>
      <c r="Z180" s="139"/>
      <c r="AA180" s="139"/>
      <c r="AB180" s="139"/>
      <c r="AC180" s="139"/>
      <c r="AD180" s="139"/>
      <c r="AE180" s="529"/>
    </row>
    <row r="181" spans="1:32" ht="12" customHeight="1">
      <c r="B181" s="140" t="s">
        <v>1866</v>
      </c>
      <c r="C181" s="141"/>
      <c r="D181" s="1379"/>
      <c r="E181" s="1379"/>
      <c r="F181" s="1379"/>
      <c r="G181" s="1379"/>
      <c r="H181" s="1379"/>
      <c r="I181" s="1379"/>
      <c r="J181" s="1379"/>
      <c r="K181" s="1379"/>
      <c r="L181" s="1379"/>
      <c r="M181" s="1379"/>
      <c r="N181" s="1379"/>
      <c r="O181" s="1379"/>
      <c r="P181" s="1379"/>
      <c r="Q181" s="1379"/>
    </row>
    <row r="182" spans="1:32" ht="11.45" customHeight="1">
      <c r="A182" s="3603"/>
      <c r="B182" s="3604"/>
      <c r="C182" s="3604"/>
      <c r="D182" s="3604"/>
      <c r="E182" s="3604"/>
      <c r="F182" s="3604"/>
      <c r="G182" s="3604"/>
      <c r="H182" s="3604"/>
      <c r="I182" s="3604"/>
      <c r="J182" s="3604"/>
      <c r="K182" s="3604"/>
      <c r="L182" s="3604"/>
      <c r="M182" s="3604"/>
      <c r="N182" s="3604"/>
      <c r="O182" s="3604"/>
      <c r="P182" s="3604"/>
      <c r="Q182" s="3605"/>
    </row>
    <row r="183" spans="1:32" ht="3" customHeight="1">
      <c r="B183" s="1385"/>
      <c r="C183" s="1379"/>
      <c r="D183" s="1379"/>
      <c r="E183" s="1379"/>
      <c r="F183" s="1379"/>
      <c r="G183" s="1379"/>
      <c r="H183" s="1379"/>
      <c r="I183" s="1379"/>
      <c r="J183" s="1379"/>
      <c r="K183" s="1379"/>
      <c r="L183" s="1379"/>
      <c r="M183" s="1379"/>
      <c r="N183" s="1379"/>
      <c r="O183" s="1379"/>
      <c r="P183" s="1379"/>
      <c r="Q183" s="1378"/>
    </row>
    <row r="184" spans="1:32" ht="14.1" customHeight="1">
      <c r="A184" s="1377" t="s">
        <v>362</v>
      </c>
      <c r="B184" s="3520" t="s">
        <v>2658</v>
      </c>
      <c r="C184" s="3520"/>
      <c r="D184" s="3520"/>
      <c r="O184" s="135" t="s">
        <v>1867</v>
      </c>
      <c r="P184" s="3606"/>
      <c r="Q184" s="3607"/>
    </row>
    <row r="185" spans="1:32" ht="12" customHeight="1">
      <c r="A185" s="145" t="s">
        <v>1983</v>
      </c>
      <c r="B185" s="1002" t="s">
        <v>468</v>
      </c>
      <c r="D185" s="1002"/>
      <c r="E185" s="1002"/>
      <c r="F185" s="1002"/>
      <c r="G185" s="1002"/>
      <c r="H185" s="1002"/>
      <c r="I185" s="1002"/>
      <c r="J185" s="1002"/>
      <c r="K185" s="1002"/>
      <c r="L185" s="1002"/>
      <c r="M185" s="1002"/>
      <c r="O185" s="166" t="s">
        <v>1983</v>
      </c>
      <c r="P185" s="238" t="s">
        <v>2990</v>
      </c>
      <c r="Q185" s="617"/>
    </row>
    <row r="186" spans="1:32" ht="12" customHeight="1">
      <c r="A186" s="145" t="s">
        <v>1985</v>
      </c>
      <c r="B186" s="1002" t="s">
        <v>2643</v>
      </c>
      <c r="D186" s="1002"/>
      <c r="E186" s="1002"/>
      <c r="F186" s="1002"/>
      <c r="G186" s="1002"/>
      <c r="H186" s="1002"/>
      <c r="I186" s="1002"/>
      <c r="J186" s="1002"/>
      <c r="K186" s="1002"/>
      <c r="L186" s="1002"/>
      <c r="M186" s="1002"/>
      <c r="O186" s="166" t="s">
        <v>1985</v>
      </c>
      <c r="P186" s="422" t="s">
        <v>2990</v>
      </c>
      <c r="Q186" s="618"/>
    </row>
    <row r="187" spans="1:32" ht="12" customHeight="1">
      <c r="A187" s="145" t="s">
        <v>749</v>
      </c>
      <c r="B187" s="1002" t="s">
        <v>2644</v>
      </c>
      <c r="D187" s="1002"/>
      <c r="E187" s="1002"/>
      <c r="F187" s="1002"/>
      <c r="G187" s="1002"/>
      <c r="H187" s="1002"/>
      <c r="I187" s="1002"/>
      <c r="J187" s="143" t="s">
        <v>4930</v>
      </c>
      <c r="L187" s="1002"/>
      <c r="M187" s="1002"/>
      <c r="O187" s="166" t="s">
        <v>749</v>
      </c>
      <c r="P187" s="422" t="s">
        <v>2990</v>
      </c>
      <c r="Q187" s="618"/>
    </row>
    <row r="188" spans="1:32" ht="12" customHeight="1">
      <c r="B188" s="40" t="s">
        <v>1737</v>
      </c>
      <c r="C188" s="1021" t="s">
        <v>2645</v>
      </c>
      <c r="G188" s="1002"/>
      <c r="H188" s="1002"/>
      <c r="J188" s="1002"/>
      <c r="K188" s="1002"/>
      <c r="L188" s="1002"/>
      <c r="M188" s="1002"/>
      <c r="O188" s="507" t="s">
        <v>1737</v>
      </c>
      <c r="P188" s="422" t="s">
        <v>2990</v>
      </c>
      <c r="Q188" s="618"/>
    </row>
    <row r="189" spans="1:32" ht="12" customHeight="1">
      <c r="A189" s="143"/>
      <c r="B189" s="40" t="s">
        <v>1738</v>
      </c>
      <c r="C189" s="1021" t="s">
        <v>2646</v>
      </c>
      <c r="G189" s="1002"/>
      <c r="H189" s="1002"/>
      <c r="I189" s="1002"/>
      <c r="J189" s="1002"/>
      <c r="K189" s="1002"/>
      <c r="L189" s="1002"/>
      <c r="M189" s="1002"/>
      <c r="O189" s="507" t="s">
        <v>1738</v>
      </c>
      <c r="P189" s="422" t="s">
        <v>2990</v>
      </c>
      <c r="Q189" s="618"/>
    </row>
    <row r="190" spans="1:32" s="136" customFormat="1" ht="21.75" customHeight="1">
      <c r="A190" s="145"/>
      <c r="B190" s="541" t="s">
        <v>1739</v>
      </c>
      <c r="C190" s="3602" t="s">
        <v>3747</v>
      </c>
      <c r="D190" s="3602"/>
      <c r="E190" s="3602"/>
      <c r="F190" s="3602"/>
      <c r="G190" s="3602"/>
      <c r="H190" s="3602"/>
      <c r="I190" s="3602"/>
      <c r="J190" s="3602"/>
      <c r="K190" s="3602"/>
      <c r="L190" s="3602"/>
      <c r="M190" s="3602"/>
      <c r="N190" s="3602"/>
      <c r="O190" s="166" t="s">
        <v>1739</v>
      </c>
      <c r="P190" s="633" t="s">
        <v>2990</v>
      </c>
      <c r="Q190" s="620"/>
      <c r="AE190" s="530"/>
      <c r="AF190" s="530"/>
    </row>
    <row r="191" spans="1:32" ht="12" customHeight="1">
      <c r="A191" s="145"/>
      <c r="B191" s="40" t="s">
        <v>2365</v>
      </c>
      <c r="C191" s="1021" t="s">
        <v>2647</v>
      </c>
      <c r="G191" s="1002"/>
      <c r="H191" s="1002"/>
      <c r="I191" s="1002"/>
      <c r="J191" s="1002"/>
      <c r="K191" s="1002"/>
      <c r="L191" s="1002"/>
      <c r="M191" s="1002"/>
      <c r="O191" s="507" t="s">
        <v>2365</v>
      </c>
      <c r="P191" s="422" t="s">
        <v>2990</v>
      </c>
      <c r="Q191" s="618"/>
    </row>
    <row r="192" spans="1:32" s="136" customFormat="1" ht="21.75" customHeight="1">
      <c r="A192" s="145"/>
      <c r="B192" s="541" t="s">
        <v>1549</v>
      </c>
      <c r="C192" s="3602" t="s">
        <v>2648</v>
      </c>
      <c r="D192" s="3602"/>
      <c r="E192" s="3602"/>
      <c r="F192" s="3602"/>
      <c r="G192" s="3602"/>
      <c r="H192" s="3602"/>
      <c r="I192" s="3602"/>
      <c r="J192" s="3602"/>
      <c r="K192" s="3602"/>
      <c r="L192" s="3602"/>
      <c r="M192" s="3602"/>
      <c r="N192" s="3602"/>
      <c r="O192" s="166" t="s">
        <v>1549</v>
      </c>
      <c r="P192" s="633" t="s">
        <v>2990</v>
      </c>
      <c r="Q192" s="620"/>
      <c r="AE192" s="530"/>
      <c r="AF192" s="530"/>
    </row>
    <row r="193" spans="1:32" s="136" customFormat="1" ht="21.75" customHeight="1">
      <c r="A193" s="145"/>
      <c r="B193" s="541" t="s">
        <v>1550</v>
      </c>
      <c r="C193" s="3602" t="s">
        <v>3900</v>
      </c>
      <c r="D193" s="3602"/>
      <c r="E193" s="3602"/>
      <c r="F193" s="3602"/>
      <c r="G193" s="3602"/>
      <c r="H193" s="3602"/>
      <c r="I193" s="3602"/>
      <c r="J193" s="3602"/>
      <c r="K193" s="3602"/>
      <c r="L193" s="3602"/>
      <c r="M193" s="3602"/>
      <c r="N193" s="3602"/>
      <c r="O193" s="166" t="s">
        <v>1550</v>
      </c>
      <c r="P193" s="633" t="s">
        <v>2990</v>
      </c>
      <c r="Q193" s="620"/>
      <c r="AE193" s="530"/>
      <c r="AF193" s="530"/>
    </row>
    <row r="194" spans="1:32" ht="21.75" customHeight="1">
      <c r="A194" s="145" t="s">
        <v>2115</v>
      </c>
      <c r="B194" s="3602" t="s">
        <v>2649</v>
      </c>
      <c r="C194" s="3602"/>
      <c r="D194" s="3602"/>
      <c r="E194" s="3602"/>
      <c r="F194" s="3602"/>
      <c r="G194" s="3602"/>
      <c r="H194" s="3602"/>
      <c r="I194" s="3602"/>
      <c r="J194" s="3602"/>
      <c r="K194" s="3602"/>
      <c r="L194" s="3602"/>
      <c r="M194" s="3602"/>
      <c r="N194" s="3602"/>
      <c r="O194" s="166" t="s">
        <v>2115</v>
      </c>
      <c r="P194" s="633" t="s">
        <v>2990</v>
      </c>
      <c r="Q194" s="620"/>
    </row>
    <row r="195" spans="1:32" ht="12" customHeight="1">
      <c r="A195" s="145" t="s">
        <v>1735</v>
      </c>
      <c r="B195" s="1002" t="s">
        <v>2379</v>
      </c>
      <c r="D195" s="1002"/>
      <c r="E195" s="1002"/>
      <c r="F195" s="1002"/>
      <c r="G195" s="1002"/>
      <c r="H195" s="1002"/>
      <c r="I195" s="1002"/>
      <c r="J195" s="1002"/>
      <c r="K195" s="1002"/>
      <c r="L195" s="1002"/>
      <c r="M195" s="1002"/>
      <c r="O195" s="166" t="s">
        <v>1735</v>
      </c>
      <c r="P195" s="239" t="s">
        <v>2990</v>
      </c>
      <c r="Q195" s="619"/>
    </row>
    <row r="196" spans="1:32" ht="12" customHeight="1">
      <c r="B196" s="144" t="s">
        <v>3756</v>
      </c>
      <c r="D196" s="144"/>
      <c r="E196" s="144"/>
      <c r="F196" s="144"/>
      <c r="G196" s="144"/>
      <c r="H196" s="40"/>
      <c r="I196" s="1385"/>
      <c r="J196" s="1385"/>
      <c r="K196" s="1385"/>
      <c r="L196" s="1378"/>
      <c r="M196" s="1378"/>
      <c r="N196" s="1378"/>
      <c r="O196" s="1378"/>
      <c r="P196" s="1378"/>
      <c r="Q196" s="1020"/>
    </row>
    <row r="197" spans="1:32" ht="11.45" customHeight="1">
      <c r="A197" s="3647"/>
      <c r="B197" s="3648"/>
      <c r="C197" s="3648"/>
      <c r="D197" s="3648"/>
      <c r="E197" s="3648"/>
      <c r="F197" s="3648"/>
      <c r="G197" s="3648"/>
      <c r="H197" s="3648"/>
      <c r="I197" s="3648"/>
      <c r="J197" s="3648"/>
      <c r="K197" s="3648"/>
      <c r="L197" s="3648"/>
      <c r="M197" s="3648"/>
      <c r="N197" s="3648"/>
      <c r="O197" s="3648"/>
      <c r="P197" s="3648"/>
      <c r="Q197" s="3649"/>
      <c r="U197" s="139"/>
      <c r="V197" s="139"/>
      <c r="W197" s="139"/>
      <c r="X197" s="139"/>
      <c r="Y197" s="139"/>
      <c r="Z197" s="139"/>
      <c r="AA197" s="139"/>
      <c r="AB197" s="139"/>
      <c r="AC197" s="139"/>
      <c r="AD197" s="139"/>
      <c r="AE197" s="529"/>
    </row>
    <row r="198" spans="1:32" ht="12" customHeight="1">
      <c r="B198" s="140" t="s">
        <v>1866</v>
      </c>
      <c r="C198" s="141"/>
      <c r="D198" s="1379"/>
      <c r="E198" s="1379"/>
      <c r="F198" s="1379"/>
      <c r="G198" s="1379"/>
      <c r="H198" s="1379"/>
      <c r="I198" s="1379"/>
      <c r="J198" s="1379"/>
      <c r="K198" s="1379"/>
      <c r="L198" s="1379"/>
      <c r="M198" s="1379"/>
      <c r="N198" s="1379"/>
      <c r="O198" s="1379"/>
      <c r="P198" s="1379"/>
      <c r="Q198" s="1379"/>
    </row>
    <row r="199" spans="1:32" ht="11.45" customHeight="1">
      <c r="A199" s="3603"/>
      <c r="B199" s="3604"/>
      <c r="C199" s="3604"/>
      <c r="D199" s="3604"/>
      <c r="E199" s="3604"/>
      <c r="F199" s="3604"/>
      <c r="G199" s="3604"/>
      <c r="H199" s="3604"/>
      <c r="I199" s="3604"/>
      <c r="J199" s="3604"/>
      <c r="K199" s="3604"/>
      <c r="L199" s="3604"/>
      <c r="M199" s="3604"/>
      <c r="N199" s="3604"/>
      <c r="O199" s="3604"/>
      <c r="P199" s="3604"/>
      <c r="Q199" s="3605"/>
    </row>
    <row r="200" spans="1:32" ht="3" customHeight="1">
      <c r="A200" s="1378"/>
      <c r="B200" s="1385"/>
      <c r="C200" s="1379"/>
      <c r="D200" s="1379"/>
      <c r="E200" s="1379"/>
      <c r="F200" s="1379"/>
      <c r="G200" s="1379"/>
      <c r="H200" s="1379"/>
      <c r="I200" s="1379"/>
      <c r="J200" s="1379"/>
      <c r="K200" s="1379"/>
      <c r="L200" s="1379"/>
      <c r="M200" s="1379"/>
      <c r="N200" s="1379"/>
      <c r="O200" s="1379"/>
      <c r="P200" s="1379"/>
      <c r="Q200" s="1378"/>
    </row>
    <row r="201" spans="1:32" ht="14.1" customHeight="1">
      <c r="A201" s="1384" t="s">
        <v>363</v>
      </c>
      <c r="B201" s="1384" t="s">
        <v>2659</v>
      </c>
      <c r="C201" s="1384"/>
      <c r="D201" s="1379"/>
      <c r="E201" s="150"/>
      <c r="F201" s="150"/>
      <c r="G201" s="1379"/>
      <c r="J201" s="1022"/>
      <c r="K201" s="1022"/>
      <c r="L201" s="1022"/>
      <c r="M201" s="1022"/>
      <c r="N201" s="1022"/>
      <c r="O201" s="135" t="s">
        <v>1867</v>
      </c>
      <c r="P201" s="3606"/>
      <c r="Q201" s="3607"/>
    </row>
    <row r="202" spans="1:32" ht="22.5" customHeight="1">
      <c r="A202" s="3813" t="s">
        <v>5084</v>
      </c>
      <c r="B202" s="3813"/>
      <c r="C202" s="3813"/>
      <c r="D202" s="3813"/>
      <c r="E202" s="3813"/>
      <c r="F202" s="3813"/>
      <c r="G202" s="3813"/>
      <c r="H202" s="3813"/>
      <c r="I202" s="3813"/>
      <c r="J202" s="3813"/>
      <c r="K202" s="3813"/>
      <c r="L202" s="3813"/>
      <c r="M202" s="3813"/>
      <c r="N202" s="3813"/>
      <c r="O202" s="3813"/>
      <c r="P202" s="3813"/>
      <c r="Q202" s="3813"/>
    </row>
    <row r="203" spans="1:32" ht="11.25" customHeight="1">
      <c r="A203" s="142"/>
      <c r="B203" s="143" t="s">
        <v>97</v>
      </c>
      <c r="D203" s="143"/>
      <c r="E203" s="143"/>
      <c r="F203" s="143"/>
      <c r="G203" s="143"/>
      <c r="H203" s="66" t="s">
        <v>1737</v>
      </c>
      <c r="I203" s="52" t="s">
        <v>152</v>
      </c>
      <c r="J203" s="3650" t="s">
        <v>970</v>
      </c>
      <c r="K203" s="3651"/>
      <c r="L203" s="3651"/>
      <c r="M203" s="3651"/>
      <c r="N203" s="3652"/>
      <c r="O203" s="66" t="s">
        <v>1737</v>
      </c>
      <c r="P203" s="238"/>
      <c r="Q203" s="617"/>
    </row>
    <row r="204" spans="1:32" ht="11.25" customHeight="1">
      <c r="A204" s="142"/>
      <c r="B204" s="144" t="s">
        <v>3756</v>
      </c>
      <c r="C204" s="107"/>
      <c r="D204" s="107"/>
      <c r="E204" s="107"/>
      <c r="F204" s="107"/>
      <c r="H204" s="66" t="s">
        <v>1738</v>
      </c>
      <c r="I204" s="52" t="s">
        <v>1596</v>
      </c>
      <c r="J204" s="3626" t="s">
        <v>5289</v>
      </c>
      <c r="K204" s="3653"/>
      <c r="L204" s="3653"/>
      <c r="M204" s="3653"/>
      <c r="N204" s="3627"/>
      <c r="O204" s="66" t="s">
        <v>1738</v>
      </c>
      <c r="P204" s="239" t="s">
        <v>2990</v>
      </c>
      <c r="Q204" s="619"/>
    </row>
    <row r="205" spans="1:32" ht="11.45" customHeight="1">
      <c r="A205" s="3647"/>
      <c r="B205" s="3648"/>
      <c r="C205" s="3648"/>
      <c r="D205" s="3648"/>
      <c r="E205" s="3648"/>
      <c r="F205" s="3648"/>
      <c r="G205" s="3648"/>
      <c r="H205" s="3648"/>
      <c r="I205" s="3648"/>
      <c r="J205" s="3648"/>
      <c r="K205" s="3648"/>
      <c r="L205" s="3648"/>
      <c r="M205" s="3648"/>
      <c r="N205" s="3648"/>
      <c r="O205" s="3648"/>
      <c r="P205" s="3648"/>
      <c r="Q205" s="3649"/>
      <c r="U205" s="139"/>
      <c r="V205" s="139"/>
      <c r="W205" s="139"/>
      <c r="X205" s="139"/>
      <c r="Y205" s="139"/>
      <c r="Z205" s="139"/>
      <c r="AA205" s="139"/>
      <c r="AB205" s="139"/>
      <c r="AC205" s="139"/>
      <c r="AD205" s="139"/>
      <c r="AE205" s="529"/>
    </row>
    <row r="206" spans="1:32" ht="11.25" customHeight="1">
      <c r="B206" s="140" t="s">
        <v>1866</v>
      </c>
      <c r="C206" s="141"/>
      <c r="D206" s="1379"/>
      <c r="E206" s="1379"/>
      <c r="F206" s="1379"/>
      <c r="G206" s="1379"/>
      <c r="H206" s="1379"/>
      <c r="I206" s="1379"/>
      <c r="J206" s="1379"/>
      <c r="K206" s="1379"/>
      <c r="L206" s="1379"/>
      <c r="M206" s="1379"/>
      <c r="N206" s="1379"/>
      <c r="O206" s="1379"/>
      <c r="P206" s="1379"/>
      <c r="Q206" s="1379"/>
    </row>
    <row r="207" spans="1:32" ht="11.45" customHeight="1">
      <c r="A207" s="3603"/>
      <c r="B207" s="3604"/>
      <c r="C207" s="3604"/>
      <c r="D207" s="3604"/>
      <c r="E207" s="3604"/>
      <c r="F207" s="3604"/>
      <c r="G207" s="3604"/>
      <c r="H207" s="3604"/>
      <c r="I207" s="3604"/>
      <c r="J207" s="3604"/>
      <c r="K207" s="3604"/>
      <c r="L207" s="3604"/>
      <c r="M207" s="3604"/>
      <c r="N207" s="3604"/>
      <c r="O207" s="3604"/>
      <c r="P207" s="3604"/>
      <c r="Q207" s="3605"/>
    </row>
    <row r="208" spans="1:32" ht="4.3499999999999996" customHeight="1">
      <c r="B208" s="1385"/>
      <c r="C208" s="1379"/>
      <c r="D208" s="1379"/>
      <c r="E208" s="1379"/>
      <c r="F208" s="1379"/>
      <c r="G208" s="1379"/>
      <c r="H208" s="1379"/>
      <c r="I208" s="1379"/>
      <c r="J208" s="1379"/>
      <c r="K208" s="1379"/>
      <c r="L208" s="1379"/>
      <c r="M208" s="1379"/>
      <c r="Q208" s="1020"/>
    </row>
    <row r="209" spans="1:32" ht="14.1" customHeight="1">
      <c r="A209" s="1384" t="s">
        <v>364</v>
      </c>
      <c r="B209" s="4" t="s">
        <v>2660</v>
      </c>
      <c r="C209" s="4"/>
      <c r="D209" s="88"/>
      <c r="E209" s="88"/>
      <c r="F209" s="88"/>
      <c r="G209" s="1379"/>
      <c r="H209" s="1379"/>
      <c r="I209" s="1379"/>
      <c r="J209" s="1379"/>
      <c r="K209" s="1379"/>
      <c r="L209" s="1379"/>
      <c r="M209" s="1379"/>
      <c r="O209" s="135" t="s">
        <v>1867</v>
      </c>
      <c r="P209" s="3606"/>
      <c r="Q209" s="3607"/>
    </row>
    <row r="210" spans="1:32" ht="11.45" customHeight="1">
      <c r="A210" s="145" t="s">
        <v>1983</v>
      </c>
      <c r="B210" s="3602" t="s">
        <v>1849</v>
      </c>
      <c r="C210" s="3602"/>
      <c r="D210" s="3602"/>
      <c r="E210" s="3602"/>
      <c r="F210" s="3602"/>
      <c r="G210" s="3602"/>
      <c r="H210" s="66" t="s">
        <v>1737</v>
      </c>
      <c r="I210" s="52" t="s">
        <v>635</v>
      </c>
      <c r="J210" s="3650" t="s">
        <v>5290</v>
      </c>
      <c r="K210" s="3651"/>
      <c r="L210" s="3651"/>
      <c r="M210" s="3651"/>
      <c r="N210" s="3652"/>
      <c r="O210" s="166" t="s">
        <v>1486</v>
      </c>
      <c r="P210" s="2707" t="s">
        <v>2990</v>
      </c>
      <c r="Q210" s="2708"/>
    </row>
    <row r="211" spans="1:32" ht="11.45" customHeight="1">
      <c r="A211" s="154"/>
      <c r="B211" s="3602"/>
      <c r="C211" s="3602"/>
      <c r="D211" s="3602"/>
      <c r="E211" s="3602"/>
      <c r="F211" s="3602"/>
      <c r="G211" s="3602"/>
      <c r="H211" s="66" t="s">
        <v>1738</v>
      </c>
      <c r="I211" s="52" t="s">
        <v>116</v>
      </c>
      <c r="J211" s="3626" t="s">
        <v>5290</v>
      </c>
      <c r="K211" s="3653"/>
      <c r="L211" s="3653"/>
      <c r="M211" s="3653"/>
      <c r="N211" s="3627"/>
      <c r="O211" s="166" t="s">
        <v>1738</v>
      </c>
      <c r="P211" s="422" t="s">
        <v>2990</v>
      </c>
      <c r="Q211" s="618"/>
    </row>
    <row r="212" spans="1:32" ht="12" customHeight="1">
      <c r="A212" s="145" t="s">
        <v>1985</v>
      </c>
      <c r="B212" s="52" t="s">
        <v>3906</v>
      </c>
      <c r="D212" s="52"/>
      <c r="E212" s="52"/>
      <c r="F212" s="52"/>
      <c r="G212" s="52"/>
      <c r="H212" s="52"/>
      <c r="I212" s="52"/>
      <c r="J212" s="52"/>
      <c r="K212" s="42"/>
      <c r="L212" s="52"/>
      <c r="M212" s="52"/>
      <c r="O212" s="527" t="s">
        <v>1985</v>
      </c>
      <c r="P212" s="422" t="s">
        <v>2990</v>
      </c>
      <c r="Q212" s="618"/>
    </row>
    <row r="213" spans="1:32" ht="12" customHeight="1">
      <c r="A213" s="47" t="s">
        <v>749</v>
      </c>
      <c r="B213" s="52" t="s">
        <v>3907</v>
      </c>
      <c r="D213" s="52"/>
      <c r="E213" s="52"/>
      <c r="F213" s="52"/>
      <c r="G213" s="52"/>
      <c r="H213" s="52"/>
      <c r="I213" s="52"/>
      <c r="J213" s="52"/>
      <c r="K213" s="42"/>
      <c r="L213" s="52"/>
      <c r="M213" s="52"/>
      <c r="O213" s="527" t="s">
        <v>749</v>
      </c>
      <c r="P213" s="239"/>
      <c r="Q213" s="619"/>
    </row>
    <row r="214" spans="1:32" ht="11.25" customHeight="1">
      <c r="B214" s="144" t="s">
        <v>3756</v>
      </c>
      <c r="D214" s="144"/>
      <c r="E214" s="144"/>
      <c r="F214" s="144"/>
      <c r="G214" s="144"/>
      <c r="H214" s="40"/>
      <c r="I214" s="1385"/>
      <c r="J214" s="1385"/>
      <c r="K214" s="1385"/>
      <c r="L214" s="1378"/>
      <c r="M214" s="1378"/>
      <c r="N214" s="1378"/>
      <c r="O214" s="1378"/>
      <c r="P214" s="1378"/>
      <c r="Q214" s="1020"/>
    </row>
    <row r="215" spans="1:32" ht="11.45" customHeight="1">
      <c r="A215" s="3647"/>
      <c r="B215" s="3648"/>
      <c r="C215" s="3648"/>
      <c r="D215" s="3648"/>
      <c r="E215" s="3648"/>
      <c r="F215" s="3648"/>
      <c r="G215" s="3648"/>
      <c r="H215" s="3648"/>
      <c r="I215" s="3648"/>
      <c r="J215" s="3648"/>
      <c r="K215" s="3648"/>
      <c r="L215" s="3648"/>
      <c r="M215" s="3648"/>
      <c r="N215" s="3648"/>
      <c r="O215" s="3648"/>
      <c r="P215" s="3648"/>
      <c r="Q215" s="3649"/>
      <c r="U215" s="139"/>
      <c r="V215" s="139"/>
      <c r="W215" s="139"/>
      <c r="X215" s="139"/>
      <c r="Y215" s="139"/>
      <c r="Z215" s="139"/>
      <c r="AA215" s="139"/>
      <c r="AB215" s="139"/>
      <c r="AC215" s="139"/>
      <c r="AD215" s="139"/>
      <c r="AE215" s="529"/>
    </row>
    <row r="216" spans="1:32" ht="11.25" customHeight="1">
      <c r="B216" s="140" t="s">
        <v>1866</v>
      </c>
      <c r="C216" s="141"/>
      <c r="D216" s="1379"/>
      <c r="E216" s="1379"/>
      <c r="F216" s="1379"/>
      <c r="G216" s="1379"/>
      <c r="H216" s="1379"/>
      <c r="I216" s="1379"/>
      <c r="J216" s="1379"/>
      <c r="K216" s="1379"/>
      <c r="L216" s="1379"/>
      <c r="M216" s="1379"/>
      <c r="N216" s="1379"/>
      <c r="O216" s="1379"/>
      <c r="P216" s="1379"/>
      <c r="Q216" s="1379"/>
    </row>
    <row r="217" spans="1:32" ht="11.45" customHeight="1">
      <c r="A217" s="3603"/>
      <c r="B217" s="3604"/>
      <c r="C217" s="3604"/>
      <c r="D217" s="3604"/>
      <c r="E217" s="3604"/>
      <c r="F217" s="3604"/>
      <c r="G217" s="3604"/>
      <c r="H217" s="3604"/>
      <c r="I217" s="3604"/>
      <c r="J217" s="3604"/>
      <c r="K217" s="3604"/>
      <c r="L217" s="3604"/>
      <c r="M217" s="3604"/>
      <c r="N217" s="3604"/>
      <c r="O217" s="3604"/>
      <c r="P217" s="3604"/>
      <c r="Q217" s="3605"/>
    </row>
    <row r="218" spans="1:32" ht="3" customHeight="1">
      <c r="A218" s="1378"/>
      <c r="B218" s="1385"/>
      <c r="C218" s="1379"/>
      <c r="D218" s="1379"/>
      <c r="E218" s="1379"/>
      <c r="F218" s="1379"/>
      <c r="G218" s="1379"/>
      <c r="H218" s="1379"/>
      <c r="I218" s="1379"/>
      <c r="J218" s="1379"/>
      <c r="K218" s="1379"/>
      <c r="L218" s="1379"/>
      <c r="M218" s="1379"/>
      <c r="Q218" s="1378"/>
    </row>
    <row r="219" spans="1:32" ht="14.1" customHeight="1">
      <c r="A219" s="1384" t="s">
        <v>1726</v>
      </c>
      <c r="B219" s="1384" t="s">
        <v>2661</v>
      </c>
      <c r="C219" s="117"/>
      <c r="D219" s="1379"/>
      <c r="E219" s="1379"/>
      <c r="F219" s="1379"/>
      <c r="G219" s="1379"/>
      <c r="H219" s="1379"/>
      <c r="I219" s="1379"/>
      <c r="J219" s="1379"/>
      <c r="K219" s="1379"/>
      <c r="L219" s="1379"/>
      <c r="M219" s="1379"/>
      <c r="O219" s="135" t="s">
        <v>1867</v>
      </c>
      <c r="P219" s="3606"/>
      <c r="Q219" s="3607"/>
    </row>
    <row r="220" spans="1:32" s="27" customFormat="1" ht="11.45" customHeight="1">
      <c r="B220" s="148" t="s">
        <v>1192</v>
      </c>
      <c r="N220" s="124"/>
      <c r="P220" s="98" t="s">
        <v>2990</v>
      </c>
      <c r="Q220" s="615"/>
      <c r="AE220" s="120"/>
      <c r="AF220" s="120"/>
    </row>
    <row r="221" spans="1:32" ht="12" customHeight="1">
      <c r="A221" s="47" t="s">
        <v>1983</v>
      </c>
      <c r="B221" s="36" t="s">
        <v>3704</v>
      </c>
      <c r="D221" s="42"/>
      <c r="E221" s="42"/>
      <c r="F221" s="42"/>
      <c r="G221" s="42"/>
      <c r="H221" s="42"/>
      <c r="I221" s="42"/>
      <c r="J221" s="42"/>
      <c r="K221" s="42"/>
      <c r="L221" s="42"/>
      <c r="M221" s="42"/>
      <c r="O221" s="527" t="s">
        <v>1983</v>
      </c>
      <c r="P221" s="98" t="s">
        <v>5272</v>
      </c>
      <c r="Q221" s="617"/>
    </row>
    <row r="222" spans="1:32" ht="11.45" customHeight="1">
      <c r="A222" s="47"/>
      <c r="B222" s="149" t="s">
        <v>1737</v>
      </c>
      <c r="C222" s="52" t="s">
        <v>1931</v>
      </c>
      <c r="E222" s="52"/>
      <c r="F222" s="52"/>
      <c r="G222" s="52"/>
      <c r="H222" s="52"/>
      <c r="I222" s="42"/>
      <c r="J222" s="66" t="s">
        <v>1486</v>
      </c>
      <c r="K222" s="3650" t="s">
        <v>5332</v>
      </c>
      <c r="L222" s="3652"/>
      <c r="Q222" s="618"/>
    </row>
    <row r="223" spans="1:32" ht="11.45" customHeight="1">
      <c r="A223" s="47"/>
      <c r="B223" s="149" t="s">
        <v>1738</v>
      </c>
      <c r="C223" s="1021" t="s">
        <v>4752</v>
      </c>
      <c r="E223" s="1021"/>
      <c r="F223" s="1021"/>
      <c r="G223" s="1021"/>
      <c r="H223" s="1021"/>
      <c r="I223" s="42"/>
      <c r="J223" s="66" t="s">
        <v>1487</v>
      </c>
      <c r="K223" s="3708" t="s">
        <v>5291</v>
      </c>
      <c r="L223" s="3709"/>
      <c r="M223" s="3705" t="s">
        <v>2724</v>
      </c>
      <c r="N223" s="3706"/>
      <c r="O223" s="3706"/>
      <c r="P223" s="3707"/>
      <c r="Q223" s="618"/>
    </row>
    <row r="224" spans="1:32" ht="11.45" customHeight="1">
      <c r="A224" s="47"/>
      <c r="B224" s="40" t="s">
        <v>1739</v>
      </c>
      <c r="C224" s="1021" t="s">
        <v>4755</v>
      </c>
      <c r="D224" s="151"/>
      <c r="E224" s="1021"/>
      <c r="F224" s="1021"/>
      <c r="G224" s="1021"/>
      <c r="H224" s="1021"/>
      <c r="I224" s="96"/>
      <c r="J224" s="527" t="s">
        <v>1488</v>
      </c>
      <c r="K224" s="3710" t="s">
        <v>5292</v>
      </c>
      <c r="L224" s="3711"/>
      <c r="M224" s="3711"/>
      <c r="N224" s="3712"/>
      <c r="O224" s="2405"/>
      <c r="P224" s="1451"/>
      <c r="Q224" s="618"/>
      <c r="R224" s="42"/>
    </row>
    <row r="225" spans="1:32" ht="11.45" customHeight="1">
      <c r="A225" s="47"/>
      <c r="B225" s="40" t="s">
        <v>2365</v>
      </c>
      <c r="C225" s="1021" t="s">
        <v>4754</v>
      </c>
      <c r="D225" s="151"/>
      <c r="E225" s="1021"/>
      <c r="F225" s="1021"/>
      <c r="G225" s="1021"/>
      <c r="H225" s="1021"/>
      <c r="I225" s="96"/>
      <c r="J225" s="527" t="s">
        <v>4753</v>
      </c>
      <c r="K225" s="3626" t="s">
        <v>5293</v>
      </c>
      <c r="L225" s="3653"/>
      <c r="M225" s="3653"/>
      <c r="N225" s="3627"/>
      <c r="O225" s="131"/>
      <c r="P225" s="2404"/>
      <c r="Q225" s="619"/>
      <c r="R225" s="42"/>
    </row>
    <row r="226" spans="1:32" ht="11.25" customHeight="1">
      <c r="A226" s="47" t="s">
        <v>1985</v>
      </c>
      <c r="B226" s="52" t="s">
        <v>2509</v>
      </c>
      <c r="D226" s="52"/>
      <c r="E226" s="52"/>
      <c r="F226" s="52"/>
      <c r="G226" s="52"/>
      <c r="H226" s="52"/>
      <c r="I226" s="52"/>
      <c r="J226" s="52"/>
      <c r="K226" s="42"/>
      <c r="L226" s="42"/>
      <c r="M226" s="42"/>
      <c r="N226" s="42"/>
      <c r="O226" s="527" t="s">
        <v>1985</v>
      </c>
      <c r="P226" s="98" t="s">
        <v>5272</v>
      </c>
      <c r="Q226" s="615"/>
    </row>
    <row r="227" spans="1:32" ht="11.1" customHeight="1">
      <c r="A227" s="47"/>
      <c r="B227" s="52" t="s">
        <v>4982</v>
      </c>
      <c r="D227" s="52"/>
      <c r="E227" s="52"/>
      <c r="F227" s="52"/>
      <c r="G227" s="52"/>
      <c r="H227" s="52"/>
      <c r="I227" s="52"/>
      <c r="J227" s="52"/>
      <c r="K227" s="42"/>
      <c r="L227" s="42"/>
      <c r="M227" s="42"/>
      <c r="N227" s="527" t="s">
        <v>3606</v>
      </c>
      <c r="O227" s="2602">
        <f>'Part VI-Revenues &amp; Expenses'!$O$67</f>
        <v>84</v>
      </c>
      <c r="P227" s="3713" t="s">
        <v>4984</v>
      </c>
      <c r="Q227" s="3714"/>
    </row>
    <row r="228" spans="1:32" ht="11.1" customHeight="1">
      <c r="A228" s="47"/>
      <c r="B228" s="149" t="s">
        <v>1737</v>
      </c>
      <c r="C228" s="52" t="s">
        <v>4985</v>
      </c>
      <c r="D228" s="52"/>
      <c r="E228" s="52"/>
      <c r="F228" s="52"/>
      <c r="H228" s="527" t="s">
        <v>4986</v>
      </c>
      <c r="I228" s="52" t="s">
        <v>4995</v>
      </c>
      <c r="M228" s="42"/>
      <c r="N228" s="42"/>
      <c r="O228" s="324"/>
      <c r="P228" s="2577" t="s">
        <v>773</v>
      </c>
      <c r="Q228" s="2578" t="s">
        <v>4983</v>
      </c>
    </row>
    <row r="229" spans="1:32" s="43" customFormat="1" ht="11.45" customHeight="1">
      <c r="A229" s="51"/>
      <c r="B229" s="527" t="s">
        <v>2116</v>
      </c>
      <c r="C229" s="3715" t="s">
        <v>5078</v>
      </c>
      <c r="D229" s="3716"/>
      <c r="E229" s="3716"/>
      <c r="F229" s="3716"/>
      <c r="G229" s="3717"/>
      <c r="H229" s="527" t="s">
        <v>2116</v>
      </c>
      <c r="I229" s="3811" t="s">
        <v>4180</v>
      </c>
      <c r="J229" s="3128"/>
      <c r="K229" s="3128"/>
      <c r="L229" s="3128"/>
      <c r="M229" s="3128"/>
      <c r="N229" s="3128"/>
      <c r="O229" s="3812"/>
      <c r="P229" s="617"/>
      <c r="Q229" s="623"/>
      <c r="AE229" s="54"/>
      <c r="AF229" s="54"/>
    </row>
    <row r="230" spans="1:32" s="43" customFormat="1" ht="11.45" customHeight="1">
      <c r="A230" s="51"/>
      <c r="B230" s="527" t="s">
        <v>2117</v>
      </c>
      <c r="C230" s="3692" t="s">
        <v>4980</v>
      </c>
      <c r="D230" s="3693"/>
      <c r="E230" s="3693"/>
      <c r="F230" s="3693"/>
      <c r="G230" s="3694"/>
      <c r="H230" s="527" t="s">
        <v>2117</v>
      </c>
      <c r="I230" s="3067"/>
      <c r="J230" s="3068"/>
      <c r="K230" s="3068"/>
      <c r="L230" s="3068"/>
      <c r="M230" s="3068"/>
      <c r="N230" s="3068"/>
      <c r="O230" s="3070"/>
      <c r="P230" s="618"/>
      <c r="Q230" s="2534"/>
      <c r="AE230" s="54"/>
      <c r="AF230" s="54"/>
    </row>
    <row r="231" spans="1:32" s="43" customFormat="1" ht="11.45" customHeight="1">
      <c r="A231" s="51"/>
      <c r="B231" s="527" t="s">
        <v>1734</v>
      </c>
      <c r="C231" s="3692"/>
      <c r="D231" s="3693"/>
      <c r="E231" s="3693"/>
      <c r="F231" s="3693"/>
      <c r="G231" s="3694"/>
      <c r="H231" s="527" t="s">
        <v>1734</v>
      </c>
      <c r="I231" s="3067"/>
      <c r="J231" s="3068"/>
      <c r="K231" s="3068"/>
      <c r="L231" s="3068"/>
      <c r="M231" s="3068"/>
      <c r="N231" s="3068"/>
      <c r="O231" s="3070"/>
      <c r="P231" s="618"/>
      <c r="Q231" s="2534"/>
      <c r="AE231" s="54"/>
      <c r="AF231" s="54"/>
    </row>
    <row r="232" spans="1:32" s="43" customFormat="1" ht="11.45" customHeight="1">
      <c r="A232" s="51"/>
      <c r="B232" s="527" t="s">
        <v>4994</v>
      </c>
      <c r="C232" s="3700"/>
      <c r="D232" s="3701"/>
      <c r="E232" s="3701"/>
      <c r="F232" s="3701"/>
      <c r="G232" s="3702"/>
      <c r="H232" s="527" t="s">
        <v>4994</v>
      </c>
      <c r="I232" s="3074"/>
      <c r="J232" s="3075"/>
      <c r="K232" s="3075"/>
      <c r="L232" s="3075"/>
      <c r="M232" s="3075"/>
      <c r="N232" s="3075"/>
      <c r="O232" s="3077"/>
      <c r="P232" s="619"/>
      <c r="Q232" s="624"/>
      <c r="AE232" s="54"/>
      <c r="AF232" s="54"/>
    </row>
    <row r="233" spans="1:32" ht="12" customHeight="1">
      <c r="A233" s="47" t="s">
        <v>749</v>
      </c>
      <c r="B233" s="52" t="s">
        <v>1381</v>
      </c>
      <c r="C233" s="52"/>
      <c r="E233" s="52"/>
      <c r="F233" s="52"/>
      <c r="G233" s="52"/>
      <c r="H233" s="52"/>
      <c r="I233" s="52"/>
      <c r="J233" s="52"/>
      <c r="K233" s="42"/>
      <c r="L233" s="52"/>
      <c r="M233" s="52"/>
      <c r="O233" s="527" t="s">
        <v>749</v>
      </c>
      <c r="P233" s="238" t="s">
        <v>5272</v>
      </c>
      <c r="Q233" s="617"/>
    </row>
    <row r="234" spans="1:32" ht="11.45" customHeight="1">
      <c r="A234" s="47"/>
      <c r="B234" s="149" t="s">
        <v>1737</v>
      </c>
      <c r="C234" s="52" t="s">
        <v>3465</v>
      </c>
      <c r="E234" s="52"/>
      <c r="F234" s="52"/>
      <c r="L234" s="33"/>
      <c r="M234" s="33"/>
      <c r="O234" s="66" t="s">
        <v>1737</v>
      </c>
      <c r="P234" s="422" t="s">
        <v>2990</v>
      </c>
      <c r="Q234" s="618"/>
    </row>
    <row r="235" spans="1:32" ht="11.45" customHeight="1">
      <c r="B235" s="149" t="s">
        <v>1738</v>
      </c>
      <c r="C235" s="1021" t="s">
        <v>2808</v>
      </c>
      <c r="E235" s="1021"/>
      <c r="F235" s="1021"/>
      <c r="L235" s="33"/>
      <c r="M235" s="33"/>
      <c r="O235" s="66" t="s">
        <v>1738</v>
      </c>
      <c r="P235" s="422" t="s">
        <v>2990</v>
      </c>
      <c r="Q235" s="618"/>
    </row>
    <row r="236" spans="1:32" ht="11.45" customHeight="1">
      <c r="B236" s="149" t="s">
        <v>1739</v>
      </c>
      <c r="C236" s="1021" t="s">
        <v>2809</v>
      </c>
      <c r="E236" s="1021"/>
      <c r="F236" s="1021"/>
      <c r="G236" s="1021"/>
      <c r="H236" s="1021"/>
      <c r="I236" s="42"/>
      <c r="J236" s="33"/>
      <c r="K236" s="42"/>
      <c r="L236" s="33"/>
      <c r="M236" s="33"/>
      <c r="O236" s="66" t="s">
        <v>1739</v>
      </c>
      <c r="P236" s="422" t="s">
        <v>2990</v>
      </c>
      <c r="Q236" s="618"/>
    </row>
    <row r="237" spans="1:32" ht="11.45" customHeight="1">
      <c r="A237" s="47"/>
      <c r="B237" s="149" t="s">
        <v>2365</v>
      </c>
      <c r="C237" s="1021" t="s">
        <v>2810</v>
      </c>
      <c r="E237" s="1021"/>
      <c r="F237" s="1021"/>
      <c r="G237" s="1021"/>
      <c r="H237" s="1021"/>
      <c r="I237" s="42"/>
      <c r="J237" s="33"/>
      <c r="K237" s="42"/>
      <c r="L237" s="33"/>
      <c r="M237" s="33"/>
      <c r="O237" s="66" t="s">
        <v>2365</v>
      </c>
      <c r="P237" s="422" t="s">
        <v>2990</v>
      </c>
      <c r="Q237" s="618"/>
    </row>
    <row r="238" spans="1:32" ht="11.45" customHeight="1">
      <c r="A238" s="47"/>
      <c r="B238" s="149" t="s">
        <v>1549</v>
      </c>
      <c r="C238" s="1021" t="s">
        <v>2811</v>
      </c>
      <c r="E238" s="1021"/>
      <c r="F238" s="1021"/>
      <c r="G238" s="1021"/>
      <c r="H238" s="1021"/>
      <c r="I238" s="42"/>
      <c r="J238" s="33"/>
      <c r="K238" s="42"/>
      <c r="L238" s="33"/>
      <c r="M238" s="33"/>
      <c r="O238" s="66" t="s">
        <v>1549</v>
      </c>
      <c r="P238" s="422" t="s">
        <v>2990</v>
      </c>
      <c r="Q238" s="618"/>
    </row>
    <row r="239" spans="1:32" ht="11.45" customHeight="1">
      <c r="A239" s="47"/>
      <c r="B239" s="40" t="s">
        <v>1550</v>
      </c>
      <c r="C239" s="52" t="s">
        <v>775</v>
      </c>
      <c r="E239" s="52"/>
      <c r="F239" s="52"/>
      <c r="G239" s="52"/>
      <c r="H239" s="52"/>
      <c r="I239" s="42"/>
      <c r="J239" s="33"/>
      <c r="K239" s="42"/>
      <c r="L239" s="33"/>
      <c r="M239" s="33"/>
      <c r="O239" s="527" t="s">
        <v>2799</v>
      </c>
      <c r="P239" s="422" t="s">
        <v>2990</v>
      </c>
      <c r="Q239" s="618"/>
    </row>
    <row r="240" spans="1:32" ht="11.45" customHeight="1">
      <c r="A240" s="47"/>
      <c r="B240" s="66"/>
      <c r="C240" s="52" t="s">
        <v>1489</v>
      </c>
      <c r="E240" s="52"/>
      <c r="F240" s="52"/>
      <c r="G240" s="52"/>
      <c r="H240" s="52"/>
      <c r="I240" s="42"/>
      <c r="J240" s="33"/>
      <c r="K240" s="42"/>
      <c r="L240" s="33"/>
      <c r="M240" s="33"/>
      <c r="O240" s="527" t="s">
        <v>2800</v>
      </c>
      <c r="P240" s="239" t="s">
        <v>2993</v>
      </c>
      <c r="Q240" s="619"/>
    </row>
    <row r="241" spans="1:32" ht="11.25" customHeight="1">
      <c r="A241" s="47" t="s">
        <v>2115</v>
      </c>
      <c r="B241" s="52" t="s">
        <v>3663</v>
      </c>
      <c r="C241" s="52"/>
      <c r="E241" s="52"/>
      <c r="F241" s="52"/>
      <c r="G241" s="52"/>
      <c r="H241" s="52"/>
      <c r="I241" s="52"/>
      <c r="J241" s="52"/>
      <c r="K241" s="42"/>
      <c r="M241" s="65" t="s">
        <v>4838</v>
      </c>
      <c r="N241" s="2522" t="str">
        <f>'Part I-Project Information'!$H$82</f>
        <v>Family</v>
      </c>
      <c r="O241" s="527" t="s">
        <v>2115</v>
      </c>
      <c r="P241" s="238" t="s">
        <v>970</v>
      </c>
      <c r="Q241" s="617"/>
    </row>
    <row r="242" spans="1:32" ht="11.45" customHeight="1">
      <c r="B242" s="66" t="s">
        <v>1737</v>
      </c>
      <c r="C242" s="39" t="s">
        <v>1255</v>
      </c>
      <c r="E242" s="42"/>
      <c r="F242" s="42"/>
      <c r="G242" s="39"/>
      <c r="H242" s="1021"/>
      <c r="I242" s="42"/>
      <c r="J242" s="1021"/>
      <c r="K242" s="42"/>
      <c r="L242" s="1021"/>
      <c r="M242" s="1021"/>
      <c r="O242" s="66" t="s">
        <v>1737</v>
      </c>
      <c r="P242" s="422"/>
      <c r="Q242" s="618"/>
    </row>
    <row r="243" spans="1:32" ht="11.45" customHeight="1">
      <c r="B243" s="66" t="s">
        <v>1738</v>
      </c>
      <c r="C243" s="36" t="s">
        <v>4768</v>
      </c>
      <c r="E243" s="42"/>
      <c r="F243" s="42"/>
      <c r="G243" s="1021"/>
      <c r="H243" s="1021"/>
      <c r="I243" s="42"/>
      <c r="J243" s="1021"/>
      <c r="K243" s="42"/>
      <c r="L243" s="1021"/>
      <c r="M243" s="1021"/>
      <c r="O243" s="66" t="s">
        <v>1738</v>
      </c>
      <c r="P243" s="239"/>
      <c r="Q243" s="619"/>
    </row>
    <row r="244" spans="1:32" ht="11.25" customHeight="1">
      <c r="B244" s="144" t="s">
        <v>3756</v>
      </c>
      <c r="D244" s="144"/>
      <c r="E244" s="144"/>
      <c r="F244" s="144"/>
      <c r="G244" s="144"/>
      <c r="H244" s="40"/>
      <c r="I244" s="1385"/>
      <c r="J244" s="1385"/>
      <c r="K244" s="1385"/>
      <c r="L244" s="1378"/>
      <c r="M244" s="1378"/>
      <c r="N244" s="1378"/>
      <c r="O244" s="1378"/>
      <c r="P244" s="1378"/>
      <c r="Q244" s="1020"/>
    </row>
    <row r="245" spans="1:32" ht="11.45" customHeight="1">
      <c r="A245" s="3647"/>
      <c r="B245" s="3648"/>
      <c r="C245" s="3648"/>
      <c r="D245" s="3648"/>
      <c r="E245" s="3648"/>
      <c r="F245" s="3648"/>
      <c r="G245" s="3648"/>
      <c r="H245" s="3648"/>
      <c r="I245" s="3648"/>
      <c r="J245" s="3648"/>
      <c r="K245" s="3648"/>
      <c r="L245" s="3648"/>
      <c r="M245" s="3648"/>
      <c r="N245" s="3648"/>
      <c r="O245" s="3648"/>
      <c r="P245" s="3648"/>
      <c r="Q245" s="3649"/>
      <c r="R245" s="509" t="s">
        <v>1254</v>
      </c>
      <c r="S245" s="510"/>
      <c r="U245" s="139"/>
      <c r="V245" s="139"/>
      <c r="W245" s="139"/>
      <c r="X245" s="139"/>
      <c r="Y245" s="139"/>
      <c r="Z245" s="139"/>
      <c r="AA245" s="139"/>
      <c r="AB245" s="139"/>
      <c r="AC245" s="139"/>
      <c r="AD245" s="139"/>
      <c r="AE245" s="529"/>
    </row>
    <row r="246" spans="1:32" ht="11.25" customHeight="1">
      <c r="B246" s="140" t="s">
        <v>1866</v>
      </c>
      <c r="C246" s="141"/>
      <c r="D246" s="1379"/>
      <c r="E246" s="1379"/>
      <c r="F246" s="1379"/>
      <c r="G246" s="1379"/>
      <c r="H246" s="1379"/>
      <c r="I246" s="1379"/>
      <c r="J246" s="1379"/>
      <c r="K246" s="1379"/>
      <c r="L246" s="1379"/>
      <c r="M246" s="1379"/>
      <c r="N246" s="1379"/>
      <c r="O246" s="1379"/>
      <c r="P246" s="1379"/>
      <c r="Q246" s="1379"/>
    </row>
    <row r="247" spans="1:32" ht="11.25" customHeight="1">
      <c r="A247" s="3603"/>
      <c r="B247" s="3604"/>
      <c r="C247" s="3604"/>
      <c r="D247" s="3604"/>
      <c r="E247" s="3604"/>
      <c r="F247" s="3604"/>
      <c r="G247" s="3604"/>
      <c r="H247" s="3604"/>
      <c r="I247" s="3604"/>
      <c r="J247" s="3604"/>
      <c r="K247" s="3604"/>
      <c r="L247" s="3604"/>
      <c r="M247" s="3604"/>
      <c r="N247" s="3604"/>
      <c r="O247" s="3604"/>
      <c r="P247" s="3604"/>
      <c r="Q247" s="3605"/>
    </row>
    <row r="248" spans="1:32" ht="3" customHeight="1">
      <c r="A248" s="1378"/>
      <c r="B248" s="1385"/>
      <c r="C248" s="1379"/>
      <c r="D248" s="1379"/>
      <c r="E248" s="1379"/>
      <c r="F248" s="1379"/>
      <c r="G248" s="1379"/>
      <c r="H248" s="1379"/>
      <c r="I248" s="1379"/>
      <c r="J248" s="1379"/>
      <c r="K248" s="1379"/>
      <c r="L248" s="1379"/>
      <c r="M248" s="1379"/>
      <c r="Q248" s="1378"/>
    </row>
    <row r="249" spans="1:32" ht="14.1" customHeight="1">
      <c r="A249" s="1384" t="s">
        <v>2782</v>
      </c>
      <c r="B249" s="4" t="s">
        <v>2662</v>
      </c>
      <c r="C249" s="4"/>
      <c r="D249" s="88"/>
      <c r="E249" s="88"/>
      <c r="F249" s="88"/>
      <c r="G249" s="88"/>
      <c r="H249" s="1379"/>
      <c r="I249" s="1379"/>
      <c r="J249" s="1379"/>
      <c r="K249" s="1379"/>
      <c r="L249" s="2679"/>
      <c r="M249" s="2680"/>
      <c r="O249" s="135" t="s">
        <v>1867</v>
      </c>
      <c r="P249" s="3606"/>
      <c r="Q249" s="3607"/>
    </row>
    <row r="250" spans="1:32" ht="11.45" customHeight="1">
      <c r="A250" s="47" t="s">
        <v>1983</v>
      </c>
      <c r="B250" s="52" t="s">
        <v>1268</v>
      </c>
      <c r="D250" s="42"/>
      <c r="E250" s="52"/>
      <c r="F250" s="52"/>
      <c r="J250" s="527" t="s">
        <v>1983</v>
      </c>
      <c r="K250" s="3633" t="s">
        <v>1771</v>
      </c>
      <c r="L250" s="3634"/>
      <c r="M250" s="3634"/>
      <c r="N250" s="3634"/>
      <c r="O250" s="3635"/>
      <c r="P250" s="3721" t="s">
        <v>1771</v>
      </c>
      <c r="Q250" s="3722"/>
    </row>
    <row r="251" spans="1:32" ht="11.45" customHeight="1">
      <c r="A251" s="47" t="s">
        <v>1985</v>
      </c>
      <c r="B251" s="52" t="s">
        <v>2812</v>
      </c>
      <c r="D251" s="52"/>
      <c r="E251" s="52"/>
      <c r="F251" s="52"/>
      <c r="J251" s="527" t="s">
        <v>1985</v>
      </c>
      <c r="K251" s="3718"/>
      <c r="L251" s="3719"/>
      <c r="M251" s="3719"/>
      <c r="N251" s="3719"/>
      <c r="O251" s="3720"/>
      <c r="P251" s="3683"/>
      <c r="Q251" s="3684"/>
    </row>
    <row r="252" spans="1:32" s="151" customFormat="1" ht="11.45" customHeight="1">
      <c r="A252" s="47"/>
      <c r="B252" s="52" t="s">
        <v>1945</v>
      </c>
      <c r="D252" s="52"/>
      <c r="E252" s="52"/>
      <c r="F252" s="52"/>
      <c r="K252" s="3626"/>
      <c r="L252" s="3653"/>
      <c r="M252" s="3653"/>
      <c r="N252" s="3653"/>
      <c r="O252" s="3627"/>
      <c r="P252" s="3685"/>
      <c r="Q252" s="3686"/>
      <c r="AE252" s="531"/>
      <c r="AF252" s="531"/>
    </row>
    <row r="253" spans="1:32" s="151" customFormat="1" ht="11.45" customHeight="1">
      <c r="A253" s="47"/>
      <c r="B253" s="52" t="s">
        <v>2543</v>
      </c>
      <c r="D253" s="52"/>
      <c r="E253" s="52"/>
      <c r="F253" s="52"/>
      <c r="G253" s="52"/>
      <c r="H253" s="52"/>
      <c r="I253" s="96"/>
      <c r="J253" s="96"/>
      <c r="M253" s="36"/>
      <c r="N253" s="1180"/>
      <c r="O253" s="527"/>
      <c r="P253" s="422"/>
      <c r="Q253" s="618"/>
      <c r="AE253" s="531"/>
      <c r="AF253" s="531"/>
    </row>
    <row r="254" spans="1:32" s="151" customFormat="1" ht="11.45" customHeight="1">
      <c r="A254" s="47" t="s">
        <v>749</v>
      </c>
      <c r="B254" s="52" t="s">
        <v>4914</v>
      </c>
      <c r="D254" s="52"/>
      <c r="E254" s="52"/>
      <c r="F254" s="52"/>
      <c r="J254" s="527" t="s">
        <v>749</v>
      </c>
      <c r="K254" s="3687"/>
      <c r="L254" s="3688"/>
      <c r="M254" s="3688"/>
      <c r="N254" s="3688"/>
      <c r="O254" s="3689"/>
      <c r="P254" s="3690"/>
      <c r="Q254" s="3691"/>
      <c r="AE254" s="531"/>
      <c r="AF254" s="531"/>
    </row>
    <row r="255" spans="1:32" s="151" customFormat="1" ht="11.45" customHeight="1">
      <c r="A255" s="47"/>
      <c r="B255" s="52" t="s">
        <v>4774</v>
      </c>
      <c r="D255" s="52"/>
      <c r="E255" s="52"/>
      <c r="F255" s="52"/>
      <c r="AE255" s="531"/>
      <c r="AF255" s="531"/>
    </row>
    <row r="256" spans="1:32" s="151" customFormat="1" ht="11.45" customHeight="1">
      <c r="A256" s="47"/>
      <c r="C256" s="52" t="s">
        <v>4771</v>
      </c>
      <c r="D256" s="52"/>
      <c r="E256" s="52"/>
      <c r="F256" s="52"/>
      <c r="K256" s="527" t="s">
        <v>4770</v>
      </c>
      <c r="L256" s="2415"/>
      <c r="M256" s="36"/>
      <c r="N256" s="1180"/>
      <c r="O256" s="1180"/>
      <c r="P256" s="238"/>
      <c r="Q256" s="617"/>
      <c r="AE256" s="531"/>
      <c r="AF256" s="531"/>
    </row>
    <row r="257" spans="1:32" s="151" customFormat="1" ht="11.45" customHeight="1">
      <c r="A257" s="47"/>
      <c r="B257" s="52"/>
      <c r="C257" s="55" t="s">
        <v>4772</v>
      </c>
      <c r="D257" s="52"/>
      <c r="E257" s="52"/>
      <c r="F257" s="52"/>
      <c r="K257" s="527" t="s">
        <v>4773</v>
      </c>
      <c r="L257" s="2416"/>
      <c r="M257" s="36"/>
      <c r="N257" s="1180"/>
      <c r="O257" s="1180"/>
      <c r="P257" s="239"/>
      <c r="Q257" s="619"/>
      <c r="AE257" s="531"/>
      <c r="AF257" s="531"/>
    </row>
    <row r="258" spans="1:32" s="151" customFormat="1" ht="11.45" customHeight="1">
      <c r="A258" s="47"/>
      <c r="B258" s="52" t="s">
        <v>4769</v>
      </c>
      <c r="D258" s="52"/>
      <c r="E258" s="52"/>
      <c r="F258" s="52"/>
      <c r="K258" s="3633"/>
      <c r="L258" s="3634"/>
      <c r="M258" s="3634"/>
      <c r="N258" s="3634"/>
      <c r="O258" s="3635"/>
      <c r="P258" s="3703"/>
      <c r="Q258" s="3704"/>
      <c r="AE258" s="531"/>
      <c r="AF258" s="531"/>
    </row>
    <row r="259" spans="1:32" s="151" customFormat="1" ht="11.45" customHeight="1">
      <c r="A259" s="47" t="s">
        <v>2115</v>
      </c>
      <c r="B259" s="52" t="s">
        <v>3909</v>
      </c>
      <c r="D259" s="52"/>
      <c r="E259" s="52"/>
      <c r="F259" s="52"/>
      <c r="G259" s="52"/>
      <c r="H259" s="52"/>
      <c r="I259" s="96"/>
      <c r="J259" s="96"/>
      <c r="K259" s="96"/>
      <c r="M259" s="36"/>
      <c r="N259" s="1180"/>
      <c r="O259" s="527" t="s">
        <v>2115</v>
      </c>
      <c r="P259" s="238"/>
      <c r="Q259" s="617"/>
      <c r="AE259" s="531"/>
      <c r="AF259" s="531"/>
    </row>
    <row r="260" spans="1:32" s="151" customFormat="1" ht="11.45" customHeight="1">
      <c r="A260" s="47"/>
      <c r="B260" s="3602" t="s">
        <v>3764</v>
      </c>
      <c r="C260" s="3602"/>
      <c r="D260" s="3602"/>
      <c r="E260" s="3602"/>
      <c r="F260" s="3602"/>
      <c r="G260" s="3602"/>
      <c r="H260" s="495" t="s">
        <v>4118</v>
      </c>
      <c r="K260" s="96"/>
      <c r="M260" s="36"/>
      <c r="N260" s="1180"/>
      <c r="O260" s="66" t="s">
        <v>1737</v>
      </c>
      <c r="P260" s="422"/>
      <c r="Q260" s="618"/>
      <c r="AE260" s="531"/>
      <c r="AF260" s="531"/>
    </row>
    <row r="261" spans="1:32" s="151" customFormat="1" ht="11.45" customHeight="1">
      <c r="A261" s="47"/>
      <c r="B261" s="3602"/>
      <c r="C261" s="3602"/>
      <c r="D261" s="3602"/>
      <c r="E261" s="3602"/>
      <c r="F261" s="3602"/>
      <c r="G261" s="3602"/>
      <c r="H261" s="55" t="s">
        <v>4119</v>
      </c>
      <c r="K261" s="96"/>
      <c r="M261" s="36"/>
      <c r="N261" s="1180"/>
      <c r="O261" s="66" t="s">
        <v>1738</v>
      </c>
      <c r="P261" s="422"/>
      <c r="Q261" s="618"/>
      <c r="AE261" s="531"/>
      <c r="AF261" s="531"/>
    </row>
    <row r="262" spans="1:32" s="151" customFormat="1" ht="11.45" customHeight="1">
      <c r="A262" s="47"/>
      <c r="B262" s="52"/>
      <c r="D262" s="52"/>
      <c r="E262" s="52"/>
      <c r="F262" s="52"/>
      <c r="G262" s="52"/>
      <c r="H262" s="55" t="s">
        <v>4120</v>
      </c>
      <c r="K262" s="96"/>
      <c r="M262" s="36"/>
      <c r="N262" s="1180"/>
      <c r="O262" s="66" t="s">
        <v>1739</v>
      </c>
      <c r="P262" s="422"/>
      <c r="Q262" s="618"/>
      <c r="AE262" s="531"/>
      <c r="AF262" s="531"/>
    </row>
    <row r="263" spans="1:32" s="151" customFormat="1" ht="11.45" customHeight="1">
      <c r="A263" s="47"/>
      <c r="B263" s="52"/>
      <c r="D263" s="52"/>
      <c r="E263" s="52"/>
      <c r="F263" s="52"/>
      <c r="G263" s="52"/>
      <c r="H263" s="55" t="s">
        <v>4121</v>
      </c>
      <c r="K263" s="96"/>
      <c r="M263" s="36"/>
      <c r="N263" s="1180"/>
      <c r="O263" s="527" t="s">
        <v>2365</v>
      </c>
      <c r="P263" s="422"/>
      <c r="Q263" s="618"/>
      <c r="AE263" s="531"/>
      <c r="AF263" s="531"/>
    </row>
    <row r="264" spans="1:32" s="151" customFormat="1" ht="21.75" customHeight="1">
      <c r="B264" s="3602" t="s">
        <v>3910</v>
      </c>
      <c r="C264" s="3602"/>
      <c r="D264" s="3602"/>
      <c r="E264" s="3602"/>
      <c r="F264" s="3602"/>
      <c r="G264" s="3602"/>
      <c r="H264" s="3602"/>
      <c r="I264" s="3602"/>
      <c r="J264" s="3602"/>
      <c r="K264" s="3602"/>
      <c r="L264" s="3602"/>
      <c r="M264" s="3602"/>
      <c r="N264" s="3602"/>
      <c r="O264" s="166"/>
      <c r="P264" s="1447"/>
      <c r="Q264" s="1448"/>
      <c r="T264" s="531"/>
      <c r="AE264" s="531"/>
      <c r="AF264" s="531"/>
    </row>
    <row r="265" spans="1:32" s="151" customFormat="1" ht="33.75" customHeight="1">
      <c r="A265" s="145" t="s">
        <v>1735</v>
      </c>
      <c r="B265" s="3602" t="s">
        <v>5088</v>
      </c>
      <c r="C265" s="3602"/>
      <c r="D265" s="3602"/>
      <c r="E265" s="3602"/>
      <c r="F265" s="3602"/>
      <c r="G265" s="3602"/>
      <c r="H265" s="3602"/>
      <c r="I265" s="3602"/>
      <c r="J265" s="3602"/>
      <c r="K265" s="3602"/>
      <c r="L265" s="3602"/>
      <c r="M265" s="3602"/>
      <c r="N265" s="3602"/>
      <c r="O265" s="166" t="s">
        <v>1735</v>
      </c>
      <c r="P265" s="2677"/>
      <c r="Q265" s="2676"/>
      <c r="T265" s="531"/>
      <c r="AE265" s="531"/>
      <c r="AF265" s="531"/>
    </row>
    <row r="266" spans="1:32" s="151" customFormat="1" ht="21.75" customHeight="1">
      <c r="B266" s="3602" t="s">
        <v>5087</v>
      </c>
      <c r="C266" s="3602"/>
      <c r="D266" s="3602"/>
      <c r="E266" s="3602"/>
      <c r="F266" s="3602"/>
      <c r="G266" s="3602"/>
      <c r="H266" s="3602"/>
      <c r="I266" s="3602"/>
      <c r="J266" s="3602"/>
      <c r="K266" s="3602"/>
      <c r="L266" s="3602"/>
      <c r="M266" s="3602"/>
      <c r="N266" s="3602"/>
      <c r="O266" s="166"/>
      <c r="P266" s="2675"/>
      <c r="Q266" s="2674"/>
      <c r="T266" s="531"/>
      <c r="AE266" s="531"/>
      <c r="AF266" s="531"/>
    </row>
    <row r="267" spans="1:32" ht="11.45" customHeight="1">
      <c r="B267" s="66" t="s">
        <v>1737</v>
      </c>
      <c r="C267" s="1021" t="s">
        <v>5085</v>
      </c>
      <c r="E267" s="1021"/>
      <c r="F267" s="1021"/>
      <c r="L267" s="33"/>
      <c r="M267" s="33"/>
      <c r="O267" s="66" t="s">
        <v>1737</v>
      </c>
      <c r="P267" s="2554"/>
      <c r="Q267" s="2555"/>
    </row>
    <row r="268" spans="1:32" ht="11.45" customHeight="1">
      <c r="B268" s="66"/>
      <c r="D268" s="55" t="s">
        <v>3866</v>
      </c>
      <c r="E268" s="3489"/>
      <c r="F268" s="3490"/>
      <c r="G268" s="3491"/>
      <c r="H268" s="1021" t="s">
        <v>4955</v>
      </c>
      <c r="I268" s="3489" t="s">
        <v>4956</v>
      </c>
      <c r="J268" s="3490"/>
      <c r="K268" s="3491"/>
      <c r="L268" s="138" t="s">
        <v>4957</v>
      </c>
      <c r="M268" s="3489"/>
      <c r="N268" s="3490"/>
      <c r="O268" s="3490"/>
      <c r="P268" s="3490"/>
      <c r="Q268" s="3491"/>
      <c r="U268" s="450"/>
    </row>
    <row r="269" spans="1:32" ht="11.45" customHeight="1">
      <c r="A269" s="47"/>
      <c r="B269" s="66" t="s">
        <v>1738</v>
      </c>
      <c r="C269" s="1021" t="s">
        <v>5086</v>
      </c>
      <c r="E269" s="1021"/>
      <c r="F269" s="1021"/>
      <c r="G269" s="1021"/>
      <c r="H269" s="1021"/>
      <c r="I269" s="42"/>
      <c r="J269" s="33"/>
      <c r="K269" s="42"/>
      <c r="L269" s="33"/>
      <c r="M269" s="33"/>
      <c r="O269" s="66" t="s">
        <v>1738</v>
      </c>
      <c r="P269" s="542"/>
      <c r="Q269" s="616"/>
      <c r="S269" s="66"/>
      <c r="U269" s="450"/>
    </row>
    <row r="270" spans="1:32" ht="11.45" customHeight="1">
      <c r="A270" s="47"/>
      <c r="B270" s="66"/>
      <c r="D270" s="55" t="s">
        <v>2301</v>
      </c>
      <c r="E270" s="3489"/>
      <c r="F270" s="3490"/>
      <c r="G270" s="3491"/>
      <c r="H270" s="138" t="s">
        <v>1800</v>
      </c>
      <c r="I270" s="3489"/>
      <c r="J270" s="3490"/>
      <c r="K270" s="3490"/>
      <c r="L270" s="3490"/>
      <c r="M270" s="3491"/>
      <c r="S270" s="66"/>
      <c r="U270" s="450"/>
    </row>
    <row r="271" spans="1:32" ht="11.25" customHeight="1">
      <c r="B271" s="144" t="s">
        <v>3756</v>
      </c>
      <c r="D271" s="144"/>
      <c r="E271" s="144"/>
      <c r="F271" s="144"/>
      <c r="G271" s="144"/>
      <c r="H271" s="40"/>
      <c r="I271" s="1385"/>
      <c r="J271" s="1385"/>
      <c r="K271" s="1385"/>
      <c r="L271" s="1378"/>
      <c r="M271" s="1378"/>
      <c r="N271" s="1378"/>
      <c r="O271" s="1378"/>
      <c r="P271" s="1378"/>
      <c r="Q271" s="1020"/>
    </row>
    <row r="272" spans="1:32" ht="13.35" customHeight="1">
      <c r="A272" s="3647"/>
      <c r="B272" s="3648"/>
      <c r="C272" s="3648"/>
      <c r="D272" s="3648"/>
      <c r="E272" s="3648"/>
      <c r="F272" s="3648"/>
      <c r="G272" s="3648"/>
      <c r="H272" s="3648"/>
      <c r="I272" s="3648"/>
      <c r="J272" s="3648"/>
      <c r="K272" s="3648"/>
      <c r="L272" s="3648"/>
      <c r="M272" s="3648"/>
      <c r="N272" s="3648"/>
      <c r="O272" s="3648"/>
      <c r="P272" s="3648"/>
      <c r="Q272" s="3649"/>
      <c r="R272" s="509" t="s">
        <v>1254</v>
      </c>
      <c r="S272" s="510"/>
      <c r="U272" s="139"/>
      <c r="V272" s="139"/>
      <c r="W272" s="139"/>
      <c r="X272" s="139"/>
      <c r="Y272" s="139"/>
      <c r="Z272" s="139"/>
      <c r="AA272" s="139"/>
      <c r="AB272" s="139"/>
      <c r="AC272" s="139"/>
      <c r="AD272" s="139"/>
      <c r="AE272" s="529"/>
    </row>
    <row r="273" spans="1:32" ht="11.1" customHeight="1">
      <c r="B273" s="140" t="s">
        <v>1866</v>
      </c>
      <c r="C273" s="141"/>
      <c r="D273" s="1379"/>
      <c r="E273" s="1379"/>
      <c r="F273" s="1379"/>
      <c r="G273" s="1379"/>
      <c r="H273" s="1379"/>
      <c r="I273" s="1379"/>
      <c r="J273" s="1379"/>
      <c r="K273" s="1379"/>
      <c r="L273" s="1379"/>
      <c r="M273" s="1379"/>
      <c r="N273" s="1379"/>
      <c r="O273" s="1379"/>
      <c r="P273" s="1379"/>
      <c r="Q273" s="1379"/>
    </row>
    <row r="274" spans="1:32" ht="13.35" customHeight="1">
      <c r="A274" s="3603"/>
      <c r="B274" s="3604"/>
      <c r="C274" s="3604"/>
      <c r="D274" s="3604"/>
      <c r="E274" s="3604"/>
      <c r="F274" s="3604"/>
      <c r="G274" s="3604"/>
      <c r="H274" s="3604"/>
      <c r="I274" s="3604"/>
      <c r="J274" s="3604"/>
      <c r="K274" s="3604"/>
      <c r="L274" s="3604"/>
      <c r="M274" s="3604"/>
      <c r="N274" s="3604"/>
      <c r="O274" s="3604"/>
      <c r="P274" s="3604"/>
      <c r="Q274" s="3605"/>
    </row>
    <row r="275" spans="1:32" ht="3" customHeight="1">
      <c r="A275" s="1378"/>
      <c r="B275" s="1385"/>
      <c r="C275" s="1379"/>
      <c r="D275" s="1379"/>
      <c r="E275" s="1379"/>
      <c r="F275" s="1379"/>
      <c r="G275" s="1379"/>
      <c r="H275" s="1379"/>
      <c r="I275" s="1379"/>
      <c r="J275" s="1379"/>
      <c r="K275" s="1379"/>
      <c r="L275" s="1379"/>
      <c r="M275" s="1379"/>
      <c r="Q275" s="1378"/>
    </row>
    <row r="276" spans="1:32" ht="14.1" customHeight="1">
      <c r="A276" s="1384" t="s">
        <v>2251</v>
      </c>
      <c r="B276" s="4" t="s">
        <v>2663</v>
      </c>
      <c r="C276" s="4"/>
      <c r="D276" s="88"/>
      <c r="E276" s="88"/>
      <c r="F276" s="88"/>
      <c r="G276" s="88"/>
      <c r="H276" s="1379"/>
      <c r="I276" s="1379"/>
      <c r="J276" s="1379"/>
      <c r="K276" s="1379"/>
      <c r="L276" s="1379"/>
      <c r="M276" s="1379"/>
      <c r="O276" s="135" t="s">
        <v>1867</v>
      </c>
      <c r="P276" s="3606"/>
      <c r="Q276" s="3607"/>
    </row>
    <row r="277" spans="1:32" s="474" customFormat="1" ht="21.75" customHeight="1">
      <c r="A277" s="145" t="s">
        <v>1983</v>
      </c>
      <c r="B277" s="3602" t="s">
        <v>4968</v>
      </c>
      <c r="C277" s="3602"/>
      <c r="D277" s="3602"/>
      <c r="E277" s="3602"/>
      <c r="F277" s="3602"/>
      <c r="G277" s="3602"/>
      <c r="H277" s="3602"/>
      <c r="I277" s="3602"/>
      <c r="J277" s="3602"/>
      <c r="K277" s="3602"/>
      <c r="L277" s="3602"/>
      <c r="M277" s="3602"/>
      <c r="N277" s="3602"/>
      <c r="O277" s="166" t="s">
        <v>1983</v>
      </c>
      <c r="P277" s="1389" t="s">
        <v>2990</v>
      </c>
      <c r="Q277" s="1388"/>
      <c r="AE277" s="532"/>
      <c r="AF277" s="532"/>
    </row>
    <row r="278" spans="1:32" s="151" customFormat="1" ht="11.45" customHeight="1">
      <c r="A278" s="47"/>
      <c r="B278" s="52" t="s">
        <v>3759</v>
      </c>
      <c r="D278" s="52"/>
      <c r="E278" s="52"/>
      <c r="F278" s="52"/>
      <c r="G278" s="52"/>
      <c r="H278" s="52"/>
      <c r="I278" s="52"/>
      <c r="J278" s="52"/>
      <c r="K278" s="52"/>
      <c r="L278" s="52"/>
      <c r="M278" s="52"/>
      <c r="O278" s="527"/>
      <c r="P278" s="239" t="s">
        <v>2990</v>
      </c>
      <c r="Q278" s="619"/>
      <c r="AE278" s="531"/>
      <c r="AF278" s="531"/>
    </row>
    <row r="279" spans="1:32" s="151" customFormat="1" ht="11.45" customHeight="1">
      <c r="A279" s="47" t="s">
        <v>1985</v>
      </c>
      <c r="B279" s="52" t="s">
        <v>3760</v>
      </c>
      <c r="D279" s="52"/>
      <c r="E279" s="52"/>
      <c r="F279" s="52"/>
      <c r="G279" s="52"/>
      <c r="H279" s="52"/>
      <c r="I279" s="52"/>
      <c r="J279" s="52"/>
      <c r="K279" s="52"/>
      <c r="L279" s="52"/>
      <c r="M279" s="52"/>
      <c r="O279" s="527" t="s">
        <v>1985</v>
      </c>
      <c r="P279" s="239" t="s">
        <v>2990</v>
      </c>
      <c r="Q279" s="619"/>
      <c r="AE279" s="531"/>
      <c r="AF279" s="531"/>
    </row>
    <row r="280" spans="1:32" s="151" customFormat="1" ht="11.45" customHeight="1">
      <c r="A280" s="47" t="s">
        <v>749</v>
      </c>
      <c r="B280" s="52" t="s">
        <v>4122</v>
      </c>
      <c r="D280" s="52"/>
      <c r="E280" s="52"/>
      <c r="F280" s="52"/>
      <c r="G280" s="52"/>
      <c r="H280" s="52"/>
      <c r="I280" s="52"/>
      <c r="J280" s="52"/>
      <c r="K280" s="52"/>
      <c r="L280" s="52"/>
      <c r="M280" s="52"/>
      <c r="O280" s="527" t="s">
        <v>749</v>
      </c>
      <c r="P280" s="238" t="s">
        <v>2990</v>
      </c>
      <c r="Q280" s="617"/>
      <c r="AE280" s="531"/>
      <c r="AF280" s="531"/>
    </row>
    <row r="281" spans="1:32" s="151" customFormat="1" ht="11.45" customHeight="1">
      <c r="A281" s="47"/>
      <c r="B281" s="52" t="s">
        <v>3761</v>
      </c>
      <c r="D281" s="52"/>
      <c r="E281" s="52"/>
      <c r="F281" s="52"/>
      <c r="G281" s="52"/>
      <c r="H281" s="52"/>
      <c r="I281" s="52"/>
      <c r="J281" s="52"/>
      <c r="K281" s="52"/>
      <c r="L281" s="52"/>
      <c r="M281" s="52"/>
      <c r="O281" s="527"/>
      <c r="P281" s="239" t="s">
        <v>2990</v>
      </c>
      <c r="Q281" s="619"/>
      <c r="AE281" s="531"/>
      <c r="AF281" s="531"/>
    </row>
    <row r="282" spans="1:32" s="151" customFormat="1" ht="22.5" customHeight="1">
      <c r="A282" s="145" t="s">
        <v>2115</v>
      </c>
      <c r="B282" s="3602" t="s">
        <v>4971</v>
      </c>
      <c r="C282" s="3602"/>
      <c r="D282" s="3602"/>
      <c r="E282" s="3602"/>
      <c r="F282" s="3602"/>
      <c r="G282" s="3602"/>
      <c r="H282" s="3602"/>
      <c r="I282" s="3602"/>
      <c r="J282" s="3602"/>
      <c r="K282" s="3602"/>
      <c r="L282" s="3602"/>
      <c r="M282" s="3602"/>
      <c r="N282" s="3602"/>
      <c r="O282" s="527" t="s">
        <v>2115</v>
      </c>
      <c r="P282" s="1447" t="s">
        <v>2990</v>
      </c>
      <c r="Q282" s="1448"/>
      <c r="AE282" s="531"/>
      <c r="AF282" s="531"/>
    </row>
    <row r="283" spans="1:32" ht="11.25" customHeight="1">
      <c r="B283" s="144" t="s">
        <v>3756</v>
      </c>
      <c r="D283" s="144"/>
      <c r="E283" s="144"/>
      <c r="F283" s="144"/>
      <c r="G283" s="144"/>
      <c r="H283" s="40"/>
      <c r="I283" s="1385"/>
      <c r="J283" s="1385"/>
      <c r="K283" s="1385"/>
      <c r="L283" s="1378"/>
      <c r="M283" s="1378"/>
      <c r="N283" s="1378"/>
      <c r="O283" s="1378"/>
      <c r="P283" s="1378"/>
      <c r="Q283" s="1020"/>
    </row>
    <row r="284" spans="1:32" ht="13.35" customHeight="1">
      <c r="A284" s="3647"/>
      <c r="B284" s="3648"/>
      <c r="C284" s="3648"/>
      <c r="D284" s="3648"/>
      <c r="E284" s="3648"/>
      <c r="F284" s="3648"/>
      <c r="G284" s="3648"/>
      <c r="H284" s="3648"/>
      <c r="I284" s="3648"/>
      <c r="J284" s="3648"/>
      <c r="K284" s="3648"/>
      <c r="L284" s="3648"/>
      <c r="M284" s="3648"/>
      <c r="N284" s="3648"/>
      <c r="O284" s="3648"/>
      <c r="P284" s="3648"/>
      <c r="Q284" s="3649"/>
      <c r="R284" s="509" t="s">
        <v>1254</v>
      </c>
      <c r="S284" s="510"/>
      <c r="U284" s="139"/>
      <c r="V284" s="139"/>
      <c r="W284" s="139"/>
      <c r="X284" s="139"/>
      <c r="Y284" s="139"/>
      <c r="Z284" s="139"/>
      <c r="AA284" s="139"/>
      <c r="AB284" s="139"/>
      <c r="AC284" s="139"/>
      <c r="AD284" s="139"/>
      <c r="AE284" s="529"/>
    </row>
    <row r="285" spans="1:32" ht="11.25" customHeight="1">
      <c r="B285" s="140" t="s">
        <v>1866</v>
      </c>
      <c r="C285" s="141"/>
      <c r="D285" s="1379"/>
      <c r="E285" s="1379"/>
      <c r="F285" s="1379"/>
      <c r="G285" s="1379"/>
      <c r="H285" s="1379"/>
      <c r="I285" s="1379"/>
      <c r="J285" s="1379"/>
      <c r="K285" s="1379"/>
      <c r="L285" s="1379"/>
      <c r="M285" s="1379"/>
      <c r="N285" s="1379"/>
      <c r="O285" s="1379"/>
      <c r="P285" s="1379"/>
      <c r="Q285" s="1379"/>
    </row>
    <row r="286" spans="1:32" ht="13.35" customHeight="1">
      <c r="A286" s="3603"/>
      <c r="B286" s="3604"/>
      <c r="C286" s="3604"/>
      <c r="D286" s="3604"/>
      <c r="E286" s="3604"/>
      <c r="F286" s="3604"/>
      <c r="G286" s="3604"/>
      <c r="H286" s="3604"/>
      <c r="I286" s="3604"/>
      <c r="J286" s="3604"/>
      <c r="K286" s="3604"/>
      <c r="L286" s="3604"/>
      <c r="M286" s="3604"/>
      <c r="N286" s="3604"/>
      <c r="O286" s="3604"/>
      <c r="P286" s="3604"/>
      <c r="Q286" s="3605"/>
    </row>
    <row r="287" spans="1:32" ht="3" customHeight="1"/>
    <row r="288" spans="1:32" ht="14.1" customHeight="1">
      <c r="A288" s="1384" t="s">
        <v>4104</v>
      </c>
      <c r="B288" s="1384" t="s">
        <v>2664</v>
      </c>
      <c r="C288" s="1384"/>
      <c r="D288" s="1379"/>
      <c r="E288" s="1379"/>
      <c r="F288" s="1379"/>
      <c r="G288" s="1379"/>
      <c r="H288" s="1379"/>
      <c r="I288" s="1379"/>
      <c r="J288" s="1379"/>
      <c r="K288" s="1379"/>
      <c r="L288" s="1379"/>
      <c r="M288" s="1379"/>
      <c r="O288" s="135" t="s">
        <v>1867</v>
      </c>
      <c r="P288" s="3606"/>
      <c r="Q288" s="3607"/>
    </row>
    <row r="289" spans="1:32" s="474" customFormat="1" ht="33" customHeight="1">
      <c r="A289" s="145" t="s">
        <v>1983</v>
      </c>
      <c r="B289" s="3602" t="s">
        <v>4970</v>
      </c>
      <c r="C289" s="3602"/>
      <c r="D289" s="3602"/>
      <c r="E289" s="3602"/>
      <c r="F289" s="3602"/>
      <c r="G289" s="3602"/>
      <c r="H289" s="3602"/>
      <c r="I289" s="3602"/>
      <c r="J289" s="3602"/>
      <c r="K289" s="3602"/>
      <c r="L289" s="3602"/>
      <c r="M289" s="3602"/>
      <c r="N289" s="3602"/>
      <c r="O289" s="166" t="s">
        <v>1983</v>
      </c>
      <c r="P289" s="1422" t="s">
        <v>5272</v>
      </c>
      <c r="Q289" s="1421"/>
      <c r="AE289" s="532"/>
      <c r="AF289" s="532"/>
    </row>
    <row r="290" spans="1:32" s="474" customFormat="1" ht="21.75" customHeight="1">
      <c r="A290" s="145"/>
      <c r="B290" s="3602" t="s">
        <v>2814</v>
      </c>
      <c r="C290" s="3602"/>
      <c r="D290" s="3602"/>
      <c r="E290" s="3602"/>
      <c r="F290" s="3602"/>
      <c r="G290" s="3602"/>
      <c r="H290" s="3602"/>
      <c r="I290" s="3602"/>
      <c r="J290" s="3602"/>
      <c r="K290" s="3602"/>
      <c r="L290" s="3602"/>
      <c r="M290" s="3602"/>
      <c r="N290" s="3602"/>
      <c r="O290" s="166"/>
      <c r="P290" s="1426" t="s">
        <v>5272</v>
      </c>
      <c r="Q290" s="1423"/>
      <c r="AE290" s="532"/>
      <c r="AF290" s="532"/>
    </row>
    <row r="291" spans="1:32" s="27" customFormat="1" ht="11.45" customHeight="1">
      <c r="A291" s="142" t="s">
        <v>1985</v>
      </c>
      <c r="B291" s="197" t="s">
        <v>310</v>
      </c>
      <c r="C291" s="163"/>
      <c r="D291" s="660"/>
      <c r="E291" s="660"/>
      <c r="F291" s="163"/>
      <c r="H291" s="163"/>
      <c r="I291" s="163"/>
      <c r="J291" s="2468" t="s">
        <v>4789</v>
      </c>
      <c r="K291" s="3662" t="s">
        <v>3773</v>
      </c>
      <c r="L291" s="3663"/>
      <c r="M291" s="3663"/>
      <c r="N291" s="3664"/>
      <c r="O291" s="527" t="s">
        <v>1985</v>
      </c>
      <c r="P291" s="2706" t="s">
        <v>5272</v>
      </c>
      <c r="Q291" s="2705"/>
      <c r="R291" s="1179"/>
      <c r="S291" s="1395"/>
    </row>
    <row r="292" spans="1:32" s="27" customFormat="1" ht="11.45" customHeight="1">
      <c r="A292" s="142"/>
      <c r="B292" s="197"/>
      <c r="C292" s="163"/>
      <c r="D292" s="660"/>
      <c r="E292" s="660"/>
      <c r="F292" s="163"/>
      <c r="H292" s="163"/>
      <c r="I292" s="163"/>
      <c r="J292" s="2468" t="s">
        <v>4972</v>
      </c>
      <c r="K292" s="3662"/>
      <c r="L292" s="3663"/>
      <c r="M292" s="3663"/>
      <c r="N292" s="3664"/>
      <c r="O292" s="527"/>
      <c r="P292" s="527"/>
      <c r="Q292" s="527"/>
      <c r="R292" s="527"/>
      <c r="S292" s="1395"/>
    </row>
    <row r="293" spans="1:32" s="105" customFormat="1" ht="11.45" customHeight="1">
      <c r="A293" s="42"/>
      <c r="B293" s="144" t="s">
        <v>3756</v>
      </c>
      <c r="C293" s="42"/>
      <c r="D293" s="48"/>
      <c r="E293" s="48"/>
      <c r="F293" s="48"/>
      <c r="G293" s="48"/>
      <c r="K293" s="36"/>
      <c r="M293" s="46"/>
      <c r="N293" s="6"/>
      <c r="O293" s="3"/>
      <c r="P293" s="2409"/>
    </row>
    <row r="294" spans="1:32" s="43" customFormat="1" ht="21.75" customHeight="1">
      <c r="A294" s="3647"/>
      <c r="B294" s="3648"/>
      <c r="C294" s="3648"/>
      <c r="D294" s="3648"/>
      <c r="E294" s="3648"/>
      <c r="F294" s="3648"/>
      <c r="G294" s="3648"/>
      <c r="H294" s="3648"/>
      <c r="I294" s="3648"/>
      <c r="J294" s="3648"/>
      <c r="K294" s="3648"/>
      <c r="L294" s="3648"/>
      <c r="M294" s="3648"/>
      <c r="N294" s="3648"/>
      <c r="O294" s="3648"/>
      <c r="P294" s="3648"/>
      <c r="Q294" s="3649"/>
      <c r="R294" s="509" t="s">
        <v>1254</v>
      </c>
    </row>
    <row r="295" spans="1:32" s="43" customFormat="1" ht="11.25" customHeight="1">
      <c r="A295" s="35"/>
      <c r="B295" s="140" t="s">
        <v>1866</v>
      </c>
      <c r="C295" s="141"/>
      <c r="D295" s="2678"/>
      <c r="E295" s="2678"/>
      <c r="F295" s="2678"/>
      <c r="G295" s="2678"/>
      <c r="H295" s="2678"/>
      <c r="I295" s="2678"/>
      <c r="J295" s="2678"/>
      <c r="K295" s="2678"/>
      <c r="L295" s="2678"/>
      <c r="M295" s="2678"/>
      <c r="N295" s="2678"/>
      <c r="O295" s="2678"/>
      <c r="P295" s="2678"/>
      <c r="Q295" s="2678"/>
      <c r="R295" s="35"/>
    </row>
    <row r="296" spans="1:32" s="43" customFormat="1" ht="11.25" customHeight="1">
      <c r="A296" s="3603"/>
      <c r="B296" s="3604"/>
      <c r="C296" s="3604"/>
      <c r="D296" s="3604"/>
      <c r="E296" s="3604"/>
      <c r="F296" s="3604"/>
      <c r="G296" s="3604"/>
      <c r="H296" s="3604"/>
      <c r="I296" s="3604"/>
      <c r="J296" s="3604"/>
      <c r="K296" s="3604"/>
      <c r="L296" s="3604"/>
      <c r="M296" s="3604"/>
      <c r="N296" s="3604"/>
      <c r="O296" s="3604"/>
      <c r="P296" s="3604"/>
      <c r="Q296" s="3605"/>
      <c r="R296" s="35"/>
    </row>
    <row r="297" spans="1:32" s="43" customFormat="1" ht="3" customHeight="1">
      <c r="A297" s="42"/>
      <c r="D297" s="39"/>
      <c r="E297" s="36"/>
      <c r="F297" s="1011"/>
      <c r="G297" s="1011"/>
      <c r="H297" s="1011"/>
      <c r="I297" s="1011"/>
      <c r="J297" s="1021"/>
      <c r="K297" s="1021"/>
      <c r="L297" s="1021"/>
      <c r="M297" s="60"/>
      <c r="N297" s="1011"/>
      <c r="O297" s="2410"/>
      <c r="P297" s="3"/>
    </row>
    <row r="298" spans="1:32" ht="14.1" customHeight="1">
      <c r="A298" s="1384" t="s">
        <v>4105</v>
      </c>
      <c r="B298" s="1384" t="s">
        <v>2665</v>
      </c>
      <c r="C298" s="152"/>
      <c r="D298" s="1382"/>
      <c r="E298" s="1379"/>
      <c r="F298" s="1379"/>
      <c r="G298" s="1379"/>
      <c r="H298" s="1379"/>
      <c r="I298" s="1379"/>
      <c r="J298" s="1379"/>
      <c r="K298" s="1379"/>
      <c r="L298" s="1379"/>
      <c r="M298" s="1379"/>
      <c r="O298" s="135" t="s">
        <v>1867</v>
      </c>
      <c r="P298" s="3606"/>
      <c r="Q298" s="3607"/>
    </row>
    <row r="299" spans="1:32" ht="12.75" customHeight="1">
      <c r="A299" s="14" t="s">
        <v>1983</v>
      </c>
      <c r="B299" s="1384" t="s">
        <v>4124</v>
      </c>
    </row>
    <row r="300" spans="1:32" s="151" customFormat="1" ht="44.25" customHeight="1">
      <c r="A300" s="145"/>
      <c r="B300" s="2579" t="s">
        <v>1737</v>
      </c>
      <c r="C300" s="3602" t="s">
        <v>3913</v>
      </c>
      <c r="D300" s="3602"/>
      <c r="E300" s="3602"/>
      <c r="F300" s="3602"/>
      <c r="G300" s="3602"/>
      <c r="H300" s="3602"/>
      <c r="I300" s="3602"/>
      <c r="J300" s="3602"/>
      <c r="K300" s="3602"/>
      <c r="L300" s="3602"/>
      <c r="M300" s="3602"/>
      <c r="N300" s="3602"/>
      <c r="O300" s="166" t="s">
        <v>2726</v>
      </c>
      <c r="P300" s="1422" t="s">
        <v>2990</v>
      </c>
      <c r="Q300" s="1421"/>
      <c r="AE300" s="531"/>
      <c r="AF300" s="531"/>
    </row>
    <row r="301" spans="1:32" s="474" customFormat="1" ht="12" customHeight="1">
      <c r="A301" s="145"/>
      <c r="B301" s="2579" t="s">
        <v>1738</v>
      </c>
      <c r="C301" s="3602" t="s">
        <v>5212</v>
      </c>
      <c r="D301" s="3602"/>
      <c r="E301" s="3602"/>
      <c r="F301" s="3602"/>
      <c r="G301" s="3602"/>
      <c r="H301" s="3602"/>
      <c r="I301" s="3602"/>
      <c r="J301" s="3602"/>
      <c r="K301" s="3602"/>
      <c r="L301" s="3602"/>
      <c r="M301" s="3602"/>
      <c r="N301" s="3602"/>
      <c r="O301" s="153" t="s">
        <v>1738</v>
      </c>
      <c r="P301" s="633" t="s">
        <v>2990</v>
      </c>
      <c r="Q301" s="620"/>
      <c r="AE301" s="532"/>
      <c r="AF301" s="532"/>
    </row>
    <row r="302" spans="1:32" s="474" customFormat="1" ht="21.75" customHeight="1">
      <c r="A302" s="145"/>
      <c r="B302" s="541" t="s">
        <v>1739</v>
      </c>
      <c r="C302" s="3602" t="s">
        <v>3912</v>
      </c>
      <c r="D302" s="3602"/>
      <c r="E302" s="3602"/>
      <c r="F302" s="3602"/>
      <c r="G302" s="3602"/>
      <c r="H302" s="3602"/>
      <c r="I302" s="3602"/>
      <c r="J302" s="3602"/>
      <c r="K302" s="3602"/>
      <c r="L302" s="3602"/>
      <c r="M302" s="3602"/>
      <c r="N302" s="3602"/>
      <c r="O302" s="166" t="s">
        <v>1739</v>
      </c>
      <c r="P302" s="1447"/>
      <c r="Q302" s="1448"/>
      <c r="AE302" s="532"/>
      <c r="AF302" s="532"/>
    </row>
    <row r="303" spans="1:32" s="96" customFormat="1" ht="12.75" customHeight="1">
      <c r="A303" s="14" t="s">
        <v>1985</v>
      </c>
      <c r="B303" s="1384" t="s">
        <v>3879</v>
      </c>
      <c r="D303" s="1387"/>
      <c r="E303" s="1387"/>
      <c r="F303" s="1387"/>
      <c r="G303" s="1387"/>
      <c r="H303" s="1387"/>
      <c r="I303" s="1387"/>
      <c r="J303" s="1387"/>
      <c r="K303" s="1387"/>
      <c r="L303" s="1387"/>
      <c r="M303" s="1387"/>
      <c r="N303" s="1387"/>
      <c r="O303" s="527"/>
      <c r="P303" s="527"/>
      <c r="Q303" s="527"/>
      <c r="AE303" s="533"/>
    </row>
    <row r="304" spans="1:32" s="96" customFormat="1" ht="11.25" customHeight="1">
      <c r="A304" s="195"/>
      <c r="B304" s="2579" t="s">
        <v>1737</v>
      </c>
      <c r="C304" s="3602" t="s">
        <v>3753</v>
      </c>
      <c r="D304" s="3602"/>
      <c r="E304" s="3602"/>
      <c r="F304" s="3602"/>
      <c r="G304" s="3602"/>
      <c r="H304" s="3602"/>
      <c r="I304" s="143"/>
      <c r="J304" s="3671" t="s">
        <v>3796</v>
      </c>
      <c r="K304" s="3672"/>
      <c r="L304" s="3672"/>
      <c r="M304" s="3695" t="s">
        <v>3766</v>
      </c>
      <c r="N304" s="3695"/>
      <c r="AE304" s="533"/>
      <c r="AF304" s="533"/>
    </row>
    <row r="305" spans="1:33" s="325" customFormat="1" ht="10.5" customHeight="1">
      <c r="A305" s="338"/>
      <c r="B305" s="2561"/>
      <c r="C305" s="3602"/>
      <c r="D305" s="3602"/>
      <c r="E305" s="3602"/>
      <c r="F305" s="3602"/>
      <c r="G305" s="3602"/>
      <c r="H305" s="3602"/>
      <c r="I305" s="1376"/>
      <c r="J305" s="3672"/>
      <c r="K305" s="3672"/>
      <c r="L305" s="3672"/>
      <c r="M305" s="36" t="s">
        <v>3767</v>
      </c>
      <c r="N305" s="1385" t="s">
        <v>3795</v>
      </c>
      <c r="P305" s="336"/>
    </row>
    <row r="306" spans="1:33" s="325" customFormat="1" ht="13.35" customHeight="1">
      <c r="A306" s="338"/>
      <c r="B306" s="2561"/>
      <c r="C306" s="3602"/>
      <c r="D306" s="3602"/>
      <c r="E306" s="3602"/>
      <c r="F306" s="3602"/>
      <c r="G306" s="3602"/>
      <c r="H306" s="3602"/>
      <c r="I306" s="52" t="s">
        <v>4125</v>
      </c>
      <c r="K306" s="1173">
        <v>12</v>
      </c>
      <c r="L306" s="1175" t="str">
        <f>IF(K306&lt;M306,"Check!!!","")</f>
        <v/>
      </c>
      <c r="M306" s="1176">
        <f>ROUNDUP('Part VI-Revenues &amp; Expenses'!$O$67*'Part VIII-Threshold Criteria'!N306,0)</f>
        <v>5</v>
      </c>
      <c r="N306" s="2521">
        <f>'DCA Underwriting Assumptions'!$Q$139</f>
        <v>0.05</v>
      </c>
      <c r="O306" s="527" t="s">
        <v>3639</v>
      </c>
      <c r="P306" s="238" t="s">
        <v>2990</v>
      </c>
      <c r="Q306" s="617"/>
      <c r="V306" s="36"/>
      <c r="X306" s="36"/>
      <c r="Z306" s="1175" t="str">
        <f>IF(AA306="","",IF(AA306&lt;AC306,"Check!!!",""))</f>
        <v/>
      </c>
      <c r="AA306" s="1175" t="str">
        <f t="shared" ref="AA306:AG306" si="8">IF(AB306="","",IF(AB306&lt;AD306,"Check!!!",""))</f>
        <v/>
      </c>
      <c r="AB306" s="1175" t="str">
        <f t="shared" si="8"/>
        <v/>
      </c>
      <c r="AC306" s="1175" t="str">
        <f t="shared" si="8"/>
        <v/>
      </c>
      <c r="AD306" s="1175" t="str">
        <f t="shared" si="8"/>
        <v/>
      </c>
      <c r="AE306" s="1175" t="str">
        <f t="shared" si="8"/>
        <v/>
      </c>
      <c r="AF306" s="1175" t="str">
        <f t="shared" si="8"/>
        <v/>
      </c>
      <c r="AG306" s="1175" t="str">
        <f t="shared" si="8"/>
        <v/>
      </c>
    </row>
    <row r="307" spans="1:33" s="96" customFormat="1" ht="12.75" customHeight="1">
      <c r="A307" s="145"/>
      <c r="B307" s="2579"/>
      <c r="C307" s="3602" t="s">
        <v>3754</v>
      </c>
      <c r="D307" s="3602"/>
      <c r="E307" s="3602"/>
      <c r="F307" s="3602"/>
      <c r="G307" s="3602"/>
      <c r="H307" s="3602"/>
      <c r="I307" s="1008" t="s">
        <v>4126</v>
      </c>
      <c r="J307" s="325"/>
      <c r="K307" s="1173">
        <v>5</v>
      </c>
      <c r="L307" s="1175" t="str">
        <f>IF(K307&lt;M307,"Check!!!","")</f>
        <v/>
      </c>
      <c r="M307" s="1176">
        <f>ROUNDUP(K306*'Part VIII-Threshold Criteria'!N307,0)</f>
        <v>5</v>
      </c>
      <c r="N307" s="2521">
        <f>'DCA Underwriting Assumptions'!$Q$140</f>
        <v>0.4</v>
      </c>
      <c r="O307" s="527" t="s">
        <v>2117</v>
      </c>
      <c r="P307" s="3667" t="s">
        <v>2990</v>
      </c>
      <c r="Q307" s="3666"/>
      <c r="T307" s="143"/>
      <c r="U307" s="143"/>
      <c r="V307" s="143"/>
      <c r="W307" s="143"/>
      <c r="X307" s="143"/>
      <c r="Y307" s="143"/>
      <c r="Z307" s="143"/>
      <c r="AA307" s="143"/>
      <c r="AB307" s="143"/>
      <c r="AC307" s="143"/>
      <c r="AD307" s="143"/>
      <c r="AE307" s="143"/>
      <c r="AF307" s="143"/>
      <c r="AG307" s="143"/>
    </row>
    <row r="308" spans="1:33" s="325" customFormat="1" ht="10.5" customHeight="1">
      <c r="A308" s="338"/>
      <c r="B308" s="2561"/>
      <c r="C308" s="3602"/>
      <c r="D308" s="3602"/>
      <c r="E308" s="3602"/>
      <c r="F308" s="3602"/>
      <c r="G308" s="3602"/>
      <c r="H308" s="3602"/>
      <c r="O308" s="40"/>
      <c r="P308" s="3667"/>
      <c r="Q308" s="3666"/>
      <c r="V308" s="36"/>
      <c r="W308" s="1008"/>
      <c r="X308" s="36"/>
      <c r="Z308" s="1175" t="str">
        <f>IF(AA308="","",IF(AA308&lt;AC308,"Check!!!",""))</f>
        <v/>
      </c>
      <c r="AA308" s="1175" t="str">
        <f t="shared" ref="AA308:AG308" si="9">IF(AB308="","",IF(AB308&lt;AD308,"Check!!!",""))</f>
        <v/>
      </c>
      <c r="AB308" s="1175" t="str">
        <f t="shared" si="9"/>
        <v/>
      </c>
      <c r="AC308" s="1175" t="str">
        <f t="shared" si="9"/>
        <v/>
      </c>
      <c r="AD308" s="1175" t="str">
        <f t="shared" si="9"/>
        <v/>
      </c>
      <c r="AE308" s="1175" t="str">
        <f t="shared" si="9"/>
        <v/>
      </c>
      <c r="AF308" s="1175" t="str">
        <f t="shared" si="9"/>
        <v/>
      </c>
      <c r="AG308" s="1175" t="str">
        <f t="shared" si="9"/>
        <v/>
      </c>
    </row>
    <row r="309" spans="1:33" s="96" customFormat="1" ht="12.75" customHeight="1">
      <c r="A309" s="145"/>
      <c r="B309" s="2579" t="s">
        <v>1738</v>
      </c>
      <c r="C309" s="3602" t="s">
        <v>3755</v>
      </c>
      <c r="D309" s="3602"/>
      <c r="E309" s="3602"/>
      <c r="F309" s="3602"/>
      <c r="G309" s="3602"/>
      <c r="H309" s="3602"/>
      <c r="I309" s="52" t="s">
        <v>4127</v>
      </c>
      <c r="J309" s="325"/>
      <c r="K309" s="1173">
        <v>5</v>
      </c>
      <c r="L309" s="1175" t="str">
        <f>IF(K309&lt;M309,"Check!!!","")</f>
        <v/>
      </c>
      <c r="M309" s="1176">
        <f>ROUNDUP('Part VI-Revenues &amp; Expenses'!$O$67*'Part VIII-Threshold Criteria'!N309,0)</f>
        <v>2</v>
      </c>
      <c r="N309" s="2521">
        <f>'DCA Underwriting Assumptions'!$Q$141</f>
        <v>0.02</v>
      </c>
      <c r="O309" s="527" t="s">
        <v>1738</v>
      </c>
      <c r="P309" s="239" t="s">
        <v>2990</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602"/>
      <c r="D310" s="3602"/>
      <c r="E310" s="3602"/>
      <c r="F310" s="3602"/>
      <c r="G310" s="3602"/>
      <c r="H310" s="3602"/>
      <c r="J310" s="36"/>
      <c r="K310" s="36"/>
      <c r="L310" s="1021"/>
      <c r="M310" s="1386"/>
      <c r="O310" s="36"/>
      <c r="P310" s="1385"/>
      <c r="Q310" s="36"/>
      <c r="T310" s="36"/>
      <c r="U310" s="1008"/>
      <c r="V310" s="36"/>
      <c r="W310" s="1008"/>
      <c r="X310" s="36"/>
      <c r="Y310" s="36"/>
      <c r="Z310" s="36"/>
      <c r="AA310" s="36"/>
      <c r="AB310" s="36"/>
      <c r="AC310" s="36"/>
      <c r="AD310" s="36"/>
      <c r="AE310" s="36"/>
      <c r="AF310" s="36"/>
      <c r="AG310" s="36"/>
    </row>
    <row r="311" spans="1:33" s="325" customFormat="1" ht="10.5" customHeight="1">
      <c r="A311" s="338"/>
      <c r="C311" s="3602"/>
      <c r="D311" s="3602"/>
      <c r="E311" s="3602"/>
      <c r="F311" s="3602"/>
      <c r="G311" s="3602"/>
      <c r="H311" s="3602"/>
      <c r="O311" s="40"/>
      <c r="P311" s="527"/>
      <c r="V311" s="36"/>
      <c r="W311" s="1008"/>
      <c r="X311" s="36"/>
      <c r="Z311" s="1175" t="str">
        <f>IF(AA311="","",IF(AA311&lt;AC311,"Check!!!",""))</f>
        <v/>
      </c>
      <c r="AA311" s="1175" t="str">
        <f t="shared" ref="AA311:AG311" si="10">IF(AB311="","",IF(AB311&lt;AD311,"Check!!!",""))</f>
        <v/>
      </c>
      <c r="AB311" s="1175" t="str">
        <f t="shared" si="10"/>
        <v/>
      </c>
      <c r="AC311" s="1175" t="str">
        <f t="shared" si="10"/>
        <v/>
      </c>
      <c r="AD311" s="1175" t="str">
        <f t="shared" si="10"/>
        <v/>
      </c>
      <c r="AE311" s="1175" t="str">
        <f t="shared" si="10"/>
        <v/>
      </c>
      <c r="AF311" s="1175" t="str">
        <f t="shared" si="10"/>
        <v/>
      </c>
      <c r="AG311" s="1175" t="str">
        <f t="shared" si="10"/>
        <v/>
      </c>
    </row>
    <row r="312" spans="1:33" s="325" customFormat="1" ht="10.5" customHeight="1">
      <c r="A312" s="14" t="s">
        <v>749</v>
      </c>
      <c r="B312" s="1384" t="s">
        <v>3880</v>
      </c>
      <c r="D312" s="1379"/>
      <c r="E312" s="1379"/>
      <c r="F312" s="1379"/>
      <c r="G312" s="1379"/>
      <c r="H312" s="1379"/>
      <c r="O312" s="40"/>
      <c r="P312" s="527"/>
      <c r="V312" s="36"/>
      <c r="W312" s="1008"/>
      <c r="X312" s="36"/>
      <c r="Z312" s="1175"/>
      <c r="AA312" s="1175"/>
      <c r="AB312" s="1175"/>
      <c r="AC312" s="1175"/>
      <c r="AD312" s="1175"/>
      <c r="AE312" s="1175"/>
      <c r="AF312" s="1175"/>
      <c r="AG312" s="1175"/>
    </row>
    <row r="313" spans="1:33" s="96" customFormat="1" ht="21.75" customHeight="1">
      <c r="B313" s="3665" t="s">
        <v>3641</v>
      </c>
      <c r="C313" s="3665"/>
      <c r="D313" s="3665"/>
      <c r="E313" s="3665"/>
      <c r="F313" s="3665"/>
      <c r="G313" s="3665"/>
      <c r="H313" s="3665"/>
      <c r="I313" s="3665"/>
      <c r="J313" s="3665"/>
      <c r="K313" s="3665"/>
      <c r="L313" s="3665"/>
      <c r="M313" s="3665"/>
      <c r="N313" s="3665"/>
      <c r="O313" s="166" t="s">
        <v>749</v>
      </c>
      <c r="P313" s="1424" t="s">
        <v>2990</v>
      </c>
      <c r="Q313" s="1425"/>
      <c r="AE313" s="533"/>
      <c r="AF313" s="533"/>
    </row>
    <row r="314" spans="1:33" s="96" customFormat="1" ht="11.25" customHeight="1">
      <c r="B314" s="450" t="s">
        <v>3642</v>
      </c>
      <c r="D314" s="450"/>
      <c r="E314" s="450"/>
      <c r="F314" s="450"/>
      <c r="G314" s="450"/>
      <c r="H314" s="450"/>
      <c r="I314" s="450" t="s">
        <v>3765</v>
      </c>
      <c r="J314" s="450"/>
      <c r="K314" s="450"/>
      <c r="L314" s="3668"/>
      <c r="M314" s="3669"/>
      <c r="N314" s="3669"/>
      <c r="O314" s="3670"/>
      <c r="P314" s="450"/>
      <c r="Q314" s="450"/>
      <c r="R314" s="450"/>
      <c r="AE314" s="533"/>
      <c r="AF314" s="533"/>
    </row>
    <row r="315" spans="1:33" s="474" customFormat="1" ht="44.25" customHeight="1">
      <c r="B315" s="2579" t="s">
        <v>1737</v>
      </c>
      <c r="C315" s="3602" t="s">
        <v>3640</v>
      </c>
      <c r="D315" s="3602"/>
      <c r="E315" s="3602"/>
      <c r="F315" s="3602"/>
      <c r="G315" s="3602"/>
      <c r="H315" s="3602"/>
      <c r="I315" s="3602"/>
      <c r="J315" s="3602"/>
      <c r="K315" s="3602"/>
      <c r="L315" s="3602"/>
      <c r="M315" s="3602"/>
      <c r="N315" s="3602"/>
      <c r="O315" s="166" t="s">
        <v>3645</v>
      </c>
      <c r="P315" s="1389" t="s">
        <v>2990</v>
      </c>
      <c r="Q315" s="1388"/>
      <c r="AE315" s="532"/>
      <c r="AF315" s="532"/>
    </row>
    <row r="316" spans="1:33" s="474" customFormat="1" ht="34.5" customHeight="1">
      <c r="B316" s="2579" t="s">
        <v>1738</v>
      </c>
      <c r="C316" s="3602" t="s">
        <v>4915</v>
      </c>
      <c r="D316" s="3602"/>
      <c r="E316" s="3602"/>
      <c r="F316" s="3602"/>
      <c r="G316" s="3602"/>
      <c r="H316" s="3602"/>
      <c r="I316" s="3602"/>
      <c r="J316" s="3602"/>
      <c r="K316" s="3602"/>
      <c r="L316" s="3602"/>
      <c r="M316" s="3602"/>
      <c r="N316" s="3602"/>
      <c r="O316" s="166" t="s">
        <v>3646</v>
      </c>
      <c r="P316" s="633" t="s">
        <v>2990</v>
      </c>
      <c r="Q316" s="620"/>
      <c r="AE316" s="532"/>
      <c r="AF316" s="532"/>
    </row>
    <row r="317" spans="1:33" s="474" customFormat="1" ht="22.5" customHeight="1">
      <c r="B317" s="541" t="s">
        <v>1739</v>
      </c>
      <c r="C317" s="3602" t="s">
        <v>3643</v>
      </c>
      <c r="D317" s="3602"/>
      <c r="E317" s="3602"/>
      <c r="F317" s="3602"/>
      <c r="G317" s="3602"/>
      <c r="H317" s="3602"/>
      <c r="I317" s="3602"/>
      <c r="J317" s="3602"/>
      <c r="K317" s="3602"/>
      <c r="L317" s="3602"/>
      <c r="M317" s="3602"/>
      <c r="N317" s="3602"/>
      <c r="O317" s="166" t="s">
        <v>3647</v>
      </c>
      <c r="P317" s="633" t="s">
        <v>2990</v>
      </c>
      <c r="Q317" s="620"/>
      <c r="AE317" s="532"/>
      <c r="AF317" s="532"/>
    </row>
    <row r="318" spans="1:33" s="474" customFormat="1" ht="32.25" customHeight="1">
      <c r="B318" s="541" t="s">
        <v>2365</v>
      </c>
      <c r="C318" s="3602" t="s">
        <v>3644</v>
      </c>
      <c r="D318" s="3602"/>
      <c r="E318" s="3602"/>
      <c r="F318" s="3602"/>
      <c r="G318" s="3602"/>
      <c r="H318" s="3602"/>
      <c r="I318" s="3602"/>
      <c r="J318" s="3602"/>
      <c r="K318" s="3602"/>
      <c r="L318" s="3602"/>
      <c r="M318" s="3602"/>
      <c r="N318" s="3602"/>
      <c r="O318" s="166" t="s">
        <v>3648</v>
      </c>
      <c r="P318" s="1391" t="s">
        <v>2990</v>
      </c>
      <c r="Q318" s="1390"/>
      <c r="AE318" s="532"/>
      <c r="AF318" s="532"/>
    </row>
    <row r="319" spans="1:33" ht="11.25" customHeight="1">
      <c r="B319" s="144" t="s">
        <v>3756</v>
      </c>
      <c r="D319" s="144"/>
      <c r="E319" s="144"/>
      <c r="F319" s="144"/>
      <c r="G319" s="144"/>
      <c r="H319" s="40"/>
      <c r="I319" s="1385"/>
      <c r="J319" s="1385"/>
      <c r="K319" s="1385"/>
      <c r="L319" s="1378"/>
      <c r="M319" s="1378"/>
      <c r="N319" s="1378"/>
      <c r="O319" s="1378"/>
      <c r="P319" s="1378"/>
      <c r="Q319" s="1020"/>
    </row>
    <row r="320" spans="1:33" ht="32.25" customHeight="1">
      <c r="A320" s="3647"/>
      <c r="B320" s="3648"/>
      <c r="C320" s="3648"/>
      <c r="D320" s="3648"/>
      <c r="E320" s="3648"/>
      <c r="F320" s="3648"/>
      <c r="G320" s="3648"/>
      <c r="H320" s="3648"/>
      <c r="I320" s="3648"/>
      <c r="J320" s="3648"/>
      <c r="K320" s="3648"/>
      <c r="L320" s="3648"/>
      <c r="M320" s="3648"/>
      <c r="N320" s="3648"/>
      <c r="O320" s="3648"/>
      <c r="P320" s="3648"/>
      <c r="Q320" s="3649"/>
      <c r="R320" s="509" t="s">
        <v>1254</v>
      </c>
      <c r="S320" s="510"/>
      <c r="U320" s="139"/>
      <c r="V320" s="139"/>
      <c r="W320" s="139"/>
      <c r="X320" s="139"/>
      <c r="Y320" s="139"/>
      <c r="Z320" s="139"/>
      <c r="AA320" s="139"/>
      <c r="AB320" s="139"/>
      <c r="AC320" s="139"/>
      <c r="AD320" s="139"/>
      <c r="AE320" s="529"/>
    </row>
    <row r="321" spans="1:256 1523:1523" ht="11.25" customHeight="1">
      <c r="B321" s="140" t="s">
        <v>1866</v>
      </c>
      <c r="C321" s="141"/>
      <c r="D321" s="1379"/>
      <c r="E321" s="1379"/>
      <c r="F321" s="1379"/>
      <c r="G321" s="1379"/>
      <c r="H321" s="1379"/>
      <c r="I321" s="1379"/>
      <c r="J321" s="1379"/>
      <c r="K321" s="1379"/>
      <c r="L321" s="1379"/>
      <c r="M321" s="1379"/>
      <c r="N321" s="1379"/>
      <c r="O321" s="1379"/>
      <c r="P321" s="1379"/>
      <c r="Q321" s="1379"/>
    </row>
    <row r="322" spans="1:256 1523:1523" ht="45.75" customHeight="1">
      <c r="A322" s="3673"/>
      <c r="B322" s="3674"/>
      <c r="C322" s="3674"/>
      <c r="D322" s="3674"/>
      <c r="E322" s="3674"/>
      <c r="F322" s="3674"/>
      <c r="G322" s="3674"/>
      <c r="H322" s="3674"/>
      <c r="I322" s="3674"/>
      <c r="J322" s="3674"/>
      <c r="K322" s="3674"/>
      <c r="L322" s="3674"/>
      <c r="M322" s="3674"/>
      <c r="N322" s="3674"/>
      <c r="O322" s="3674"/>
      <c r="P322" s="3674"/>
      <c r="Q322" s="3675"/>
    </row>
    <row r="323" spans="1:256 1523:1523" ht="14.1" customHeight="1">
      <c r="A323" s="1384" t="s">
        <v>4103</v>
      </c>
      <c r="B323" s="10" t="s">
        <v>2666</v>
      </c>
      <c r="C323" s="10"/>
      <c r="D323" s="10"/>
      <c r="E323" s="10"/>
      <c r="F323" s="10"/>
      <c r="G323" s="10"/>
      <c r="H323" s="1379"/>
      <c r="I323" s="1379"/>
      <c r="J323" s="1379"/>
      <c r="K323" s="1379"/>
      <c r="L323" s="1379"/>
      <c r="M323" s="1379"/>
      <c r="O323" s="135" t="s">
        <v>1867</v>
      </c>
      <c r="P323" s="3676"/>
      <c r="Q323" s="3677"/>
    </row>
    <row r="324" spans="1:256 1523:1523" ht="11.45" customHeight="1">
      <c r="B324" s="148" t="s">
        <v>2252</v>
      </c>
      <c r="P324" s="238" t="s">
        <v>2993</v>
      </c>
      <c r="Q324" s="617"/>
    </row>
    <row r="325" spans="1:256 1523:1523" ht="12" customHeight="1">
      <c r="B325" s="1002" t="s">
        <v>2211</v>
      </c>
      <c r="C325" s="1002"/>
      <c r="D325" s="1002"/>
      <c r="E325" s="1002"/>
      <c r="F325" s="1002"/>
      <c r="G325" s="1002"/>
      <c r="H325" s="1002"/>
      <c r="I325" s="1002"/>
      <c r="J325" s="1002"/>
      <c r="K325" s="1002"/>
      <c r="L325" s="1002"/>
      <c r="P325" s="239" t="s">
        <v>2990</v>
      </c>
      <c r="Q325" s="619"/>
    </row>
    <row r="326" spans="1:256 1523:1523" ht="11.45" customHeight="1">
      <c r="A326" s="145" t="s">
        <v>1983</v>
      </c>
      <c r="B326" s="201" t="s">
        <v>459</v>
      </c>
      <c r="D326" s="1021"/>
      <c r="E326" s="1021"/>
      <c r="F326" s="1021"/>
      <c r="G326" s="1021"/>
      <c r="H326" s="1021"/>
      <c r="I326" s="1021"/>
      <c r="J326" s="1021"/>
      <c r="K326" s="1021"/>
      <c r="L326" s="1021"/>
      <c r="M326" s="1021"/>
      <c r="N326" s="166"/>
    </row>
    <row r="327" spans="1:256 1523:1523" ht="22.5" customHeight="1">
      <c r="B327" s="3602" t="s">
        <v>2881</v>
      </c>
      <c r="C327" s="3602"/>
      <c r="D327" s="3602"/>
      <c r="E327" s="3602"/>
      <c r="F327" s="3602"/>
      <c r="G327" s="3602"/>
      <c r="H327" s="3602"/>
      <c r="I327" s="3602"/>
      <c r="J327" s="3602"/>
      <c r="K327" s="3602"/>
      <c r="L327" s="3602"/>
      <c r="M327" s="3602"/>
      <c r="N327" s="3602"/>
      <c r="O327" s="166" t="s">
        <v>1983</v>
      </c>
      <c r="P327" s="165" t="s">
        <v>2990</v>
      </c>
      <c r="Q327" s="622"/>
    </row>
    <row r="328" spans="1:256 1523:1523" ht="12.6" customHeight="1">
      <c r="A328" s="145" t="s">
        <v>1985</v>
      </c>
      <c r="B328" s="235" t="s">
        <v>460</v>
      </c>
      <c r="D328" s="235"/>
      <c r="E328" s="235"/>
      <c r="F328" s="235"/>
      <c r="G328" s="235"/>
      <c r="H328" s="235"/>
      <c r="I328" s="235"/>
      <c r="J328" s="235"/>
      <c r="K328" s="235"/>
      <c r="L328" s="235"/>
      <c r="M328" s="235"/>
      <c r="O328" s="166" t="s">
        <v>1985</v>
      </c>
      <c r="P328" s="1378"/>
      <c r="Q328" s="1020"/>
    </row>
    <row r="329" spans="1:256 1523:1523" ht="36" customHeight="1">
      <c r="B329" s="1002" t="s">
        <v>1737</v>
      </c>
      <c r="C329" s="234" t="s">
        <v>1131</v>
      </c>
      <c r="E329" s="136"/>
      <c r="F329" s="136"/>
      <c r="G329" s="3657" t="s">
        <v>4928</v>
      </c>
      <c r="H329" s="3658"/>
      <c r="I329" s="3658"/>
      <c r="J329" s="3658"/>
      <c r="K329" s="3658"/>
      <c r="L329" s="3658"/>
      <c r="M329" s="3658"/>
      <c r="N329" s="3659"/>
      <c r="O329" s="237" t="s">
        <v>1737</v>
      </c>
      <c r="P329" s="1389" t="s">
        <v>2990</v>
      </c>
      <c r="Q329" s="1388"/>
      <c r="BFO329" s="151" t="s">
        <v>2727</v>
      </c>
    </row>
    <row r="330" spans="1:256 1523:1523" ht="23.25" customHeight="1">
      <c r="B330" s="1002" t="s">
        <v>1738</v>
      </c>
      <c r="C330" s="3602" t="s">
        <v>1132</v>
      </c>
      <c r="D330" s="3602"/>
      <c r="E330" s="3602"/>
      <c r="F330" s="3678"/>
      <c r="G330" s="3074" t="s">
        <v>3768</v>
      </c>
      <c r="H330" s="3660"/>
      <c r="I330" s="3660"/>
      <c r="J330" s="3660"/>
      <c r="K330" s="3660"/>
      <c r="L330" s="3660"/>
      <c r="M330" s="3660"/>
      <c r="N330" s="3661"/>
      <c r="O330" s="237" t="s">
        <v>1738</v>
      </c>
      <c r="P330" s="1391" t="s">
        <v>2990</v>
      </c>
      <c r="Q330" s="1390"/>
    </row>
    <row r="331" spans="1:256 1523:1523" ht="3" customHeight="1">
      <c r="A331" s="1378"/>
      <c r="B331" s="1450"/>
      <c r="C331" s="1378"/>
      <c r="D331" s="1378"/>
      <c r="E331" s="1378"/>
      <c r="F331" s="1378"/>
      <c r="G331" s="1378"/>
      <c r="H331" s="1378"/>
      <c r="I331" s="1378"/>
      <c r="J331" s="1378"/>
      <c r="K331" s="1378"/>
      <c r="L331" s="1378"/>
      <c r="M331" s="1378"/>
      <c r="N331" s="1378"/>
      <c r="O331" s="1378"/>
      <c r="P331" s="1378"/>
      <c r="Q331" s="1378"/>
      <c r="R331" s="1378"/>
      <c r="S331" s="1378"/>
      <c r="T331" s="1378"/>
      <c r="U331" s="1378"/>
      <c r="V331" s="1378"/>
      <c r="W331" s="1378"/>
      <c r="X331" s="1378"/>
      <c r="Y331" s="1378"/>
      <c r="Z331" s="1378"/>
      <c r="AA331" s="1378"/>
      <c r="AB331" s="1378"/>
      <c r="AC331" s="1378"/>
      <c r="AD331" s="1378"/>
      <c r="AE331" s="1020"/>
      <c r="AF331" s="1020"/>
      <c r="AG331" s="1378"/>
      <c r="AH331" s="1378"/>
      <c r="AI331" s="1378"/>
      <c r="AJ331" s="1378"/>
      <c r="AK331" s="1378"/>
      <c r="AL331" s="1378"/>
      <c r="AM331" s="1378"/>
      <c r="AN331" s="1378"/>
      <c r="AO331" s="1378"/>
      <c r="AP331" s="1378"/>
      <c r="AQ331" s="1378"/>
      <c r="AR331" s="1378"/>
      <c r="AS331" s="1378"/>
      <c r="AT331" s="1378"/>
      <c r="AU331" s="1378"/>
      <c r="AV331" s="1378"/>
      <c r="AW331" s="1378"/>
      <c r="AX331" s="1378"/>
      <c r="AY331" s="1378"/>
      <c r="AZ331" s="1378"/>
      <c r="BA331" s="1378"/>
      <c r="BB331" s="1378"/>
      <c r="BC331" s="1378"/>
      <c r="BD331" s="1378"/>
      <c r="BE331" s="1378"/>
      <c r="BF331" s="1378"/>
      <c r="BG331" s="1378"/>
      <c r="BH331" s="1378"/>
      <c r="BI331" s="1378"/>
      <c r="BJ331" s="1378"/>
      <c r="BK331" s="1378"/>
      <c r="BL331" s="1378"/>
      <c r="BM331" s="1378"/>
      <c r="BN331" s="1378"/>
      <c r="BO331" s="1378"/>
      <c r="BP331" s="1378"/>
      <c r="BQ331" s="1378"/>
      <c r="BR331" s="1378"/>
      <c r="BS331" s="1378"/>
      <c r="BT331" s="1378"/>
      <c r="BU331" s="1378"/>
      <c r="BV331" s="1378"/>
      <c r="BW331" s="1378"/>
      <c r="BX331" s="1378"/>
      <c r="BY331" s="1378"/>
      <c r="BZ331" s="1378"/>
      <c r="CA331" s="1378"/>
      <c r="CB331" s="1378"/>
      <c r="CC331" s="1378"/>
      <c r="CD331" s="1378"/>
      <c r="CE331" s="1378"/>
      <c r="CF331" s="1378"/>
      <c r="CG331" s="1378"/>
      <c r="CH331" s="1378"/>
      <c r="CI331" s="1378"/>
      <c r="CJ331" s="1378"/>
      <c r="CK331" s="1378"/>
      <c r="CL331" s="1378"/>
      <c r="CM331" s="1378"/>
      <c r="CN331" s="1378"/>
      <c r="CO331" s="1378"/>
      <c r="CP331" s="1378"/>
      <c r="CQ331" s="1378"/>
      <c r="CR331" s="1378"/>
      <c r="CS331" s="1378"/>
      <c r="CT331" s="1378"/>
      <c r="CU331" s="1378"/>
      <c r="CV331" s="1378"/>
      <c r="CW331" s="1378"/>
      <c r="CX331" s="1378"/>
      <c r="CY331" s="1378"/>
      <c r="CZ331" s="1378"/>
      <c r="DA331" s="1378"/>
      <c r="DB331" s="1378"/>
      <c r="DC331" s="1378"/>
      <c r="DD331" s="1378"/>
      <c r="DE331" s="1378"/>
      <c r="DF331" s="1378"/>
      <c r="DG331" s="1378"/>
      <c r="DH331" s="1378"/>
      <c r="DI331" s="1378"/>
      <c r="DJ331" s="1378"/>
      <c r="DK331" s="1378"/>
      <c r="DL331" s="1378"/>
      <c r="DM331" s="1378"/>
      <c r="DN331" s="1378"/>
      <c r="DO331" s="1378"/>
      <c r="DP331" s="1378"/>
      <c r="DQ331" s="1378"/>
      <c r="DR331" s="1378"/>
      <c r="DS331" s="1378"/>
      <c r="DT331" s="1378"/>
      <c r="DU331" s="1378"/>
      <c r="DV331" s="1378"/>
      <c r="DW331" s="1378"/>
      <c r="DX331" s="1378"/>
      <c r="DY331" s="1378"/>
      <c r="DZ331" s="1378"/>
      <c r="EA331" s="1378"/>
      <c r="EB331" s="1378"/>
      <c r="EC331" s="1378"/>
      <c r="ED331" s="1378"/>
      <c r="EE331" s="1378"/>
      <c r="EF331" s="1378"/>
      <c r="EG331" s="1378"/>
      <c r="EH331" s="1378"/>
      <c r="EI331" s="1378"/>
      <c r="EJ331" s="1378"/>
      <c r="EK331" s="1378"/>
      <c r="EL331" s="1378"/>
      <c r="EM331" s="1378"/>
      <c r="EN331" s="1378"/>
      <c r="EO331" s="1378"/>
      <c r="EP331" s="1378"/>
      <c r="EQ331" s="1378"/>
      <c r="ER331" s="1378"/>
      <c r="ES331" s="1378"/>
      <c r="ET331" s="1378"/>
      <c r="EU331" s="1378"/>
      <c r="EV331" s="1378"/>
      <c r="EW331" s="1378"/>
      <c r="EX331" s="1378"/>
      <c r="EY331" s="1378"/>
      <c r="EZ331" s="1378"/>
      <c r="FA331" s="1378"/>
      <c r="FB331" s="1378"/>
      <c r="FC331" s="1378"/>
      <c r="FD331" s="1378"/>
      <c r="FE331" s="1378"/>
      <c r="FF331" s="1378"/>
      <c r="FG331" s="1378"/>
      <c r="FH331" s="1378"/>
      <c r="FI331" s="1378"/>
      <c r="FJ331" s="1378"/>
      <c r="FK331" s="1378"/>
      <c r="FL331" s="1378"/>
      <c r="FM331" s="1378"/>
      <c r="FN331" s="1378"/>
      <c r="FO331" s="1378"/>
      <c r="FP331" s="1378"/>
      <c r="FQ331" s="1378"/>
      <c r="FR331" s="1378"/>
      <c r="FS331" s="1378"/>
      <c r="FT331" s="1378"/>
      <c r="FU331" s="1378"/>
      <c r="FV331" s="1378"/>
      <c r="FW331" s="1378"/>
      <c r="FX331" s="1378"/>
      <c r="FY331" s="1378"/>
      <c r="FZ331" s="1378"/>
      <c r="GA331" s="1378"/>
      <c r="GB331" s="1378"/>
      <c r="GC331" s="1378"/>
      <c r="GD331" s="1378"/>
      <c r="GE331" s="1378"/>
      <c r="GF331" s="1378"/>
      <c r="GG331" s="1378"/>
      <c r="GH331" s="1378"/>
      <c r="GI331" s="1378"/>
      <c r="GJ331" s="1378"/>
      <c r="GK331" s="1378"/>
      <c r="GL331" s="1378"/>
      <c r="GM331" s="1378"/>
      <c r="GN331" s="1378"/>
      <c r="GO331" s="1378"/>
      <c r="GP331" s="1378"/>
      <c r="GQ331" s="1378"/>
      <c r="GR331" s="1378"/>
      <c r="GS331" s="1378"/>
      <c r="GT331" s="1378"/>
      <c r="GU331" s="1378"/>
      <c r="GV331" s="1378"/>
      <c r="GW331" s="1378"/>
      <c r="GX331" s="1378"/>
      <c r="GY331" s="1378"/>
      <c r="GZ331" s="1378"/>
      <c r="HA331" s="1378"/>
      <c r="HB331" s="1378"/>
      <c r="HC331" s="1378"/>
      <c r="HD331" s="1378"/>
      <c r="HE331" s="1378"/>
      <c r="HF331" s="1378"/>
      <c r="HG331" s="1378"/>
      <c r="HH331" s="1378"/>
      <c r="HI331" s="1378"/>
      <c r="HJ331" s="1378"/>
      <c r="HK331" s="1378"/>
      <c r="HL331" s="1378"/>
      <c r="HM331" s="1378"/>
      <c r="HN331" s="1378"/>
      <c r="HO331" s="1378"/>
      <c r="HP331" s="1378"/>
      <c r="HQ331" s="1378"/>
      <c r="HR331" s="1378"/>
      <c r="HS331" s="1378"/>
      <c r="HT331" s="1378"/>
      <c r="HU331" s="1378"/>
      <c r="HV331" s="1378"/>
      <c r="HW331" s="1378"/>
      <c r="HX331" s="1378"/>
      <c r="HY331" s="1378"/>
      <c r="HZ331" s="1378"/>
      <c r="IA331" s="1378"/>
      <c r="IB331" s="1378"/>
      <c r="IC331" s="1378"/>
      <c r="ID331" s="1378"/>
      <c r="IE331" s="1378"/>
      <c r="IF331" s="1378"/>
      <c r="IG331" s="1378"/>
      <c r="IH331" s="1378"/>
      <c r="II331" s="1378"/>
      <c r="IJ331" s="1378"/>
      <c r="IK331" s="1378"/>
      <c r="IL331" s="1378"/>
      <c r="IM331" s="1378"/>
      <c r="IN331" s="1378"/>
      <c r="IO331" s="1378"/>
      <c r="IP331" s="1378"/>
      <c r="IQ331" s="1378"/>
      <c r="IR331" s="1378"/>
      <c r="IS331" s="1378"/>
      <c r="IT331" s="1378"/>
      <c r="IU331" s="1378"/>
      <c r="IV331" s="1378"/>
    </row>
    <row r="332" spans="1:256 1523:1523" s="136" customFormat="1" ht="22.5" customHeight="1">
      <c r="A332" s="145" t="s">
        <v>749</v>
      </c>
      <c r="B332" s="3699" t="s">
        <v>2672</v>
      </c>
      <c r="C332" s="3699"/>
      <c r="D332" s="3699"/>
      <c r="E332" s="3699"/>
      <c r="F332" s="3699"/>
      <c r="G332" s="3699"/>
      <c r="H332" s="3699"/>
      <c r="I332" s="3699"/>
      <c r="J332" s="3699"/>
      <c r="K332" s="3699"/>
      <c r="L332" s="3699"/>
      <c r="M332" s="3699"/>
      <c r="N332" s="3699"/>
      <c r="O332" s="507" t="s">
        <v>749</v>
      </c>
      <c r="P332" s="1378"/>
      <c r="Q332" s="1020"/>
      <c r="AE332" s="530"/>
      <c r="AF332" s="530"/>
    </row>
    <row r="333" spans="1:256 1523:1523" s="136" customFormat="1" ht="11.25" customHeight="1">
      <c r="A333" s="147"/>
      <c r="B333" s="1002" t="s">
        <v>1737</v>
      </c>
      <c r="C333" s="3679"/>
      <c r="D333" s="3680"/>
      <c r="E333" s="3680"/>
      <c r="F333" s="3680"/>
      <c r="G333" s="3680"/>
      <c r="H333" s="3680"/>
      <c r="I333" s="3680"/>
      <c r="J333" s="3680"/>
      <c r="K333" s="3680"/>
      <c r="L333" s="3680"/>
      <c r="M333" s="3680"/>
      <c r="N333" s="3681"/>
      <c r="O333" s="237" t="s">
        <v>1737</v>
      </c>
      <c r="P333" s="1389"/>
      <c r="Q333" s="1388"/>
      <c r="AE333" s="530"/>
      <c r="AF333" s="530"/>
    </row>
    <row r="334" spans="1:256 1523:1523" s="136" customFormat="1" ht="11.25" customHeight="1">
      <c r="A334" s="147"/>
      <c r="B334" s="1002" t="s">
        <v>1738</v>
      </c>
      <c r="C334" s="3700"/>
      <c r="D334" s="3701"/>
      <c r="E334" s="3701"/>
      <c r="F334" s="3701"/>
      <c r="G334" s="3701"/>
      <c r="H334" s="3701"/>
      <c r="I334" s="3701"/>
      <c r="J334" s="3701"/>
      <c r="K334" s="3701"/>
      <c r="L334" s="3701"/>
      <c r="M334" s="3701"/>
      <c r="N334" s="3702"/>
      <c r="O334" s="237" t="s">
        <v>1738</v>
      </c>
      <c r="P334" s="1391"/>
      <c r="Q334" s="1390"/>
      <c r="AE334" s="530"/>
      <c r="AF334" s="530"/>
    </row>
    <row r="335" spans="1:256 1523:1523" ht="3" customHeight="1">
      <c r="A335" s="1378"/>
      <c r="B335" s="1378"/>
      <c r="C335" s="1378"/>
      <c r="D335" s="1378"/>
      <c r="E335" s="1378"/>
      <c r="F335" s="1378"/>
      <c r="G335" s="1378"/>
      <c r="H335" s="1378"/>
      <c r="I335" s="1378"/>
      <c r="J335" s="1378"/>
      <c r="K335" s="1378"/>
      <c r="L335" s="1378"/>
      <c r="M335" s="1378"/>
      <c r="N335" s="1378"/>
      <c r="O335" s="1378"/>
      <c r="P335" s="1378"/>
      <c r="Q335" s="1378"/>
      <c r="R335" s="1378"/>
      <c r="S335" s="1378"/>
      <c r="T335" s="1378"/>
      <c r="U335" s="1378"/>
      <c r="V335" s="1378"/>
      <c r="W335" s="1378"/>
      <c r="X335" s="1378"/>
      <c r="Y335" s="1378"/>
      <c r="Z335" s="1378"/>
      <c r="AA335" s="1378"/>
      <c r="AB335" s="1378"/>
      <c r="AC335" s="1378"/>
      <c r="AD335" s="1378"/>
      <c r="AE335" s="1020"/>
      <c r="AF335" s="1020"/>
      <c r="AG335" s="1378"/>
      <c r="AH335" s="1378"/>
      <c r="AI335" s="1378"/>
      <c r="AJ335" s="1378"/>
      <c r="AK335" s="1378"/>
      <c r="AL335" s="1378"/>
      <c r="AM335" s="1378"/>
      <c r="AN335" s="1378"/>
      <c r="AO335" s="1378"/>
      <c r="AP335" s="1378"/>
      <c r="AQ335" s="1378"/>
      <c r="AR335" s="1378"/>
      <c r="AS335" s="1378"/>
      <c r="AT335" s="1378"/>
      <c r="AU335" s="1378"/>
      <c r="AV335" s="1378"/>
      <c r="AW335" s="1378"/>
      <c r="AX335" s="1378"/>
      <c r="AY335" s="1378"/>
      <c r="AZ335" s="1378"/>
      <c r="BA335" s="1378"/>
      <c r="BB335" s="1378"/>
      <c r="BC335" s="1378"/>
      <c r="BD335" s="1378"/>
      <c r="BE335" s="1378"/>
      <c r="BF335" s="1378"/>
      <c r="BG335" s="1378"/>
      <c r="BH335" s="1378"/>
      <c r="BI335" s="1378"/>
      <c r="BJ335" s="1378"/>
      <c r="BK335" s="1378"/>
      <c r="BL335" s="1378"/>
      <c r="BM335" s="1378"/>
      <c r="BN335" s="1378"/>
      <c r="BO335" s="1378"/>
      <c r="BP335" s="1378"/>
      <c r="BQ335" s="1378"/>
      <c r="BR335" s="1378"/>
      <c r="BS335" s="1378"/>
      <c r="BT335" s="1378"/>
      <c r="BU335" s="1378"/>
      <c r="BV335" s="1378"/>
      <c r="BW335" s="1378"/>
      <c r="BX335" s="1378"/>
      <c r="BY335" s="1378"/>
      <c r="BZ335" s="1378"/>
      <c r="CA335" s="1378"/>
      <c r="CB335" s="1378"/>
      <c r="CC335" s="1378"/>
      <c r="CD335" s="1378"/>
      <c r="CE335" s="1378"/>
      <c r="CF335" s="1378"/>
      <c r="CG335" s="1378"/>
      <c r="CH335" s="1378"/>
      <c r="CI335" s="1378"/>
      <c r="CJ335" s="1378"/>
      <c r="CK335" s="1378"/>
      <c r="CL335" s="1378"/>
      <c r="CM335" s="1378"/>
      <c r="CN335" s="1378"/>
      <c r="CO335" s="1378"/>
      <c r="CP335" s="1378"/>
      <c r="CQ335" s="1378"/>
      <c r="CR335" s="1378"/>
      <c r="CS335" s="1378"/>
      <c r="CT335" s="1378"/>
      <c r="CU335" s="1378"/>
      <c r="CV335" s="1378"/>
      <c r="CW335" s="1378"/>
      <c r="CX335" s="1378"/>
      <c r="CY335" s="1378"/>
      <c r="CZ335" s="1378"/>
      <c r="DA335" s="1378"/>
      <c r="DB335" s="1378"/>
      <c r="DC335" s="1378"/>
      <c r="DD335" s="1378"/>
      <c r="DE335" s="1378"/>
      <c r="DF335" s="1378"/>
      <c r="DG335" s="1378"/>
      <c r="DH335" s="1378"/>
      <c r="DI335" s="1378"/>
      <c r="DJ335" s="1378"/>
      <c r="DK335" s="1378"/>
      <c r="DL335" s="1378"/>
      <c r="DM335" s="1378"/>
      <c r="DN335" s="1378"/>
      <c r="DO335" s="1378"/>
      <c r="DP335" s="1378"/>
      <c r="DQ335" s="1378"/>
      <c r="DR335" s="1378"/>
      <c r="DS335" s="1378"/>
      <c r="DT335" s="1378"/>
      <c r="DU335" s="1378"/>
      <c r="DV335" s="1378"/>
      <c r="DW335" s="1378"/>
      <c r="DX335" s="1378"/>
      <c r="DY335" s="1378"/>
      <c r="DZ335" s="1378"/>
      <c r="EA335" s="1378"/>
      <c r="EB335" s="1378"/>
      <c r="EC335" s="1378"/>
      <c r="ED335" s="1378"/>
      <c r="EE335" s="1378"/>
      <c r="EF335" s="1378"/>
      <c r="EG335" s="1378"/>
      <c r="EH335" s="1378"/>
      <c r="EI335" s="1378"/>
      <c r="EJ335" s="1378"/>
      <c r="EK335" s="1378"/>
      <c r="EL335" s="1378"/>
      <c r="EM335" s="1378"/>
      <c r="EN335" s="1378"/>
      <c r="EO335" s="1378"/>
      <c r="EP335" s="1378"/>
      <c r="EQ335" s="1378"/>
      <c r="ER335" s="1378"/>
      <c r="ES335" s="1378"/>
      <c r="ET335" s="1378"/>
      <c r="EU335" s="1378"/>
      <c r="EV335" s="1378"/>
      <c r="EW335" s="1378"/>
      <c r="EX335" s="1378"/>
      <c r="EY335" s="1378"/>
      <c r="EZ335" s="1378"/>
      <c r="FA335" s="1378"/>
      <c r="FB335" s="1378"/>
      <c r="FC335" s="1378"/>
      <c r="FD335" s="1378"/>
      <c r="FE335" s="1378"/>
      <c r="FF335" s="1378"/>
      <c r="FG335" s="1378"/>
      <c r="FH335" s="1378"/>
      <c r="FI335" s="1378"/>
      <c r="FJ335" s="1378"/>
      <c r="FK335" s="1378"/>
      <c r="FL335" s="1378"/>
      <c r="FM335" s="1378"/>
      <c r="FN335" s="1378"/>
      <c r="FO335" s="1378"/>
      <c r="FP335" s="1378"/>
      <c r="FQ335" s="1378"/>
      <c r="FR335" s="1378"/>
      <c r="FS335" s="1378"/>
      <c r="FT335" s="1378"/>
      <c r="FU335" s="1378"/>
      <c r="FV335" s="1378"/>
      <c r="FW335" s="1378"/>
      <c r="FX335" s="1378"/>
      <c r="FY335" s="1378"/>
      <c r="FZ335" s="1378"/>
      <c r="GA335" s="1378"/>
      <c r="GB335" s="1378"/>
      <c r="GC335" s="1378"/>
      <c r="GD335" s="1378"/>
      <c r="GE335" s="1378"/>
      <c r="GF335" s="1378"/>
      <c r="GG335" s="1378"/>
      <c r="GH335" s="1378"/>
      <c r="GI335" s="1378"/>
      <c r="GJ335" s="1378"/>
      <c r="GK335" s="1378"/>
      <c r="GL335" s="1378"/>
      <c r="GM335" s="1378"/>
      <c r="GN335" s="1378"/>
      <c r="GO335" s="1378"/>
      <c r="GP335" s="1378"/>
      <c r="GQ335" s="1378"/>
      <c r="GR335" s="1378"/>
      <c r="GS335" s="1378"/>
      <c r="GT335" s="1378"/>
      <c r="GU335" s="1378"/>
      <c r="GV335" s="1378"/>
      <c r="GW335" s="1378"/>
      <c r="GX335" s="1378"/>
      <c r="GY335" s="1378"/>
      <c r="GZ335" s="1378"/>
      <c r="HA335" s="1378"/>
      <c r="HB335" s="1378"/>
      <c r="HC335" s="1378"/>
      <c r="HD335" s="1378"/>
      <c r="HE335" s="1378"/>
      <c r="HF335" s="1378"/>
      <c r="HG335" s="1378"/>
      <c r="HH335" s="1378"/>
      <c r="HI335" s="1378"/>
      <c r="HJ335" s="1378"/>
      <c r="HK335" s="1378"/>
      <c r="HL335" s="1378"/>
      <c r="HM335" s="1378"/>
      <c r="HN335" s="1378"/>
      <c r="HO335" s="1378"/>
      <c r="HP335" s="1378"/>
      <c r="HQ335" s="1378"/>
      <c r="HR335" s="1378"/>
      <c r="HS335" s="1378"/>
      <c r="HT335" s="1378"/>
      <c r="HU335" s="1378"/>
      <c r="HV335" s="1378"/>
      <c r="HW335" s="1378"/>
      <c r="HX335" s="1378"/>
      <c r="HY335" s="1378"/>
      <c r="HZ335" s="1378"/>
      <c r="IA335" s="1378"/>
      <c r="IB335" s="1378"/>
      <c r="IC335" s="1378"/>
      <c r="ID335" s="1378"/>
      <c r="IE335" s="1378"/>
      <c r="IF335" s="1378"/>
      <c r="IG335" s="1378"/>
      <c r="IH335" s="1378"/>
      <c r="II335" s="1378"/>
      <c r="IJ335" s="1378"/>
      <c r="IK335" s="1378"/>
      <c r="IL335" s="1378"/>
      <c r="IM335" s="1378"/>
      <c r="IN335" s="1378"/>
      <c r="IO335" s="1378"/>
      <c r="IP335" s="1378"/>
      <c r="IQ335" s="1378"/>
      <c r="IR335" s="1378"/>
      <c r="IS335" s="1378"/>
      <c r="IT335" s="1378"/>
      <c r="IU335" s="1378"/>
      <c r="IV335" s="1378"/>
    </row>
    <row r="336" spans="1:256 1523:1523" ht="11.25" customHeight="1">
      <c r="B336" s="144" t="s">
        <v>3756</v>
      </c>
      <c r="D336" s="144"/>
      <c r="E336" s="144"/>
      <c r="F336" s="144"/>
      <c r="G336" s="144"/>
      <c r="H336" s="40"/>
      <c r="I336" s="1385"/>
      <c r="J336" s="1385"/>
      <c r="K336" s="1385"/>
      <c r="L336" s="1378"/>
      <c r="M336" s="1378"/>
      <c r="N336" s="1378"/>
      <c r="O336" s="1378"/>
      <c r="P336" s="1378"/>
      <c r="Q336" s="1020"/>
    </row>
    <row r="337" spans="1:31" ht="11.45" customHeight="1">
      <c r="A337" s="3647"/>
      <c r="B337" s="3648"/>
      <c r="C337" s="3648"/>
      <c r="D337" s="3648"/>
      <c r="E337" s="3648"/>
      <c r="F337" s="3648"/>
      <c r="G337" s="3648"/>
      <c r="H337" s="3648"/>
      <c r="I337" s="3648"/>
      <c r="J337" s="3648"/>
      <c r="K337" s="3648"/>
      <c r="L337" s="3648"/>
      <c r="M337" s="3648"/>
      <c r="N337" s="3648"/>
      <c r="O337" s="3648"/>
      <c r="P337" s="3648"/>
      <c r="Q337" s="3649"/>
      <c r="R337" s="528" t="s">
        <v>1254</v>
      </c>
      <c r="S337" s="125"/>
      <c r="U337" s="139"/>
      <c r="V337" s="139"/>
      <c r="W337" s="139"/>
      <c r="X337" s="139"/>
      <c r="Y337" s="139"/>
      <c r="Z337" s="139"/>
      <c r="AA337" s="139"/>
      <c r="AB337" s="139"/>
      <c r="AC337" s="139"/>
      <c r="AD337" s="139"/>
      <c r="AE337" s="529"/>
    </row>
    <row r="338" spans="1:31" ht="11.25" customHeight="1">
      <c r="B338" s="140" t="s">
        <v>1866</v>
      </c>
      <c r="C338" s="141"/>
      <c r="D338" s="1379"/>
      <c r="E338" s="1379"/>
      <c r="F338" s="1379"/>
      <c r="G338" s="1379"/>
      <c r="H338" s="1379"/>
      <c r="I338" s="1379"/>
      <c r="J338" s="1379"/>
      <c r="K338" s="1379"/>
      <c r="L338" s="1379"/>
      <c r="M338" s="1379"/>
      <c r="N338" s="1379"/>
      <c r="O338" s="1379"/>
      <c r="P338" s="1379"/>
      <c r="Q338" s="1379"/>
    </row>
    <row r="339" spans="1:31" ht="11.45" customHeight="1">
      <c r="A339" s="3603"/>
      <c r="B339" s="3604"/>
      <c r="C339" s="3604"/>
      <c r="D339" s="3604"/>
      <c r="E339" s="3604"/>
      <c r="F339" s="3604"/>
      <c r="G339" s="3604"/>
      <c r="H339" s="3604"/>
      <c r="I339" s="3604"/>
      <c r="J339" s="3604"/>
      <c r="K339" s="3604"/>
      <c r="L339" s="3604"/>
      <c r="M339" s="3604"/>
      <c r="N339" s="3604"/>
      <c r="O339" s="3604"/>
      <c r="P339" s="3604"/>
      <c r="Q339" s="3605"/>
    </row>
    <row r="340" spans="1:31" ht="14.1" customHeight="1">
      <c r="A340" s="1384" t="s">
        <v>4106</v>
      </c>
      <c r="B340" s="1384" t="s">
        <v>4144</v>
      </c>
      <c r="C340" s="1384"/>
      <c r="D340" s="1379"/>
      <c r="E340" s="1379"/>
      <c r="F340" s="1379"/>
      <c r="G340" s="1379"/>
      <c r="H340" s="1379"/>
      <c r="O340" s="135" t="s">
        <v>1867</v>
      </c>
      <c r="P340" s="3606"/>
      <c r="Q340" s="3607"/>
    </row>
    <row r="341" spans="1:31" ht="11.45" customHeight="1">
      <c r="A341" s="47" t="s">
        <v>1983</v>
      </c>
      <c r="B341" s="55" t="s">
        <v>5002</v>
      </c>
      <c r="O341" s="166" t="s">
        <v>1983</v>
      </c>
      <c r="P341" s="238" t="s">
        <v>2993</v>
      </c>
      <c r="Q341" s="617"/>
    </row>
    <row r="342" spans="1:31" ht="11.45" customHeight="1">
      <c r="A342" s="145" t="s">
        <v>1985</v>
      </c>
      <c r="B342" s="55" t="s">
        <v>4092</v>
      </c>
      <c r="O342" s="166" t="s">
        <v>1985</v>
      </c>
      <c r="P342" s="422" t="s">
        <v>2990</v>
      </c>
      <c r="Q342" s="618"/>
    </row>
    <row r="343" spans="1:31" ht="11.45" customHeight="1">
      <c r="A343" s="145" t="s">
        <v>749</v>
      </c>
      <c r="B343" s="148" t="s">
        <v>2350</v>
      </c>
      <c r="O343" s="166" t="s">
        <v>749</v>
      </c>
      <c r="P343" s="422" t="s">
        <v>2993</v>
      </c>
      <c r="Q343" s="618"/>
    </row>
    <row r="344" spans="1:31" ht="11.45" customHeight="1">
      <c r="A344" s="47" t="s">
        <v>2115</v>
      </c>
      <c r="B344" s="55" t="s">
        <v>3844</v>
      </c>
      <c r="O344" s="527" t="s">
        <v>2115</v>
      </c>
      <c r="P344" s="239" t="s">
        <v>2993</v>
      </c>
      <c r="Q344" s="619"/>
    </row>
    <row r="345" spans="1:31" ht="11.45" customHeight="1">
      <c r="A345" s="145" t="s">
        <v>1735</v>
      </c>
      <c r="B345" s="55" t="s">
        <v>2884</v>
      </c>
      <c r="N345" s="166" t="s">
        <v>1735</v>
      </c>
      <c r="O345" s="3696" t="s">
        <v>3838</v>
      </c>
      <c r="P345" s="3697"/>
      <c r="Q345" s="3698"/>
    </row>
    <row r="346" spans="1:31" ht="11.45" customHeight="1">
      <c r="A346" s="145" t="s">
        <v>1736</v>
      </c>
      <c r="B346" s="470" t="s">
        <v>2351</v>
      </c>
      <c r="N346" s="166" t="s">
        <v>1736</v>
      </c>
      <c r="O346" s="3654" t="s">
        <v>2885</v>
      </c>
      <c r="P346" s="3655"/>
      <c r="Q346" s="3656"/>
    </row>
    <row r="347" spans="1:31" ht="11.25" customHeight="1">
      <c r="B347" s="144" t="s">
        <v>3756</v>
      </c>
      <c r="D347" s="144"/>
      <c r="E347" s="144"/>
      <c r="F347" s="144"/>
      <c r="G347" s="144"/>
      <c r="H347" s="40"/>
      <c r="I347" s="1385"/>
      <c r="J347" s="1385"/>
      <c r="K347" s="1385"/>
      <c r="L347" s="1378"/>
      <c r="M347" s="1378"/>
      <c r="N347" s="1378"/>
      <c r="O347" s="1378"/>
      <c r="P347" s="1378"/>
      <c r="Q347" s="1020"/>
    </row>
    <row r="348" spans="1:31" ht="13.35" customHeight="1">
      <c r="A348" s="3647"/>
      <c r="B348" s="3648"/>
      <c r="C348" s="3648"/>
      <c r="D348" s="3648"/>
      <c r="E348" s="3648"/>
      <c r="F348" s="3648"/>
      <c r="G348" s="3648"/>
      <c r="H348" s="3648"/>
      <c r="I348" s="3648"/>
      <c r="J348" s="3648"/>
      <c r="K348" s="3648"/>
      <c r="L348" s="3648"/>
      <c r="M348" s="3648"/>
      <c r="N348" s="3648"/>
      <c r="O348" s="3648"/>
      <c r="P348" s="3648"/>
      <c r="Q348" s="3649"/>
      <c r="R348" s="509" t="s">
        <v>1254</v>
      </c>
      <c r="S348" s="510"/>
      <c r="U348" s="139"/>
      <c r="V348" s="139"/>
      <c r="W348" s="139"/>
      <c r="X348" s="139"/>
      <c r="Y348" s="139"/>
      <c r="Z348" s="139"/>
      <c r="AA348" s="139"/>
      <c r="AB348" s="139"/>
      <c r="AC348" s="139"/>
      <c r="AD348" s="139"/>
      <c r="AE348" s="529"/>
    </row>
    <row r="349" spans="1:31" ht="11.25" customHeight="1">
      <c r="B349" s="140" t="s">
        <v>1866</v>
      </c>
      <c r="C349" s="141"/>
      <c r="D349" s="1379"/>
      <c r="E349" s="1379"/>
      <c r="F349" s="1379"/>
      <c r="G349" s="1379"/>
      <c r="H349" s="1379"/>
      <c r="I349" s="1379"/>
      <c r="J349" s="1379"/>
      <c r="K349" s="1379"/>
      <c r="L349" s="1379"/>
      <c r="M349" s="1379"/>
      <c r="N349" s="1379"/>
      <c r="O349" s="1379"/>
      <c r="P349" s="1379"/>
      <c r="Q349" s="1379"/>
    </row>
    <row r="350" spans="1:31" ht="13.35" customHeight="1">
      <c r="A350" s="3603"/>
      <c r="B350" s="3604"/>
      <c r="C350" s="3604"/>
      <c r="D350" s="3604"/>
      <c r="E350" s="3604"/>
      <c r="F350" s="3604"/>
      <c r="G350" s="3604"/>
      <c r="H350" s="3604"/>
      <c r="I350" s="3604"/>
      <c r="J350" s="3604"/>
      <c r="K350" s="3604"/>
      <c r="L350" s="3604"/>
      <c r="M350" s="3604"/>
      <c r="N350" s="3604"/>
      <c r="O350" s="3604"/>
      <c r="P350" s="3604"/>
      <c r="Q350" s="3605"/>
    </row>
    <row r="351" spans="1:31" ht="14.1" customHeight="1">
      <c r="A351" s="1384" t="s">
        <v>4107</v>
      </c>
      <c r="B351" s="4" t="s">
        <v>2667</v>
      </c>
      <c r="C351" s="4"/>
      <c r="D351" s="88"/>
      <c r="E351" s="1379"/>
      <c r="F351" s="1379"/>
      <c r="G351" s="1379"/>
      <c r="H351" s="1379"/>
      <c r="I351" s="1379"/>
      <c r="J351" s="1379"/>
      <c r="K351" s="1379"/>
      <c r="L351" s="1379"/>
      <c r="M351" s="1379"/>
      <c r="O351" s="135" t="s">
        <v>1867</v>
      </c>
      <c r="P351" s="3606"/>
      <c r="Q351" s="3607"/>
    </row>
    <row r="352" spans="1:31" ht="12.75" customHeight="1">
      <c r="A352" s="145" t="s">
        <v>1983</v>
      </c>
      <c r="B352" s="143" t="s">
        <v>3657</v>
      </c>
      <c r="D352" s="143"/>
      <c r="E352" s="143"/>
      <c r="F352" s="143"/>
      <c r="G352" s="143"/>
      <c r="H352" s="143"/>
      <c r="I352" s="143"/>
      <c r="J352" s="143"/>
      <c r="K352" s="143"/>
      <c r="L352" s="143"/>
      <c r="M352" s="143"/>
      <c r="N352" s="143"/>
      <c r="O352" s="166" t="s">
        <v>1983</v>
      </c>
      <c r="P352" s="238" t="s">
        <v>2990</v>
      </c>
      <c r="Q352" s="617"/>
    </row>
    <row r="353" spans="1:32" ht="12.75" customHeight="1">
      <c r="A353" s="145" t="s">
        <v>1985</v>
      </c>
      <c r="B353" s="143" t="s">
        <v>3853</v>
      </c>
      <c r="D353" s="143"/>
      <c r="E353" s="143"/>
      <c r="F353" s="143"/>
      <c r="G353" s="143"/>
      <c r="H353" s="143"/>
      <c r="I353" s="143"/>
      <c r="J353" s="143"/>
      <c r="K353" s="143"/>
      <c r="L353" s="143"/>
      <c r="M353" s="143"/>
      <c r="N353" s="143"/>
      <c r="O353" s="166" t="s">
        <v>1985</v>
      </c>
      <c r="P353" s="422" t="s">
        <v>2993</v>
      </c>
      <c r="Q353" s="618"/>
    </row>
    <row r="354" spans="1:32" ht="22.5" customHeight="1">
      <c r="A354" s="145" t="s">
        <v>749</v>
      </c>
      <c r="B354" s="3602" t="s">
        <v>4093</v>
      </c>
      <c r="C354" s="3602"/>
      <c r="D354" s="3602"/>
      <c r="E354" s="3602"/>
      <c r="F354" s="3602"/>
      <c r="G354" s="3602"/>
      <c r="H354" s="3602"/>
      <c r="I354" s="3602"/>
      <c r="J354" s="3602"/>
      <c r="K354" s="3602"/>
      <c r="L354" s="3602"/>
      <c r="M354" s="3602"/>
      <c r="N354" s="3602"/>
      <c r="O354" s="166" t="s">
        <v>749</v>
      </c>
      <c r="P354" s="239" t="s">
        <v>2990</v>
      </c>
      <c r="Q354" s="619"/>
    </row>
    <row r="355" spans="1:32" ht="11.25" customHeight="1">
      <c r="B355" s="144" t="s">
        <v>3756</v>
      </c>
      <c r="D355" s="144"/>
      <c r="E355" s="144"/>
      <c r="F355" s="144"/>
      <c r="G355" s="144"/>
      <c r="H355" s="40"/>
      <c r="I355" s="1385"/>
      <c r="J355" s="1385"/>
      <c r="K355" s="1385"/>
      <c r="L355" s="1378"/>
      <c r="M355" s="1378"/>
      <c r="N355" s="1378"/>
      <c r="O355" s="1378"/>
      <c r="P355" s="1378"/>
      <c r="Q355" s="1020"/>
    </row>
    <row r="356" spans="1:32" ht="11.45" customHeight="1">
      <c r="A356" s="3647"/>
      <c r="B356" s="3648"/>
      <c r="C356" s="3648"/>
      <c r="D356" s="3648"/>
      <c r="E356" s="3648"/>
      <c r="F356" s="3648"/>
      <c r="G356" s="3648"/>
      <c r="H356" s="3648"/>
      <c r="I356" s="3648"/>
      <c r="J356" s="3648"/>
      <c r="K356" s="3648"/>
      <c r="L356" s="3648"/>
      <c r="M356" s="3648"/>
      <c r="N356" s="3648"/>
      <c r="O356" s="3648"/>
      <c r="P356" s="3648"/>
      <c r="Q356" s="3649"/>
      <c r="U356" s="139"/>
      <c r="V356" s="139"/>
      <c r="W356" s="139"/>
      <c r="X356" s="139"/>
      <c r="Y356" s="139"/>
      <c r="Z356" s="139"/>
      <c r="AA356" s="139"/>
      <c r="AB356" s="139"/>
      <c r="AC356" s="139"/>
      <c r="AD356" s="139"/>
      <c r="AE356" s="529"/>
    </row>
    <row r="357" spans="1:32" ht="11.25" customHeight="1">
      <c r="B357" s="140" t="s">
        <v>1866</v>
      </c>
      <c r="C357" s="141"/>
      <c r="D357" s="1379"/>
      <c r="E357" s="1379"/>
      <c r="F357" s="1379"/>
      <c r="G357" s="1379"/>
      <c r="H357" s="1379"/>
      <c r="I357" s="1379"/>
      <c r="J357" s="1379"/>
      <c r="K357" s="1379"/>
      <c r="L357" s="1379"/>
      <c r="M357" s="1379"/>
      <c r="N357" s="1379"/>
      <c r="O357" s="1379"/>
      <c r="P357" s="1379"/>
      <c r="Q357" s="1379"/>
    </row>
    <row r="358" spans="1:32" ht="11.45" customHeight="1">
      <c r="A358" s="3603"/>
      <c r="B358" s="3604"/>
      <c r="C358" s="3604"/>
      <c r="D358" s="3604"/>
      <c r="E358" s="3604"/>
      <c r="F358" s="3604"/>
      <c r="G358" s="3604"/>
      <c r="H358" s="3604"/>
      <c r="I358" s="3604"/>
      <c r="J358" s="3604"/>
      <c r="K358" s="3604"/>
      <c r="L358" s="3604"/>
      <c r="M358" s="3604"/>
      <c r="N358" s="3604"/>
      <c r="O358" s="3604"/>
      <c r="P358" s="3604"/>
      <c r="Q358" s="3605"/>
    </row>
    <row r="359" spans="1:32" ht="2.25" customHeight="1">
      <c r="A359" s="1378"/>
      <c r="B359" s="1385"/>
      <c r="C359" s="1379"/>
      <c r="D359" s="1379"/>
      <c r="E359" s="1379"/>
      <c r="F359" s="1379"/>
      <c r="G359" s="1379"/>
      <c r="H359" s="1379"/>
      <c r="I359" s="1379"/>
      <c r="J359" s="1379"/>
      <c r="K359" s="1379"/>
      <c r="L359" s="1379"/>
      <c r="M359" s="1379"/>
      <c r="N359" s="1379"/>
      <c r="O359" s="1379"/>
      <c r="P359" s="1379"/>
      <c r="Q359" s="1020"/>
      <c r="R359" s="8"/>
      <c r="S359" s="8"/>
    </row>
    <row r="360" spans="1:32" ht="14.1" customHeight="1">
      <c r="A360" s="1384" t="s">
        <v>4110</v>
      </c>
      <c r="B360" s="4" t="s">
        <v>4083</v>
      </c>
      <c r="C360" s="4"/>
      <c r="D360" s="4"/>
      <c r="E360" s="4"/>
      <c r="F360" s="4"/>
      <c r="G360" s="4"/>
      <c r="H360" s="1379"/>
      <c r="I360" s="1379"/>
      <c r="J360" s="1379"/>
      <c r="K360" s="1379"/>
      <c r="L360" s="1379"/>
      <c r="M360" s="1379"/>
      <c r="O360" s="135" t="s">
        <v>1867</v>
      </c>
      <c r="P360" s="3834"/>
      <c r="Q360" s="3607"/>
    </row>
    <row r="361" spans="1:32" ht="10.5" customHeight="1">
      <c r="A361" s="47" t="s">
        <v>1983</v>
      </c>
      <c r="B361" s="138" t="s">
        <v>4084</v>
      </c>
      <c r="D361" s="154"/>
      <c r="E361" s="154"/>
      <c r="F361" s="154"/>
      <c r="G361" s="154"/>
      <c r="H361" s="527" t="s">
        <v>1983</v>
      </c>
      <c r="I361" s="3633"/>
      <c r="J361" s="3634"/>
      <c r="K361" s="3634"/>
      <c r="L361" s="3634"/>
      <c r="M361" s="3634"/>
      <c r="N361" s="3634"/>
      <c r="O361" s="3634"/>
      <c r="P361" s="3635"/>
      <c r="Q361" s="615"/>
    </row>
    <row r="362" spans="1:32" ht="10.5" customHeight="1">
      <c r="A362" s="145" t="s">
        <v>1985</v>
      </c>
      <c r="B362" s="138" t="s">
        <v>4085</v>
      </c>
      <c r="D362" s="154"/>
      <c r="E362" s="154"/>
      <c r="F362" s="154"/>
      <c r="G362" s="154"/>
      <c r="H362" s="166" t="s">
        <v>1985</v>
      </c>
      <c r="I362" s="3633"/>
      <c r="J362" s="3634"/>
      <c r="K362" s="3634"/>
      <c r="L362" s="3634"/>
      <c r="M362" s="3634"/>
      <c r="N362" s="3634"/>
      <c r="O362" s="3634"/>
      <c r="P362" s="3635"/>
      <c r="Q362" s="615"/>
    </row>
    <row r="363" spans="1:32" ht="21.75" customHeight="1">
      <c r="A363" s="145" t="s">
        <v>749</v>
      </c>
      <c r="B363" s="3682" t="s">
        <v>4075</v>
      </c>
      <c r="C363" s="3682"/>
      <c r="D363" s="3682"/>
      <c r="E363" s="3682"/>
      <c r="F363" s="3682"/>
      <c r="G363" s="3682"/>
      <c r="H363" s="3682"/>
      <c r="I363" s="3682"/>
      <c r="J363" s="3682"/>
      <c r="K363" s="3682"/>
      <c r="L363" s="3682"/>
      <c r="M363" s="3682"/>
      <c r="N363" s="3682"/>
      <c r="O363" s="166" t="s">
        <v>749</v>
      </c>
      <c r="P363" s="1265"/>
      <c r="Q363" s="1421"/>
    </row>
    <row r="364" spans="1:32" ht="21.75" customHeight="1">
      <c r="A364" s="145" t="s">
        <v>2115</v>
      </c>
      <c r="B364" s="3602" t="s">
        <v>4076</v>
      </c>
      <c r="C364" s="3602"/>
      <c r="D364" s="3602"/>
      <c r="E364" s="3602"/>
      <c r="F364" s="3602"/>
      <c r="G364" s="3602"/>
      <c r="H364" s="3602"/>
      <c r="I364" s="3602"/>
      <c r="J364" s="3602"/>
      <c r="K364" s="3602"/>
      <c r="L364" s="3602"/>
      <c r="M364" s="3602"/>
      <c r="N364" s="3602"/>
      <c r="O364" s="527" t="s">
        <v>2115</v>
      </c>
      <c r="P364" s="633"/>
      <c r="Q364" s="620"/>
    </row>
    <row r="365" spans="1:32" ht="10.5" customHeight="1">
      <c r="A365" s="145" t="s">
        <v>1735</v>
      </c>
      <c r="B365" s="52" t="s">
        <v>4077</v>
      </c>
      <c r="D365" s="52"/>
      <c r="E365" s="52"/>
      <c r="F365" s="52"/>
      <c r="G365" s="52"/>
      <c r="H365" s="52"/>
      <c r="I365" s="52"/>
      <c r="J365" s="52"/>
      <c r="K365" s="52"/>
      <c r="L365" s="52"/>
      <c r="M365" s="52"/>
      <c r="O365" s="166" t="s">
        <v>1735</v>
      </c>
      <c r="P365" s="422"/>
      <c r="Q365" s="618"/>
    </row>
    <row r="366" spans="1:32" s="136" customFormat="1" ht="21.75" customHeight="1">
      <c r="A366" s="145" t="s">
        <v>1736</v>
      </c>
      <c r="B366" s="3602" t="s">
        <v>4078</v>
      </c>
      <c r="C366" s="3602"/>
      <c r="D366" s="3602"/>
      <c r="E366" s="3602"/>
      <c r="F366" s="3602"/>
      <c r="G366" s="3602"/>
      <c r="H366" s="3602"/>
      <c r="I366" s="3602"/>
      <c r="J366" s="3602"/>
      <c r="K366" s="3602"/>
      <c r="L366" s="3602"/>
      <c r="M366" s="3602"/>
      <c r="N366" s="3602"/>
      <c r="O366" s="166" t="s">
        <v>1736</v>
      </c>
      <c r="P366" s="1003"/>
      <c r="Q366" s="1004"/>
      <c r="AE366" s="530"/>
      <c r="AF366" s="530"/>
    </row>
    <row r="367" spans="1:32" s="136" customFormat="1" ht="10.5" customHeight="1">
      <c r="A367" s="145" t="s">
        <v>1947</v>
      </c>
      <c r="B367" s="143" t="s">
        <v>4079</v>
      </c>
      <c r="D367" s="1022"/>
      <c r="E367" s="1022"/>
      <c r="F367" s="1022"/>
      <c r="G367" s="1022"/>
      <c r="H367" s="1022"/>
      <c r="I367" s="1022"/>
      <c r="J367" s="1022"/>
      <c r="K367" s="1022"/>
      <c r="L367" s="1022"/>
      <c r="M367" s="1022"/>
      <c r="N367" s="1022"/>
      <c r="O367" s="166" t="s">
        <v>1947</v>
      </c>
      <c r="P367" s="1422"/>
      <c r="Q367" s="1388"/>
      <c r="AE367" s="530"/>
      <c r="AF367" s="530"/>
    </row>
    <row r="368" spans="1:32" s="136" customFormat="1" ht="10.5" customHeight="1">
      <c r="C368" s="1002" t="s">
        <v>5001</v>
      </c>
      <c r="E368" s="1379"/>
      <c r="F368" s="1379"/>
      <c r="G368" s="1379"/>
      <c r="H368" s="1379"/>
      <c r="I368" s="1379"/>
      <c r="J368" s="1379"/>
      <c r="K368" s="1379"/>
      <c r="L368" s="1379"/>
      <c r="M368" s="1379"/>
      <c r="N368" s="1379"/>
      <c r="P368" s="1447"/>
      <c r="Q368" s="1390"/>
      <c r="AE368" s="530"/>
      <c r="AF368" s="530"/>
    </row>
    <row r="369" spans="1:32" ht="21.75" customHeight="1">
      <c r="A369" s="145" t="s">
        <v>3370</v>
      </c>
      <c r="B369" s="3602" t="s">
        <v>4080</v>
      </c>
      <c r="C369" s="3602"/>
      <c r="D369" s="3602"/>
      <c r="E369" s="3602"/>
      <c r="F369" s="3602"/>
      <c r="G369" s="3602"/>
      <c r="H369" s="3602"/>
      <c r="I369" s="3602"/>
      <c r="J369" s="3602"/>
      <c r="K369" s="3602"/>
      <c r="L369" s="3602"/>
      <c r="M369" s="3602"/>
      <c r="N369" s="3602"/>
      <c r="O369" s="166" t="s">
        <v>3370</v>
      </c>
      <c r="P369" s="1422"/>
      <c r="Q369" s="1388"/>
    </row>
    <row r="370" spans="1:32" ht="33" customHeight="1">
      <c r="A370" s="145" t="s">
        <v>616</v>
      </c>
      <c r="B370" s="3602" t="s">
        <v>4081</v>
      </c>
      <c r="C370" s="3602"/>
      <c r="D370" s="3602"/>
      <c r="E370" s="3602"/>
      <c r="F370" s="3602"/>
      <c r="G370" s="3602"/>
      <c r="H370" s="3602"/>
      <c r="I370" s="3602"/>
      <c r="J370" s="3602"/>
      <c r="K370" s="3602"/>
      <c r="L370" s="3602"/>
      <c r="M370" s="3602"/>
      <c r="N370" s="3602"/>
      <c r="O370" s="166" t="s">
        <v>616</v>
      </c>
      <c r="P370" s="1447"/>
      <c r="Q370" s="1390"/>
    </row>
    <row r="371" spans="1:32" ht="10.5" customHeight="1">
      <c r="B371" s="144" t="s">
        <v>3756</v>
      </c>
      <c r="D371" s="144"/>
      <c r="E371" s="144"/>
      <c r="F371" s="144"/>
      <c r="G371" s="144"/>
      <c r="H371" s="40"/>
      <c r="I371" s="1385"/>
      <c r="J371" s="1385"/>
      <c r="K371" s="1385"/>
      <c r="L371" s="1378"/>
      <c r="M371" s="1378"/>
      <c r="N371" s="1378"/>
      <c r="O371" s="1378"/>
      <c r="P371" s="1378"/>
      <c r="Q371" s="1020"/>
    </row>
    <row r="372" spans="1:32" ht="31.5" customHeight="1">
      <c r="A372" s="3647"/>
      <c r="B372" s="3648"/>
      <c r="C372" s="3648"/>
      <c r="D372" s="3648"/>
      <c r="E372" s="3648"/>
      <c r="F372" s="3648"/>
      <c r="G372" s="3648"/>
      <c r="H372" s="3648"/>
      <c r="I372" s="3648"/>
      <c r="J372" s="3648"/>
      <c r="K372" s="3648"/>
      <c r="L372" s="3648"/>
      <c r="M372" s="3648"/>
      <c r="N372" s="3648"/>
      <c r="O372" s="3648"/>
      <c r="P372" s="3648"/>
      <c r="Q372" s="3649"/>
      <c r="U372" s="139"/>
      <c r="V372" s="139"/>
      <c r="W372" s="139"/>
      <c r="X372" s="139"/>
      <c r="Y372" s="139"/>
      <c r="Z372" s="139"/>
      <c r="AA372" s="139"/>
      <c r="AB372" s="139"/>
      <c r="AC372" s="139"/>
      <c r="AD372" s="139"/>
      <c r="AE372" s="529"/>
    </row>
    <row r="373" spans="1:32" ht="10.5" customHeight="1">
      <c r="B373" s="140" t="s">
        <v>1866</v>
      </c>
      <c r="C373" s="141"/>
      <c r="D373" s="1379"/>
      <c r="E373" s="1379"/>
      <c r="F373" s="1379"/>
      <c r="G373" s="1379"/>
      <c r="H373" s="1379"/>
      <c r="I373" s="1379"/>
      <c r="J373" s="1379"/>
      <c r="K373" s="1379"/>
      <c r="L373" s="1379"/>
      <c r="M373" s="1379"/>
      <c r="N373" s="1379"/>
      <c r="O373" s="1379"/>
      <c r="P373" s="1379"/>
      <c r="Q373" s="1379"/>
    </row>
    <row r="374" spans="1:32" ht="23.25" customHeight="1">
      <c r="A374" s="3603"/>
      <c r="B374" s="3604"/>
      <c r="C374" s="3604"/>
      <c r="D374" s="3604"/>
      <c r="E374" s="3604"/>
      <c r="F374" s="3604"/>
      <c r="G374" s="3604"/>
      <c r="H374" s="3604"/>
      <c r="I374" s="3604"/>
      <c r="J374" s="3604"/>
      <c r="K374" s="3604"/>
      <c r="L374" s="3604"/>
      <c r="M374" s="3604"/>
      <c r="N374" s="3604"/>
      <c r="O374" s="3604"/>
      <c r="P374" s="3604"/>
      <c r="Q374" s="3605"/>
    </row>
    <row r="375" spans="1:32" ht="3" customHeight="1">
      <c r="A375" s="1378"/>
      <c r="B375" s="1385"/>
      <c r="C375" s="1379"/>
      <c r="D375" s="1379"/>
      <c r="E375" s="1379"/>
      <c r="F375" s="1379"/>
      <c r="G375" s="1379"/>
      <c r="H375" s="1379"/>
      <c r="I375" s="1379"/>
      <c r="J375" s="1379"/>
      <c r="K375" s="1379"/>
      <c r="L375" s="1379"/>
      <c r="M375" s="1379"/>
      <c r="Q375" s="1020"/>
    </row>
    <row r="376" spans="1:32" ht="14.1" customHeight="1">
      <c r="A376" s="1384" t="s">
        <v>4111</v>
      </c>
      <c r="B376" s="4" t="s">
        <v>3917</v>
      </c>
      <c r="C376" s="4"/>
      <c r="D376" s="4"/>
      <c r="E376" s="4"/>
      <c r="F376" s="4"/>
      <c r="G376" s="4"/>
      <c r="H376" s="1379"/>
      <c r="I376" s="1379"/>
      <c r="J376" s="1379"/>
      <c r="O376" s="135" t="s">
        <v>1867</v>
      </c>
      <c r="P376" s="3606"/>
      <c r="Q376" s="3607"/>
    </row>
    <row r="377" spans="1:32" s="42" customFormat="1" ht="10.5" customHeight="1">
      <c r="A377" s="47" t="s">
        <v>1983</v>
      </c>
      <c r="B377" s="719" t="s">
        <v>3919</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1737</v>
      </c>
      <c r="C378" s="3844" t="s">
        <v>4927</v>
      </c>
      <c r="D378" s="3844"/>
      <c r="E378" s="3844"/>
      <c r="F378" s="3844"/>
      <c r="G378" s="50"/>
      <c r="H378" s="36" t="s">
        <v>617</v>
      </c>
      <c r="J378" s="3630"/>
      <c r="K378" s="3631"/>
      <c r="L378" s="3631"/>
      <c r="M378" s="3632"/>
      <c r="N378" s="3614" t="s">
        <v>3918</v>
      </c>
      <c r="O378" s="3615"/>
      <c r="P378" s="3616"/>
      <c r="Q378" s="3617"/>
      <c r="AE378" s="50"/>
      <c r="AF378" s="50"/>
    </row>
    <row r="379" spans="1:32" s="42" customFormat="1" ht="11.25" customHeight="1">
      <c r="A379" s="47"/>
      <c r="B379" s="40"/>
      <c r="C379" s="2498"/>
      <c r="D379" s="2498"/>
      <c r="E379" s="2498"/>
      <c r="F379" s="2498"/>
      <c r="G379" s="2498"/>
      <c r="H379" s="40" t="s">
        <v>5213</v>
      </c>
      <c r="I379" s="2498"/>
      <c r="J379" s="3633"/>
      <c r="K379" s="3634"/>
      <c r="L379" s="3634"/>
      <c r="M379" s="3634"/>
      <c r="N379" s="3634"/>
      <c r="O379" s="3634"/>
      <c r="P379" s="3634"/>
      <c r="Q379" s="3635"/>
      <c r="AE379" s="50"/>
      <c r="AF379" s="50"/>
    </row>
    <row r="380" spans="1:32" s="42" customFormat="1" ht="11.25" customHeight="1">
      <c r="B380" s="40" t="s">
        <v>1738</v>
      </c>
      <c r="C380" s="52" t="s">
        <v>3920</v>
      </c>
      <c r="J380" s="3620"/>
      <c r="K380" s="3621"/>
      <c r="O380" s="527"/>
      <c r="AE380" s="50"/>
      <c r="AF380" s="50"/>
    </row>
    <row r="381" spans="1:32" s="42" customFormat="1" ht="11.25" customHeight="1">
      <c r="A381" s="47"/>
      <c r="B381" s="40" t="s">
        <v>1739</v>
      </c>
      <c r="C381" s="52" t="s">
        <v>3921</v>
      </c>
      <c r="D381" s="46"/>
      <c r="E381" s="137"/>
      <c r="I381" s="137"/>
      <c r="J381" s="3636" t="str">
        <f>'Part I-Project Information'!K40</f>
        <v>Urban</v>
      </c>
      <c r="K381" s="3637"/>
      <c r="L381" s="1381" t="s">
        <v>3922</v>
      </c>
      <c r="M381" s="137"/>
      <c r="N381" s="137"/>
      <c r="O381" s="527" t="s">
        <v>1739</v>
      </c>
      <c r="P381" s="542"/>
      <c r="Q381" s="616"/>
      <c r="AE381" s="50"/>
      <c r="AF381" s="50"/>
    </row>
    <row r="382" spans="1:32" s="42" customFormat="1" ht="11.25" customHeight="1">
      <c r="A382" s="47"/>
      <c r="B382" s="40" t="s">
        <v>2365</v>
      </c>
      <c r="C382" s="52" t="s">
        <v>4916</v>
      </c>
      <c r="E382" s="137"/>
      <c r="F382" s="137"/>
      <c r="G382" s="137"/>
      <c r="H382" s="52" t="s">
        <v>4917</v>
      </c>
      <c r="I382" s="137"/>
      <c r="J382" s="3618"/>
      <c r="K382" s="3619"/>
      <c r="L382" s="3642"/>
      <c r="M382" s="3643"/>
      <c r="O382" s="527"/>
      <c r="AE382" s="50"/>
      <c r="AF382" s="50"/>
    </row>
    <row r="383" spans="1:32" s="42" customFormat="1" ht="11.25" customHeight="1">
      <c r="A383" s="47"/>
      <c r="B383" s="40"/>
      <c r="C383" s="52"/>
      <c r="E383" s="137"/>
      <c r="F383" s="137"/>
      <c r="G383" s="137"/>
      <c r="H383" s="52" t="s">
        <v>4918</v>
      </c>
      <c r="I383" s="137"/>
      <c r="J383" s="3626"/>
      <c r="K383" s="3627"/>
      <c r="L383" s="3628"/>
      <c r="M383" s="3629"/>
      <c r="N383" s="52"/>
      <c r="O383" s="527"/>
      <c r="AE383" s="50"/>
      <c r="AF383" s="50"/>
    </row>
    <row r="384" spans="1:32" s="42" customFormat="1" ht="11.25" customHeight="1">
      <c r="A384" s="47"/>
      <c r="B384" s="40" t="s">
        <v>1549</v>
      </c>
      <c r="C384" s="52" t="s">
        <v>3924</v>
      </c>
      <c r="E384" s="52"/>
      <c r="F384" s="3622">
        <f>'Part IV-A-Uses of Funds'!J173</f>
        <v>660058</v>
      </c>
      <c r="G384" s="3623"/>
      <c r="H384" s="52" t="s">
        <v>3925</v>
      </c>
      <c r="I384" s="52"/>
      <c r="J384" s="2522" t="str">
        <f>IF(F384&gt;'DCA Underwriting Assumptions'!$Q$131, "Request exceeds DCA per project maximum for set aside!!!","")</f>
        <v>Request exceeds DCA per project maximum for set aside!!!</v>
      </c>
      <c r="K384" s="1021"/>
      <c r="L384" s="52"/>
      <c r="O384" s="527" t="s">
        <v>1549</v>
      </c>
      <c r="P384" s="542"/>
      <c r="Q384" s="616"/>
      <c r="AE384" s="50"/>
      <c r="AF384" s="50"/>
    </row>
    <row r="385" spans="1:32" s="42" customFormat="1" ht="11.25" customHeight="1">
      <c r="A385" s="47"/>
      <c r="B385" s="40" t="s">
        <v>1550</v>
      </c>
      <c r="C385" s="52" t="s">
        <v>3927</v>
      </c>
      <c r="E385" s="52"/>
      <c r="F385" s="52"/>
      <c r="G385" s="52"/>
      <c r="H385" s="52" t="s">
        <v>4919</v>
      </c>
      <c r="I385" s="52"/>
      <c r="J385" s="3638"/>
      <c r="K385" s="3639"/>
      <c r="L385" s="3640"/>
      <c r="M385" s="3641"/>
      <c r="AE385" s="50"/>
      <c r="AF385" s="50"/>
    </row>
    <row r="386" spans="1:32" s="42" customFormat="1" ht="11.25" customHeight="1">
      <c r="B386" s="40" t="s">
        <v>98</v>
      </c>
      <c r="C386" s="52" t="s">
        <v>3929</v>
      </c>
      <c r="E386" s="137"/>
      <c r="F386" s="137"/>
      <c r="G386" s="137"/>
      <c r="H386" s="137"/>
      <c r="I386" s="137"/>
      <c r="J386" s="137"/>
      <c r="K386" s="137"/>
      <c r="L386" s="137"/>
      <c r="O386" s="527" t="s">
        <v>98</v>
      </c>
      <c r="P386" s="542"/>
      <c r="Q386" s="616"/>
      <c r="AE386" s="50"/>
      <c r="AF386" s="50"/>
    </row>
    <row r="387" spans="1:32" s="42" customFormat="1" ht="11.25" customHeight="1">
      <c r="A387" s="47" t="s">
        <v>1985</v>
      </c>
      <c r="B387" s="719" t="s">
        <v>3930</v>
      </c>
      <c r="D387" s="137"/>
      <c r="E387" s="137"/>
      <c r="F387" s="137"/>
      <c r="G387" s="137"/>
      <c r="H387" s="137"/>
      <c r="P387" s="137"/>
      <c r="Q387" s="137"/>
      <c r="R387" s="137"/>
      <c r="AE387" s="50"/>
      <c r="AF387" s="50"/>
    </row>
    <row r="388" spans="1:32" s="42" customFormat="1" ht="11.25" customHeight="1">
      <c r="B388" s="40" t="s">
        <v>1737</v>
      </c>
      <c r="C388" s="1021" t="s">
        <v>4973</v>
      </c>
      <c r="E388" s="1381"/>
      <c r="F388" s="1381"/>
      <c r="G388" s="1381"/>
      <c r="H388" s="1381"/>
      <c r="P388" s="542"/>
      <c r="Q388" s="616"/>
      <c r="AE388" s="50"/>
      <c r="AF388" s="50"/>
    </row>
    <row r="389" spans="1:32" s="42" customFormat="1" ht="11.25" customHeight="1">
      <c r="B389" s="40"/>
      <c r="C389" s="1021"/>
      <c r="E389" s="2540"/>
      <c r="F389" s="2540"/>
      <c r="G389" s="2540"/>
      <c r="H389" s="2540"/>
      <c r="J389" s="3843" t="s">
        <v>3935</v>
      </c>
      <c r="K389" s="3843"/>
      <c r="L389" s="3843"/>
      <c r="M389" s="3843"/>
      <c r="N389" s="3608" t="s">
        <v>3932</v>
      </c>
      <c r="O389" s="3608"/>
      <c r="AE389" s="50"/>
      <c r="AF389" s="50"/>
    </row>
    <row r="390" spans="1:32" s="42" customFormat="1" ht="11.25" customHeight="1">
      <c r="A390" s="2548"/>
      <c r="B390" s="40" t="s">
        <v>1738</v>
      </c>
      <c r="C390" s="1021" t="s">
        <v>3931</v>
      </c>
      <c r="E390" s="137"/>
      <c r="F390" s="137"/>
      <c r="G390" s="137"/>
      <c r="H390" s="137"/>
      <c r="I390" s="527" t="s">
        <v>1738</v>
      </c>
      <c r="J390" s="3624"/>
      <c r="K390" s="3625"/>
      <c r="L390" s="3832"/>
      <c r="M390" s="3833"/>
      <c r="N390" s="1347" t="str">
        <f>IF(J390="","",(J390-J382)/J390)</f>
        <v/>
      </c>
      <c r="O390" s="1348" t="str">
        <f>IF(L390="","",(L390-L382)/L390)</f>
        <v/>
      </c>
      <c r="P390" s="2878"/>
      <c r="Q390" s="2879"/>
      <c r="AE390" s="50"/>
      <c r="AF390" s="50"/>
    </row>
    <row r="391" spans="1:32" s="42" customFormat="1" ht="11.25" customHeight="1">
      <c r="A391" s="2548"/>
      <c r="B391" s="40" t="s">
        <v>1739</v>
      </c>
      <c r="C391" s="52" t="s">
        <v>3934</v>
      </c>
      <c r="E391" s="137"/>
      <c r="F391" s="137"/>
      <c r="G391" s="137"/>
      <c r="H391" s="137"/>
      <c r="N391" s="137"/>
      <c r="O391" s="527" t="s">
        <v>1739</v>
      </c>
      <c r="P391" s="1626"/>
      <c r="Q391" s="1627"/>
      <c r="AE391" s="50"/>
      <c r="AF391" s="50"/>
    </row>
    <row r="392" spans="1:32" s="42" customFormat="1" ht="11.25" customHeight="1">
      <c r="B392" s="40" t="s">
        <v>2365</v>
      </c>
      <c r="C392" s="52" t="s">
        <v>3936</v>
      </c>
      <c r="E392" s="137"/>
      <c r="F392" s="137"/>
      <c r="G392" s="137"/>
      <c r="H392" s="137"/>
      <c r="M392" s="137"/>
      <c r="N392" s="137"/>
      <c r="O392" s="527" t="s">
        <v>2365</v>
      </c>
      <c r="P392" s="239"/>
      <c r="Q392" s="619"/>
      <c r="AE392" s="50"/>
      <c r="AF392" s="50"/>
    </row>
    <row r="393" spans="1:32" ht="10.5" customHeight="1">
      <c r="B393" s="144" t="s">
        <v>3756</v>
      </c>
      <c r="D393" s="144"/>
      <c r="E393" s="144"/>
      <c r="F393" s="144"/>
      <c r="G393" s="144"/>
      <c r="H393" s="40"/>
      <c r="I393" s="1385"/>
      <c r="J393" s="1385"/>
      <c r="K393" s="1385"/>
      <c r="L393" s="1378"/>
      <c r="M393" s="1378"/>
      <c r="N393" s="1378"/>
      <c r="O393" s="1378"/>
      <c r="P393" s="1378"/>
      <c r="Q393" s="1020"/>
    </row>
    <row r="394" spans="1:32" ht="31.5" customHeight="1">
      <c r="A394" s="3647"/>
      <c r="B394" s="3648"/>
      <c r="C394" s="3648"/>
      <c r="D394" s="3648"/>
      <c r="E394" s="3648"/>
      <c r="F394" s="3648"/>
      <c r="G394" s="3648"/>
      <c r="H394" s="3648"/>
      <c r="I394" s="3648"/>
      <c r="J394" s="3648"/>
      <c r="K394" s="3648"/>
      <c r="L394" s="3648"/>
      <c r="M394" s="3648"/>
      <c r="N394" s="3648"/>
      <c r="O394" s="3648"/>
      <c r="P394" s="3648"/>
      <c r="Q394" s="3649"/>
      <c r="U394" s="139"/>
      <c r="V394" s="139"/>
      <c r="W394" s="139"/>
      <c r="X394" s="139"/>
      <c r="Y394" s="139"/>
      <c r="Z394" s="139"/>
      <c r="AA394" s="139"/>
      <c r="AB394" s="139"/>
      <c r="AC394" s="139"/>
      <c r="AD394" s="139"/>
      <c r="AE394" s="529"/>
    </row>
    <row r="395" spans="1:32" ht="11.25" customHeight="1">
      <c r="B395" s="140" t="s">
        <v>1866</v>
      </c>
      <c r="C395" s="141"/>
      <c r="D395" s="1379"/>
      <c r="E395" s="1379"/>
      <c r="F395" s="1379"/>
      <c r="G395" s="1379"/>
      <c r="H395" s="1379"/>
      <c r="I395" s="1379"/>
      <c r="J395" s="1379"/>
      <c r="K395" s="1379"/>
      <c r="L395" s="1379"/>
      <c r="M395" s="1379"/>
      <c r="N395" s="1379"/>
      <c r="O395" s="1379"/>
      <c r="P395" s="1379"/>
      <c r="Q395" s="1379"/>
    </row>
    <row r="396" spans="1:32" ht="23.25" customHeight="1">
      <c r="A396" s="3603"/>
      <c r="B396" s="3604"/>
      <c r="C396" s="3604"/>
      <c r="D396" s="3604"/>
      <c r="E396" s="3604"/>
      <c r="F396" s="3604"/>
      <c r="G396" s="3604"/>
      <c r="H396" s="3604"/>
      <c r="I396" s="3604"/>
      <c r="J396" s="3604"/>
      <c r="K396" s="3604"/>
      <c r="L396" s="3604"/>
      <c r="M396" s="3604"/>
      <c r="N396" s="3604"/>
      <c r="O396" s="3604"/>
      <c r="P396" s="3604"/>
      <c r="Q396" s="3605"/>
    </row>
    <row r="397" spans="1:32" ht="3.6" customHeight="1">
      <c r="A397" s="1378"/>
      <c r="B397" s="1385"/>
      <c r="C397" s="1379"/>
      <c r="D397" s="1379"/>
      <c r="E397" s="1379"/>
      <c r="F397" s="1379"/>
      <c r="G397" s="1379"/>
      <c r="H397" s="1379"/>
      <c r="I397" s="1379"/>
      <c r="J397" s="1379"/>
      <c r="K397" s="1379"/>
      <c r="L397" s="1379"/>
      <c r="M397" s="1379"/>
      <c r="Q397" s="1020"/>
    </row>
    <row r="398" spans="1:32" ht="3" customHeight="1">
      <c r="A398" s="1378"/>
      <c r="B398" s="1385"/>
      <c r="C398" s="1379"/>
      <c r="D398" s="1379"/>
      <c r="E398" s="1379"/>
      <c r="F398" s="1379"/>
      <c r="G398" s="1379"/>
      <c r="H398" s="1379"/>
      <c r="I398" s="1379"/>
      <c r="J398" s="1379"/>
      <c r="K398" s="1379"/>
      <c r="L398" s="1379"/>
      <c r="M398" s="1379"/>
      <c r="Q398" s="1020"/>
    </row>
    <row r="399" spans="1:32" ht="14.1" customHeight="1">
      <c r="A399" s="1384" t="s">
        <v>4112</v>
      </c>
      <c r="B399" s="4" t="s">
        <v>2684</v>
      </c>
      <c r="C399" s="4"/>
      <c r="D399" s="4"/>
      <c r="E399" s="4"/>
      <c r="F399" s="4"/>
      <c r="G399" s="4"/>
      <c r="H399" s="1379"/>
      <c r="I399" s="1379"/>
      <c r="J399" s="1379"/>
      <c r="O399" s="135" t="s">
        <v>1867</v>
      </c>
      <c r="P399" s="3606"/>
      <c r="Q399" s="3607"/>
    </row>
    <row r="400" spans="1:32" ht="11.45" customHeight="1">
      <c r="A400" s="47" t="s">
        <v>1983</v>
      </c>
      <c r="B400" s="121" t="s">
        <v>1034</v>
      </c>
      <c r="E400" s="3822"/>
      <c r="F400" s="3823"/>
      <c r="G400" s="3823"/>
      <c r="H400" s="3823"/>
      <c r="I400" s="3824"/>
      <c r="J400" s="3825" t="s">
        <v>2671</v>
      </c>
      <c r="K400" s="3826"/>
      <c r="L400" s="3615"/>
      <c r="M400" s="3822"/>
      <c r="N400" s="3823"/>
      <c r="O400" s="3823"/>
      <c r="P400" s="3823"/>
      <c r="Q400" s="3824"/>
    </row>
    <row r="401" spans="1:31" ht="11.45" customHeight="1">
      <c r="A401" s="47" t="s">
        <v>1985</v>
      </c>
      <c r="B401" s="52" t="s">
        <v>3464</v>
      </c>
      <c r="D401" s="52"/>
      <c r="E401" s="52"/>
      <c r="F401" s="52"/>
      <c r="G401" s="52"/>
      <c r="H401" s="52"/>
      <c r="I401" s="52"/>
      <c r="J401" s="52"/>
      <c r="K401" s="52"/>
      <c r="L401" s="1021"/>
      <c r="M401" s="1021"/>
      <c r="O401" s="527" t="s">
        <v>1985</v>
      </c>
      <c r="P401" s="238"/>
      <c r="Q401" s="617"/>
    </row>
    <row r="402" spans="1:31" ht="22.5" customHeight="1">
      <c r="A402" s="145" t="s">
        <v>749</v>
      </c>
      <c r="B402" s="3602" t="s">
        <v>3474</v>
      </c>
      <c r="C402" s="3602"/>
      <c r="D402" s="3602"/>
      <c r="E402" s="3602"/>
      <c r="F402" s="3602"/>
      <c r="G402" s="3602"/>
      <c r="H402" s="3602"/>
      <c r="I402" s="3602"/>
      <c r="J402" s="3602"/>
      <c r="K402" s="3602"/>
      <c r="L402" s="3602"/>
      <c r="M402" s="3602"/>
      <c r="N402" s="3602"/>
      <c r="O402" s="166" t="s">
        <v>749</v>
      </c>
      <c r="P402" s="633"/>
      <c r="Q402" s="620"/>
    </row>
    <row r="403" spans="1:31">
      <c r="A403" s="47" t="s">
        <v>2115</v>
      </c>
      <c r="B403" s="55" t="s">
        <v>3698</v>
      </c>
      <c r="G403" s="1381"/>
      <c r="H403" s="1381"/>
      <c r="I403" s="1381"/>
      <c r="J403" s="1021" t="s">
        <v>3699</v>
      </c>
      <c r="L403" s="1381"/>
      <c r="M403" s="3645">
        <f>'Part III-Sources of Funds'!H5</f>
        <v>0</v>
      </c>
      <c r="N403" s="3646"/>
      <c r="O403" s="527" t="s">
        <v>2115</v>
      </c>
      <c r="P403" s="239"/>
      <c r="Q403" s="619"/>
    </row>
    <row r="404" spans="1:31" ht="11.25" customHeight="1">
      <c r="B404" s="144" t="s">
        <v>3756</v>
      </c>
      <c r="D404" s="144"/>
      <c r="E404" s="144"/>
      <c r="F404" s="144"/>
      <c r="G404" s="144"/>
      <c r="H404" s="40"/>
      <c r="I404" s="1385"/>
      <c r="J404" s="1385"/>
      <c r="K404" s="1385"/>
      <c r="L404" s="1378"/>
      <c r="M404" s="1378"/>
      <c r="N404" s="1378"/>
      <c r="O404" s="1378"/>
      <c r="P404" s="1378"/>
      <c r="Q404" s="1020"/>
    </row>
    <row r="405" spans="1:31" ht="11.45" customHeight="1">
      <c r="A405" s="3647"/>
      <c r="B405" s="3648"/>
      <c r="C405" s="3648"/>
      <c r="D405" s="3648"/>
      <c r="E405" s="3648"/>
      <c r="F405" s="3648"/>
      <c r="G405" s="3648"/>
      <c r="H405" s="3648"/>
      <c r="I405" s="3648"/>
      <c r="J405" s="3648"/>
      <c r="K405" s="3648"/>
      <c r="L405" s="3648"/>
      <c r="M405" s="3648"/>
      <c r="N405" s="3648"/>
      <c r="O405" s="3648"/>
      <c r="P405" s="3648"/>
      <c r="Q405" s="3649"/>
      <c r="U405" s="139"/>
      <c r="V405" s="139"/>
      <c r="W405" s="139"/>
      <c r="X405" s="139"/>
      <c r="Y405" s="139"/>
      <c r="Z405" s="139"/>
      <c r="AA405" s="139"/>
      <c r="AB405" s="139"/>
      <c r="AC405" s="139"/>
      <c r="AD405" s="139"/>
      <c r="AE405" s="529"/>
    </row>
    <row r="406" spans="1:31" ht="11.25" customHeight="1">
      <c r="B406" s="140" t="s">
        <v>1866</v>
      </c>
      <c r="C406" s="141"/>
      <c r="D406" s="1379"/>
      <c r="E406" s="1379"/>
      <c r="F406" s="1379"/>
      <c r="G406" s="1379"/>
      <c r="H406" s="1379"/>
      <c r="I406" s="1379"/>
      <c r="J406" s="1379"/>
      <c r="K406" s="1379"/>
      <c r="L406" s="1379"/>
      <c r="M406" s="1379"/>
      <c r="N406" s="1379"/>
      <c r="O406" s="1379"/>
      <c r="P406" s="1379"/>
      <c r="Q406" s="1379"/>
    </row>
    <row r="407" spans="1:31" ht="11.45" customHeight="1">
      <c r="A407" s="3603"/>
      <c r="B407" s="3604"/>
      <c r="C407" s="3604"/>
      <c r="D407" s="3604"/>
      <c r="E407" s="3604"/>
      <c r="F407" s="3604"/>
      <c r="G407" s="3604"/>
      <c r="H407" s="3604"/>
      <c r="I407" s="3604"/>
      <c r="J407" s="3604"/>
      <c r="K407" s="3604"/>
      <c r="L407" s="3604"/>
      <c r="M407" s="3604"/>
      <c r="N407" s="3604"/>
      <c r="O407" s="3604"/>
      <c r="P407" s="3604"/>
      <c r="Q407" s="3605"/>
    </row>
    <row r="408" spans="1:31" ht="3.6" customHeight="1">
      <c r="A408" s="1378"/>
      <c r="B408" s="1385"/>
      <c r="C408" s="1379"/>
      <c r="D408" s="1379"/>
      <c r="E408" s="1379"/>
      <c r="F408" s="1379"/>
      <c r="G408" s="1379"/>
      <c r="H408" s="1379"/>
      <c r="I408" s="1379"/>
      <c r="J408" s="1379"/>
      <c r="K408" s="1379"/>
      <c r="L408" s="1379"/>
      <c r="M408" s="1379"/>
      <c r="Q408" s="1020"/>
    </row>
    <row r="409" spans="1:31" ht="14.1" customHeight="1">
      <c r="A409" s="1384" t="s">
        <v>4113</v>
      </c>
      <c r="B409" s="4" t="s">
        <v>2668</v>
      </c>
      <c r="C409" s="4"/>
      <c r="D409" s="4"/>
      <c r="E409" s="1379"/>
      <c r="G409" s="143" t="s">
        <v>701</v>
      </c>
      <c r="H409" s="1379"/>
      <c r="I409" s="1379"/>
      <c r="J409" s="1379"/>
      <c r="K409" s="1379"/>
      <c r="L409" s="1379"/>
      <c r="M409" s="1379"/>
      <c r="O409" s="135" t="s">
        <v>1867</v>
      </c>
      <c r="P409" s="3606"/>
      <c r="Q409" s="3644"/>
    </row>
    <row r="410" spans="1:31" ht="12" customHeight="1">
      <c r="A410" s="47" t="s">
        <v>1983</v>
      </c>
      <c r="B410" s="52" t="s">
        <v>2673</v>
      </c>
      <c r="D410" s="1022"/>
      <c r="E410" s="1022"/>
      <c r="H410" s="143"/>
      <c r="O410" s="527" t="s">
        <v>1983</v>
      </c>
      <c r="P410" s="238"/>
      <c r="Q410" s="617"/>
    </row>
    <row r="411" spans="1:31" ht="12" customHeight="1">
      <c r="A411" s="47" t="s">
        <v>1985</v>
      </c>
      <c r="B411" s="52" t="s">
        <v>3583</v>
      </c>
      <c r="D411" s="1022"/>
      <c r="E411" s="1022"/>
      <c r="O411" s="527" t="s">
        <v>1985</v>
      </c>
      <c r="P411" s="422"/>
      <c r="Q411" s="618"/>
    </row>
    <row r="412" spans="1:31" ht="12" customHeight="1">
      <c r="A412" s="47" t="s">
        <v>749</v>
      </c>
      <c r="B412" s="52" t="s">
        <v>4082</v>
      </c>
      <c r="D412" s="1022"/>
      <c r="E412" s="1022"/>
      <c r="O412" s="527" t="s">
        <v>749</v>
      </c>
      <c r="P412" s="422"/>
      <c r="Q412" s="618"/>
    </row>
    <row r="413" spans="1:31" ht="12" customHeight="1">
      <c r="A413" s="47" t="s">
        <v>2115</v>
      </c>
      <c r="B413" s="52" t="s">
        <v>3584</v>
      </c>
      <c r="E413" s="143"/>
      <c r="O413" s="527" t="s">
        <v>2115</v>
      </c>
      <c r="P413" s="422"/>
      <c r="Q413" s="618"/>
    </row>
    <row r="414" spans="1:31" ht="12" customHeight="1">
      <c r="A414" s="47" t="s">
        <v>1735</v>
      </c>
      <c r="B414" s="52" t="s">
        <v>2079</v>
      </c>
      <c r="E414" s="143"/>
      <c r="G414" s="527" t="s">
        <v>1735</v>
      </c>
      <c r="H414" s="3845"/>
      <c r="I414" s="3846"/>
      <c r="J414" s="3846"/>
      <c r="K414" s="3846"/>
      <c r="L414" s="3846"/>
      <c r="M414" s="3846"/>
      <c r="N414" s="3846"/>
      <c r="O414" s="3847"/>
      <c r="P414" s="239"/>
      <c r="Q414" s="619"/>
    </row>
    <row r="415" spans="1:31" ht="11.25" customHeight="1">
      <c r="B415" s="144" t="s">
        <v>3756</v>
      </c>
      <c r="D415" s="144"/>
      <c r="E415" s="144"/>
      <c r="F415" s="144"/>
      <c r="G415" s="144"/>
      <c r="H415" s="40"/>
      <c r="I415" s="1385"/>
      <c r="J415" s="1385"/>
      <c r="K415" s="1385"/>
      <c r="L415" s="1378"/>
      <c r="M415" s="1378"/>
      <c r="N415" s="1378"/>
      <c r="O415" s="1378"/>
      <c r="P415" s="1378"/>
      <c r="Q415" s="1020"/>
    </row>
    <row r="416" spans="1:31" ht="11.45" customHeight="1">
      <c r="A416" s="3647"/>
      <c r="B416" s="3648"/>
      <c r="C416" s="3648"/>
      <c r="D416" s="3648"/>
      <c r="E416" s="3648"/>
      <c r="F416" s="3648"/>
      <c r="G416" s="3648"/>
      <c r="H416" s="3648"/>
      <c r="I416" s="3648"/>
      <c r="J416" s="3648"/>
      <c r="K416" s="3648"/>
      <c r="L416" s="3648"/>
      <c r="M416" s="3648"/>
      <c r="N416" s="3648"/>
      <c r="O416" s="3648"/>
      <c r="P416" s="3648"/>
      <c r="Q416" s="3649"/>
      <c r="U416" s="139"/>
      <c r="V416" s="139"/>
      <c r="W416" s="139"/>
      <c r="X416" s="139"/>
      <c r="Y416" s="139"/>
      <c r="Z416" s="139"/>
      <c r="AA416" s="139"/>
      <c r="AB416" s="139"/>
      <c r="AC416" s="139"/>
      <c r="AD416" s="139"/>
      <c r="AE416" s="529"/>
    </row>
    <row r="417" spans="1:32" ht="11.25" customHeight="1">
      <c r="B417" s="140" t="s">
        <v>1866</v>
      </c>
      <c r="C417" s="141"/>
      <c r="D417" s="1379"/>
      <c r="E417" s="1379"/>
      <c r="F417" s="1379"/>
      <c r="G417" s="1379"/>
      <c r="H417" s="1379"/>
      <c r="I417" s="1379"/>
      <c r="J417" s="1379"/>
      <c r="K417" s="1379"/>
      <c r="L417" s="1379"/>
      <c r="M417" s="1379"/>
      <c r="N417" s="1379"/>
      <c r="O417" s="1379"/>
      <c r="P417" s="1379"/>
      <c r="Q417" s="1379"/>
    </row>
    <row r="418" spans="1:32" ht="11.45" customHeight="1">
      <c r="A418" s="3603"/>
      <c r="B418" s="3604"/>
      <c r="C418" s="3604"/>
      <c r="D418" s="3604"/>
      <c r="E418" s="3604"/>
      <c r="F418" s="3604"/>
      <c r="G418" s="3604"/>
      <c r="H418" s="3604"/>
      <c r="I418" s="3604"/>
      <c r="J418" s="3604"/>
      <c r="K418" s="3604"/>
      <c r="L418" s="3604"/>
      <c r="M418" s="3604"/>
      <c r="N418" s="3604"/>
      <c r="O418" s="3604"/>
      <c r="P418" s="3604"/>
      <c r="Q418" s="3605"/>
    </row>
    <row r="419" spans="1:32" ht="3" customHeight="1">
      <c r="A419" s="1378"/>
      <c r="B419" s="1385"/>
      <c r="C419" s="1379"/>
      <c r="D419" s="1379"/>
      <c r="E419" s="1379"/>
      <c r="F419" s="1379"/>
      <c r="G419" s="1379"/>
      <c r="H419" s="1379"/>
      <c r="I419" s="1379"/>
      <c r="J419" s="1379"/>
      <c r="K419" s="1379"/>
      <c r="L419" s="1379"/>
      <c r="M419" s="1379"/>
      <c r="N419" s="1379"/>
      <c r="O419" s="1379"/>
      <c r="P419" s="1379"/>
      <c r="Q419" s="1378"/>
    </row>
    <row r="420" spans="1:32" ht="14.1" customHeight="1">
      <c r="A420" s="1384" t="s">
        <v>4114</v>
      </c>
      <c r="B420" s="4" t="s">
        <v>2669</v>
      </c>
      <c r="C420" s="4"/>
      <c r="D420" s="4"/>
      <c r="E420" s="4"/>
      <c r="F420" s="4"/>
      <c r="G420" s="4"/>
      <c r="H420" s="1379"/>
      <c r="I420" s="1379"/>
      <c r="J420" s="1379"/>
      <c r="K420" s="1379"/>
      <c r="L420" s="1379"/>
      <c r="M420" s="1379"/>
      <c r="O420" s="135" t="s">
        <v>1867</v>
      </c>
      <c r="P420" s="3606"/>
      <c r="Q420" s="3644"/>
    </row>
    <row r="421" spans="1:32" ht="12" customHeight="1">
      <c r="A421" s="47" t="s">
        <v>1983</v>
      </c>
      <c r="B421" s="39" t="s">
        <v>752</v>
      </c>
      <c r="D421" s="42"/>
      <c r="E421" s="42"/>
      <c r="F421" s="42"/>
      <c r="G421" s="42"/>
      <c r="H421" s="42"/>
      <c r="I421" s="42"/>
      <c r="J421" s="42"/>
      <c r="K421" s="42"/>
      <c r="L421" s="42"/>
      <c r="M421" s="42"/>
      <c r="N421" s="42"/>
      <c r="O421" s="527" t="s">
        <v>1983</v>
      </c>
      <c r="P421" s="238" t="s">
        <v>2993</v>
      </c>
      <c r="Q421" s="617"/>
    </row>
    <row r="422" spans="1:32" ht="12" customHeight="1">
      <c r="A422" s="47" t="s">
        <v>1985</v>
      </c>
      <c r="B422" s="36" t="s">
        <v>3476</v>
      </c>
      <c r="D422" s="42"/>
      <c r="E422" s="42"/>
      <c r="F422" s="42"/>
      <c r="G422" s="42"/>
      <c r="H422" s="42"/>
      <c r="I422" s="42"/>
      <c r="J422" s="42"/>
      <c r="K422" s="42"/>
      <c r="L422" s="42"/>
      <c r="M422" s="42"/>
      <c r="N422" s="42"/>
      <c r="O422" s="527" t="s">
        <v>1446</v>
      </c>
      <c r="P422" s="239"/>
      <c r="Q422" s="619"/>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3475</v>
      </c>
      <c r="E424" s="52"/>
      <c r="F424" s="52"/>
      <c r="G424" s="52"/>
      <c r="H424" s="52"/>
      <c r="I424" s="52"/>
      <c r="J424" s="52"/>
      <c r="K424" s="52"/>
      <c r="L424" s="52"/>
      <c r="M424" s="52"/>
      <c r="N424" s="42"/>
      <c r="O424" s="527" t="s">
        <v>1738</v>
      </c>
      <c r="P424" s="238"/>
      <c r="Q424" s="617"/>
    </row>
    <row r="425" spans="1:32" s="151" customFormat="1" ht="12" customHeight="1">
      <c r="A425" s="47"/>
      <c r="B425" s="52" t="s">
        <v>3572</v>
      </c>
      <c r="C425" s="52" t="s">
        <v>3573</v>
      </c>
      <c r="E425" s="52"/>
      <c r="F425" s="52"/>
      <c r="G425" s="52"/>
      <c r="H425" s="52"/>
      <c r="I425" s="52"/>
      <c r="J425" s="52"/>
      <c r="K425" s="52"/>
      <c r="L425" s="52"/>
      <c r="M425" s="52"/>
      <c r="N425" s="96"/>
      <c r="O425" s="527" t="s">
        <v>1739</v>
      </c>
      <c r="P425" s="422"/>
      <c r="Q425" s="618"/>
      <c r="AE425" s="531"/>
      <c r="AF425" s="531"/>
    </row>
    <row r="426" spans="1:32" ht="12" customHeight="1">
      <c r="A426" s="47" t="s">
        <v>749</v>
      </c>
      <c r="B426" s="52" t="s">
        <v>2201</v>
      </c>
      <c r="C426" s="52"/>
      <c r="E426" s="52"/>
      <c r="F426" s="52"/>
      <c r="G426" s="52"/>
      <c r="H426" s="52"/>
      <c r="I426" s="52"/>
      <c r="J426" s="52"/>
      <c r="K426" s="52"/>
      <c r="L426" s="52"/>
      <c r="M426" s="52"/>
      <c r="N426" s="52"/>
      <c r="O426" s="527" t="s">
        <v>749</v>
      </c>
      <c r="P426" s="422"/>
      <c r="Q426" s="618"/>
    </row>
    <row r="427" spans="1:32" ht="12" customHeight="1">
      <c r="A427" s="47" t="s">
        <v>2115</v>
      </c>
      <c r="B427" s="3602" t="s">
        <v>2815</v>
      </c>
      <c r="C427" s="3602"/>
      <c r="D427" s="3602"/>
      <c r="E427" s="3602"/>
      <c r="F427" s="1021"/>
      <c r="G427" s="138" t="s">
        <v>2202</v>
      </c>
      <c r="J427" s="1081"/>
      <c r="K427" s="625"/>
      <c r="M427" s="138" t="s">
        <v>2205</v>
      </c>
      <c r="P427" s="1083"/>
      <c r="Q427" s="626"/>
    </row>
    <row r="428" spans="1:32" ht="12" customHeight="1">
      <c r="A428" s="47"/>
      <c r="B428" s="3602"/>
      <c r="C428" s="3602"/>
      <c r="D428" s="3602"/>
      <c r="E428" s="3602"/>
      <c r="F428" s="1021"/>
      <c r="G428" s="138" t="s">
        <v>2203</v>
      </c>
      <c r="J428" s="1083"/>
      <c r="K428" s="626"/>
      <c r="M428" s="138" t="s">
        <v>2206</v>
      </c>
      <c r="P428" s="1082"/>
      <c r="Q428" s="627"/>
    </row>
    <row r="429" spans="1:32" ht="12" customHeight="1">
      <c r="A429" s="47"/>
      <c r="B429" s="3602"/>
      <c r="C429" s="3602"/>
      <c r="D429" s="3602"/>
      <c r="E429" s="3602"/>
      <c r="F429" s="1021"/>
      <c r="G429" s="138" t="s">
        <v>2204</v>
      </c>
      <c r="J429" s="1082"/>
      <c r="K429" s="627"/>
      <c r="L429" s="1021"/>
      <c r="M429" s="42"/>
      <c r="N429" s="527"/>
    </row>
    <row r="430" spans="1:32" ht="12" customHeight="1">
      <c r="A430" s="47" t="s">
        <v>1735</v>
      </c>
      <c r="B430" s="1021" t="s">
        <v>4934</v>
      </c>
      <c r="C430" s="1021"/>
      <c r="E430" s="1021"/>
      <c r="F430" s="1021"/>
      <c r="G430" s="1021"/>
      <c r="J430" s="42"/>
      <c r="K430" s="1021"/>
      <c r="L430" s="1021"/>
      <c r="M430" s="42"/>
      <c r="N430" s="527"/>
      <c r="P430" s="527"/>
      <c r="Q430" s="527"/>
    </row>
    <row r="431" spans="1:32" ht="12" customHeight="1">
      <c r="A431" s="47"/>
      <c r="B431" s="495" t="s">
        <v>1737</v>
      </c>
      <c r="C431" s="1021" t="s">
        <v>4783</v>
      </c>
      <c r="E431" s="1021"/>
      <c r="G431" s="495" t="s">
        <v>4778</v>
      </c>
      <c r="H431" s="1021"/>
      <c r="I431" s="1021"/>
      <c r="J431" s="238"/>
      <c r="K431" s="617"/>
      <c r="L431" s="1021"/>
      <c r="M431" s="495" t="s">
        <v>4781</v>
      </c>
    </row>
    <row r="432" spans="1:32" ht="12" customHeight="1">
      <c r="A432" s="42"/>
      <c r="G432" s="495" t="s">
        <v>4779</v>
      </c>
      <c r="H432" s="1021"/>
      <c r="I432" s="1021"/>
      <c r="J432" s="422"/>
      <c r="K432" s="618"/>
      <c r="M432" s="3837"/>
      <c r="N432" s="3838"/>
      <c r="O432" s="3838"/>
      <c r="P432" s="3838"/>
      <c r="Q432" s="3839"/>
    </row>
    <row r="433" spans="1:32" ht="12" customHeight="1">
      <c r="A433" s="42"/>
      <c r="G433" s="495" t="s">
        <v>4780</v>
      </c>
      <c r="H433" s="1021"/>
      <c r="J433" s="239"/>
      <c r="K433" s="619"/>
      <c r="M433" s="3840"/>
      <c r="N433" s="3841"/>
      <c r="O433" s="3841"/>
      <c r="P433" s="3841"/>
      <c r="Q433" s="3842"/>
    </row>
    <row r="434" spans="1:32" ht="12" customHeight="1">
      <c r="A434" s="47"/>
      <c r="B434" s="495" t="s">
        <v>1738</v>
      </c>
      <c r="C434" s="1021" t="s">
        <v>4782</v>
      </c>
      <c r="D434" s="151"/>
      <c r="E434" s="1021"/>
      <c r="F434" s="1021"/>
      <c r="L434" s="1021"/>
      <c r="M434" s="1021"/>
      <c r="O434" s="527" t="s">
        <v>1738</v>
      </c>
      <c r="P434" s="542" t="s">
        <v>1771</v>
      </c>
      <c r="Q434" s="616" t="s">
        <v>1771</v>
      </c>
    </row>
    <row r="435" spans="1:32" ht="12" customHeight="1">
      <c r="A435" s="42"/>
      <c r="B435" s="151"/>
      <c r="C435" s="495" t="s">
        <v>2435</v>
      </c>
      <c r="D435" s="495" t="s">
        <v>4790</v>
      </c>
      <c r="E435" s="1021"/>
      <c r="F435" s="1021"/>
      <c r="G435" s="3611"/>
      <c r="H435" s="3612"/>
      <c r="I435" s="3612"/>
      <c r="J435" s="3612"/>
      <c r="K435" s="3613"/>
      <c r="L435" s="2468"/>
    </row>
    <row r="436" spans="1:32" ht="12" customHeight="1">
      <c r="A436" s="42"/>
      <c r="B436" s="151"/>
      <c r="C436" s="495" t="s">
        <v>2436</v>
      </c>
      <c r="D436" s="495" t="s">
        <v>4791</v>
      </c>
      <c r="E436" s="1021"/>
      <c r="F436" s="2468"/>
      <c r="G436" s="3819" t="s">
        <v>3701</v>
      </c>
      <c r="H436" s="3820"/>
      <c r="I436" s="3821"/>
      <c r="J436" s="495" t="s">
        <v>4792</v>
      </c>
      <c r="K436" s="151"/>
      <c r="M436" s="3611"/>
      <c r="N436" s="3612"/>
      <c r="O436" s="3612"/>
      <c r="P436" s="3612"/>
      <c r="Q436" s="3613"/>
    </row>
    <row r="437" spans="1:32" ht="12" customHeight="1">
      <c r="A437" s="42"/>
      <c r="B437" s="151"/>
      <c r="C437" s="495" t="s">
        <v>4996</v>
      </c>
      <c r="D437" s="151"/>
      <c r="E437" s="1021"/>
      <c r="F437" s="1021"/>
      <c r="G437" s="1021"/>
      <c r="H437" s="1021"/>
      <c r="I437" s="1021"/>
      <c r="J437" s="1021"/>
      <c r="K437" s="1021"/>
      <c r="L437" s="1021"/>
      <c r="M437" s="1021"/>
      <c r="N437" s="1021"/>
      <c r="O437" s="1021"/>
      <c r="P437" s="1021"/>
      <c r="Q437" s="1021"/>
    </row>
    <row r="438" spans="1:32" ht="51" customHeight="1">
      <c r="B438" s="3827"/>
      <c r="C438" s="3828"/>
      <c r="D438" s="3828"/>
      <c r="E438" s="3828"/>
      <c r="F438" s="3828"/>
      <c r="G438" s="3828"/>
      <c r="H438" s="3828"/>
      <c r="I438" s="3828"/>
      <c r="J438" s="3828"/>
      <c r="K438" s="3828"/>
      <c r="L438" s="3828"/>
      <c r="M438" s="3828"/>
      <c r="N438" s="3828"/>
      <c r="O438" s="3828"/>
      <c r="P438" s="3828"/>
      <c r="Q438" s="3829"/>
      <c r="R438" s="509" t="s">
        <v>4784</v>
      </c>
      <c r="U438" s="139"/>
      <c r="V438" s="139"/>
      <c r="W438" s="139"/>
      <c r="X438" s="139"/>
      <c r="Y438" s="139"/>
      <c r="Z438" s="139"/>
      <c r="AA438" s="139"/>
      <c r="AB438" s="139"/>
      <c r="AC438" s="139"/>
      <c r="AD438" s="139"/>
      <c r="AE438" s="529"/>
    </row>
    <row r="439" spans="1:32" ht="12" customHeight="1">
      <c r="B439" s="144" t="s">
        <v>3756</v>
      </c>
      <c r="D439" s="144"/>
      <c r="E439" s="144"/>
      <c r="F439" s="144"/>
      <c r="G439" s="144"/>
      <c r="H439" s="40"/>
      <c r="I439" s="1385"/>
      <c r="J439" s="1385"/>
      <c r="K439" s="1385"/>
    </row>
    <row r="440" spans="1:32" ht="12" customHeight="1">
      <c r="A440" s="3647"/>
      <c r="B440" s="3648"/>
      <c r="C440" s="3648"/>
      <c r="D440" s="3648"/>
      <c r="E440" s="3648"/>
      <c r="F440" s="3648"/>
      <c r="G440" s="3648"/>
      <c r="H440" s="3648"/>
      <c r="I440" s="3648"/>
      <c r="J440" s="3648"/>
      <c r="K440" s="3648"/>
      <c r="L440" s="3648"/>
      <c r="M440" s="3648"/>
      <c r="N440" s="3648"/>
      <c r="O440" s="3648"/>
      <c r="P440" s="3648"/>
      <c r="Q440" s="3649"/>
      <c r="U440" s="139"/>
      <c r="V440" s="139"/>
      <c r="W440" s="139"/>
      <c r="X440" s="139"/>
      <c r="Y440" s="139"/>
      <c r="Z440" s="139"/>
      <c r="AA440" s="139"/>
      <c r="AB440" s="139"/>
      <c r="AC440" s="139"/>
      <c r="AD440" s="139"/>
      <c r="AE440" s="529"/>
    </row>
    <row r="441" spans="1:32" ht="12" customHeight="1">
      <c r="B441" s="140" t="s">
        <v>1866</v>
      </c>
      <c r="C441" s="141"/>
      <c r="D441" s="1379"/>
      <c r="E441" s="1379"/>
      <c r="F441" s="1379"/>
      <c r="G441" s="1379"/>
      <c r="H441" s="1379"/>
      <c r="I441" s="1379"/>
      <c r="J441" s="1379"/>
      <c r="K441" s="1379"/>
      <c r="L441" s="1379"/>
      <c r="M441" s="1379"/>
      <c r="N441" s="1379"/>
      <c r="O441" s="1379"/>
      <c r="P441" s="1379"/>
      <c r="Q441" s="1379"/>
    </row>
    <row r="442" spans="1:32" ht="12" customHeight="1">
      <c r="A442" s="3603"/>
      <c r="B442" s="3604"/>
      <c r="C442" s="3604"/>
      <c r="D442" s="3604"/>
      <c r="E442" s="3604"/>
      <c r="F442" s="3604"/>
      <c r="G442" s="3604"/>
      <c r="H442" s="3604"/>
      <c r="I442" s="3604"/>
      <c r="J442" s="3604"/>
      <c r="K442" s="3604"/>
      <c r="L442" s="3604"/>
      <c r="M442" s="3604"/>
      <c r="N442" s="3604"/>
      <c r="O442" s="3604"/>
      <c r="P442" s="3604"/>
      <c r="Q442" s="3605"/>
    </row>
    <row r="443" spans="1:32" ht="3" customHeight="1">
      <c r="A443" s="1378"/>
      <c r="B443" s="1385"/>
      <c r="C443" s="1379"/>
      <c r="D443" s="1379"/>
      <c r="E443" s="1379"/>
      <c r="F443" s="1379"/>
      <c r="G443" s="1379"/>
      <c r="H443" s="1379"/>
      <c r="I443" s="1379"/>
      <c r="J443" s="1379"/>
      <c r="K443" s="1379"/>
      <c r="L443" s="1379"/>
      <c r="M443" s="1379"/>
      <c r="Q443" s="1020"/>
    </row>
    <row r="444" spans="1:32" ht="14.1" customHeight="1">
      <c r="A444" s="1384" t="s">
        <v>4115</v>
      </c>
      <c r="B444" s="4" t="s">
        <v>2816</v>
      </c>
      <c r="C444" s="4"/>
      <c r="D444" s="88"/>
      <c r="E444" s="1379"/>
      <c r="F444" s="1379"/>
      <c r="G444" s="1379"/>
      <c r="H444" s="1379"/>
      <c r="O444" s="135" t="s">
        <v>1867</v>
      </c>
      <c r="P444" s="3606"/>
      <c r="Q444" s="3607"/>
    </row>
    <row r="445" spans="1:32" ht="14.1" customHeight="1">
      <c r="B445" s="88" t="s">
        <v>5053</v>
      </c>
      <c r="C445" s="4"/>
      <c r="D445" s="88"/>
      <c r="E445" s="1379"/>
      <c r="F445" s="1379"/>
      <c r="G445" s="1379"/>
      <c r="H445" s="1379"/>
    </row>
    <row r="446" spans="1:32" s="136" customFormat="1" ht="21.75" customHeight="1">
      <c r="A446" s="145" t="s">
        <v>1983</v>
      </c>
      <c r="B446" s="3665" t="s">
        <v>3940</v>
      </c>
      <c r="C446" s="3665"/>
      <c r="D446" s="3665"/>
      <c r="E446" s="3665"/>
      <c r="F446" s="3665"/>
      <c r="G446" s="3665"/>
      <c r="H446" s="3665"/>
      <c r="I446" s="3665"/>
      <c r="J446" s="3665"/>
      <c r="K446" s="3665"/>
      <c r="L446" s="3665"/>
      <c r="M446" s="3665"/>
      <c r="N446" s="3665"/>
      <c r="O446" s="166" t="s">
        <v>1983</v>
      </c>
      <c r="P446" s="1389" t="s">
        <v>5272</v>
      </c>
      <c r="Q446" s="1388"/>
      <c r="AE446" s="530"/>
      <c r="AF446" s="530"/>
    </row>
    <row r="447" spans="1:32" s="136" customFormat="1" ht="22.5" customHeight="1">
      <c r="A447" s="145" t="s">
        <v>1985</v>
      </c>
      <c r="B447" s="3665" t="s">
        <v>3938</v>
      </c>
      <c r="C447" s="3665"/>
      <c r="D447" s="3665"/>
      <c r="E447" s="3665"/>
      <c r="F447" s="3665"/>
      <c r="G447" s="3665"/>
      <c r="H447" s="3665"/>
      <c r="I447" s="3665"/>
      <c r="J447" s="3665"/>
      <c r="K447" s="3665"/>
      <c r="L447" s="3665"/>
      <c r="M447" s="3665"/>
      <c r="N447" s="3665"/>
      <c r="O447" s="166" t="s">
        <v>1985</v>
      </c>
      <c r="P447" s="633" t="s">
        <v>5272</v>
      </c>
      <c r="Q447" s="620"/>
      <c r="AE447" s="530"/>
      <c r="AF447" s="530"/>
    </row>
    <row r="448" spans="1:32" s="136" customFormat="1" ht="22.5" customHeight="1">
      <c r="B448" s="2579" t="s">
        <v>1737</v>
      </c>
      <c r="C448" s="3665" t="s">
        <v>4997</v>
      </c>
      <c r="D448" s="3665"/>
      <c r="E448" s="3665"/>
      <c r="F448" s="3665"/>
      <c r="G448" s="3665"/>
      <c r="H448" s="3665"/>
      <c r="I448" s="3665"/>
      <c r="J448" s="3665"/>
      <c r="K448" s="3665"/>
      <c r="L448" s="3665"/>
      <c r="M448" s="3665"/>
      <c r="N448" s="3665"/>
      <c r="O448" s="166" t="s">
        <v>1737</v>
      </c>
      <c r="P448" s="633" t="s">
        <v>5272</v>
      </c>
      <c r="Q448" s="620"/>
      <c r="AE448" s="530"/>
      <c r="AF448" s="530"/>
    </row>
    <row r="449" spans="1:32" s="42" customFormat="1" ht="12" customHeight="1">
      <c r="B449" s="2579" t="s">
        <v>1738</v>
      </c>
      <c r="C449" s="36" t="s">
        <v>4998</v>
      </c>
      <c r="D449" s="1359"/>
      <c r="E449" s="1359"/>
      <c r="F449" s="1359"/>
      <c r="G449" s="1359"/>
      <c r="H449" s="1359"/>
      <c r="I449" s="1359"/>
      <c r="J449" s="1359"/>
      <c r="K449" s="1359"/>
      <c r="L449" s="1359"/>
      <c r="M449" s="1359"/>
      <c r="N449" s="1359"/>
      <c r="O449" s="527" t="s">
        <v>1738</v>
      </c>
      <c r="P449" s="422" t="s">
        <v>5272</v>
      </c>
      <c r="Q449" s="618"/>
      <c r="AE449" s="50"/>
      <c r="AF449" s="50"/>
    </row>
    <row r="450" spans="1:32" s="136" customFormat="1" ht="33" customHeight="1">
      <c r="B450" s="541" t="s">
        <v>1739</v>
      </c>
      <c r="C450" s="3665" t="s">
        <v>4999</v>
      </c>
      <c r="D450" s="3665"/>
      <c r="E450" s="3665"/>
      <c r="F450" s="3665"/>
      <c r="G450" s="3665"/>
      <c r="H450" s="3665"/>
      <c r="I450" s="3665"/>
      <c r="J450" s="3665"/>
      <c r="K450" s="3665"/>
      <c r="L450" s="3665"/>
      <c r="M450" s="3665"/>
      <c r="N450" s="3665"/>
      <c r="O450" s="166" t="s">
        <v>1739</v>
      </c>
      <c r="P450" s="633" t="s">
        <v>5272</v>
      </c>
      <c r="Q450" s="620"/>
      <c r="AE450" s="530"/>
      <c r="AF450" s="530"/>
    </row>
    <row r="451" spans="1:32" s="136" customFormat="1" ht="22.5" customHeight="1">
      <c r="B451" s="541" t="s">
        <v>2365</v>
      </c>
      <c r="C451" s="3665" t="s">
        <v>5000</v>
      </c>
      <c r="D451" s="3665"/>
      <c r="E451" s="3665"/>
      <c r="F451" s="3665"/>
      <c r="G451" s="3665"/>
      <c r="H451" s="3665"/>
      <c r="I451" s="3665"/>
      <c r="J451" s="3665"/>
      <c r="K451" s="3665"/>
      <c r="L451" s="3665"/>
      <c r="M451" s="3665"/>
      <c r="N451" s="3665"/>
      <c r="O451" s="166" t="s">
        <v>2365</v>
      </c>
      <c r="P451" s="633" t="s">
        <v>5272</v>
      </c>
      <c r="Q451" s="620"/>
      <c r="AE451" s="530"/>
      <c r="AF451" s="530"/>
    </row>
    <row r="452" spans="1:32" s="136" customFormat="1" ht="22.5" customHeight="1">
      <c r="A452" s="145" t="s">
        <v>749</v>
      </c>
      <c r="B452" s="3665" t="s">
        <v>3944</v>
      </c>
      <c r="C452" s="3665"/>
      <c r="D452" s="3665"/>
      <c r="E452" s="3665"/>
      <c r="F452" s="3665"/>
      <c r="G452" s="3665"/>
      <c r="H452" s="3665"/>
      <c r="I452" s="3665"/>
      <c r="J452" s="3665"/>
      <c r="K452" s="3665"/>
      <c r="L452" s="3665"/>
      <c r="M452" s="3665"/>
      <c r="N452" s="3665"/>
      <c r="O452" s="166" t="s">
        <v>749</v>
      </c>
      <c r="P452" s="633" t="s">
        <v>5272</v>
      </c>
      <c r="Q452" s="620"/>
      <c r="AE452" s="530"/>
      <c r="AF452" s="530"/>
    </row>
    <row r="453" spans="1:32" s="136" customFormat="1" ht="22.5" customHeight="1">
      <c r="A453" s="145" t="s">
        <v>2115</v>
      </c>
      <c r="B453" s="3665" t="s">
        <v>3945</v>
      </c>
      <c r="C453" s="3665"/>
      <c r="D453" s="3665"/>
      <c r="E453" s="3665"/>
      <c r="F453" s="3665"/>
      <c r="G453" s="3665"/>
      <c r="H453" s="3665"/>
      <c r="I453" s="3665"/>
      <c r="J453" s="3665"/>
      <c r="K453" s="3665"/>
      <c r="L453" s="3665"/>
      <c r="M453" s="3665"/>
      <c r="N453" s="3665"/>
      <c r="O453" s="166" t="s">
        <v>2115</v>
      </c>
      <c r="P453" s="633" t="s">
        <v>5272</v>
      </c>
      <c r="Q453" s="620"/>
      <c r="AE453" s="530"/>
      <c r="AF453" s="530"/>
    </row>
    <row r="454" spans="1:32" s="136" customFormat="1" ht="21.75" customHeight="1">
      <c r="A454" s="145" t="s">
        <v>1735</v>
      </c>
      <c r="B454" s="3665" t="s">
        <v>3946</v>
      </c>
      <c r="C454" s="3665"/>
      <c r="D454" s="3665"/>
      <c r="E454" s="3665"/>
      <c r="F454" s="3665"/>
      <c r="G454" s="3665"/>
      <c r="H454" s="3665"/>
      <c r="I454" s="3665"/>
      <c r="J454" s="3665"/>
      <c r="K454" s="3665"/>
      <c r="L454" s="3665"/>
      <c r="M454" s="3665"/>
      <c r="N454" s="3665"/>
      <c r="O454" s="166" t="s">
        <v>1735</v>
      </c>
      <c r="P454" s="633" t="s">
        <v>5272</v>
      </c>
      <c r="Q454" s="620"/>
      <c r="AE454" s="530"/>
      <c r="AF454" s="530"/>
    </row>
    <row r="455" spans="1:32" s="474" customFormat="1" ht="21.75" customHeight="1">
      <c r="A455" s="145" t="s">
        <v>1736</v>
      </c>
      <c r="B455" s="3665" t="s">
        <v>3477</v>
      </c>
      <c r="C455" s="3665"/>
      <c r="D455" s="3665"/>
      <c r="E455" s="3665"/>
      <c r="F455" s="3665"/>
      <c r="G455" s="3665"/>
      <c r="H455" s="3665"/>
      <c r="I455" s="3665"/>
      <c r="J455" s="3665"/>
      <c r="K455" s="3665"/>
      <c r="L455" s="3665"/>
      <c r="M455" s="3665"/>
      <c r="N455" s="3665"/>
      <c r="O455" s="166" t="s">
        <v>1736</v>
      </c>
      <c r="P455" s="1447" t="s">
        <v>5272</v>
      </c>
      <c r="Q455" s="1448"/>
      <c r="AE455" s="532"/>
      <c r="AF455" s="532"/>
    </row>
    <row r="456" spans="1:32" ht="11.25" customHeight="1">
      <c r="B456" s="144" t="s">
        <v>3756</v>
      </c>
      <c r="D456" s="144"/>
      <c r="E456" s="144"/>
      <c r="F456" s="144"/>
      <c r="G456" s="144"/>
      <c r="H456" s="40"/>
      <c r="I456" s="1385"/>
      <c r="J456" s="1385"/>
      <c r="K456" s="1385"/>
      <c r="L456" s="1378"/>
      <c r="M456" s="1378"/>
      <c r="N456" s="1378"/>
      <c r="O456" s="1378"/>
      <c r="P456" s="1378"/>
      <c r="Q456" s="1020"/>
    </row>
    <row r="457" spans="1:32" ht="22.5" customHeight="1">
      <c r="A457" s="3647"/>
      <c r="B457" s="3648"/>
      <c r="C457" s="3648"/>
      <c r="D457" s="3648"/>
      <c r="E457" s="3648"/>
      <c r="F457" s="3648"/>
      <c r="G457" s="3648"/>
      <c r="H457" s="3648"/>
      <c r="I457" s="3648"/>
      <c r="J457" s="3648"/>
      <c r="K457" s="3648"/>
      <c r="L457" s="3648"/>
      <c r="M457" s="3648"/>
      <c r="N457" s="3648"/>
      <c r="O457" s="3648"/>
      <c r="P457" s="3648"/>
      <c r="Q457" s="3649"/>
      <c r="R457" s="509" t="s">
        <v>1254</v>
      </c>
      <c r="S457" s="510"/>
      <c r="U457" s="139"/>
      <c r="V457" s="139"/>
      <c r="W457" s="139"/>
      <c r="X457" s="139"/>
      <c r="Y457" s="139"/>
      <c r="Z457" s="139"/>
      <c r="AA457" s="139"/>
      <c r="AB457" s="139"/>
      <c r="AC457" s="139"/>
      <c r="AD457" s="139"/>
      <c r="AE457" s="529"/>
    </row>
    <row r="458" spans="1:32" ht="11.25" customHeight="1">
      <c r="B458" s="140" t="s">
        <v>1866</v>
      </c>
      <c r="C458" s="141"/>
      <c r="D458" s="1379"/>
      <c r="E458" s="1379"/>
      <c r="F458" s="1379"/>
      <c r="G458" s="1379"/>
      <c r="H458" s="1379"/>
      <c r="I458" s="1379"/>
      <c r="J458" s="1379"/>
      <c r="K458" s="1379"/>
      <c r="L458" s="1379"/>
      <c r="M458" s="1379"/>
      <c r="N458" s="1379"/>
      <c r="O458" s="1379"/>
      <c r="P458" s="1379"/>
      <c r="Q458" s="1379"/>
    </row>
    <row r="459" spans="1:32" ht="22.5" customHeight="1">
      <c r="A459" s="3603"/>
      <c r="B459" s="3604"/>
      <c r="C459" s="3604"/>
      <c r="D459" s="3604"/>
      <c r="E459" s="3604"/>
      <c r="F459" s="3604"/>
      <c r="G459" s="3604"/>
      <c r="H459" s="3604"/>
      <c r="I459" s="3604"/>
      <c r="J459" s="3604"/>
      <c r="K459" s="3604"/>
      <c r="L459" s="3604"/>
      <c r="M459" s="3604"/>
      <c r="N459" s="3604"/>
      <c r="O459" s="3604"/>
      <c r="P459" s="3604"/>
      <c r="Q459" s="3605"/>
    </row>
    <row r="460" spans="1:32" ht="3" customHeight="1">
      <c r="A460" s="1378"/>
      <c r="B460" s="1385"/>
      <c r="C460" s="1379"/>
      <c r="D460" s="1379"/>
      <c r="E460" s="1379"/>
      <c r="F460" s="1379"/>
      <c r="G460" s="1379"/>
      <c r="H460" s="1379"/>
      <c r="I460" s="1379"/>
      <c r="J460" s="1379"/>
      <c r="K460" s="1379"/>
      <c r="L460" s="1379"/>
      <c r="M460" s="1379"/>
      <c r="Q460" s="1020"/>
    </row>
    <row r="461" spans="1:32" s="43" customFormat="1" ht="12.75" customHeight="1">
      <c r="A461" s="2494" t="s">
        <v>4793</v>
      </c>
      <c r="C461" s="10" t="s">
        <v>2719</v>
      </c>
      <c r="D461" s="58"/>
      <c r="E461" s="52"/>
      <c r="J461" s="61"/>
      <c r="M461" s="2419"/>
      <c r="N461" s="6"/>
      <c r="O461" s="135" t="s">
        <v>1867</v>
      </c>
      <c r="P461" s="3606"/>
      <c r="Q461" s="3607"/>
    </row>
    <row r="462" spans="1:32" s="151" customFormat="1" ht="12" customHeight="1">
      <c r="A462" s="724"/>
      <c r="B462" s="724" t="s">
        <v>4801</v>
      </c>
      <c r="C462" s="724"/>
      <c r="D462" s="724"/>
      <c r="E462" s="724"/>
      <c r="F462" s="724"/>
      <c r="G462" s="724"/>
      <c r="H462" s="724"/>
      <c r="I462" s="724"/>
      <c r="J462" s="724"/>
      <c r="K462" s="724"/>
      <c r="L462" s="724"/>
      <c r="M462" s="724"/>
      <c r="N462" s="724"/>
      <c r="O462" s="724"/>
      <c r="P462" s="238" t="s">
        <v>2993</v>
      </c>
      <c r="Q462" s="617"/>
      <c r="AE462" s="531"/>
      <c r="AF462" s="531"/>
    </row>
    <row r="463" spans="1:32" s="151" customFormat="1" ht="12" customHeight="1">
      <c r="A463" s="724"/>
      <c r="B463" s="724" t="s">
        <v>4802</v>
      </c>
      <c r="C463" s="724"/>
      <c r="D463" s="724"/>
      <c r="E463" s="724"/>
      <c r="F463" s="724"/>
      <c r="G463" s="724"/>
      <c r="H463" s="724"/>
      <c r="I463" s="724"/>
      <c r="J463" s="724"/>
      <c r="K463" s="724"/>
      <c r="L463" s="724"/>
      <c r="M463" s="724"/>
      <c r="N463" s="724"/>
      <c r="O463" s="724"/>
      <c r="P463" s="239" t="s">
        <v>5238</v>
      </c>
      <c r="Q463" s="619"/>
      <c r="AE463" s="531"/>
      <c r="AF463" s="531"/>
    </row>
    <row r="464" spans="1:32" s="43" customFormat="1" ht="12" customHeight="1" thickBot="1">
      <c r="A464" s="47" t="s">
        <v>1983</v>
      </c>
      <c r="B464" s="88" t="s">
        <v>4794</v>
      </c>
      <c r="D464" s="33"/>
      <c r="E464" s="33"/>
      <c r="F464" s="33"/>
      <c r="O464" s="527" t="s">
        <v>1983</v>
      </c>
    </row>
    <row r="465" spans="1:31" s="472" customFormat="1" ht="15" customHeight="1" thickBot="1">
      <c r="A465" s="145"/>
      <c r="B465" s="504" t="s">
        <v>1986</v>
      </c>
      <c r="C465" s="3665" t="s">
        <v>4921</v>
      </c>
      <c r="D465" s="3665"/>
      <c r="E465" s="3665"/>
      <c r="F465" s="3665"/>
      <c r="G465" s="3665"/>
      <c r="H465" s="3665"/>
      <c r="I465" s="3665"/>
      <c r="J465" s="3665"/>
      <c r="K465" s="3608" t="s">
        <v>5048</v>
      </c>
      <c r="L465" s="2630" t="s">
        <v>4796</v>
      </c>
      <c r="M465" s="2636"/>
      <c r="N465" s="2631">
        <f>ROUNDUP('Part VI-Revenues &amp; Expenses'!$O$63*0.1,0)</f>
        <v>9</v>
      </c>
      <c r="O465" s="449" t="s">
        <v>1986</v>
      </c>
      <c r="P465" s="3836" t="s">
        <v>5272</v>
      </c>
      <c r="Q465" s="3835"/>
      <c r="R465" s="2628"/>
      <c r="S465" s="2628"/>
    </row>
    <row r="466" spans="1:31" s="472" customFormat="1" ht="15" customHeight="1">
      <c r="A466" s="145"/>
      <c r="B466" s="504"/>
      <c r="C466" s="3665"/>
      <c r="D466" s="3665"/>
      <c r="E466" s="3665"/>
      <c r="F466" s="3665"/>
      <c r="G466" s="3665"/>
      <c r="H466" s="3665"/>
      <c r="I466" s="3665"/>
      <c r="J466" s="3665"/>
      <c r="K466" s="3609"/>
      <c r="L466" s="2625" t="s">
        <v>5049</v>
      </c>
      <c r="M466" s="2637"/>
      <c r="N466" s="2629">
        <f>'Part VI-Revenues &amp; Expenses'!$O$63</f>
        <v>84</v>
      </c>
      <c r="P466" s="3667"/>
      <c r="Q466" s="3666"/>
      <c r="R466" s="2628"/>
      <c r="S466" s="2628"/>
    </row>
    <row r="467" spans="1:31" s="472" customFormat="1" ht="15" customHeight="1">
      <c r="A467" s="145"/>
      <c r="B467" s="504"/>
      <c r="C467" s="3665"/>
      <c r="D467" s="3665"/>
      <c r="E467" s="3665"/>
      <c r="F467" s="3665"/>
      <c r="G467" s="3665"/>
      <c r="H467" s="3665"/>
      <c r="I467" s="3665"/>
      <c r="J467" s="3665"/>
      <c r="K467" s="2627">
        <f>'Part VI-Revenues &amp; Expenses'!$O$88</f>
        <v>0</v>
      </c>
      <c r="L467" s="1490" t="s">
        <v>4798</v>
      </c>
      <c r="M467" s="2638"/>
      <c r="N467" s="2523">
        <f>'Part VI-Revenues &amp; Expenses'!$O$67</f>
        <v>84</v>
      </c>
      <c r="P467" s="3667"/>
      <c r="Q467" s="3666"/>
    </row>
    <row r="468" spans="1:31" s="500" customFormat="1" ht="22.5" customHeight="1">
      <c r="A468" s="608"/>
      <c r="B468" s="504" t="s">
        <v>1988</v>
      </c>
      <c r="C468" s="3665" t="s">
        <v>4922</v>
      </c>
      <c r="D468" s="3665"/>
      <c r="E468" s="3665"/>
      <c r="F468" s="3665"/>
      <c r="G468" s="3665"/>
      <c r="H468" s="3665"/>
      <c r="I468" s="3665"/>
      <c r="J468" s="3665"/>
      <c r="K468" s="675"/>
      <c r="L468" s="675"/>
      <c r="M468" s="675"/>
      <c r="O468" s="449" t="s">
        <v>1988</v>
      </c>
      <c r="P468" s="2566" t="s">
        <v>2990</v>
      </c>
      <c r="Q468" s="2565"/>
    </row>
    <row r="469" spans="1:31" s="500" customFormat="1" ht="12" customHeight="1" thickBot="1">
      <c r="A469" s="608"/>
      <c r="B469" s="504" t="s">
        <v>2534</v>
      </c>
      <c r="C469" s="3665" t="s">
        <v>4923</v>
      </c>
      <c r="D469" s="3665"/>
      <c r="E469" s="3665"/>
      <c r="F469" s="3665"/>
      <c r="G469" s="3665"/>
      <c r="H469" s="3665"/>
      <c r="I469" s="675"/>
      <c r="J469" s="1359" t="s">
        <v>4799</v>
      </c>
      <c r="K469" s="2524">
        <f>'Part VI-Revenues &amp; Expenses'!$O$103</f>
        <v>84</v>
      </c>
      <c r="L469" s="1489" t="s">
        <v>4797</v>
      </c>
      <c r="M469" s="2633"/>
      <c r="N469" s="2626">
        <f>ROUNDUP(N467*0.1,0)</f>
        <v>9</v>
      </c>
      <c r="O469" s="449" t="s">
        <v>2534</v>
      </c>
      <c r="P469" s="3667" t="s">
        <v>2990</v>
      </c>
      <c r="Q469" s="3666"/>
      <c r="R469" s="2628"/>
      <c r="S469" s="2628"/>
    </row>
    <row r="470" spans="1:31" s="500" customFormat="1" ht="12" customHeight="1" thickBot="1">
      <c r="A470" s="608"/>
      <c r="B470" s="504"/>
      <c r="C470" s="3665"/>
      <c r="D470" s="3665"/>
      <c r="E470" s="3665"/>
      <c r="F470" s="3665"/>
      <c r="G470" s="3665"/>
      <c r="H470" s="3665"/>
      <c r="I470" s="675"/>
      <c r="J470" s="1359" t="s">
        <v>4800</v>
      </c>
      <c r="K470" s="2525">
        <f>IF(N467=0,"",K469/N467)</f>
        <v>1</v>
      </c>
      <c r="L470" s="2634" t="s">
        <v>5047</v>
      </c>
      <c r="M470" s="2635"/>
      <c r="N470" s="2632">
        <f>'Part VI-Revenues &amp; Expenses'!$K$67/'Part VI-Revenues &amp; Expenses'!$O$67</f>
        <v>0.14285714285714285</v>
      </c>
      <c r="O470" s="449" t="str">
        <f>IF(AND(N470&lt;0.1,P469="Yes"), "Check!","")</f>
        <v/>
      </c>
      <c r="P470" s="3831"/>
      <c r="Q470" s="3830"/>
      <c r="R470" s="2628"/>
      <c r="S470" s="2628"/>
    </row>
    <row r="471" spans="1:31" s="43" customFormat="1" ht="12" customHeight="1">
      <c r="A471" s="47" t="s">
        <v>1985</v>
      </c>
      <c r="B471" s="88" t="s">
        <v>4924</v>
      </c>
      <c r="D471" s="40"/>
      <c r="G471" s="36"/>
      <c r="M471" s="6"/>
      <c r="R471" s="434"/>
    </row>
    <row r="472" spans="1:31" s="472" customFormat="1" ht="21.75" customHeight="1">
      <c r="A472" s="145"/>
      <c r="B472" s="3665" t="s">
        <v>4925</v>
      </c>
      <c r="C472" s="3665"/>
      <c r="D472" s="3665"/>
      <c r="E472" s="3665"/>
      <c r="F472" s="3665"/>
      <c r="G472" s="3665"/>
      <c r="H472" s="3665"/>
      <c r="I472" s="3665"/>
      <c r="J472" s="3665"/>
      <c r="K472" s="3665"/>
      <c r="L472" s="3665"/>
      <c r="M472" s="3665"/>
      <c r="N472" s="3665"/>
      <c r="O472" s="166" t="s">
        <v>1985</v>
      </c>
      <c r="P472" s="1424" t="s">
        <v>5294</v>
      </c>
      <c r="Q472" s="1425"/>
      <c r="R472" s="584"/>
    </row>
    <row r="473" spans="1:31" s="43" customFormat="1" ht="11.25" customHeight="1">
      <c r="A473" s="42"/>
      <c r="B473" s="97" t="s">
        <v>3756</v>
      </c>
      <c r="C473" s="42"/>
      <c r="D473" s="48"/>
      <c r="E473" s="48"/>
      <c r="F473" s="48"/>
      <c r="G473" s="48"/>
      <c r="H473" s="36"/>
      <c r="I473" s="36"/>
      <c r="J473" s="36"/>
      <c r="K473" s="36"/>
      <c r="M473" s="46"/>
      <c r="N473" s="62"/>
      <c r="O473" s="3"/>
      <c r="P473" s="2421"/>
    </row>
    <row r="474" spans="1:31" s="43" customFormat="1" ht="21.75" customHeight="1">
      <c r="A474" s="3647"/>
      <c r="B474" s="3648"/>
      <c r="C474" s="3648"/>
      <c r="D474" s="3648"/>
      <c r="E474" s="3648"/>
      <c r="F474" s="3648"/>
      <c r="G474" s="3648"/>
      <c r="H474" s="3648"/>
      <c r="I474" s="3648"/>
      <c r="J474" s="3648"/>
      <c r="K474" s="3648"/>
      <c r="L474" s="3648"/>
      <c r="M474" s="3648"/>
      <c r="N474" s="3648"/>
      <c r="O474" s="3648"/>
      <c r="P474" s="3648"/>
      <c r="Q474" s="3649"/>
      <c r="R474" s="1291" t="s">
        <v>1254</v>
      </c>
    </row>
    <row r="475" spans="1:31" s="43" customFormat="1" ht="10.5" customHeight="1">
      <c r="B475" s="87" t="s">
        <v>1866</v>
      </c>
      <c r="C475" s="101"/>
      <c r="D475" s="87"/>
      <c r="E475" s="102"/>
      <c r="F475" s="2423"/>
      <c r="G475" s="2423"/>
      <c r="H475" s="2423"/>
      <c r="I475" s="2423"/>
      <c r="J475" s="2423"/>
      <c r="K475" s="2423"/>
      <c r="L475" s="2423"/>
      <c r="M475" s="2423"/>
      <c r="N475" s="75"/>
      <c r="O475" s="71"/>
      <c r="P475" s="2419"/>
      <c r="Q475" s="490"/>
    </row>
    <row r="476" spans="1:31" s="43" customFormat="1" ht="11.25" customHeight="1">
      <c r="A476" s="3603"/>
      <c r="B476" s="3604"/>
      <c r="C476" s="3604"/>
      <c r="D476" s="3604"/>
      <c r="E476" s="3604"/>
      <c r="F476" s="3604"/>
      <c r="G476" s="3604"/>
      <c r="H476" s="3604"/>
      <c r="I476" s="3604"/>
      <c r="J476" s="3604"/>
      <c r="K476" s="3604"/>
      <c r="L476" s="3604"/>
      <c r="M476" s="3604"/>
      <c r="N476" s="3604"/>
      <c r="O476" s="3604"/>
      <c r="P476" s="3604"/>
      <c r="Q476" s="3605"/>
    </row>
    <row r="477" spans="1:31" ht="3" customHeight="1">
      <c r="A477" s="2420"/>
      <c r="B477" s="2422"/>
      <c r="C477" s="2423"/>
      <c r="D477" s="2423"/>
      <c r="E477" s="2423"/>
      <c r="F477" s="2423"/>
      <c r="G477" s="2423"/>
      <c r="H477" s="2423"/>
      <c r="I477" s="2423"/>
      <c r="J477" s="2423"/>
      <c r="K477" s="2423"/>
      <c r="L477" s="2423"/>
      <c r="M477" s="2423"/>
      <c r="N477" s="2423"/>
      <c r="O477" s="2423"/>
      <c r="P477" s="2423"/>
      <c r="Q477" s="2420"/>
    </row>
    <row r="478" spans="1:31" ht="14.1" customHeight="1">
      <c r="A478" s="1384" t="s">
        <v>4795</v>
      </c>
      <c r="B478" s="4"/>
      <c r="C478" s="4" t="s">
        <v>2670</v>
      </c>
      <c r="D478" s="88"/>
      <c r="E478" s="1379"/>
      <c r="F478" s="1379"/>
      <c r="G478" s="1379"/>
      <c r="H478" s="1379"/>
      <c r="I478" s="1379"/>
      <c r="J478" s="1379"/>
      <c r="K478" s="1379"/>
      <c r="L478" s="1379"/>
      <c r="M478" s="1379"/>
      <c r="O478" s="135" t="s">
        <v>1867</v>
      </c>
      <c r="P478" s="3606"/>
      <c r="Q478" s="3607"/>
    </row>
    <row r="479" spans="1:31" ht="11.25" customHeight="1">
      <c r="A479" s="1384"/>
      <c r="B479" s="144" t="s">
        <v>3756</v>
      </c>
      <c r="D479" s="144"/>
      <c r="E479" s="144"/>
      <c r="F479" s="144"/>
      <c r="G479" s="144"/>
      <c r="H479" s="40"/>
      <c r="I479" s="1385"/>
      <c r="J479" s="1385"/>
      <c r="K479" s="1385"/>
      <c r="L479" s="1378"/>
      <c r="M479" s="1378"/>
      <c r="N479" s="1378"/>
      <c r="O479" s="1378"/>
      <c r="P479" s="1378"/>
      <c r="Q479" s="1020"/>
    </row>
    <row r="480" spans="1:31" ht="22.5" customHeight="1">
      <c r="A480" s="3647"/>
      <c r="B480" s="3648"/>
      <c r="C480" s="3648"/>
      <c r="D480" s="3648"/>
      <c r="E480" s="3648"/>
      <c r="F480" s="3648"/>
      <c r="G480" s="3648"/>
      <c r="H480" s="3648"/>
      <c r="I480" s="3648"/>
      <c r="J480" s="3648"/>
      <c r="K480" s="3648"/>
      <c r="L480" s="3648"/>
      <c r="M480" s="3648"/>
      <c r="N480" s="3648"/>
      <c r="O480" s="3648"/>
      <c r="P480" s="3648"/>
      <c r="Q480" s="3649"/>
      <c r="R480" s="509" t="s">
        <v>1254</v>
      </c>
      <c r="S480" s="510"/>
      <c r="U480" s="139"/>
      <c r="V480" s="139"/>
      <c r="W480" s="139"/>
      <c r="X480" s="139"/>
      <c r="Y480" s="139"/>
      <c r="Z480" s="139"/>
      <c r="AA480" s="139"/>
      <c r="AB480" s="139"/>
      <c r="AC480" s="139"/>
      <c r="AD480" s="139"/>
      <c r="AE480" s="529"/>
    </row>
    <row r="481" spans="1:32" ht="11.25" customHeight="1">
      <c r="B481" s="140" t="s">
        <v>1866</v>
      </c>
      <c r="C481" s="141"/>
      <c r="D481" s="1379"/>
      <c r="E481" s="1379"/>
      <c r="F481" s="1379"/>
      <c r="G481" s="1379"/>
      <c r="H481" s="1379"/>
      <c r="I481" s="1379"/>
      <c r="J481" s="1379"/>
      <c r="K481" s="1379"/>
      <c r="L481" s="1379"/>
      <c r="M481" s="1379"/>
      <c r="N481" s="1379"/>
      <c r="O481" s="1379"/>
      <c r="P481" s="1379"/>
      <c r="Q481" s="1379"/>
    </row>
    <row r="482" spans="1:32" ht="22.5" customHeight="1">
      <c r="A482" s="3603"/>
      <c r="B482" s="3604"/>
      <c r="C482" s="3604"/>
      <c r="D482" s="3604"/>
      <c r="E482" s="3604"/>
      <c r="F482" s="3604"/>
      <c r="G482" s="3604"/>
      <c r="H482" s="3604"/>
      <c r="I482" s="3604"/>
      <c r="J482" s="3604"/>
      <c r="K482" s="3604"/>
      <c r="L482" s="3604"/>
      <c r="M482" s="3604"/>
      <c r="N482" s="3604"/>
      <c r="O482" s="3604"/>
      <c r="P482" s="3604"/>
      <c r="Q482" s="3605"/>
    </row>
    <row r="483" spans="1:32" ht="3" customHeight="1">
      <c r="A483" s="1378"/>
      <c r="B483" s="1385"/>
      <c r="C483" s="1379"/>
      <c r="D483" s="1379"/>
      <c r="E483" s="1379"/>
      <c r="F483" s="1379"/>
      <c r="G483" s="1379"/>
      <c r="H483" s="1379"/>
      <c r="I483" s="1379"/>
      <c r="J483" s="1379"/>
      <c r="K483" s="1379"/>
      <c r="L483" s="1379"/>
      <c r="M483" s="1379"/>
      <c r="N483" s="1379"/>
      <c r="O483" s="1379"/>
      <c r="P483" s="1379"/>
      <c r="Q483" s="1378"/>
    </row>
    <row r="484" spans="1:32" ht="3" customHeight="1">
      <c r="A484" s="2420"/>
      <c r="B484" s="2422"/>
      <c r="C484" s="2423"/>
      <c r="D484" s="2423"/>
      <c r="E484" s="2423"/>
      <c r="F484" s="2423"/>
      <c r="G484" s="2423"/>
      <c r="H484" s="2423"/>
      <c r="I484" s="2423"/>
      <c r="J484" s="2423"/>
      <c r="K484" s="2423"/>
      <c r="L484" s="2423"/>
      <c r="M484" s="2423"/>
      <c r="N484" s="2423"/>
      <c r="O484" s="2423"/>
      <c r="P484" s="2423"/>
      <c r="Q484" s="2420"/>
    </row>
    <row r="485" spans="1:32" ht="14.1" customHeight="1">
      <c r="A485" s="2494" t="s">
        <v>4803</v>
      </c>
      <c r="B485" s="4"/>
      <c r="C485" s="4" t="s">
        <v>5215</v>
      </c>
      <c r="D485" s="88"/>
      <c r="E485" s="2423"/>
      <c r="F485" s="2423"/>
      <c r="G485" s="2423"/>
      <c r="H485" s="2423"/>
      <c r="I485" s="2423"/>
      <c r="J485" s="2423"/>
      <c r="K485" s="2423"/>
      <c r="L485" s="2423"/>
      <c r="M485" s="2423"/>
      <c r="O485" s="135" t="s">
        <v>1867</v>
      </c>
      <c r="P485" s="3606"/>
      <c r="Q485" s="3607"/>
    </row>
    <row r="486" spans="1:32" s="105" customFormat="1" ht="11.25" customHeight="1">
      <c r="B486" s="199" t="s">
        <v>4804</v>
      </c>
      <c r="D486" s="61"/>
      <c r="E486" s="61"/>
      <c r="F486" s="44"/>
      <c r="G486" s="27"/>
      <c r="L486" s="434"/>
      <c r="M486" s="434"/>
      <c r="N486" s="434"/>
      <c r="O486" s="434"/>
      <c r="P486" s="434"/>
      <c r="Q486" s="434"/>
      <c r="R486" s="434"/>
      <c r="T486" s="1285"/>
      <c r="U486" s="1285"/>
    </row>
    <row r="487" spans="1:32" s="105" customFormat="1" ht="10.5" customHeight="1">
      <c r="A487" s="142"/>
      <c r="B487" s="40" t="s">
        <v>4926</v>
      </c>
      <c r="D487" s="61"/>
      <c r="E487" s="61"/>
      <c r="F487" s="44"/>
      <c r="G487" s="27"/>
      <c r="K487" s="527"/>
      <c r="M487" s="7"/>
      <c r="N487" s="527"/>
      <c r="P487" s="542" t="s">
        <v>2990</v>
      </c>
      <c r="Q487" s="616"/>
      <c r="R487" s="448"/>
      <c r="T487" s="1285"/>
      <c r="U487" s="1285"/>
    </row>
    <row r="488" spans="1:32" s="151" customFormat="1" ht="12" customHeight="1">
      <c r="A488" s="724"/>
      <c r="B488" s="724"/>
      <c r="C488" s="724"/>
      <c r="D488" s="724"/>
      <c r="E488" s="724"/>
      <c r="F488" s="724"/>
      <c r="G488" s="724"/>
      <c r="H488" s="724"/>
      <c r="I488" s="724"/>
      <c r="J488" s="724"/>
      <c r="K488" s="724"/>
      <c r="L488" s="724"/>
      <c r="M488" s="724"/>
      <c r="N488" s="724"/>
      <c r="O488" s="724"/>
      <c r="P488" s="724"/>
      <c r="Q488" s="724"/>
      <c r="AE488" s="531"/>
      <c r="AF488" s="531"/>
    </row>
    <row r="489" spans="1:32" s="151" customFormat="1" ht="12" customHeight="1">
      <c r="A489" s="724"/>
      <c r="B489" s="724"/>
      <c r="C489" s="724"/>
      <c r="D489" s="724"/>
      <c r="E489" s="724"/>
      <c r="F489" s="724"/>
      <c r="G489" s="724"/>
      <c r="H489" s="724"/>
      <c r="I489" s="724"/>
      <c r="J489" s="724"/>
      <c r="K489" s="724"/>
      <c r="L489" s="724"/>
      <c r="M489" s="724"/>
      <c r="N489" s="724"/>
      <c r="O489" s="724"/>
      <c r="P489" s="724"/>
      <c r="Q489" s="724"/>
      <c r="AE489" s="531"/>
      <c r="AF489" s="531"/>
    </row>
    <row r="490" spans="1:32" s="151" customFormat="1" ht="12" customHeight="1">
      <c r="A490" s="724"/>
      <c r="B490" s="724"/>
      <c r="C490" s="724"/>
      <c r="D490" s="724"/>
      <c r="E490" s="724"/>
      <c r="F490" s="724"/>
      <c r="G490" s="724"/>
      <c r="H490" s="724"/>
      <c r="I490" s="724"/>
      <c r="J490" s="724"/>
      <c r="K490" s="724"/>
      <c r="L490" s="724"/>
      <c r="M490" s="724"/>
      <c r="N490" s="724"/>
      <c r="O490" s="724"/>
      <c r="P490" s="724"/>
      <c r="Q490" s="724"/>
      <c r="AE490" s="531"/>
      <c r="AF490" s="531"/>
    </row>
    <row r="491" spans="1:32" s="151" customFormat="1" ht="12" customHeight="1">
      <c r="A491" s="724"/>
      <c r="B491" s="724"/>
      <c r="C491" s="724"/>
      <c r="D491" s="724"/>
      <c r="E491" s="724"/>
      <c r="F491" s="724"/>
      <c r="G491" s="724"/>
      <c r="H491" s="724"/>
      <c r="I491" s="724"/>
      <c r="J491" s="724"/>
      <c r="K491" s="724"/>
      <c r="L491" s="724"/>
      <c r="M491" s="724"/>
      <c r="N491" s="724"/>
      <c r="O491" s="724"/>
      <c r="P491" s="724"/>
      <c r="Q491" s="724"/>
      <c r="AE491" s="531"/>
      <c r="AF491" s="531"/>
    </row>
    <row r="492" spans="1:32" s="151" customFormat="1" ht="12" customHeight="1">
      <c r="A492" s="724"/>
      <c r="B492" s="724"/>
      <c r="C492" s="724"/>
      <c r="D492" s="724"/>
      <c r="E492" s="724"/>
      <c r="F492" s="724"/>
      <c r="G492" s="724"/>
      <c r="H492" s="724"/>
      <c r="I492" s="724"/>
      <c r="J492" s="724"/>
      <c r="K492" s="724"/>
      <c r="L492" s="724"/>
      <c r="M492" s="724"/>
      <c r="N492" s="724"/>
      <c r="O492" s="724"/>
      <c r="P492" s="724"/>
      <c r="Q492" s="724"/>
      <c r="AE492" s="531"/>
      <c r="AF492" s="531"/>
    </row>
    <row r="493" spans="1:32" s="151" customFormat="1" ht="12" customHeight="1">
      <c r="A493" s="724"/>
      <c r="B493" s="724"/>
      <c r="C493" s="724"/>
      <c r="D493" s="724"/>
      <c r="E493" s="724"/>
      <c r="F493" s="724"/>
      <c r="G493" s="724"/>
      <c r="H493" s="724"/>
      <c r="I493" s="724"/>
      <c r="J493" s="724"/>
      <c r="K493" s="724"/>
      <c r="L493" s="724"/>
      <c r="M493" s="724"/>
      <c r="N493" s="724"/>
      <c r="O493" s="724"/>
      <c r="P493" s="724"/>
      <c r="Q493" s="724"/>
      <c r="AE493" s="531"/>
      <c r="AF493" s="531"/>
    </row>
    <row r="494" spans="1:32" s="151" customFormat="1" ht="12" customHeight="1">
      <c r="A494" s="724"/>
      <c r="B494" s="724"/>
      <c r="C494" s="724"/>
      <c r="D494" s="724"/>
      <c r="E494" s="724"/>
      <c r="F494" s="724"/>
      <c r="G494" s="724"/>
      <c r="H494" s="724"/>
      <c r="I494" s="724"/>
      <c r="J494" s="724"/>
      <c r="K494" s="724"/>
      <c r="L494" s="724"/>
      <c r="M494" s="724"/>
      <c r="N494" s="724"/>
      <c r="O494" s="724"/>
      <c r="P494" s="724"/>
      <c r="Q494" s="724"/>
      <c r="AE494" s="531"/>
      <c r="AF494" s="531"/>
    </row>
    <row r="495" spans="1:32" s="151" customFormat="1" ht="12" customHeight="1">
      <c r="A495" s="724"/>
      <c r="B495" s="724"/>
      <c r="C495" s="724"/>
      <c r="D495" s="724"/>
      <c r="E495" s="724"/>
      <c r="F495" s="724"/>
      <c r="G495" s="724"/>
      <c r="H495" s="724"/>
      <c r="I495" s="724"/>
      <c r="J495" s="724"/>
      <c r="K495" s="724"/>
      <c r="L495" s="724"/>
      <c r="M495" s="724"/>
      <c r="N495" s="724"/>
      <c r="O495" s="724"/>
      <c r="P495" s="724"/>
      <c r="Q495" s="724"/>
      <c r="AE495" s="531"/>
      <c r="AF495" s="531"/>
    </row>
    <row r="496" spans="1:32" s="151" customFormat="1" ht="12" customHeight="1">
      <c r="A496" s="724"/>
      <c r="B496" s="724"/>
      <c r="C496" s="724"/>
      <c r="D496" s="724"/>
      <c r="E496" s="724"/>
      <c r="F496" s="724"/>
      <c r="G496" s="724"/>
      <c r="H496" s="724"/>
      <c r="I496" s="724"/>
      <c r="J496" s="724"/>
      <c r="K496" s="724"/>
      <c r="L496" s="724"/>
      <c r="M496" s="724"/>
      <c r="N496" s="724"/>
      <c r="O496" s="724"/>
      <c r="P496" s="724"/>
      <c r="Q496" s="724"/>
      <c r="AE496" s="531"/>
      <c r="AF496" s="531"/>
    </row>
    <row r="497" spans="1:32" s="151" customFormat="1" ht="12" customHeight="1">
      <c r="A497" s="724"/>
      <c r="B497" s="724"/>
      <c r="C497" s="724"/>
      <c r="D497" s="724"/>
      <c r="E497" s="724"/>
      <c r="F497" s="724"/>
      <c r="G497" s="724"/>
      <c r="H497" s="724"/>
      <c r="I497" s="724"/>
      <c r="J497" s="724"/>
      <c r="K497" s="724"/>
      <c r="L497" s="724"/>
      <c r="M497" s="724"/>
      <c r="N497" s="724"/>
      <c r="O497" s="724"/>
      <c r="P497" s="724"/>
      <c r="Q497" s="724"/>
      <c r="AE497" s="531"/>
      <c r="AF497" s="531"/>
    </row>
    <row r="498" spans="1:32" s="151" customFormat="1" ht="12" customHeight="1">
      <c r="A498" s="724"/>
      <c r="B498" s="724"/>
      <c r="C498" s="724"/>
      <c r="D498" s="724"/>
      <c r="E498" s="724"/>
      <c r="F498" s="724"/>
      <c r="G498" s="724"/>
      <c r="H498" s="724"/>
      <c r="I498" s="724"/>
      <c r="J498" s="724"/>
      <c r="K498" s="724"/>
      <c r="L498" s="724"/>
      <c r="M498" s="724"/>
      <c r="N498" s="724"/>
      <c r="O498" s="724"/>
      <c r="P498" s="724"/>
      <c r="Q498" s="724"/>
      <c r="AE498" s="531"/>
      <c r="AF498" s="531"/>
    </row>
    <row r="499" spans="1:32" s="151" customFormat="1">
      <c r="AE499" s="531"/>
      <c r="AF499" s="531"/>
    </row>
    <row r="500" spans="1:32" s="163" customFormat="1">
      <c r="B500" s="548"/>
      <c r="C500" s="548"/>
      <c r="D500" s="548"/>
      <c r="E500" s="548"/>
      <c r="F500" s="548"/>
      <c r="G500" s="548"/>
      <c r="H500" s="548"/>
      <c r="I500" s="548"/>
      <c r="J500" s="548"/>
      <c r="K500" s="548"/>
      <c r="L500" s="548"/>
      <c r="M500" s="548"/>
      <c r="N500" s="1205"/>
      <c r="O500" s="1206"/>
      <c r="P500" s="1206"/>
      <c r="AE500" s="534"/>
      <c r="AF500" s="534"/>
    </row>
    <row r="501" spans="1:32" s="495" customFormat="1" ht="11.25">
      <c r="B501" s="1208"/>
      <c r="C501" s="1207" t="s">
        <v>1649</v>
      </c>
      <c r="D501" s="1207"/>
      <c r="E501" s="1207"/>
      <c r="F501" s="1207"/>
      <c r="G501" s="1207"/>
      <c r="H501" s="1207"/>
      <c r="I501" s="1207"/>
      <c r="J501" s="1207" t="s">
        <v>1014</v>
      </c>
      <c r="K501" s="1207"/>
      <c r="L501" s="1208"/>
      <c r="M501" s="1208"/>
      <c r="N501" s="1209"/>
      <c r="O501" s="1208" t="s">
        <v>2885</v>
      </c>
      <c r="P501" s="1210"/>
      <c r="AE501" s="502"/>
      <c r="AF501" s="502"/>
    </row>
    <row r="502" spans="1:32" s="495" customFormat="1" ht="11.25">
      <c r="B502" s="1208"/>
      <c r="C502" s="1208" t="s">
        <v>2089</v>
      </c>
      <c r="D502" s="1208"/>
      <c r="E502" s="1208"/>
      <c r="F502" s="1208"/>
      <c r="G502" s="1208"/>
      <c r="H502" s="1208"/>
      <c r="I502" s="1208"/>
      <c r="J502" s="1208" t="s">
        <v>1771</v>
      </c>
      <c r="K502" s="1208"/>
      <c r="L502" s="1208"/>
      <c r="M502" s="1208"/>
      <c r="N502" s="1209"/>
      <c r="O502" s="1208" t="s">
        <v>3836</v>
      </c>
      <c r="P502" s="1210"/>
      <c r="AE502" s="502"/>
      <c r="AF502" s="502"/>
    </row>
    <row r="503" spans="1:32" s="495" customFormat="1" ht="11.25">
      <c r="B503" s="1208"/>
      <c r="C503" s="1207" t="s">
        <v>2544</v>
      </c>
      <c r="D503" s="1207"/>
      <c r="E503" s="1207"/>
      <c r="F503" s="1207"/>
      <c r="G503" s="1207"/>
      <c r="H503" s="1207"/>
      <c r="I503" s="1207"/>
      <c r="J503" s="2526" t="s">
        <v>1724</v>
      </c>
      <c r="K503" s="1207"/>
      <c r="L503" s="1208"/>
      <c r="M503" s="1208"/>
      <c r="N503" s="1209"/>
      <c r="O503" s="1208" t="s">
        <v>3837</v>
      </c>
      <c r="P503" s="1210"/>
      <c r="AE503" s="502"/>
      <c r="AF503" s="502"/>
    </row>
    <row r="504" spans="1:32" s="495" customFormat="1" ht="11.25">
      <c r="B504" s="1208"/>
      <c r="C504" s="1207" t="s">
        <v>2090</v>
      </c>
      <c r="D504" s="1207"/>
      <c r="E504" s="1207"/>
      <c r="F504" s="1207"/>
      <c r="G504" s="1207"/>
      <c r="H504" s="1207"/>
      <c r="I504" s="1207"/>
      <c r="J504" s="2526" t="s">
        <v>230</v>
      </c>
      <c r="K504" s="1207"/>
      <c r="L504" s="1208"/>
      <c r="M504" s="1208"/>
      <c r="N504" s="1209"/>
      <c r="O504" s="1208" t="s">
        <v>3838</v>
      </c>
      <c r="P504" s="1210"/>
      <c r="AE504" s="502"/>
      <c r="AF504" s="502"/>
    </row>
    <row r="505" spans="1:32" s="495" customFormat="1" ht="11.25">
      <c r="B505" s="1208"/>
      <c r="C505" s="1207" t="s">
        <v>2091</v>
      </c>
      <c r="D505" s="1207"/>
      <c r="E505" s="1207"/>
      <c r="F505" s="1207"/>
      <c r="G505" s="1207"/>
      <c r="H505" s="1207"/>
      <c r="I505" s="1207"/>
      <c r="J505" s="1208" t="s">
        <v>1186</v>
      </c>
      <c r="K505" s="1207"/>
      <c r="L505" s="1208"/>
      <c r="M505" s="1208"/>
      <c r="N505" s="1209"/>
      <c r="O505" s="1208" t="s">
        <v>3839</v>
      </c>
      <c r="P505" s="1210"/>
      <c r="AE505" s="502"/>
      <c r="AF505" s="502"/>
    </row>
    <row r="506" spans="1:32" s="495" customFormat="1" ht="11.25">
      <c r="B506" s="1208"/>
      <c r="C506" s="1215" t="s">
        <v>2092</v>
      </c>
      <c r="D506" s="1207"/>
      <c r="E506" s="1207"/>
      <c r="F506" s="1207"/>
      <c r="G506" s="1207"/>
      <c r="H506" s="1207"/>
      <c r="I506" s="1207"/>
      <c r="J506" s="2527" t="s">
        <v>2104</v>
      </c>
      <c r="K506" s="1207"/>
      <c r="L506" s="1208"/>
      <c r="M506" s="1208"/>
      <c r="N506" s="1209"/>
      <c r="O506" s="1208" t="s">
        <v>3869</v>
      </c>
      <c r="P506" s="1210"/>
      <c r="AE506" s="502"/>
      <c r="AF506" s="502"/>
    </row>
    <row r="507" spans="1:32" s="495" customFormat="1" ht="11.25">
      <c r="B507" s="1208"/>
      <c r="C507" s="1215" t="s">
        <v>2093</v>
      </c>
      <c r="D507" s="1207"/>
      <c r="E507" s="1207"/>
      <c r="F507" s="1207"/>
      <c r="G507" s="1207"/>
      <c r="H507" s="1207"/>
      <c r="I507" s="1207"/>
      <c r="J507" s="2526" t="s">
        <v>1661</v>
      </c>
      <c r="K507" s="1207"/>
      <c r="L507" s="1208"/>
      <c r="M507" s="1208"/>
      <c r="N507" s="1209"/>
      <c r="O507" s="1208" t="s">
        <v>3840</v>
      </c>
      <c r="P507" s="1210"/>
      <c r="AE507" s="502"/>
      <c r="AF507" s="502"/>
    </row>
    <row r="508" spans="1:32" s="495" customFormat="1" ht="11.25">
      <c r="B508" s="1208"/>
      <c r="C508" s="1215"/>
      <c r="D508" s="1207"/>
      <c r="E508" s="1207"/>
      <c r="F508" s="1207"/>
      <c r="G508" s="1207"/>
      <c r="H508" s="1207"/>
      <c r="I508" s="1207"/>
      <c r="J508" s="2526" t="s">
        <v>1193</v>
      </c>
      <c r="K508" s="1207"/>
      <c r="L508" s="1208"/>
      <c r="M508" s="1208"/>
      <c r="N508" s="1209"/>
      <c r="O508" s="1208" t="s">
        <v>3841</v>
      </c>
      <c r="P508" s="1210"/>
      <c r="AE508" s="502"/>
      <c r="AF508" s="502"/>
    </row>
    <row r="509" spans="1:32" s="495" customFormat="1" ht="11.25">
      <c r="B509" s="1208"/>
      <c r="C509" s="1208" t="s">
        <v>1771</v>
      </c>
      <c r="D509" s="1207"/>
      <c r="E509" s="1207"/>
      <c r="F509" s="1207"/>
      <c r="G509" s="1207"/>
      <c r="H509" s="1207"/>
      <c r="I509" s="1207"/>
      <c r="J509" s="2526" t="s">
        <v>1658</v>
      </c>
      <c r="K509" s="1207"/>
      <c r="L509" s="1208"/>
      <c r="M509" s="1208"/>
      <c r="N509" s="1209"/>
      <c r="O509" s="1208" t="s">
        <v>3842</v>
      </c>
      <c r="P509" s="1210"/>
      <c r="AE509" s="502"/>
      <c r="AF509" s="502"/>
    </row>
    <row r="510" spans="1:32" s="495" customFormat="1" ht="11.25">
      <c r="B510" s="1208"/>
      <c r="C510" s="1211" t="s">
        <v>1390</v>
      </c>
      <c r="D510" s="1207"/>
      <c r="E510" s="1207"/>
      <c r="F510" s="1207"/>
      <c r="G510" s="1207"/>
      <c r="H510" s="1207"/>
      <c r="I510" s="1207"/>
      <c r="J510" s="2526" t="s">
        <v>2105</v>
      </c>
      <c r="K510" s="1207"/>
      <c r="L510" s="1208"/>
      <c r="M510" s="1208"/>
      <c r="N510" s="1209"/>
      <c r="O510" s="1208" t="s">
        <v>3843</v>
      </c>
      <c r="P510" s="1210"/>
      <c r="AE510" s="502"/>
      <c r="AF510" s="502"/>
    </row>
    <row r="511" spans="1:32" s="495" customFormat="1" ht="11.25">
      <c r="B511" s="1208"/>
      <c r="C511" s="1211" t="s">
        <v>1391</v>
      </c>
      <c r="D511" s="1207"/>
      <c r="E511" s="1207"/>
      <c r="F511" s="1207"/>
      <c r="G511" s="1207"/>
      <c r="H511" s="1207"/>
      <c r="I511" s="1207"/>
      <c r="J511" s="2526" t="s">
        <v>1651</v>
      </c>
      <c r="K511" s="1207"/>
      <c r="L511" s="1208"/>
      <c r="M511" s="1208"/>
      <c r="N511" s="1209"/>
      <c r="O511" s="1210"/>
      <c r="P511" s="1210"/>
      <c r="AE511" s="502"/>
      <c r="AF511" s="502"/>
    </row>
    <row r="512" spans="1:32" s="495" customFormat="1" ht="11.25">
      <c r="B512" s="1208"/>
      <c r="C512" s="2528" t="s">
        <v>2133</v>
      </c>
      <c r="D512" s="1207"/>
      <c r="E512" s="1207"/>
      <c r="F512" s="1207"/>
      <c r="G512" s="1207"/>
      <c r="H512" s="1207"/>
      <c r="I512" s="1207"/>
      <c r="J512" s="2526" t="s">
        <v>1194</v>
      </c>
      <c r="K512" s="1207"/>
      <c r="L512" s="1208"/>
      <c r="M512" s="1208"/>
      <c r="N512" s="1209"/>
      <c r="O512" s="1210"/>
      <c r="P512" s="1210"/>
      <c r="AE512" s="502"/>
      <c r="AF512" s="502"/>
    </row>
    <row r="513" spans="2:32" s="495" customFormat="1" ht="11.25">
      <c r="B513" s="1208"/>
      <c r="C513" s="2528" t="s">
        <v>1387</v>
      </c>
      <c r="D513" s="1207"/>
      <c r="E513" s="1207"/>
      <c r="F513" s="1207"/>
      <c r="G513" s="1207"/>
      <c r="H513" s="1207"/>
      <c r="I513" s="1207"/>
      <c r="J513" s="2526" t="s">
        <v>591</v>
      </c>
      <c r="K513" s="1207"/>
      <c r="L513" s="1208"/>
      <c r="M513" s="1208"/>
      <c r="N513" s="1209"/>
      <c r="O513" s="1210"/>
      <c r="P513" s="1210"/>
      <c r="AE513" s="502"/>
      <c r="AF513" s="502"/>
    </row>
    <row r="514" spans="2:32" s="495" customFormat="1" ht="11.25">
      <c r="B514" s="1208"/>
      <c r="C514" s="2528" t="s">
        <v>1388</v>
      </c>
      <c r="D514" s="1207"/>
      <c r="E514" s="1207"/>
      <c r="F514" s="1207"/>
      <c r="G514" s="1207"/>
      <c r="H514" s="1207"/>
      <c r="I514" s="1207"/>
      <c r="J514" s="2526" t="s">
        <v>1657</v>
      </c>
      <c r="K514" s="1207"/>
      <c r="L514" s="1208"/>
      <c r="M514" s="1208"/>
      <c r="N514" s="1209"/>
      <c r="O514" s="1210"/>
      <c r="P514" s="1210"/>
      <c r="AE514" s="502"/>
      <c r="AF514" s="502"/>
    </row>
    <row r="515" spans="2:32" s="495" customFormat="1" ht="11.25">
      <c r="B515" s="1208"/>
      <c r="C515" s="1211" t="s">
        <v>2128</v>
      </c>
      <c r="D515" s="1207"/>
      <c r="E515" s="1207"/>
      <c r="F515" s="1207"/>
      <c r="G515" s="1207"/>
      <c r="H515" s="1207"/>
      <c r="I515" s="1207"/>
      <c r="J515" s="2526" t="s">
        <v>1188</v>
      </c>
      <c r="K515" s="1207"/>
      <c r="L515" s="1208"/>
      <c r="M515" s="1208"/>
      <c r="N515" s="1209"/>
      <c r="O515" s="1210"/>
      <c r="P515" s="1210"/>
      <c r="AE515" s="502"/>
      <c r="AF515" s="502"/>
    </row>
    <row r="516" spans="2:32" s="495" customFormat="1" ht="11.25">
      <c r="B516" s="1208"/>
      <c r="C516" s="1211" t="s">
        <v>2129</v>
      </c>
      <c r="D516" s="1207"/>
      <c r="E516" s="1207"/>
      <c r="F516" s="1207"/>
      <c r="G516" s="1207"/>
      <c r="H516" s="1207"/>
      <c r="I516" s="1207"/>
      <c r="J516" s="2526" t="s">
        <v>1187</v>
      </c>
      <c r="K516" s="1208"/>
      <c r="L516" s="1208"/>
      <c r="M516" s="1208"/>
      <c r="N516" s="1209"/>
      <c r="O516" s="1210"/>
      <c r="P516" s="1210"/>
      <c r="AE516" s="502"/>
      <c r="AF516" s="502"/>
    </row>
    <row r="517" spans="2:32" s="495" customFormat="1" ht="11.25">
      <c r="B517" s="1208"/>
      <c r="C517" s="1211" t="s">
        <v>2130</v>
      </c>
      <c r="D517" s="1208"/>
      <c r="E517" s="1208"/>
      <c r="F517" s="1208"/>
      <c r="G517" s="1208"/>
      <c r="H517" s="1208"/>
      <c r="I517" s="1208"/>
      <c r="J517" s="2526" t="s">
        <v>1725</v>
      </c>
      <c r="K517" s="1208"/>
      <c r="L517" s="1208"/>
      <c r="M517" s="1208"/>
      <c r="N517" s="1209"/>
      <c r="O517" s="1210"/>
      <c r="P517" s="1210"/>
      <c r="AE517" s="502"/>
      <c r="AF517" s="502"/>
    </row>
    <row r="518" spans="2:32" s="495" customFormat="1" ht="11.25">
      <c r="B518" s="1208"/>
      <c r="C518" s="1211" t="s">
        <v>2131</v>
      </c>
      <c r="D518" s="1208"/>
      <c r="E518" s="1208"/>
      <c r="F518" s="1208"/>
      <c r="G518" s="1208"/>
      <c r="H518" s="1208"/>
      <c r="I518" s="1208"/>
      <c r="J518" s="2526" t="s">
        <v>1660</v>
      </c>
      <c r="K518" s="1208"/>
      <c r="L518" s="1208"/>
      <c r="M518" s="1208"/>
      <c r="N518" s="1209"/>
      <c r="O518" s="1210"/>
      <c r="P518" s="1210"/>
      <c r="AE518" s="502"/>
      <c r="AF518" s="502"/>
    </row>
    <row r="519" spans="2:32" s="495" customFormat="1" ht="11.25">
      <c r="B519" s="1208"/>
      <c r="C519" s="1211" t="s">
        <v>2132</v>
      </c>
      <c r="D519" s="1208"/>
      <c r="E519" s="1208"/>
      <c r="F519" s="1208"/>
      <c r="G519" s="1208"/>
      <c r="H519" s="1208"/>
      <c r="I519" s="1208"/>
      <c r="J519" s="2526" t="s">
        <v>1652</v>
      </c>
      <c r="K519" s="1208"/>
      <c r="L519" s="1208"/>
      <c r="M519" s="1208"/>
      <c r="N519" s="1209"/>
      <c r="O519" s="1210"/>
      <c r="P519" s="1210"/>
      <c r="AE519" s="502"/>
      <c r="AF519" s="502"/>
    </row>
    <row r="520" spans="2:32" s="495" customFormat="1" ht="11.25">
      <c r="B520" s="1208"/>
      <c r="C520" s="1211" t="s">
        <v>1389</v>
      </c>
      <c r="D520" s="1208"/>
      <c r="E520" s="1208"/>
      <c r="F520" s="1208"/>
      <c r="G520" s="1208"/>
      <c r="H520" s="1208"/>
      <c r="I520" s="1208"/>
      <c r="J520" s="2526" t="s">
        <v>2103</v>
      </c>
      <c r="K520" s="1208"/>
      <c r="L520" s="1208"/>
      <c r="M520" s="1208"/>
      <c r="N520" s="1209"/>
      <c r="O520" s="1210"/>
      <c r="P520" s="1210"/>
      <c r="AE520" s="502"/>
      <c r="AF520" s="502"/>
    </row>
    <row r="521" spans="2:32" s="495" customFormat="1" ht="11.25">
      <c r="B521" s="1208"/>
      <c r="C521" s="1211" t="s">
        <v>2282</v>
      </c>
      <c r="D521" s="1208"/>
      <c r="E521" s="1208"/>
      <c r="F521" s="1208"/>
      <c r="G521" s="1208"/>
      <c r="H521" s="1208"/>
      <c r="I521" s="1208"/>
      <c r="J521" s="1208"/>
      <c r="K521" s="1208"/>
      <c r="L521" s="1208"/>
      <c r="M521" s="1208"/>
      <c r="N521" s="1209"/>
      <c r="O521" s="1210"/>
      <c r="P521" s="1210"/>
      <c r="AE521" s="502"/>
      <c r="AF521" s="502"/>
    </row>
    <row r="522" spans="2:32" s="495" customFormat="1" ht="11.25">
      <c r="B522" s="1208"/>
      <c r="C522" s="1208"/>
      <c r="D522" s="1208"/>
      <c r="E522" s="1208"/>
      <c r="F522" s="1208"/>
      <c r="G522" s="1208"/>
      <c r="H522" s="1208"/>
      <c r="I522" s="1208"/>
      <c r="J522" s="1208"/>
      <c r="K522" s="1208"/>
      <c r="L522" s="1208"/>
      <c r="M522" s="1208"/>
      <c r="N522" s="1209"/>
      <c r="O522" s="1210"/>
      <c r="P522" s="1210"/>
      <c r="AE522" s="502"/>
      <c r="AF522" s="502"/>
    </row>
    <row r="523" spans="2:32" s="55" customFormat="1" ht="11.25">
      <c r="B523" s="1207"/>
      <c r="C523" s="1213" t="s">
        <v>1589</v>
      </c>
      <c r="D523" s="1207"/>
      <c r="E523" s="1207"/>
      <c r="F523" s="1207"/>
      <c r="G523" s="1207"/>
      <c r="H523" s="1207"/>
      <c r="I523" s="1207"/>
      <c r="J523" s="1213" t="s">
        <v>3780</v>
      </c>
      <c r="K523" s="1207"/>
      <c r="L523" s="1207"/>
      <c r="M523" s="1207"/>
      <c r="N523" s="1207"/>
      <c r="O523" s="1210"/>
      <c r="P523" s="1207"/>
      <c r="AE523" s="478"/>
      <c r="AF523" s="478"/>
    </row>
    <row r="524" spans="2:32" s="55" customFormat="1" ht="11.25">
      <c r="B524" s="1207"/>
      <c r="C524" s="1207" t="s">
        <v>1771</v>
      </c>
      <c r="D524" s="1207"/>
      <c r="E524" s="1207"/>
      <c r="F524" s="1207"/>
      <c r="G524" s="1207"/>
      <c r="H524" s="1207"/>
      <c r="I524" s="1207"/>
      <c r="J524" s="1207" t="s">
        <v>4777</v>
      </c>
      <c r="K524" s="1207"/>
      <c r="L524" s="1207"/>
      <c r="M524" s="1207"/>
      <c r="N524" s="1207"/>
      <c r="O524" s="1207"/>
      <c r="P524" s="1207"/>
      <c r="AE524" s="478"/>
      <c r="AF524" s="478"/>
    </row>
    <row r="525" spans="2:32" s="55" customFormat="1" ht="11.25">
      <c r="B525" s="1207"/>
      <c r="C525" s="1207" t="s">
        <v>2089</v>
      </c>
      <c r="D525" s="1207"/>
      <c r="E525" s="1208"/>
      <c r="F525" s="1208"/>
      <c r="G525" s="1208"/>
      <c r="H525" s="1208"/>
      <c r="I525" s="1208"/>
      <c r="J525" s="1208" t="s">
        <v>3773</v>
      </c>
      <c r="K525" s="1208"/>
      <c r="L525" s="1208"/>
      <c r="M525" s="1208"/>
      <c r="N525" s="1207"/>
      <c r="O525" s="1207"/>
      <c r="P525" s="1207"/>
      <c r="AE525" s="478"/>
      <c r="AF525" s="478"/>
    </row>
    <row r="526" spans="2:32" s="55" customFormat="1" ht="11.25">
      <c r="B526" s="1207"/>
      <c r="C526" s="1207" t="s">
        <v>2544</v>
      </c>
      <c r="D526" s="1208"/>
      <c r="E526" s="1208"/>
      <c r="F526" s="1208"/>
      <c r="G526" s="1208"/>
      <c r="H526" s="1207"/>
      <c r="I526" s="1208"/>
      <c r="J526" s="1208" t="s">
        <v>3774</v>
      </c>
      <c r="K526" s="1208"/>
      <c r="L526" s="1208"/>
      <c r="M526" s="1208"/>
      <c r="N526" s="1207"/>
      <c r="O526" s="1207"/>
      <c r="P526" s="1207"/>
      <c r="AE526" s="478"/>
      <c r="AF526" s="478"/>
    </row>
    <row r="527" spans="2:32" s="55" customFormat="1" ht="11.25">
      <c r="B527" s="1207"/>
      <c r="C527" s="1207" t="s">
        <v>2090</v>
      </c>
      <c r="D527" s="1208"/>
      <c r="E527" s="1208"/>
      <c r="F527" s="1208"/>
      <c r="G527" s="1208"/>
      <c r="H527" s="1208"/>
      <c r="I527" s="1208"/>
      <c r="J527" s="1208" t="s">
        <v>4775</v>
      </c>
      <c r="K527" s="1208"/>
      <c r="L527" s="1208"/>
      <c r="M527" s="1208"/>
      <c r="N527" s="1207"/>
      <c r="O527" s="1207"/>
      <c r="P527" s="1207"/>
      <c r="AE527" s="478"/>
      <c r="AF527" s="478"/>
    </row>
    <row r="528" spans="2:32" s="55" customFormat="1" ht="11.25">
      <c r="B528" s="1207"/>
      <c r="C528" s="1207" t="s">
        <v>1650</v>
      </c>
      <c r="D528" s="1208"/>
      <c r="E528" s="1208"/>
      <c r="F528" s="1208"/>
      <c r="G528" s="1208"/>
      <c r="H528" s="1207"/>
      <c r="I528" s="1208"/>
      <c r="J528" s="1207" t="s">
        <v>3979</v>
      </c>
      <c r="K528" s="1208"/>
      <c r="L528" s="1208"/>
      <c r="M528" s="1208"/>
      <c r="N528" s="1207"/>
      <c r="O528" s="1207"/>
      <c r="P528" s="1207"/>
      <c r="AE528" s="478"/>
      <c r="AF528" s="478"/>
    </row>
    <row r="529" spans="2:32" s="55" customFormat="1" ht="11.25">
      <c r="B529" s="1207"/>
      <c r="C529" s="1215" t="s">
        <v>2011</v>
      </c>
      <c r="D529" s="1208"/>
      <c r="E529" s="1208"/>
      <c r="F529" s="1208"/>
      <c r="G529" s="1208"/>
      <c r="H529" s="1207"/>
      <c r="I529" s="1208"/>
      <c r="J529" s="1208" t="s">
        <v>4776</v>
      </c>
      <c r="K529" s="1208"/>
      <c r="L529" s="1208"/>
      <c r="M529" s="1208"/>
      <c r="N529" s="1207"/>
      <c r="O529" s="1207"/>
      <c r="P529" s="1207"/>
      <c r="AE529" s="478"/>
      <c r="AF529" s="478"/>
    </row>
    <row r="530" spans="2:32" s="55" customFormat="1" ht="11.25">
      <c r="B530" s="1207"/>
      <c r="C530" s="1207" t="s">
        <v>230</v>
      </c>
      <c r="D530" s="1208"/>
      <c r="E530" s="1208"/>
      <c r="F530" s="1208"/>
      <c r="G530" s="1208"/>
      <c r="H530" s="1207"/>
      <c r="I530" s="1208"/>
      <c r="J530" s="1208" t="s">
        <v>3980</v>
      </c>
      <c r="K530" s="1208"/>
      <c r="L530" s="1208"/>
      <c r="M530" s="1208"/>
      <c r="N530" s="1207"/>
      <c r="O530" s="1207"/>
      <c r="P530" s="1207"/>
      <c r="AE530" s="478"/>
      <c r="AF530" s="478"/>
    </row>
    <row r="531" spans="2:32" s="55" customFormat="1" ht="11.25">
      <c r="B531" s="1207"/>
      <c r="C531" s="1207" t="s">
        <v>1651</v>
      </c>
      <c r="D531" s="1208"/>
      <c r="E531" s="1208"/>
      <c r="F531" s="1208"/>
      <c r="G531" s="1208"/>
      <c r="H531" s="1207"/>
      <c r="I531" s="1208"/>
      <c r="J531" s="1208"/>
      <c r="K531" s="1208"/>
      <c r="L531" s="1208"/>
      <c r="M531" s="1208"/>
      <c r="N531" s="1207"/>
      <c r="O531" s="1207"/>
      <c r="P531" s="1207"/>
      <c r="AE531" s="478"/>
      <c r="AF531" s="478"/>
    </row>
    <row r="532" spans="2:32" s="55" customFormat="1" ht="11.25">
      <c r="B532" s="1207"/>
      <c r="C532" s="1207" t="s">
        <v>1652</v>
      </c>
      <c r="D532" s="1208"/>
      <c r="E532" s="1208"/>
      <c r="F532" s="1208"/>
      <c r="G532" s="1208"/>
      <c r="H532" s="1207"/>
      <c r="I532" s="1208"/>
      <c r="J532" s="1208"/>
      <c r="K532" s="1208"/>
      <c r="L532" s="1208"/>
      <c r="M532" s="1208"/>
      <c r="N532" s="1207"/>
      <c r="O532" s="1207"/>
      <c r="P532" s="1207"/>
      <c r="AE532" s="478"/>
      <c r="AF532" s="478"/>
    </row>
    <row r="533" spans="2:32" s="55" customFormat="1" ht="11.25">
      <c r="B533" s="1207"/>
      <c r="C533" s="1207" t="s">
        <v>2505</v>
      </c>
      <c r="D533" s="1208"/>
      <c r="E533" s="1208"/>
      <c r="F533" s="1208"/>
      <c r="G533" s="1208"/>
      <c r="H533" s="1208"/>
      <c r="I533" s="1208"/>
      <c r="J533" s="1208"/>
      <c r="K533" s="1208"/>
      <c r="L533" s="1208"/>
      <c r="M533" s="1208"/>
      <c r="N533" s="1207"/>
      <c r="O533" s="1207"/>
      <c r="P533" s="1207"/>
      <c r="AE533" s="478"/>
      <c r="AF533" s="478"/>
    </row>
    <row r="534" spans="2:32" s="55" customFormat="1" ht="11.25">
      <c r="B534" s="1207"/>
      <c r="C534" s="1207" t="s">
        <v>1590</v>
      </c>
      <c r="D534" s="1208"/>
      <c r="E534" s="1208"/>
      <c r="F534" s="1208"/>
      <c r="G534" s="1208"/>
      <c r="H534" s="1208"/>
      <c r="I534" s="1208"/>
      <c r="J534" s="1207"/>
      <c r="K534" s="1208"/>
      <c r="L534" s="1208"/>
      <c r="M534" s="1208"/>
      <c r="N534" s="1207"/>
      <c r="O534" s="1207"/>
      <c r="P534" s="1207"/>
      <c r="AE534" s="478"/>
      <c r="AF534" s="478"/>
    </row>
    <row r="535" spans="2:32" s="55" customFormat="1" ht="11.25">
      <c r="B535" s="1207"/>
      <c r="C535" s="1207" t="s">
        <v>1654</v>
      </c>
      <c r="D535" s="1208"/>
      <c r="E535" s="1208"/>
      <c r="F535" s="1208"/>
      <c r="G535" s="1208"/>
      <c r="H535" s="1208"/>
      <c r="I535" s="1208"/>
      <c r="J535" s="1207"/>
      <c r="K535" s="1208"/>
      <c r="L535" s="1208"/>
      <c r="M535" s="1208"/>
      <c r="N535" s="1207"/>
      <c r="O535" s="1207"/>
      <c r="P535" s="1207"/>
      <c r="AE535" s="478"/>
      <c r="AF535" s="478"/>
    </row>
    <row r="536" spans="2:32" s="55" customFormat="1" ht="11.25">
      <c r="B536" s="1207"/>
      <c r="C536" s="1207" t="s">
        <v>2507</v>
      </c>
      <c r="D536" s="1208"/>
      <c r="E536" s="1208"/>
      <c r="F536" s="1208"/>
      <c r="G536" s="1208"/>
      <c r="H536" s="1208"/>
      <c r="I536" s="1208"/>
      <c r="J536" s="1207"/>
      <c r="K536" s="1208"/>
      <c r="L536" s="1208"/>
      <c r="M536" s="1208"/>
      <c r="N536" s="1207"/>
      <c r="O536" s="1207"/>
      <c r="P536" s="1207"/>
      <c r="AE536" s="478"/>
      <c r="AF536" s="478"/>
    </row>
    <row r="537" spans="2:32" s="55" customFormat="1" ht="11.25">
      <c r="B537" s="1207"/>
      <c r="C537" s="1207" t="s">
        <v>1656</v>
      </c>
      <c r="D537" s="1208"/>
      <c r="E537" s="1208"/>
      <c r="F537" s="1208"/>
      <c r="G537" s="1208"/>
      <c r="H537" s="1208"/>
      <c r="I537" s="1208"/>
      <c r="J537" s="1207"/>
      <c r="K537" s="1208"/>
      <c r="L537" s="1208"/>
      <c r="M537" s="1208"/>
      <c r="N537" s="1207" t="s">
        <v>2506</v>
      </c>
      <c r="O537" s="1207"/>
      <c r="P537" s="1207"/>
      <c r="AE537" s="478"/>
      <c r="AF537" s="478"/>
    </row>
    <row r="538" spans="2:32" s="55" customFormat="1" ht="11.25">
      <c r="B538" s="1207"/>
      <c r="C538" s="1207" t="s">
        <v>1657</v>
      </c>
      <c r="D538" s="1208"/>
      <c r="E538" s="1208"/>
      <c r="F538" s="1208"/>
      <c r="G538" s="1208"/>
      <c r="H538" s="1208"/>
      <c r="I538" s="1208"/>
      <c r="J538" s="1208"/>
      <c r="K538" s="1208"/>
      <c r="L538" s="1208"/>
      <c r="M538" s="1208"/>
      <c r="N538" s="1207"/>
      <c r="O538" s="1207"/>
      <c r="P538" s="1207"/>
      <c r="AE538" s="478"/>
      <c r="AF538" s="478"/>
    </row>
    <row r="539" spans="2:32" s="55" customFormat="1" ht="11.25">
      <c r="B539" s="1207"/>
      <c r="C539" s="1207" t="s">
        <v>1658</v>
      </c>
      <c r="D539" s="1208"/>
      <c r="E539" s="1208"/>
      <c r="F539" s="1208"/>
      <c r="G539" s="1208"/>
      <c r="H539" s="1208"/>
      <c r="I539" s="1208"/>
      <c r="J539" s="1208"/>
      <c r="K539" s="1208"/>
      <c r="L539" s="1208"/>
      <c r="M539" s="1208"/>
      <c r="N539" s="1207"/>
      <c r="O539" s="1207"/>
      <c r="P539" s="1207"/>
      <c r="AE539" s="478"/>
      <c r="AF539" s="478"/>
    </row>
    <row r="540" spans="2:32" s="55" customFormat="1" ht="11.25">
      <c r="B540" s="1207"/>
      <c r="C540" s="1207" t="s">
        <v>591</v>
      </c>
      <c r="D540" s="1208"/>
      <c r="E540" s="1208"/>
      <c r="F540" s="1208"/>
      <c r="G540" s="1208"/>
      <c r="H540" s="1208"/>
      <c r="I540" s="1208"/>
      <c r="J540" s="1208"/>
      <c r="K540" s="1208"/>
      <c r="L540" s="1208"/>
      <c r="M540" s="1208"/>
      <c r="N540" s="1207"/>
      <c r="O540" s="1207"/>
      <c r="P540" s="1207"/>
      <c r="AE540" s="478"/>
      <c r="AF540" s="478"/>
    </row>
    <row r="541" spans="2:32" s="55" customFormat="1" ht="11.25">
      <c r="B541" s="1207"/>
      <c r="C541" s="1207" t="s">
        <v>1659</v>
      </c>
      <c r="D541" s="1208"/>
      <c r="E541" s="1208"/>
      <c r="F541" s="1208"/>
      <c r="G541" s="1208"/>
      <c r="H541" s="1208"/>
      <c r="I541" s="1208"/>
      <c r="J541" s="1208"/>
      <c r="K541" s="1208"/>
      <c r="L541" s="1208"/>
      <c r="M541" s="1208"/>
      <c r="N541" s="1207"/>
      <c r="O541" s="1207"/>
      <c r="P541" s="1207"/>
      <c r="AE541" s="478"/>
      <c r="AF541" s="478"/>
    </row>
    <row r="542" spans="2:32" s="55" customFormat="1" ht="11.25">
      <c r="B542" s="1207"/>
      <c r="C542" s="1207" t="s">
        <v>1875</v>
      </c>
      <c r="D542" s="1208"/>
      <c r="E542" s="1208"/>
      <c r="F542" s="1208"/>
      <c r="G542" s="1208"/>
      <c r="H542" s="1208"/>
      <c r="I542" s="1208"/>
      <c r="J542" s="1208"/>
      <c r="K542" s="1208"/>
      <c r="L542" s="1208"/>
      <c r="M542" s="1208"/>
      <c r="N542" s="1207"/>
      <c r="O542" s="1207"/>
      <c r="P542" s="1207"/>
      <c r="AE542" s="478"/>
      <c r="AF542" s="478"/>
    </row>
    <row r="543" spans="2:32" s="55" customFormat="1" ht="11.25">
      <c r="B543" s="1207"/>
      <c r="C543" s="1207" t="s">
        <v>229</v>
      </c>
      <c r="D543" s="1208"/>
      <c r="E543" s="1208"/>
      <c r="F543" s="1208"/>
      <c r="G543" s="1208"/>
      <c r="H543" s="1208"/>
      <c r="I543" s="1208"/>
      <c r="J543" s="1207"/>
      <c r="K543" s="1208"/>
      <c r="L543" s="1208"/>
      <c r="M543" s="1208"/>
      <c r="N543" s="1207"/>
      <c r="O543" s="1207"/>
      <c r="P543" s="1207"/>
      <c r="AE543" s="478"/>
      <c r="AF543" s="478"/>
    </row>
    <row r="544" spans="2:32" s="55" customFormat="1" ht="11.25">
      <c r="B544" s="1207"/>
      <c r="C544" s="1207"/>
      <c r="D544" s="1207"/>
      <c r="E544" s="1207"/>
      <c r="F544" s="1207"/>
      <c r="G544" s="1207"/>
      <c r="H544" s="1207"/>
      <c r="I544" s="1207"/>
      <c r="J544" s="1207"/>
      <c r="K544" s="1207"/>
      <c r="L544" s="1207"/>
      <c r="M544" s="1207"/>
      <c r="N544" s="1207"/>
      <c r="O544" s="1207"/>
      <c r="P544" s="1207"/>
      <c r="AE544" s="478"/>
      <c r="AF544" s="478"/>
    </row>
    <row r="545" spans="2:32" s="55" customFormat="1" ht="11.25">
      <c r="B545" s="1207"/>
      <c r="C545" s="1213" t="s">
        <v>1789</v>
      </c>
      <c r="D545" s="1207"/>
      <c r="E545" s="1207"/>
      <c r="F545" s="1207"/>
      <c r="G545" s="1207"/>
      <c r="H545" s="1207"/>
      <c r="I545" s="1207"/>
      <c r="J545" s="1207"/>
      <c r="K545" s="1207"/>
      <c r="L545" s="1207"/>
      <c r="M545" s="1207"/>
      <c r="N545" s="1207"/>
      <c r="O545" s="1207"/>
      <c r="P545" s="1207"/>
      <c r="AE545" s="478"/>
      <c r="AF545" s="478"/>
    </row>
    <row r="546" spans="2:32" s="55" customFormat="1" ht="11.25">
      <c r="B546" s="1207"/>
      <c r="C546" s="1207" t="s">
        <v>927</v>
      </c>
      <c r="D546" s="1207"/>
      <c r="E546" s="1207"/>
      <c r="F546" s="1207"/>
      <c r="G546" s="1207"/>
      <c r="H546" s="1207"/>
      <c r="I546" s="1207"/>
      <c r="J546" s="1207"/>
      <c r="K546" s="1207"/>
      <c r="L546" s="1207"/>
      <c r="M546" s="1207"/>
      <c r="N546" s="1207"/>
      <c r="O546" s="1207"/>
      <c r="P546" s="1207"/>
      <c r="AE546" s="478"/>
      <c r="AF546" s="478"/>
    </row>
    <row r="547" spans="2:32" s="55" customFormat="1" ht="11.25">
      <c r="B547" s="1207"/>
      <c r="C547" s="1211" t="s">
        <v>1629</v>
      </c>
      <c r="D547" s="1207"/>
      <c r="E547" s="1207"/>
      <c r="F547" s="1207"/>
      <c r="G547" s="1207"/>
      <c r="H547" s="1207"/>
      <c r="I547" s="1207"/>
      <c r="J547" s="1207"/>
      <c r="K547" s="1207"/>
      <c r="L547" s="1207"/>
      <c r="M547" s="1207"/>
      <c r="N547" s="1207"/>
      <c r="O547" s="1207"/>
      <c r="P547" s="1207"/>
      <c r="AE547" s="478"/>
      <c r="AF547" s="478"/>
    </row>
    <row r="548" spans="2:32" s="55" customFormat="1" ht="11.25">
      <c r="B548" s="1207"/>
      <c r="C548" s="1211" t="s">
        <v>719</v>
      </c>
      <c r="D548" s="1207"/>
      <c r="E548" s="1207"/>
      <c r="F548" s="1207"/>
      <c r="G548" s="1207"/>
      <c r="H548" s="1207"/>
      <c r="I548" s="1207"/>
      <c r="J548" s="1207"/>
      <c r="K548" s="1207"/>
      <c r="L548" s="1211"/>
      <c r="M548" s="1207"/>
      <c r="N548" s="1207"/>
      <c r="O548" s="1207"/>
      <c r="P548" s="1207"/>
      <c r="AE548" s="478"/>
      <c r="AF548" s="478"/>
    </row>
    <row r="549" spans="2:32" s="55" customFormat="1" ht="11.25">
      <c r="B549" s="1207"/>
      <c r="C549" s="1211" t="s">
        <v>720</v>
      </c>
      <c r="D549" s="1207"/>
      <c r="E549" s="1207"/>
      <c r="F549" s="1207"/>
      <c r="G549" s="1207"/>
      <c r="H549" s="1207"/>
      <c r="I549" s="1207"/>
      <c r="J549" s="1207"/>
      <c r="K549" s="1207"/>
      <c r="L549" s="1211"/>
      <c r="M549" s="1207"/>
      <c r="N549" s="1207"/>
      <c r="O549" s="1207"/>
      <c r="P549" s="1207"/>
      <c r="AE549" s="478"/>
      <c r="AF549" s="478"/>
    </row>
    <row r="550" spans="2:32" s="55" customFormat="1" ht="11.25">
      <c r="B550" s="1207"/>
      <c r="C550" s="1211" t="s">
        <v>2156</v>
      </c>
      <c r="D550" s="1207"/>
      <c r="E550" s="1207"/>
      <c r="F550" s="1207"/>
      <c r="G550" s="1207"/>
      <c r="H550" s="1207"/>
      <c r="I550" s="1207"/>
      <c r="J550" s="1207"/>
      <c r="K550" s="1207"/>
      <c r="L550" s="1211"/>
      <c r="M550" s="1207"/>
      <c r="N550" s="1207"/>
      <c r="O550" s="1207"/>
      <c r="P550" s="1207"/>
      <c r="AE550" s="478"/>
      <c r="AF550" s="478"/>
    </row>
    <row r="551" spans="2:32" s="55" customFormat="1" ht="11.25">
      <c r="B551" s="1207"/>
      <c r="C551" s="1211" t="s">
        <v>126</v>
      </c>
      <c r="D551" s="1207"/>
      <c r="E551" s="1207"/>
      <c r="F551" s="1207"/>
      <c r="G551" s="1207"/>
      <c r="H551" s="1207"/>
      <c r="I551" s="1207"/>
      <c r="J551" s="1207"/>
      <c r="K551" s="1207"/>
      <c r="L551" s="1211"/>
      <c r="M551" s="1207"/>
      <c r="N551" s="1207"/>
      <c r="O551" s="1207"/>
      <c r="P551" s="1207"/>
      <c r="AE551" s="478"/>
      <c r="AF551" s="478"/>
    </row>
    <row r="552" spans="2:32" s="55" customFormat="1" ht="11.25">
      <c r="B552" s="1207"/>
      <c r="C552" s="1216" t="s">
        <v>124</v>
      </c>
      <c r="D552" s="1207"/>
      <c r="E552" s="1207"/>
      <c r="F552" s="1207"/>
      <c r="G552" s="1207"/>
      <c r="H552" s="1207"/>
      <c r="I552" s="1207"/>
      <c r="J552" s="1207"/>
      <c r="K552" s="1207"/>
      <c r="L552" s="1211"/>
      <c r="M552" s="1207"/>
      <c r="N552" s="1207"/>
      <c r="O552" s="1207"/>
      <c r="P552" s="1207"/>
      <c r="AE552" s="478"/>
      <c r="AF552" s="478"/>
    </row>
    <row r="553" spans="2:32" s="55" customFormat="1" ht="11.25">
      <c r="B553" s="1207"/>
      <c r="C553" s="1216" t="s">
        <v>1880</v>
      </c>
      <c r="D553" s="1207"/>
      <c r="E553" s="1207"/>
      <c r="F553" s="1207"/>
      <c r="G553" s="1207"/>
      <c r="H553" s="1207"/>
      <c r="I553" s="1207"/>
      <c r="J553" s="1207"/>
      <c r="K553" s="1207"/>
      <c r="L553" s="1207"/>
      <c r="M553" s="1207"/>
      <c r="N553" s="1207"/>
      <c r="O553" s="1207"/>
      <c r="P553" s="1207"/>
      <c r="AE553" s="478"/>
      <c r="AF553" s="478"/>
    </row>
    <row r="554" spans="2:32" s="55" customFormat="1" ht="11.25">
      <c r="B554" s="1207"/>
      <c r="C554" s="1211" t="s">
        <v>947</v>
      </c>
      <c r="D554" s="1207"/>
      <c r="E554" s="1207"/>
      <c r="F554" s="1207"/>
      <c r="G554" s="1207"/>
      <c r="H554" s="1207"/>
      <c r="I554" s="1207"/>
      <c r="J554" s="1207"/>
      <c r="K554" s="1207"/>
      <c r="L554" s="1211"/>
      <c r="M554" s="1207"/>
      <c r="N554" s="1207"/>
      <c r="O554" s="1207"/>
      <c r="P554" s="1207"/>
      <c r="AE554" s="478"/>
      <c r="AF554" s="478"/>
    </row>
    <row r="555" spans="2:32" s="55" customFormat="1" ht="11.25">
      <c r="B555" s="1207"/>
      <c r="C555" s="1216" t="s">
        <v>125</v>
      </c>
      <c r="D555" s="1207"/>
      <c r="E555" s="1207"/>
      <c r="F555" s="1207"/>
      <c r="G555" s="1207"/>
      <c r="H555" s="1207"/>
      <c r="I555" s="1207"/>
      <c r="J555" s="1207"/>
      <c r="K555" s="1207"/>
      <c r="L555" s="1211"/>
      <c r="M555" s="1207"/>
      <c r="N555" s="1207"/>
      <c r="O555" s="1207"/>
      <c r="P555" s="1207"/>
      <c r="AE555" s="478"/>
      <c r="AF555" s="478"/>
    </row>
    <row r="556" spans="2:32" s="55" customFormat="1" ht="11.25">
      <c r="B556" s="1207"/>
      <c r="C556" s="1216" t="s">
        <v>126</v>
      </c>
      <c r="D556" s="1207"/>
      <c r="E556" s="1207"/>
      <c r="F556" s="1207"/>
      <c r="G556" s="1207"/>
      <c r="H556" s="1207"/>
      <c r="I556" s="1207"/>
      <c r="J556" s="1207"/>
      <c r="K556" s="1207"/>
      <c r="L556" s="1211"/>
      <c r="M556" s="1207"/>
      <c r="N556" s="1207"/>
      <c r="O556" s="1207"/>
      <c r="P556" s="1207"/>
      <c r="AE556" s="478"/>
      <c r="AF556" s="478"/>
    </row>
    <row r="557" spans="2:32" s="55" customFormat="1" ht="11.25">
      <c r="B557" s="1207"/>
      <c r="C557" s="1216" t="s">
        <v>127</v>
      </c>
      <c r="D557" s="1207"/>
      <c r="E557" s="1207"/>
      <c r="F557" s="1207"/>
      <c r="G557" s="1207"/>
      <c r="H557" s="1207"/>
      <c r="I557" s="1207"/>
      <c r="J557" s="1207"/>
      <c r="K557" s="1207"/>
      <c r="L557" s="1211"/>
      <c r="M557" s="1207"/>
      <c r="N557" s="1207"/>
      <c r="O557" s="1207"/>
      <c r="P557" s="1207"/>
      <c r="AE557" s="478"/>
      <c r="AF557" s="478"/>
    </row>
    <row r="558" spans="2:32" s="55" customFormat="1" ht="11.25">
      <c r="B558" s="1207"/>
      <c r="C558" s="1216" t="s">
        <v>2674</v>
      </c>
      <c r="D558" s="1207"/>
      <c r="E558" s="1207"/>
      <c r="F558" s="1207"/>
      <c r="G558" s="1207"/>
      <c r="H558" s="1207"/>
      <c r="I558" s="1207"/>
      <c r="J558" s="1207"/>
      <c r="K558" s="1207"/>
      <c r="L558" s="1207"/>
      <c r="M558" s="1207"/>
      <c r="N558" s="1207"/>
      <c r="O558" s="1207"/>
      <c r="P558" s="1207"/>
      <c r="AE558" s="478"/>
      <c r="AF558" s="478"/>
    </row>
    <row r="559" spans="2:32" s="55" customFormat="1" ht="11.25">
      <c r="B559" s="1207"/>
      <c r="C559" s="1211" t="s">
        <v>2010</v>
      </c>
      <c r="D559" s="1207"/>
      <c r="E559" s="1207"/>
      <c r="F559" s="1207"/>
      <c r="G559" s="1207"/>
      <c r="H559" s="1207"/>
      <c r="I559" s="1207"/>
      <c r="J559" s="1207"/>
      <c r="K559" s="1207"/>
      <c r="L559" s="1211"/>
      <c r="M559" s="1207"/>
      <c r="N559" s="1207"/>
      <c r="O559" s="1207"/>
      <c r="P559" s="1207"/>
      <c r="AE559" s="478"/>
      <c r="AF559" s="478"/>
    </row>
    <row r="560" spans="2:32" s="55" customFormat="1" ht="11.25">
      <c r="B560" s="1207"/>
      <c r="C560" s="1216" t="s">
        <v>2675</v>
      </c>
      <c r="D560" s="1207"/>
      <c r="E560" s="1207"/>
      <c r="F560" s="1207"/>
      <c r="G560" s="1207"/>
      <c r="H560" s="1207"/>
      <c r="I560" s="1207"/>
      <c r="J560" s="1207"/>
      <c r="K560" s="1207"/>
      <c r="L560" s="1211"/>
      <c r="M560" s="1207"/>
      <c r="N560" s="1207"/>
      <c r="O560" s="1207"/>
      <c r="P560" s="1207"/>
      <c r="AE560" s="478"/>
      <c r="AF560" s="478"/>
    </row>
    <row r="561" spans="2:32" s="55" customFormat="1" ht="11.25">
      <c r="B561" s="1207"/>
      <c r="C561" s="1216" t="s">
        <v>1382</v>
      </c>
      <c r="D561" s="1207"/>
      <c r="E561" s="1207"/>
      <c r="F561" s="1207"/>
      <c r="G561" s="1207"/>
      <c r="H561" s="1207"/>
      <c r="I561" s="1207"/>
      <c r="J561" s="1207"/>
      <c r="K561" s="1207"/>
      <c r="L561" s="1211"/>
      <c r="M561" s="1207"/>
      <c r="N561" s="1207"/>
      <c r="O561" s="1207"/>
      <c r="P561" s="1207"/>
      <c r="AE561" s="478"/>
      <c r="AF561" s="478"/>
    </row>
    <row r="562" spans="2:32" s="55" customFormat="1" ht="11.25">
      <c r="B562" s="1207"/>
      <c r="C562" s="1216" t="s">
        <v>1588</v>
      </c>
      <c r="D562" s="1207"/>
      <c r="E562" s="1207"/>
      <c r="F562" s="1207"/>
      <c r="G562" s="1207"/>
      <c r="H562" s="1207"/>
      <c r="I562" s="1207"/>
      <c r="J562" s="1207"/>
      <c r="K562" s="1212" t="s">
        <v>461</v>
      </c>
      <c r="L562" s="1211"/>
      <c r="M562" s="1207"/>
      <c r="N562" s="1207"/>
      <c r="O562" s="1207"/>
      <c r="P562" s="1207"/>
      <c r="AE562" s="478"/>
      <c r="AF562" s="478"/>
    </row>
    <row r="563" spans="2:32" s="55" customFormat="1" ht="11.25">
      <c r="B563" s="1207"/>
      <c r="C563" s="1216" t="s">
        <v>2676</v>
      </c>
      <c r="D563" s="1207"/>
      <c r="E563" s="1207"/>
      <c r="F563" s="1207"/>
      <c r="G563" s="1207"/>
      <c r="H563" s="1207"/>
      <c r="I563" s="1207"/>
      <c r="J563" s="1207"/>
      <c r="K563" s="1207" t="s">
        <v>1083</v>
      </c>
      <c r="L563" s="1211"/>
      <c r="M563" s="1207"/>
      <c r="N563" s="1207"/>
      <c r="O563" s="1207"/>
      <c r="P563" s="1207"/>
      <c r="AE563" s="478"/>
      <c r="AF563" s="478"/>
    </row>
    <row r="564" spans="2:32" s="55" customFormat="1" ht="11.25">
      <c r="B564" s="1207"/>
      <c r="C564" s="1216" t="s">
        <v>2677</v>
      </c>
      <c r="D564" s="1207"/>
      <c r="E564" s="1207"/>
      <c r="F564" s="1207"/>
      <c r="G564" s="1207"/>
      <c r="H564" s="1207"/>
      <c r="I564" s="1207"/>
      <c r="J564" s="1207"/>
      <c r="K564" s="1207" t="s">
        <v>3768</v>
      </c>
      <c r="L564" s="1207"/>
      <c r="M564" s="1207"/>
      <c r="N564" s="1207"/>
      <c r="O564" s="1207"/>
      <c r="P564" s="1207"/>
      <c r="AE564" s="478"/>
      <c r="AF564" s="478"/>
    </row>
    <row r="565" spans="2:32" s="55" customFormat="1" ht="11.25">
      <c r="B565" s="1207"/>
      <c r="C565" s="1211" t="s">
        <v>1204</v>
      </c>
      <c r="D565" s="1207"/>
      <c r="E565" s="1207"/>
      <c r="F565" s="1207"/>
      <c r="G565" s="1207"/>
      <c r="H565" s="1207"/>
      <c r="I565" s="1207"/>
      <c r="J565" s="1207"/>
      <c r="K565" s="1207" t="s">
        <v>2650</v>
      </c>
      <c r="L565" s="1207"/>
      <c r="M565" s="1207"/>
      <c r="N565" s="1207"/>
      <c r="O565" s="1207"/>
      <c r="P565" s="1207"/>
      <c r="AE565" s="478"/>
      <c r="AF565" s="478"/>
    </row>
    <row r="566" spans="2:32" s="55" customFormat="1" ht="11.25">
      <c r="B566" s="1207"/>
      <c r="C566" s="1207"/>
      <c r="D566" s="1207"/>
      <c r="E566" s="1207"/>
      <c r="F566" s="1207"/>
      <c r="G566" s="1207"/>
      <c r="H566" s="1207"/>
      <c r="I566" s="1207"/>
      <c r="J566" s="1207"/>
      <c r="K566" s="1207"/>
      <c r="L566" s="1207"/>
      <c r="M566" s="1207"/>
      <c r="N566" s="1207"/>
      <c r="O566" s="1207"/>
      <c r="P566" s="1207"/>
      <c r="AE566" s="478"/>
      <c r="AF566" s="478"/>
    </row>
    <row r="567" spans="2:32" s="55" customFormat="1" ht="11.25">
      <c r="B567" s="1207"/>
      <c r="C567" s="1213" t="s">
        <v>255</v>
      </c>
      <c r="D567" s="1207"/>
      <c r="E567" s="1207"/>
      <c r="F567" s="1207"/>
      <c r="G567" s="1207"/>
      <c r="H567" s="1207"/>
      <c r="I567" s="1207"/>
      <c r="J567" s="1207"/>
      <c r="K567" s="1212" t="s">
        <v>2241</v>
      </c>
      <c r="L567" s="1207"/>
      <c r="M567" s="1207"/>
      <c r="N567" s="1207"/>
      <c r="O567" s="1207"/>
      <c r="P567" s="1207"/>
      <c r="AE567" s="478"/>
      <c r="AF567" s="478"/>
    </row>
    <row r="568" spans="2:32" s="55" customFormat="1" ht="11.25">
      <c r="B568" s="1207"/>
      <c r="C568" s="1207" t="s">
        <v>1084</v>
      </c>
      <c r="D568" s="1207"/>
      <c r="E568" s="1207"/>
      <c r="F568" s="1207"/>
      <c r="G568" s="1207"/>
      <c r="H568" s="1207"/>
      <c r="I568" s="1207"/>
      <c r="J568" s="1207"/>
      <c r="K568" s="1207" t="s">
        <v>2327</v>
      </c>
      <c r="L568" s="1207"/>
      <c r="M568" s="1207"/>
      <c r="N568" s="1207"/>
      <c r="O568" s="1207"/>
      <c r="P568" s="1207"/>
      <c r="AE568" s="478"/>
      <c r="AF568" s="478"/>
    </row>
    <row r="569" spans="2:32" s="55" customFormat="1" ht="11.25">
      <c r="B569" s="1207"/>
      <c r="C569" s="1207" t="s">
        <v>170</v>
      </c>
      <c r="D569" s="1207"/>
      <c r="E569" s="1207"/>
      <c r="F569" s="1207"/>
      <c r="G569" s="1207"/>
      <c r="H569" s="1207"/>
      <c r="I569" s="1207"/>
      <c r="J569" s="1207"/>
      <c r="K569" s="2529" t="s">
        <v>4928</v>
      </c>
      <c r="L569" s="1207"/>
      <c r="M569" s="1207"/>
      <c r="N569" s="1207"/>
      <c r="O569" s="1207"/>
      <c r="P569" s="1207"/>
      <c r="AE569" s="478"/>
      <c r="AF569" s="478"/>
    </row>
    <row r="570" spans="2:32" s="55" customFormat="1" ht="11.25">
      <c r="B570" s="1207"/>
      <c r="C570" s="1207" t="s">
        <v>1526</v>
      </c>
      <c r="D570" s="1207"/>
      <c r="E570" s="1207"/>
      <c r="F570" s="1207"/>
      <c r="G570" s="1207"/>
      <c r="H570" s="1207"/>
      <c r="I570" s="1207"/>
      <c r="J570" s="1207"/>
      <c r="K570" s="1207" t="s">
        <v>3915</v>
      </c>
      <c r="L570" s="1207"/>
      <c r="M570" s="1207"/>
      <c r="N570" s="1207"/>
      <c r="O570" s="1207"/>
      <c r="P570" s="1207"/>
      <c r="AE570" s="478"/>
      <c r="AF570" s="478"/>
    </row>
    <row r="571" spans="2:32" s="55" customFormat="1" ht="11.25">
      <c r="B571" s="1207"/>
      <c r="C571" s="1207" t="s">
        <v>2118</v>
      </c>
      <c r="D571" s="1207"/>
      <c r="E571" s="1207"/>
      <c r="F571" s="1207"/>
      <c r="G571" s="1207"/>
      <c r="H571" s="1207"/>
      <c r="I571" s="1207"/>
      <c r="J571" s="1207"/>
      <c r="K571" s="1207" t="s">
        <v>4929</v>
      </c>
      <c r="L571" s="1207"/>
      <c r="M571" s="1207"/>
      <c r="N571" s="1207"/>
      <c r="O571" s="1207"/>
      <c r="P571" s="1207"/>
      <c r="AE571" s="478"/>
      <c r="AF571" s="478"/>
    </row>
    <row r="572" spans="2:32" s="55" customFormat="1" ht="11.25">
      <c r="B572" s="1207"/>
      <c r="C572" s="1207" t="s">
        <v>169</v>
      </c>
      <c r="D572" s="1207"/>
      <c r="E572" s="1207"/>
      <c r="F572" s="1207"/>
      <c r="G572" s="1207"/>
      <c r="H572" s="1207"/>
      <c r="I572" s="1207"/>
      <c r="J572" s="1207"/>
      <c r="K572" s="1207" t="s">
        <v>2728</v>
      </c>
      <c r="L572" s="1207"/>
      <c r="M572" s="1207"/>
      <c r="N572" s="1207"/>
      <c r="O572" s="1207"/>
      <c r="P572" s="1207"/>
      <c r="AE572" s="478"/>
      <c r="AF572" s="478"/>
    </row>
    <row r="573" spans="2:32" s="55" customFormat="1" ht="11.25">
      <c r="B573" s="1207"/>
      <c r="C573" s="1207"/>
      <c r="D573" s="1207"/>
      <c r="E573" s="1207"/>
      <c r="F573" s="1207"/>
      <c r="G573" s="1207"/>
      <c r="H573" s="1207"/>
      <c r="I573" s="1207"/>
      <c r="J573" s="1207"/>
      <c r="K573" s="1212" t="s">
        <v>1948</v>
      </c>
      <c r="L573" s="1207"/>
      <c r="M573" s="1207"/>
      <c r="N573" s="1207"/>
      <c r="O573" s="1207"/>
      <c r="P573" s="1207"/>
      <c r="AE573" s="478"/>
      <c r="AF573" s="478"/>
    </row>
    <row r="574" spans="2:32" s="55" customFormat="1" ht="11.25">
      <c r="B574" s="1207"/>
      <c r="C574" s="1207"/>
      <c r="D574" s="1207"/>
      <c r="E574" s="1207"/>
      <c r="F574" s="1207"/>
      <c r="G574" s="1207"/>
      <c r="H574" s="1207"/>
      <c r="I574" s="1207"/>
      <c r="J574" s="1207"/>
      <c r="K574" s="1207" t="s">
        <v>1082</v>
      </c>
      <c r="L574" s="1207"/>
      <c r="M574" s="1207"/>
      <c r="N574" s="1207"/>
      <c r="O574" s="1207"/>
      <c r="P574" s="1207"/>
      <c r="AE574" s="478"/>
      <c r="AF574" s="478"/>
    </row>
    <row r="575" spans="2:32" s="55" customFormat="1" ht="11.25">
      <c r="B575" s="1207"/>
      <c r="C575" s="1207"/>
      <c r="D575" s="1207"/>
      <c r="E575" s="1207"/>
      <c r="F575" s="1207"/>
      <c r="G575" s="1207"/>
      <c r="H575" s="1207"/>
      <c r="I575" s="1207"/>
      <c r="J575" s="1207"/>
      <c r="K575" s="1207" t="s">
        <v>1751</v>
      </c>
      <c r="L575" s="1207"/>
      <c r="M575" s="1207"/>
      <c r="N575" s="1207"/>
      <c r="O575" s="1207"/>
      <c r="P575" s="1207"/>
      <c r="AE575" s="478"/>
      <c r="AF575" s="478"/>
    </row>
    <row r="576" spans="2:32" s="55" customFormat="1" ht="11.25">
      <c r="B576" s="1207"/>
      <c r="C576" s="1207"/>
      <c r="D576" s="1207"/>
      <c r="E576" s="1207"/>
      <c r="F576" s="1207"/>
      <c r="G576" s="1207"/>
      <c r="H576" s="1207"/>
      <c r="I576" s="1207"/>
      <c r="J576" s="1207"/>
      <c r="K576" s="1207" t="s">
        <v>1133</v>
      </c>
      <c r="L576" s="1207"/>
      <c r="M576" s="1207"/>
      <c r="N576" s="1207"/>
      <c r="O576" s="1207"/>
      <c r="P576" s="1207"/>
      <c r="AE576" s="478"/>
      <c r="AF576" s="478"/>
    </row>
    <row r="577" spans="2:32" s="55" customFormat="1" ht="11.25">
      <c r="B577" s="1207"/>
      <c r="C577" s="1207"/>
      <c r="D577" s="1207"/>
      <c r="E577" s="1207"/>
      <c r="F577" s="1207"/>
      <c r="G577" s="1207"/>
      <c r="H577" s="1207"/>
      <c r="I577" s="1207"/>
      <c r="J577" s="1207"/>
      <c r="K577" s="1207" t="s">
        <v>1752</v>
      </c>
      <c r="L577" s="1207"/>
      <c r="M577" s="1207"/>
      <c r="N577" s="1207"/>
      <c r="O577" s="1207"/>
      <c r="P577" s="1207"/>
      <c r="AE577" s="478"/>
      <c r="AF577" s="478"/>
    </row>
    <row r="578" spans="2:32" s="55" customFormat="1" ht="11.25">
      <c r="B578" s="1207"/>
      <c r="C578" s="1207"/>
      <c r="D578" s="1207"/>
      <c r="E578" s="1207"/>
      <c r="F578" s="1207"/>
      <c r="G578" s="1207"/>
      <c r="H578" s="1207"/>
      <c r="I578" s="1207"/>
      <c r="J578" s="1207"/>
      <c r="K578" s="1207" t="s">
        <v>2368</v>
      </c>
      <c r="L578" s="1207"/>
      <c r="M578" s="1207"/>
      <c r="N578" s="1207"/>
      <c r="O578" s="1207"/>
      <c r="P578" s="1207"/>
      <c r="AE578" s="478"/>
      <c r="AF578" s="478"/>
    </row>
    <row r="579" spans="2:32" s="55" customFormat="1" ht="11.25">
      <c r="B579" s="1207"/>
      <c r="C579" s="1207"/>
      <c r="D579" s="1207"/>
      <c r="E579" s="1207"/>
      <c r="F579" s="1207"/>
      <c r="G579" s="1207"/>
      <c r="H579" s="1207"/>
      <c r="I579" s="1207"/>
      <c r="J579" s="1207"/>
      <c r="K579" s="1207"/>
      <c r="L579" s="1207"/>
      <c r="M579" s="1207"/>
      <c r="N579" s="1207"/>
      <c r="O579" s="1207"/>
      <c r="P579" s="1207"/>
      <c r="AE579" s="478"/>
      <c r="AF579" s="478"/>
    </row>
    <row r="580" spans="2:32" s="55" customFormat="1" ht="11.25">
      <c r="B580" s="1207"/>
      <c r="C580" s="1213" t="s">
        <v>1015</v>
      </c>
      <c r="D580" s="1207"/>
      <c r="E580" s="1207"/>
      <c r="F580" s="1207"/>
      <c r="G580" s="1207"/>
      <c r="H580" s="1207"/>
      <c r="I580" s="1207"/>
      <c r="J580" s="1207"/>
      <c r="K580" s="1207"/>
      <c r="L580" s="1207"/>
      <c r="M580" s="1213" t="s">
        <v>4981</v>
      </c>
      <c r="N580" s="1207"/>
      <c r="O580" s="1207"/>
      <c r="P580" s="1207"/>
      <c r="AE580" s="478"/>
      <c r="AF580" s="478"/>
    </row>
    <row r="581" spans="2:32" s="55" customFormat="1" ht="11.25">
      <c r="B581" s="1207"/>
      <c r="C581" s="1207" t="s">
        <v>1014</v>
      </c>
      <c r="D581" s="1207"/>
      <c r="E581" s="1207"/>
      <c r="F581" s="1207"/>
      <c r="G581" s="1207"/>
      <c r="H581" s="1207"/>
      <c r="I581" s="1207"/>
      <c r="J581" s="1207"/>
      <c r="K581" s="1207"/>
      <c r="L581" s="1207"/>
      <c r="M581" s="1207" t="s">
        <v>1014</v>
      </c>
      <c r="N581" s="1207"/>
      <c r="O581" s="1207"/>
      <c r="P581" s="1207"/>
      <c r="AE581" s="478"/>
      <c r="AF581" s="478"/>
    </row>
    <row r="582" spans="2:32" s="55" customFormat="1" ht="11.25">
      <c r="B582" s="1207"/>
      <c r="C582" s="1207" t="s">
        <v>2089</v>
      </c>
      <c r="D582" s="1207"/>
      <c r="E582" s="1207"/>
      <c r="F582" s="1207"/>
      <c r="G582" s="1207"/>
      <c r="H582" s="1207"/>
      <c r="I582" s="1207"/>
      <c r="J582" s="1207"/>
      <c r="K582" s="1207"/>
      <c r="L582" s="1207"/>
      <c r="M582" s="1207" t="s">
        <v>4978</v>
      </c>
      <c r="N582" s="1207"/>
      <c r="O582" s="1207"/>
      <c r="P582" s="1207"/>
      <c r="AE582" s="478"/>
      <c r="AF582" s="478"/>
    </row>
    <row r="583" spans="2:32" s="55" customFormat="1" ht="11.25">
      <c r="B583" s="1207"/>
      <c r="C583" s="1207" t="s">
        <v>2544</v>
      </c>
      <c r="D583" s="1207"/>
      <c r="E583" s="1207"/>
      <c r="F583" s="1207"/>
      <c r="G583" s="1207"/>
      <c r="H583" s="1207"/>
      <c r="I583" s="1207"/>
      <c r="J583" s="1207"/>
      <c r="K583" s="1207"/>
      <c r="L583" s="1207"/>
      <c r="M583" s="1207" t="s">
        <v>5015</v>
      </c>
      <c r="N583" s="1207"/>
      <c r="O583" s="1207"/>
      <c r="P583" s="1207"/>
      <c r="AE583" s="478"/>
      <c r="AF583" s="478"/>
    </row>
    <row r="584" spans="2:32" s="55" customFormat="1" ht="11.25">
      <c r="B584" s="1207"/>
      <c r="C584" s="1207" t="s">
        <v>2090</v>
      </c>
      <c r="D584" s="1207"/>
      <c r="E584" s="1207"/>
      <c r="F584" s="1207"/>
      <c r="G584" s="1207"/>
      <c r="H584" s="1207"/>
      <c r="I584" s="1207"/>
      <c r="J584" s="1207"/>
      <c r="K584" s="1207"/>
      <c r="L584" s="1207"/>
      <c r="M584" s="1207" t="s">
        <v>1654</v>
      </c>
      <c r="N584" s="1207"/>
      <c r="O584" s="1207"/>
      <c r="P584" s="1207"/>
      <c r="AE584" s="478"/>
      <c r="AF584" s="478"/>
    </row>
    <row r="585" spans="2:32" s="55" customFormat="1" ht="11.25">
      <c r="B585" s="1207"/>
      <c r="C585" s="1207" t="s">
        <v>1949</v>
      </c>
      <c r="D585" s="1207"/>
      <c r="E585" s="1207"/>
      <c r="F585" s="1207"/>
      <c r="G585" s="1207"/>
      <c r="H585" s="1207"/>
      <c r="I585" s="1207"/>
      <c r="J585" s="1207"/>
      <c r="K585" s="1207"/>
      <c r="L585" s="1207"/>
      <c r="M585" s="1207" t="s">
        <v>4979</v>
      </c>
      <c r="N585" s="1207"/>
      <c r="O585" s="1207"/>
      <c r="P585" s="1207"/>
      <c r="AE585" s="478"/>
      <c r="AF585" s="478"/>
    </row>
    <row r="586" spans="2:32" s="55" customFormat="1" ht="11.25">
      <c r="B586" s="1207"/>
      <c r="C586" s="1207" t="s">
        <v>590</v>
      </c>
      <c r="D586" s="1207"/>
      <c r="E586" s="1207"/>
      <c r="F586" s="1207"/>
      <c r="G586" s="1207"/>
      <c r="H586" s="1207"/>
      <c r="I586" s="1207"/>
      <c r="J586" s="1207"/>
      <c r="K586" s="1207"/>
      <c r="L586" s="1207"/>
      <c r="M586" s="2529" t="s">
        <v>5077</v>
      </c>
      <c r="N586" s="1207"/>
      <c r="O586" s="1207"/>
      <c r="P586" s="1207"/>
      <c r="AE586" s="478"/>
      <c r="AF586" s="478"/>
    </row>
    <row r="587" spans="2:32" s="55" customFormat="1" ht="11.25">
      <c r="B587" s="1207"/>
      <c r="C587" s="1207" t="s">
        <v>2195</v>
      </c>
      <c r="D587" s="1207"/>
      <c r="E587" s="1207"/>
      <c r="F587" s="1207"/>
      <c r="G587" s="1207"/>
      <c r="H587" s="1207"/>
      <c r="I587" s="1207"/>
      <c r="J587" s="1207"/>
      <c r="K587" s="1207"/>
      <c r="L587" s="1207"/>
      <c r="M587" s="2529" t="s">
        <v>5078</v>
      </c>
      <c r="N587" s="1207"/>
      <c r="O587" s="1207"/>
      <c r="P587" s="1207"/>
      <c r="AE587" s="478"/>
      <c r="AF587" s="478"/>
    </row>
    <row r="588" spans="2:32" s="55" customFormat="1" ht="11.25">
      <c r="B588" s="1207"/>
      <c r="C588" s="1215" t="s">
        <v>33</v>
      </c>
      <c r="D588" s="1207"/>
      <c r="E588" s="1207"/>
      <c r="F588" s="1207"/>
      <c r="G588" s="1207"/>
      <c r="H588" s="1207"/>
      <c r="I588" s="1207"/>
      <c r="J588" s="1207"/>
      <c r="K588" s="1207"/>
      <c r="L588" s="1207"/>
      <c r="M588" s="1207" t="s">
        <v>4980</v>
      </c>
      <c r="N588" s="1207"/>
      <c r="O588" s="1207"/>
      <c r="P588" s="1207"/>
      <c r="AE588" s="478"/>
      <c r="AF588" s="478"/>
    </row>
    <row r="589" spans="2:32" s="55" customFormat="1" ht="11.25">
      <c r="B589" s="1207"/>
      <c r="C589" s="1207"/>
      <c r="D589" s="1207"/>
      <c r="E589" s="1207"/>
      <c r="F589" s="1207"/>
      <c r="G589" s="1207"/>
      <c r="H589" s="1207"/>
      <c r="I589" s="1207"/>
      <c r="J589" s="1207"/>
      <c r="K589" s="1207"/>
      <c r="L589" s="1207"/>
      <c r="M589" s="2580" t="s">
        <v>2103</v>
      </c>
      <c r="N589" s="1207"/>
      <c r="O589" s="1207"/>
      <c r="P589" s="1207"/>
      <c r="AE589" s="478"/>
      <c r="AF589" s="478"/>
    </row>
    <row r="590" spans="2:32" s="55" customFormat="1" ht="11.25">
      <c r="B590" s="1207"/>
      <c r="C590" s="1207"/>
      <c r="D590" s="1207"/>
      <c r="E590" s="1207"/>
      <c r="F590" s="1207"/>
      <c r="G590" s="1207"/>
      <c r="H590" s="1207"/>
      <c r="I590" s="1207"/>
      <c r="J590" s="1207"/>
      <c r="K590" s="1207"/>
      <c r="L590" s="1207"/>
      <c r="M590" s="1207"/>
      <c r="N590" s="1207"/>
      <c r="O590" s="1207"/>
      <c r="P590" s="1207"/>
      <c r="AE590" s="478"/>
      <c r="AF590" s="478"/>
    </row>
    <row r="591" spans="2:32" s="55" customFormat="1" ht="11.25">
      <c r="B591" s="1207"/>
      <c r="C591" s="1207"/>
      <c r="D591" s="1207"/>
      <c r="E591" s="1207"/>
      <c r="F591" s="1207"/>
      <c r="G591" s="1207"/>
      <c r="H591" s="1207"/>
      <c r="I591" s="1207"/>
      <c r="J591" s="1207"/>
      <c r="K591" s="1207"/>
      <c r="L591" s="1207"/>
      <c r="M591" s="1207"/>
      <c r="N591" s="1207"/>
      <c r="O591" s="1207"/>
      <c r="P591" s="1207"/>
      <c r="AE591" s="478"/>
      <c r="AF591" s="478"/>
    </row>
    <row r="592" spans="2:32" s="55" customFormat="1" ht="11.25">
      <c r="B592" s="1207"/>
      <c r="C592" s="1207"/>
      <c r="D592" s="1207"/>
      <c r="E592" s="1207"/>
      <c r="F592" s="1207"/>
      <c r="G592" s="1207"/>
      <c r="H592" s="1207"/>
      <c r="I592" s="1207"/>
      <c r="J592" s="1207"/>
      <c r="K592" s="1207"/>
      <c r="L592" s="1207"/>
      <c r="M592" s="1207"/>
      <c r="N592" s="1207"/>
      <c r="O592" s="1207"/>
      <c r="P592" s="1207"/>
      <c r="AE592" s="478"/>
      <c r="AF592" s="478"/>
    </row>
    <row r="593" spans="1:32" s="55" customFormat="1" ht="11.25">
      <c r="B593" s="1207"/>
      <c r="C593" s="1207"/>
      <c r="D593" s="1207"/>
      <c r="E593" s="1207"/>
      <c r="F593" s="1207"/>
      <c r="G593" s="1207"/>
      <c r="H593" s="1207"/>
      <c r="I593" s="1207"/>
      <c r="J593" s="1207"/>
      <c r="K593" s="1207"/>
      <c r="L593" s="1207"/>
      <c r="M593" s="1207"/>
      <c r="N593" s="1207"/>
      <c r="O593" s="1207"/>
      <c r="P593" s="1207"/>
      <c r="AE593" s="478"/>
      <c r="AF593" s="478"/>
    </row>
    <row r="594" spans="1:32" s="55" customFormat="1" ht="11.25">
      <c r="B594" s="1207"/>
      <c r="C594" s="1207"/>
      <c r="D594" s="1207"/>
      <c r="E594" s="1207"/>
      <c r="F594" s="1207"/>
      <c r="G594" s="1207"/>
      <c r="H594" s="1207"/>
      <c r="I594" s="1207"/>
      <c r="J594" s="1207"/>
      <c r="K594" s="1207"/>
      <c r="L594" s="1207"/>
      <c r="M594" s="1207"/>
      <c r="N594" s="1207"/>
      <c r="O594" s="1207"/>
      <c r="P594" s="1207"/>
      <c r="AE594" s="478"/>
      <c r="AF594" s="478"/>
    </row>
    <row r="595" spans="1:32" s="55" customFormat="1" ht="11.25">
      <c r="B595" s="1207"/>
      <c r="C595" s="1207"/>
      <c r="D595" s="1207"/>
      <c r="E595" s="1207"/>
      <c r="F595" s="1207"/>
      <c r="G595" s="1207"/>
      <c r="H595" s="1207"/>
      <c r="I595" s="1207"/>
      <c r="J595" s="1207"/>
      <c r="K595" s="1207"/>
      <c r="L595" s="1207"/>
      <c r="M595" s="1207"/>
      <c r="N595" s="1207"/>
      <c r="O595" s="1207"/>
      <c r="P595" s="1207"/>
      <c r="AE595" s="478"/>
      <c r="AF595" s="478"/>
    </row>
    <row r="596" spans="1:32" s="55" customFormat="1" ht="11.25">
      <c r="B596" s="1207"/>
      <c r="C596" s="1207"/>
      <c r="D596" s="1207"/>
      <c r="E596" s="1207"/>
      <c r="F596" s="1207"/>
      <c r="G596" s="1207"/>
      <c r="H596" s="1207"/>
      <c r="I596" s="1207"/>
      <c r="J596" s="1207"/>
      <c r="K596" s="1207"/>
      <c r="L596" s="1207"/>
      <c r="M596" s="1207"/>
      <c r="N596" s="1207"/>
      <c r="O596" s="1207"/>
      <c r="P596" s="1207"/>
      <c r="AE596" s="478"/>
      <c r="AF596" s="478"/>
    </row>
    <row r="597" spans="1:32" s="55" customFormat="1" ht="11.25">
      <c r="B597" s="1207"/>
      <c r="C597" s="1207"/>
      <c r="D597" s="1214" t="s">
        <v>2037</v>
      </c>
      <c r="E597" s="1207"/>
      <c r="F597" s="1207"/>
      <c r="G597" s="1207"/>
      <c r="H597" s="1207"/>
      <c r="I597" s="1207"/>
      <c r="J597" s="1207"/>
      <c r="K597" s="1207"/>
      <c r="L597" s="1207"/>
      <c r="M597" s="1207"/>
      <c r="N597" s="1207"/>
      <c r="O597" s="1207"/>
      <c r="P597" s="1207"/>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9HxT7Nsqsen2HdbFdhgir91BRlhLAKXvH1Dl7EjmheDvBvFssiBQsKO4BPxw77HICjmTdjbnQ05S0nUIKw3rEg==" saltValue="OVTLeTbTIZuaS484tyjIlw==" spinCount="100000" sheet="1" formatRows="0"/>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formula1>"&lt;&lt;Select&gt;&gt;, Substantial Gut Rehab, Historic Preservation, Pre-Application Waiver"</formula1>
    </dataValidation>
    <dataValidation type="list" allowBlank="1" showInputMessage="1" showErrorMessage="1" sqref="P241">
      <formula1>"Agree, Disagree, N/A"</formula1>
    </dataValidation>
    <dataValidation type="list" allowBlank="1" showInputMessage="1" showErrorMessage="1" sqref="P192:P193">
      <formula1>"Yes, No, N/Ap"</formula1>
    </dataValidation>
    <dataValidation type="list" allowBlank="1" showInputMessage="1" showErrorMessage="1" sqref="P6:Q6">
      <formula1>"PASS, FAIL, W/DRWN"</formula1>
    </dataValidation>
    <dataValidation type="list" allowBlank="1" showInputMessage="1" showErrorMessage="1" sqref="N167:O167">
      <formula1>"&lt;&lt;Select&gt;&gt;, Warranty Deed, Purchase Contract, Ground lease/Option, RFP Selection, Other (see comments)"</formula1>
    </dataValidation>
    <dataValidation type="list" allowBlank="1" showInputMessage="1" showErrorMessage="1" sqref="P167:Q167">
      <formula1>"&lt;&lt;Select&gt;&gt;, Warranty Deed, Contract/Option, Ground lease, No site control, Other (see comments)"</formula1>
    </dataValidation>
    <dataValidation type="list" allowBlank="1" showInputMessage="1" showErrorMessage="1" sqref="Q229:Q232 P353:Q353">
      <formula1>"Yes, No, N/A"</formula1>
    </dataValidation>
    <dataValidation type="list" allowBlank="1" showInputMessage="1" showErrorMessage="1" sqref="K223">
      <formula1>"&lt;&lt;Select&gt;&gt;, Gazebo, Covered Porch, Other - explain:"</formula1>
    </dataValidation>
    <dataValidation type="list" allowBlank="1" showInputMessage="1" showErrorMessage="1" sqref="K222">
      <formula1>"&lt;&lt;Select&gt;&gt;, Room, Building"</formula1>
    </dataValidation>
    <dataValidation type="list" allowBlank="1" showInputMessage="1" showErrorMessage="1" sqref="G329:N329">
      <formula1>$K$568:$K$572</formula1>
    </dataValidation>
    <dataValidation type="list" allowBlank="1" showInputMessage="1" showErrorMessage="1" sqref="G330:N330">
      <formula1>$K$563:$K$565</formula1>
    </dataValidation>
    <dataValidation type="list" allowBlank="1" showInputMessage="1" showErrorMessage="1" sqref="N158:Q158">
      <formula1>"&lt;&lt;Select&gt;&gt;, Minority concentration, Racially mixed, Non-minority"</formula1>
    </dataValidation>
    <dataValidation type="list" allowBlank="1" showInputMessage="1" showErrorMessage="1" sqref="P221:Q221 P446:Q455 Q222:Q225 P472:Q472 P87 P226:Q226 P233:Q233 Q241 P79:Q79 P82:P85 P289:Q291 P465:Q465 P264:Q266">
      <formula1>"Agree, Disagree"</formula1>
    </dataValidation>
    <dataValidation type="list" allowBlank="1" showInputMessage="1" showErrorMessage="1" sqref="P478 P399 P409 P420 P351 P323 P36 P288 P298 P249 P219 P209 P485 P77 P92 P107 P127 P165 P174 P184 P73 P29 P444 P340 P360 P276 P376 P461 P201">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dataValidation type="list" allowBlank="1" showInputMessage="1" showErrorMessage="1" sqref="H498:I498">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formula1>"Yes, No"</formula1>
    </dataValidation>
    <dataValidation type="list" allowBlank="1" showInputMessage="1" showErrorMessage="1" sqref="O345:Q346">
      <formula1>$O$501:$O$510</formula1>
    </dataValidation>
    <dataValidation type="list" allowBlank="1" showInputMessage="1" showErrorMessage="1" sqref="P176:P178">
      <formula1>"Yes, No,N/Av,N/Ap"</formula1>
    </dataValidation>
    <dataValidation type="list" allowBlank="1" showInputMessage="1" showErrorMessage="1" sqref="P462:Q463 P468:Q469 Q487">
      <formula1>"Yes, No, N/a"</formula1>
    </dataValidation>
    <dataValidation type="list" allowBlank="1" showInputMessage="1" showErrorMessage="1" sqref="G436">
      <formula1>"&lt;&lt; Select &gt;&gt;, Non-profit, Advocacy group, Non-profit advocacy group, Relocation specialist, Local Government, Other (explain in box at right--&gt;)"</formula1>
    </dataValidation>
    <dataValidation type="list" allowBlank="1" showInputMessage="1" showErrorMessage="1" sqref="P434:Q434">
      <formula1>"&lt;&lt;Select&gt;&gt;, Applicant, Third-party"</formula1>
    </dataValidation>
    <dataValidation type="list" allowBlank="1" showInputMessage="1" showErrorMessage="1" sqref="K291:N292">
      <formula1>$J$524:$J$530</formula1>
    </dataValidation>
    <dataValidation type="list" allowBlank="1" showInputMessage="1" showErrorMessage="1" sqref="I268:K268">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formula1>"&lt;&lt;Select&gt;&gt;, N/A - no NC involved, Yes - W&amp;D hookups installed in each unit"</formula1>
    </dataValidation>
    <dataValidation type="list" allowBlank="1" showInputMessage="1" showErrorMessage="1" sqref="K225:N225">
      <formula1>"&lt;&lt;Select&gt;&gt;, On-site laundry, W&amp;D installed in each unit, Both options"</formula1>
    </dataValidation>
    <dataValidation type="list" allowBlank="1" showInputMessage="1" showErrorMessage="1" sqref="P487">
      <formula1>"Yes"</formula1>
    </dataValidation>
    <dataValidation type="list" allowBlank="1" showInputMessage="1" showErrorMessage="1" sqref="C229:G232">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A585"/>
  <sheetViews>
    <sheetView showGridLines="0" zoomScaleNormal="100" workbookViewId="0">
      <selection activeCell="O8" sqref="O8"/>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6" customWidth="1"/>
    <col min="15" max="16" width="5.85546875" style="1502" customWidth="1"/>
    <col min="17" max="17" width="6" style="27" customWidth="1"/>
    <col min="18" max="21" width="9.140625" style="27" customWidth="1"/>
    <col min="22" max="22" width="8.85546875" style="27" customWidth="1"/>
    <col min="23" max="16384" width="9.140625" style="27"/>
  </cols>
  <sheetData>
    <row r="1" spans="1:22" s="35" customFormat="1" ht="14.1" customHeight="1">
      <c r="A1" s="3290" t="str">
        <f>CONCATENATE("PART NINE - SCORING CRITERIA","  -  ",'Part I-Project Information'!$O$6," ",'Part I-Project Information'!$F$34,", ",'Part I-Project Information'!F38,", ",'Part I-Project Information'!J39," County")</f>
        <v>PART NINE - SCORING CRITERIA  -  2019-5 Stone Terrace Phase II, Stonecrest, DeKalb County</v>
      </c>
      <c r="B1" s="3291"/>
      <c r="C1" s="3291"/>
      <c r="D1" s="3291"/>
      <c r="E1" s="3291"/>
      <c r="F1" s="3291"/>
      <c r="G1" s="3291"/>
      <c r="H1" s="3291"/>
      <c r="I1" s="3291"/>
      <c r="J1" s="3291"/>
      <c r="K1" s="3291"/>
      <c r="L1" s="3291"/>
      <c r="M1" s="3291"/>
      <c r="N1" s="3291"/>
      <c r="O1" s="3291"/>
      <c r="P1" s="3292"/>
      <c r="Q1" s="2575"/>
      <c r="R1" s="2575"/>
      <c r="S1" s="2575"/>
    </row>
    <row r="2" spans="1:22" s="35" customFormat="1" ht="4.3499999999999996" customHeight="1">
      <c r="A2" s="36"/>
      <c r="B2" s="36"/>
      <c r="C2" s="37"/>
      <c r="D2" s="36"/>
      <c r="E2" s="36"/>
      <c r="F2" s="36"/>
      <c r="G2" s="36"/>
      <c r="H2" s="36"/>
      <c r="I2" s="36"/>
      <c r="J2" s="36"/>
      <c r="K2" s="36"/>
      <c r="L2" s="36"/>
      <c r="M2" s="38"/>
      <c r="N2" s="73"/>
      <c r="O2" s="1503"/>
      <c r="P2" s="1503"/>
      <c r="Q2" s="2575"/>
      <c r="R2" s="2575"/>
      <c r="S2" s="2575"/>
    </row>
    <row r="3" spans="1:22" s="42" customFormat="1" ht="12" customHeight="1">
      <c r="A3" s="4030" t="s">
        <v>4948</v>
      </c>
      <c r="B3" s="4030"/>
      <c r="C3" s="4030"/>
      <c r="D3" s="4030"/>
      <c r="E3" s="4030"/>
      <c r="F3" s="4030"/>
      <c r="G3" s="4030"/>
      <c r="H3" s="4030"/>
      <c r="I3" s="4030"/>
      <c r="J3" s="4030"/>
      <c r="K3" s="4030"/>
      <c r="L3" s="4030"/>
      <c r="M3" s="1435" t="s">
        <v>2219</v>
      </c>
      <c r="N3" s="74"/>
      <c r="O3" s="85" t="s">
        <v>2218</v>
      </c>
      <c r="P3" s="1436" t="s">
        <v>256</v>
      </c>
      <c r="Q3" s="2575"/>
      <c r="R3" s="2575"/>
      <c r="S3" s="2575"/>
    </row>
    <row r="4" spans="1:22" s="44" customFormat="1" ht="12" customHeight="1">
      <c r="A4" s="4030"/>
      <c r="B4" s="4030"/>
      <c r="C4" s="4030"/>
      <c r="D4" s="4030"/>
      <c r="E4" s="4030"/>
      <c r="F4" s="4030"/>
      <c r="G4" s="4030"/>
      <c r="H4" s="4030"/>
      <c r="I4" s="4030"/>
      <c r="J4" s="4030"/>
      <c r="K4" s="4030"/>
      <c r="L4" s="4030"/>
      <c r="M4" s="1437" t="s">
        <v>93</v>
      </c>
      <c r="N4" s="86"/>
      <c r="O4" s="193" t="s">
        <v>2219</v>
      </c>
      <c r="P4" s="193" t="s">
        <v>2219</v>
      </c>
      <c r="Q4" s="2575"/>
      <c r="R4" s="2575"/>
      <c r="S4" s="2575"/>
      <c r="T4" s="42"/>
      <c r="U4" s="42"/>
      <c r="V4" s="42"/>
    </row>
    <row r="5" spans="1:22" s="44" customFormat="1" ht="3" customHeight="1" thickBot="1">
      <c r="A5" s="42"/>
      <c r="B5" s="42"/>
      <c r="C5" s="42"/>
      <c r="D5" s="42"/>
      <c r="E5" s="42"/>
      <c r="F5" s="42"/>
      <c r="G5" s="42"/>
      <c r="H5" s="42"/>
      <c r="I5" s="42"/>
      <c r="J5" s="42"/>
      <c r="K5" s="42"/>
      <c r="M5" s="93"/>
      <c r="N5" s="10"/>
      <c r="O5" s="1011"/>
      <c r="P5" s="30"/>
      <c r="Q5" s="2575"/>
      <c r="R5" s="2575"/>
      <c r="S5" s="2575"/>
    </row>
    <row r="6" spans="1:22" s="44" customFormat="1" ht="12.75" customHeight="1" thickTop="1" thickBot="1">
      <c r="A6" s="42"/>
      <c r="B6" s="4019" t="str">
        <f>'Part I-Project Information'!$B$6</f>
        <v>May 2019 Final</v>
      </c>
      <c r="C6" s="4019"/>
      <c r="D6" s="4019"/>
      <c r="E6" s="4019"/>
      <c r="F6" s="4019"/>
      <c r="G6" s="533"/>
      <c r="H6" s="42"/>
      <c r="I6" s="42"/>
      <c r="J6" s="42"/>
      <c r="L6" s="70" t="s">
        <v>1226</v>
      </c>
      <c r="M6" s="298">
        <f>M448</f>
        <v>92</v>
      </c>
      <c r="N6" s="9"/>
      <c r="O6" s="1405">
        <f>O448</f>
        <v>20</v>
      </c>
      <c r="P6" s="1405">
        <f>P448</f>
        <v>20</v>
      </c>
      <c r="Q6" s="2575"/>
      <c r="R6" s="2575"/>
      <c r="S6" s="2575"/>
    </row>
    <row r="7" spans="1:22" s="43" customFormat="1" ht="3.6" customHeight="1" thickTop="1" thickBot="1">
      <c r="A7" s="42"/>
      <c r="B7" s="64"/>
      <c r="C7" s="36"/>
      <c r="D7" s="48"/>
      <c r="E7" s="48"/>
      <c r="F7" s="53"/>
      <c r="G7" s="48"/>
      <c r="H7" s="48"/>
      <c r="I7" s="48"/>
      <c r="J7" s="48"/>
      <c r="K7" s="48"/>
      <c r="L7" s="42"/>
      <c r="M7" s="46"/>
      <c r="N7" s="62"/>
      <c r="O7" s="3"/>
      <c r="P7" s="1011"/>
      <c r="R7" s="42"/>
      <c r="S7" s="42"/>
    </row>
    <row r="8" spans="1:22" s="42" customFormat="1" ht="12" customHeight="1" thickBot="1">
      <c r="A8" s="2463" t="s">
        <v>4813</v>
      </c>
      <c r="D8" s="52"/>
      <c r="E8" s="52"/>
      <c r="F8" s="52"/>
      <c r="G8" s="67"/>
      <c r="H8" s="192" t="s">
        <v>4911</v>
      </c>
      <c r="I8" s="67"/>
      <c r="J8" s="67"/>
      <c r="K8" s="67"/>
      <c r="L8" s="67"/>
      <c r="M8" s="2451" t="s">
        <v>4910</v>
      </c>
      <c r="N8" s="67"/>
      <c r="O8" s="2450"/>
      <c r="P8" s="2447">
        <f>IF(P10&lt;2,0,IF(AND(P10&gt;1,P10&lt;5),1,IF(P10&gt;4,P10-3)))</f>
        <v>0</v>
      </c>
      <c r="Q8" s="36" t="s">
        <v>4912</v>
      </c>
      <c r="R8" s="511"/>
      <c r="S8" s="162"/>
    </row>
    <row r="9" spans="1:22" s="43" customFormat="1" ht="3.6" customHeight="1">
      <c r="A9" s="42"/>
      <c r="B9" s="64"/>
      <c r="C9" s="36"/>
      <c r="D9" s="48"/>
      <c r="E9" s="48"/>
      <c r="F9" s="53"/>
      <c r="G9" s="48"/>
      <c r="H9" s="48"/>
      <c r="I9" s="48"/>
      <c r="J9" s="48"/>
      <c r="K9" s="48"/>
      <c r="L9" s="42"/>
      <c r="M9" s="46"/>
      <c r="N9" s="62"/>
      <c r="O9" s="3"/>
      <c r="P9" s="1011"/>
      <c r="R9" s="42"/>
      <c r="S9" s="42"/>
    </row>
    <row r="10" spans="1:22" s="42" customFormat="1" ht="10.5" customHeight="1">
      <c r="A10" s="2516" t="s">
        <v>4149</v>
      </c>
      <c r="B10" s="2516" t="s">
        <v>4150</v>
      </c>
      <c r="C10" s="1474"/>
      <c r="D10" s="1474"/>
      <c r="E10" s="1118" t="s">
        <v>4177</v>
      </c>
      <c r="F10" s="4055" t="s">
        <v>4176</v>
      </c>
      <c r="G10" s="4055"/>
      <c r="H10" s="4055"/>
      <c r="I10" s="4055"/>
      <c r="J10" s="4055"/>
      <c r="K10" s="4055"/>
      <c r="L10" s="4055"/>
      <c r="M10" s="4055"/>
      <c r="N10" s="4055"/>
      <c r="O10" s="2517" t="s">
        <v>4811</v>
      </c>
      <c r="P10" s="2518">
        <f>SUM(P11:P20)</f>
        <v>0</v>
      </c>
      <c r="Q10" s="4094" t="s">
        <v>5025</v>
      </c>
      <c r="R10" s="4094"/>
      <c r="S10" s="4094"/>
      <c r="T10" s="4094"/>
      <c r="U10" s="4094"/>
      <c r="V10" s="4094"/>
    </row>
    <row r="11" spans="1:22" s="42" customFormat="1" ht="11.25" customHeight="1">
      <c r="A11" s="1457" t="s">
        <v>742</v>
      </c>
      <c r="B11" s="1458" t="s">
        <v>4151</v>
      </c>
      <c r="C11" s="1459"/>
      <c r="D11" s="1460"/>
      <c r="E11" s="2507">
        <f>$O$61</f>
        <v>0</v>
      </c>
      <c r="F11" s="4056">
        <f>$A$67</f>
        <v>0</v>
      </c>
      <c r="G11" s="4057"/>
      <c r="H11" s="4057"/>
      <c r="I11" s="4057"/>
      <c r="J11" s="4057"/>
      <c r="K11" s="4057"/>
      <c r="L11" s="4057"/>
      <c r="M11" s="4057"/>
      <c r="N11" s="4057"/>
      <c r="O11" s="4057"/>
      <c r="P11" s="2537"/>
      <c r="Q11" s="4094"/>
      <c r="R11" s="4094"/>
      <c r="S11" s="4094"/>
      <c r="T11" s="4094"/>
      <c r="U11" s="4094"/>
      <c r="V11" s="4094"/>
    </row>
    <row r="12" spans="1:22" s="42" customFormat="1" ht="11.25" customHeight="1">
      <c r="A12" s="1461" t="s">
        <v>530</v>
      </c>
      <c r="B12" s="1119" t="s">
        <v>4153</v>
      </c>
      <c r="C12" s="1324"/>
      <c r="D12" s="1462"/>
      <c r="E12" s="2508">
        <f>$O$153</f>
        <v>0</v>
      </c>
      <c r="F12" s="4016">
        <f>$A$185</f>
        <v>0</v>
      </c>
      <c r="G12" s="4017"/>
      <c r="H12" s="4017"/>
      <c r="I12" s="4017"/>
      <c r="J12" s="4017"/>
      <c r="K12" s="4017"/>
      <c r="L12" s="4017"/>
      <c r="M12" s="4017"/>
      <c r="N12" s="4017"/>
      <c r="O12" s="4018"/>
      <c r="P12" s="2538"/>
      <c r="Q12" s="4105" t="str">
        <f>IF(OR($A$67="",$A$302="",$A$185="",$A$224="",$A$273="",$A$325="",$A$365="",$A$380="",$A$416="",$A$436=""),"Some Applicant Scoring Justification boxes are empty! Check to see if points claimed.","")</f>
        <v>Some Applicant Scoring Justification boxes are empty! Check to see if points claimed.</v>
      </c>
      <c r="R12" s="4106"/>
      <c r="S12" s="4106"/>
    </row>
    <row r="13" spans="1:22" s="42" customFormat="1" ht="11.25" customHeight="1">
      <c r="A13" s="1461" t="s">
        <v>772</v>
      </c>
      <c r="B13" s="1119" t="s">
        <v>4154</v>
      </c>
      <c r="C13" s="1324"/>
      <c r="D13" s="1462"/>
      <c r="E13" s="2509">
        <f>$O$189</f>
        <v>0</v>
      </c>
      <c r="F13" s="4016">
        <f>$A$224</f>
        <v>0</v>
      </c>
      <c r="G13" s="4017"/>
      <c r="H13" s="4017"/>
      <c r="I13" s="4017"/>
      <c r="J13" s="4017"/>
      <c r="K13" s="4017"/>
      <c r="L13" s="4017"/>
      <c r="M13" s="4017"/>
      <c r="N13" s="4017"/>
      <c r="O13" s="4018"/>
      <c r="P13" s="2538"/>
      <c r="Q13" s="4105"/>
      <c r="R13" s="4106"/>
      <c r="S13" s="4106"/>
    </row>
    <row r="14" spans="1:22" s="42" customFormat="1" ht="11.25" customHeight="1">
      <c r="A14" s="1467" t="s">
        <v>292</v>
      </c>
      <c r="B14" s="1468" t="s">
        <v>4155</v>
      </c>
      <c r="C14" s="1469"/>
      <c r="D14" s="1470"/>
      <c r="E14" s="2510" t="s">
        <v>1733</v>
      </c>
      <c r="F14" s="4058">
        <f>$A$273</f>
        <v>0</v>
      </c>
      <c r="G14" s="4059"/>
      <c r="H14" s="4059"/>
      <c r="I14" s="4059"/>
      <c r="J14" s="4059"/>
      <c r="K14" s="4059"/>
      <c r="L14" s="4059"/>
      <c r="M14" s="4059"/>
      <c r="N14" s="4059"/>
      <c r="O14" s="4060"/>
      <c r="P14" s="2538"/>
      <c r="Q14" s="4105"/>
      <c r="R14" s="4106"/>
      <c r="S14" s="4106"/>
    </row>
    <row r="15" spans="1:22" s="42" customFormat="1" ht="11.25" customHeight="1">
      <c r="A15" s="1461" t="s">
        <v>362</v>
      </c>
      <c r="B15" s="1119" t="s">
        <v>3792</v>
      </c>
      <c r="C15" s="1324"/>
      <c r="D15" s="1462"/>
      <c r="E15" s="2508">
        <f>$O$298</f>
        <v>0</v>
      </c>
      <c r="F15" s="4016">
        <f>$A$302</f>
        <v>0</v>
      </c>
      <c r="G15" s="4017"/>
      <c r="H15" s="4017"/>
      <c r="I15" s="4017"/>
      <c r="J15" s="4017"/>
      <c r="K15" s="4017"/>
      <c r="L15" s="4017"/>
      <c r="M15" s="4017"/>
      <c r="N15" s="4017"/>
      <c r="O15" s="4018"/>
      <c r="P15" s="2538"/>
      <c r="Q15" s="4105"/>
      <c r="R15" s="4106"/>
      <c r="S15" s="4106"/>
    </row>
    <row r="16" spans="1:22" s="42" customFormat="1" ht="11.25" customHeight="1">
      <c r="A16" s="1461" t="s">
        <v>4904</v>
      </c>
      <c r="B16" s="1119" t="s">
        <v>4461</v>
      </c>
      <c r="C16" s="1324"/>
      <c r="D16" s="1462"/>
      <c r="E16" s="2510">
        <f>$O$306</f>
        <v>0</v>
      </c>
      <c r="F16" s="4016">
        <f>$A$325</f>
        <v>0</v>
      </c>
      <c r="G16" s="4017"/>
      <c r="H16" s="4017"/>
      <c r="I16" s="4017"/>
      <c r="J16" s="4017"/>
      <c r="K16" s="4017"/>
      <c r="L16" s="4017"/>
      <c r="M16" s="4017"/>
      <c r="N16" s="4017"/>
      <c r="O16" s="4018"/>
      <c r="P16" s="2538"/>
      <c r="Q16" s="4105"/>
      <c r="R16" s="4106"/>
      <c r="S16" s="4106"/>
    </row>
    <row r="17" spans="1:19" s="42" customFormat="1" ht="11.25" customHeight="1">
      <c r="A17" s="1461" t="s">
        <v>2782</v>
      </c>
      <c r="B17" s="1119" t="s">
        <v>4156</v>
      </c>
      <c r="C17" s="1324"/>
      <c r="D17" s="1462"/>
      <c r="E17" s="2510">
        <f>$O$359</f>
        <v>0</v>
      </c>
      <c r="F17" s="4013">
        <f>$A$365</f>
        <v>0</v>
      </c>
      <c r="G17" s="4014"/>
      <c r="H17" s="4014"/>
      <c r="I17" s="4014"/>
      <c r="J17" s="4014"/>
      <c r="K17" s="4014"/>
      <c r="L17" s="4014"/>
      <c r="M17" s="4014"/>
      <c r="N17" s="4014"/>
      <c r="O17" s="4015"/>
      <c r="P17" s="2538"/>
      <c r="Q17" s="4105"/>
      <c r="R17" s="4106"/>
      <c r="S17" s="4106"/>
    </row>
    <row r="18" spans="1:19" s="42" customFormat="1" ht="11.25" customHeight="1">
      <c r="A18" s="1467" t="s">
        <v>2251</v>
      </c>
      <c r="B18" s="1468" t="s">
        <v>4157</v>
      </c>
      <c r="C18" s="1469"/>
      <c r="D18" s="1470"/>
      <c r="E18" s="2511">
        <f>O369</f>
        <v>0</v>
      </c>
      <c r="F18" s="4016">
        <f>$A$380</f>
        <v>0</v>
      </c>
      <c r="G18" s="4017"/>
      <c r="H18" s="4017"/>
      <c r="I18" s="4017"/>
      <c r="J18" s="4017"/>
      <c r="K18" s="4017"/>
      <c r="L18" s="4017"/>
      <c r="M18" s="4017"/>
      <c r="N18" s="4017"/>
      <c r="O18" s="4018"/>
      <c r="P18" s="2538"/>
      <c r="Q18" s="4105"/>
      <c r="R18" s="4106"/>
      <c r="S18" s="4106"/>
    </row>
    <row r="19" spans="1:19" s="42" customFormat="1" ht="11.25" customHeight="1">
      <c r="A19" s="1461" t="s">
        <v>4104</v>
      </c>
      <c r="B19" s="1119" t="s">
        <v>4158</v>
      </c>
      <c r="C19" s="1324"/>
      <c r="D19" s="1462"/>
      <c r="E19" s="2508">
        <f>$O$384</f>
        <v>0</v>
      </c>
      <c r="F19" s="4016">
        <f>$A$416</f>
        <v>0</v>
      </c>
      <c r="G19" s="4017"/>
      <c r="H19" s="4017"/>
      <c r="I19" s="4017"/>
      <c r="J19" s="4017"/>
      <c r="K19" s="4017"/>
      <c r="L19" s="4017"/>
      <c r="M19" s="4017"/>
      <c r="N19" s="4017"/>
      <c r="O19" s="4018"/>
      <c r="P19" s="2538"/>
      <c r="Q19" s="4105"/>
      <c r="R19" s="4106"/>
      <c r="S19" s="4106"/>
    </row>
    <row r="20" spans="1:19" s="42" customFormat="1" ht="11.25" customHeight="1">
      <c r="A20" s="1463" t="s">
        <v>4105</v>
      </c>
      <c r="B20" s="1464" t="s">
        <v>4160</v>
      </c>
      <c r="C20" s="1465"/>
      <c r="D20" s="1466"/>
      <c r="E20" s="2512">
        <f>$O$420</f>
        <v>0</v>
      </c>
      <c r="F20" s="4052">
        <f>$A$436</f>
        <v>0</v>
      </c>
      <c r="G20" s="4053"/>
      <c r="H20" s="4053"/>
      <c r="I20" s="4053"/>
      <c r="J20" s="4053"/>
      <c r="K20" s="4053"/>
      <c r="L20" s="4053"/>
      <c r="M20" s="4053"/>
      <c r="N20" s="4053"/>
      <c r="O20" s="4054"/>
      <c r="P20" s="2539"/>
      <c r="Q20" s="4105"/>
      <c r="R20" s="4106"/>
      <c r="S20" s="4106"/>
    </row>
    <row r="21" spans="1:19" s="43" customFormat="1" ht="3.6" customHeight="1" thickBot="1">
      <c r="A21" s="42"/>
      <c r="B21" s="64"/>
      <c r="C21" s="36"/>
      <c r="D21" s="48"/>
      <c r="E21" s="48"/>
      <c r="F21" s="53"/>
      <c r="G21" s="48"/>
      <c r="H21" s="48"/>
      <c r="I21" s="48"/>
      <c r="J21" s="48"/>
      <c r="K21" s="48"/>
      <c r="L21" s="42"/>
      <c r="M21" s="46"/>
      <c r="N21" s="62"/>
      <c r="O21" s="3"/>
      <c r="P21" s="1011"/>
      <c r="R21" s="42"/>
      <c r="S21" s="42"/>
    </row>
    <row r="22" spans="1:19" s="42" customFormat="1" ht="12.6" customHeight="1" thickBot="1">
      <c r="A22" s="157" t="s">
        <v>616</v>
      </c>
      <c r="B22" s="109" t="s">
        <v>2784</v>
      </c>
      <c r="C22" s="4"/>
      <c r="D22" s="4"/>
      <c r="E22" s="4"/>
      <c r="F22" s="1508"/>
      <c r="H22" s="192" t="s">
        <v>4909</v>
      </c>
      <c r="M22" s="1503">
        <v>10</v>
      </c>
      <c r="N22" s="110"/>
      <c r="O22" s="1329">
        <f>MIN($M22, $M22-O25-O26-O27-O30)</f>
        <v>10</v>
      </c>
      <c r="P22" s="1329">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11"/>
      <c r="R23" s="42"/>
      <c r="S23" s="42"/>
    </row>
    <row r="24" spans="1:19" s="42" customFormat="1" ht="11.25" customHeight="1">
      <c r="A24" s="198" t="s">
        <v>1983</v>
      </c>
      <c r="B24" s="184" t="s">
        <v>4806</v>
      </c>
      <c r="D24" s="48"/>
      <c r="E24" s="48"/>
      <c r="F24" s="1508"/>
      <c r="M24" s="6"/>
      <c r="N24" s="65" t="s">
        <v>1983</v>
      </c>
    </row>
    <row r="25" spans="1:19" s="43" customFormat="1" ht="11.25" customHeight="1">
      <c r="A25" s="198"/>
      <c r="B25" s="2454" t="s">
        <v>1986</v>
      </c>
      <c r="C25" s="114" t="s">
        <v>4809</v>
      </c>
      <c r="D25" s="48"/>
      <c r="E25" s="48"/>
      <c r="F25" s="1508"/>
      <c r="H25" s="192" t="s">
        <v>3649</v>
      </c>
      <c r="J25" s="49"/>
      <c r="M25" s="6"/>
      <c r="N25" s="449" t="s">
        <v>1986</v>
      </c>
      <c r="O25" s="977"/>
      <c r="P25" s="1406">
        <f>F33</f>
        <v>0</v>
      </c>
    </row>
    <row r="26" spans="1:19" s="43" customFormat="1" ht="11.25" customHeight="1">
      <c r="A26" s="198"/>
      <c r="B26" s="2454" t="s">
        <v>1988</v>
      </c>
      <c r="C26" s="114" t="s">
        <v>5089</v>
      </c>
      <c r="D26" s="48"/>
      <c r="E26" s="48"/>
      <c r="F26" s="2426"/>
      <c r="H26" s="192" t="s">
        <v>4807</v>
      </c>
      <c r="J26" s="49"/>
      <c r="M26" s="6"/>
      <c r="N26" s="449" t="s">
        <v>1988</v>
      </c>
      <c r="O26" s="2443"/>
      <c r="P26" s="2444">
        <f>J33</f>
        <v>0</v>
      </c>
    </row>
    <row r="27" spans="1:19" s="43" customFormat="1" ht="11.25" customHeight="1">
      <c r="A27" s="198"/>
      <c r="B27" s="2454" t="s">
        <v>2534</v>
      </c>
      <c r="C27" s="114" t="s">
        <v>4808</v>
      </c>
      <c r="D27" s="48"/>
      <c r="E27" s="48"/>
      <c r="F27" s="2426"/>
      <c r="H27" s="192" t="s">
        <v>4812</v>
      </c>
      <c r="J27" s="49"/>
      <c r="M27" s="6"/>
      <c r="N27" s="449" t="s">
        <v>2534</v>
      </c>
      <c r="O27" s="600"/>
      <c r="P27" s="2445"/>
    </row>
    <row r="28" spans="1:19" s="43" customFormat="1" ht="11.25" customHeight="1">
      <c r="C28" s="4023" t="s">
        <v>5051</v>
      </c>
      <c r="D28" s="4024"/>
      <c r="E28" s="4024"/>
      <c r="F28" s="4024"/>
      <c r="G28" s="4024"/>
      <c r="H28" s="4024"/>
      <c r="I28" s="4024"/>
      <c r="J28" s="4024"/>
      <c r="K28" s="4024"/>
      <c r="L28" s="4024"/>
      <c r="M28" s="4024"/>
      <c r="N28" s="4024"/>
      <c r="O28" s="4024"/>
      <c r="P28" s="4025"/>
      <c r="Q28" s="1291"/>
      <c r="R28" s="510"/>
    </row>
    <row r="29" spans="1:19" s="490" customFormat="1" ht="3" customHeight="1">
      <c r="A29" s="672"/>
      <c r="B29" s="666"/>
      <c r="C29" s="667"/>
      <c r="D29" s="143"/>
      <c r="K29" s="1036"/>
      <c r="L29" s="1036"/>
      <c r="M29" s="1197"/>
      <c r="N29" s="449"/>
      <c r="O29" s="1041"/>
      <c r="P29" s="1041"/>
    </row>
    <row r="30" spans="1:19" s="42" customFormat="1" ht="11.25" customHeight="1">
      <c r="A30" s="198" t="s">
        <v>1985</v>
      </c>
      <c r="B30" s="184" t="s">
        <v>726</v>
      </c>
      <c r="D30" s="48"/>
      <c r="E30" s="48"/>
      <c r="F30" s="1508"/>
      <c r="H30" s="192" t="s">
        <v>2729</v>
      </c>
      <c r="J30" s="49"/>
      <c r="M30" s="6"/>
      <c r="N30" s="65" t="s">
        <v>1985</v>
      </c>
      <c r="O30" s="2448"/>
      <c r="P30" s="2449">
        <f>O33</f>
        <v>0</v>
      </c>
    </row>
    <row r="31" spans="1:19" s="490" customFormat="1" ht="3" customHeight="1">
      <c r="A31" s="672"/>
      <c r="B31" s="666"/>
      <c r="C31" s="667"/>
      <c r="D31" s="143"/>
      <c r="K31" s="1036"/>
      <c r="L31" s="1036"/>
      <c r="M31" s="1197"/>
      <c r="N31" s="449"/>
      <c r="O31" s="1041"/>
      <c r="P31" s="1041"/>
    </row>
    <row r="32" spans="1:19" s="42" customFormat="1" ht="11.1" customHeight="1">
      <c r="A32" s="4040" t="s">
        <v>5020</v>
      </c>
      <c r="B32" s="4040"/>
      <c r="C32" s="4040"/>
      <c r="D32" s="4040"/>
      <c r="E32" s="4040"/>
      <c r="F32" s="2440" t="s">
        <v>4148</v>
      </c>
      <c r="G32" s="4044" t="s">
        <v>5021</v>
      </c>
      <c r="H32" s="4044"/>
      <c r="I32" s="4044"/>
      <c r="J32" s="2440" t="s">
        <v>4148</v>
      </c>
      <c r="K32" s="4048" t="s">
        <v>4805</v>
      </c>
      <c r="L32" s="4048"/>
      <c r="M32" s="4048"/>
      <c r="N32" s="4048"/>
      <c r="O32" s="4042" t="s">
        <v>4148</v>
      </c>
      <c r="P32" s="4043"/>
      <c r="R32" s="511"/>
      <c r="S32" s="162"/>
    </row>
    <row r="33" spans="1:20" s="42" customFormat="1" ht="11.25" customHeight="1">
      <c r="A33" s="4041"/>
      <c r="B33" s="4041"/>
      <c r="C33" s="4041"/>
      <c r="D33" s="4041"/>
      <c r="E33" s="4041"/>
      <c r="F33" s="77">
        <f>SUM(F34:F45)</f>
        <v>0</v>
      </c>
      <c r="G33" s="4045"/>
      <c r="H33" s="4046"/>
      <c r="I33" s="4047"/>
      <c r="J33" s="77">
        <f>SUM(J34:J45)</f>
        <v>0</v>
      </c>
      <c r="K33" s="4049"/>
      <c r="L33" s="4050"/>
      <c r="M33" s="4050"/>
      <c r="N33" s="4051"/>
      <c r="O33" s="4031">
        <f>SUM(O34:O45)</f>
        <v>0</v>
      </c>
      <c r="P33" s="4032"/>
      <c r="Q33" s="511"/>
      <c r="R33" s="162"/>
    </row>
    <row r="34" spans="1:20" s="42" customFormat="1" ht="24.75" customHeight="1">
      <c r="A34" s="4033">
        <v>1</v>
      </c>
      <c r="B34" s="4034"/>
      <c r="C34" s="4034"/>
      <c r="D34" s="4034"/>
      <c r="E34" s="4035"/>
      <c r="F34" s="1005"/>
      <c r="G34" s="4033">
        <v>1</v>
      </c>
      <c r="H34" s="4034"/>
      <c r="I34" s="4035"/>
      <c r="J34" s="1009" t="s">
        <v>1733</v>
      </c>
      <c r="K34" s="4036">
        <v>1</v>
      </c>
      <c r="L34" s="4037"/>
      <c r="M34" s="4037"/>
      <c r="N34" s="4037"/>
      <c r="O34" s="4038" t="s">
        <v>1733</v>
      </c>
      <c r="P34" s="4039"/>
      <c r="Q34" s="509" t="s">
        <v>1254</v>
      </c>
      <c r="R34" s="162"/>
    </row>
    <row r="35" spans="1:20" s="42" customFormat="1" ht="24.75" customHeight="1">
      <c r="A35" s="3882">
        <v>2</v>
      </c>
      <c r="B35" s="3883"/>
      <c r="C35" s="3883"/>
      <c r="D35" s="3883"/>
      <c r="E35" s="3884"/>
      <c r="F35" s="1006"/>
      <c r="G35" s="3882">
        <v>2</v>
      </c>
      <c r="H35" s="3883"/>
      <c r="I35" s="3884"/>
      <c r="J35" s="1006"/>
      <c r="K35" s="3885">
        <v>2</v>
      </c>
      <c r="L35" s="3886"/>
      <c r="M35" s="3886"/>
      <c r="N35" s="3886"/>
      <c r="O35" s="3887"/>
      <c r="P35" s="3888"/>
      <c r="Q35" s="510"/>
      <c r="R35" s="162"/>
    </row>
    <row r="36" spans="1:20" s="42" customFormat="1" ht="24.75" customHeight="1">
      <c r="A36" s="3882">
        <v>3</v>
      </c>
      <c r="B36" s="3883"/>
      <c r="C36" s="3883"/>
      <c r="D36" s="3883"/>
      <c r="E36" s="3884"/>
      <c r="F36" s="1006"/>
      <c r="G36" s="3882">
        <v>3</v>
      </c>
      <c r="H36" s="3883"/>
      <c r="I36" s="3884"/>
      <c r="J36" s="1471" t="s">
        <v>2905</v>
      </c>
      <c r="K36" s="3885">
        <v>3</v>
      </c>
      <c r="L36" s="3886"/>
      <c r="M36" s="3886"/>
      <c r="N36" s="3886"/>
      <c r="O36" s="3889" t="s">
        <v>2905</v>
      </c>
      <c r="P36" s="3890"/>
      <c r="Q36" s="3853" t="s">
        <v>4810</v>
      </c>
      <c r="R36" s="3854"/>
      <c r="S36" s="2446"/>
      <c r="T36" s="2446"/>
    </row>
    <row r="37" spans="1:20" s="42" customFormat="1" ht="24.75" customHeight="1">
      <c r="A37" s="3882">
        <v>4</v>
      </c>
      <c r="B37" s="3883"/>
      <c r="C37" s="3883"/>
      <c r="D37" s="3883"/>
      <c r="E37" s="3884"/>
      <c r="F37" s="1006"/>
      <c r="G37" s="3882">
        <v>4</v>
      </c>
      <c r="H37" s="3883"/>
      <c r="I37" s="3884"/>
      <c r="J37" s="1006"/>
      <c r="K37" s="3885">
        <v>4</v>
      </c>
      <c r="L37" s="3886"/>
      <c r="M37" s="3886"/>
      <c r="N37" s="3886"/>
      <c r="O37" s="3889" t="s">
        <v>2905</v>
      </c>
      <c r="P37" s="3890"/>
      <c r="Q37" s="3853"/>
      <c r="R37" s="3854"/>
      <c r="S37" s="2446"/>
      <c r="T37" s="2446"/>
    </row>
    <row r="38" spans="1:20" s="42" customFormat="1" ht="24.75" customHeight="1">
      <c r="A38" s="3882">
        <v>5</v>
      </c>
      <c r="B38" s="3883"/>
      <c r="C38" s="3883"/>
      <c r="D38" s="3883"/>
      <c r="E38" s="3884"/>
      <c r="F38" s="1006"/>
      <c r="G38" s="3882">
        <v>5</v>
      </c>
      <c r="H38" s="3883"/>
      <c r="I38" s="3884"/>
      <c r="J38" s="1471" t="s">
        <v>3586</v>
      </c>
      <c r="K38" s="3885">
        <v>5</v>
      </c>
      <c r="L38" s="3886"/>
      <c r="M38" s="3886"/>
      <c r="N38" s="3886"/>
      <c r="O38" s="3887"/>
      <c r="P38" s="3888"/>
      <c r="Q38" s="3853"/>
      <c r="R38" s="3854"/>
      <c r="S38" s="2446"/>
      <c r="T38" s="2446"/>
    </row>
    <row r="39" spans="1:20" s="42" customFormat="1" ht="24" customHeight="1">
      <c r="A39" s="3882">
        <v>6</v>
      </c>
      <c r="B39" s="3883"/>
      <c r="C39" s="3883"/>
      <c r="D39" s="3883"/>
      <c r="E39" s="3884"/>
      <c r="F39" s="1006"/>
      <c r="G39" s="3882">
        <v>6</v>
      </c>
      <c r="H39" s="3883"/>
      <c r="I39" s="3884"/>
      <c r="J39" s="1006"/>
      <c r="K39" s="3885">
        <v>6</v>
      </c>
      <c r="L39" s="3886"/>
      <c r="M39" s="3886"/>
      <c r="N39" s="3886"/>
      <c r="O39" s="3887"/>
      <c r="P39" s="3888"/>
      <c r="Q39" s="3853"/>
      <c r="R39" s="3854"/>
    </row>
    <row r="40" spans="1:20" s="42" customFormat="1" ht="10.5" customHeight="1">
      <c r="A40" s="3882">
        <v>7</v>
      </c>
      <c r="B40" s="3883"/>
      <c r="C40" s="3883"/>
      <c r="D40" s="3883"/>
      <c r="E40" s="3884"/>
      <c r="F40" s="1006"/>
      <c r="G40" s="3882">
        <v>7</v>
      </c>
      <c r="H40" s="3883"/>
      <c r="I40" s="3884"/>
      <c r="J40" s="1471" t="s">
        <v>3587</v>
      </c>
      <c r="K40" s="3885">
        <v>7</v>
      </c>
      <c r="L40" s="3886"/>
      <c r="M40" s="3886"/>
      <c r="N40" s="3886"/>
      <c r="O40" s="3887"/>
      <c r="P40" s="3888"/>
      <c r="Q40" s="162"/>
      <c r="R40" s="162"/>
    </row>
    <row r="41" spans="1:20" s="42" customFormat="1" ht="10.5" customHeight="1">
      <c r="A41" s="3882">
        <v>8</v>
      </c>
      <c r="B41" s="3883"/>
      <c r="C41" s="3883"/>
      <c r="D41" s="3883"/>
      <c r="E41" s="3884"/>
      <c r="F41" s="1006"/>
      <c r="G41" s="3882">
        <v>8</v>
      </c>
      <c r="H41" s="3883"/>
      <c r="I41" s="3884"/>
      <c r="J41" s="1006"/>
      <c r="K41" s="3885">
        <v>8</v>
      </c>
      <c r="L41" s="3886"/>
      <c r="M41" s="3886"/>
      <c r="N41" s="3886"/>
      <c r="O41" s="3887"/>
      <c r="P41" s="3888"/>
      <c r="Q41" s="162"/>
      <c r="R41" s="162"/>
    </row>
    <row r="42" spans="1:20" s="42" customFormat="1" ht="11.25" customHeight="1">
      <c r="A42" s="3882">
        <v>9</v>
      </c>
      <c r="B42" s="3883"/>
      <c r="C42" s="3883"/>
      <c r="D42" s="3883"/>
      <c r="E42" s="3884"/>
      <c r="F42" s="1006"/>
      <c r="G42" s="3882">
        <v>9</v>
      </c>
      <c r="H42" s="3883"/>
      <c r="I42" s="3884"/>
      <c r="J42" s="1471" t="s">
        <v>3588</v>
      </c>
      <c r="K42" s="3885">
        <v>9</v>
      </c>
      <c r="L42" s="3886"/>
      <c r="M42" s="3886"/>
      <c r="N42" s="3886"/>
      <c r="O42" s="3887"/>
      <c r="P42" s="3888"/>
      <c r="Q42" s="162"/>
      <c r="R42" s="162"/>
    </row>
    <row r="43" spans="1:20" s="42" customFormat="1" ht="11.25" customHeight="1">
      <c r="A43" s="3882">
        <v>10</v>
      </c>
      <c r="B43" s="3883"/>
      <c r="C43" s="3883"/>
      <c r="D43" s="3883"/>
      <c r="E43" s="3884"/>
      <c r="F43" s="1006"/>
      <c r="G43" s="3882">
        <v>10</v>
      </c>
      <c r="H43" s="3883"/>
      <c r="I43" s="3884"/>
      <c r="J43" s="1006"/>
      <c r="K43" s="3885">
        <v>10</v>
      </c>
      <c r="L43" s="3886"/>
      <c r="M43" s="3886"/>
      <c r="N43" s="3886"/>
      <c r="O43" s="3887"/>
      <c r="P43" s="3888"/>
      <c r="Q43" s="162"/>
    </row>
    <row r="44" spans="1:20" s="42" customFormat="1" ht="11.25" customHeight="1">
      <c r="A44" s="3882">
        <v>11</v>
      </c>
      <c r="B44" s="3883"/>
      <c r="C44" s="3883"/>
      <c r="D44" s="3883"/>
      <c r="E44" s="3884"/>
      <c r="F44" s="1006"/>
      <c r="G44" s="3882">
        <v>11</v>
      </c>
      <c r="H44" s="3883"/>
      <c r="I44" s="3884"/>
      <c r="J44" s="1471" t="s">
        <v>3589</v>
      </c>
      <c r="K44" s="3882">
        <v>11</v>
      </c>
      <c r="L44" s="3883"/>
      <c r="M44" s="3883"/>
      <c r="N44" s="3884"/>
      <c r="O44" s="3887"/>
      <c r="P44" s="3888"/>
      <c r="Q44" s="162"/>
      <c r="R44" s="162"/>
    </row>
    <row r="45" spans="1:20" s="42" customFormat="1" ht="11.25" customHeight="1">
      <c r="A45" s="4062">
        <v>12</v>
      </c>
      <c r="B45" s="4063"/>
      <c r="C45" s="4063"/>
      <c r="D45" s="4063"/>
      <c r="E45" s="4064"/>
      <c r="F45" s="1007"/>
      <c r="G45" s="4062">
        <v>12</v>
      </c>
      <c r="H45" s="4063"/>
      <c r="I45" s="4064"/>
      <c r="J45" s="1007"/>
      <c r="K45" s="4062">
        <v>12</v>
      </c>
      <c r="L45" s="4063"/>
      <c r="M45" s="4063"/>
      <c r="N45" s="4064"/>
      <c r="O45" s="4065"/>
      <c r="P45" s="4066"/>
    </row>
    <row r="46" spans="1:20" s="43" customFormat="1" ht="3" customHeight="1" thickBot="1">
      <c r="D46" s="39"/>
      <c r="E46" s="36"/>
      <c r="F46" s="1011"/>
      <c r="G46" s="1011"/>
      <c r="H46" s="1011"/>
      <c r="I46" s="1011"/>
      <c r="J46" s="1021"/>
      <c r="K46" s="1021"/>
      <c r="L46" s="1021"/>
      <c r="M46" s="60"/>
      <c r="N46" s="1011"/>
      <c r="O46" s="1505"/>
      <c r="P46" s="3"/>
    </row>
    <row r="47" spans="1:20" s="105" customFormat="1" ht="12" customHeight="1" thickBot="1">
      <c r="A47" s="157" t="s">
        <v>740</v>
      </c>
      <c r="B47" s="109" t="s">
        <v>3590</v>
      </c>
      <c r="E47" s="57"/>
      <c r="G47" s="235"/>
      <c r="H47" s="52"/>
      <c r="I47" s="45" t="s">
        <v>3490</v>
      </c>
      <c r="M47" s="1011">
        <v>3</v>
      </c>
      <c r="N47" s="7"/>
      <c r="O47" s="1329">
        <f>IF(AND(O51&gt;0,O55&gt;0),"AorB?",MIN($M$47,O51+O55))</f>
        <v>0</v>
      </c>
      <c r="P47" s="1329">
        <f>IF(AND(P51&gt;0,P55&gt;0),"AorB?",MIN($M$47,P51+P55))</f>
        <v>0</v>
      </c>
      <c r="Q47" s="112" t="s">
        <v>441</v>
      </c>
      <c r="R47" s="434" t="str">
        <f>IF(OR($O47=$M47,$O47=0,$O47=""),"","* * Check Score! * *")</f>
        <v/>
      </c>
    </row>
    <row r="48" spans="1:20" s="43" customFormat="1" ht="2.25" customHeight="1">
      <c r="A48" s="505"/>
      <c r="B48" s="116"/>
      <c r="E48" s="57"/>
      <c r="F48" s="43" t="s">
        <v>4820</v>
      </c>
      <c r="G48" s="89"/>
      <c r="H48" s="52"/>
      <c r="I48" s="45"/>
      <c r="K48" s="596"/>
      <c r="L48" s="1010"/>
      <c r="M48" s="1011"/>
      <c r="N48" s="7"/>
      <c r="O48" s="3"/>
      <c r="P48" s="3"/>
      <c r="Q48" s="112"/>
      <c r="R48" s="434"/>
    </row>
    <row r="49" spans="1:18" s="43" customFormat="1" ht="13.5" customHeight="1">
      <c r="A49" s="142" t="s">
        <v>1983</v>
      </c>
      <c r="B49" s="1037" t="s">
        <v>2625</v>
      </c>
      <c r="E49" s="57"/>
      <c r="G49" s="89"/>
      <c r="H49" s="55" t="s">
        <v>5022</v>
      </c>
      <c r="J49" s="2609"/>
      <c r="K49" s="2609" t="str">
        <f>'Part I-Project Information'!$K$94</f>
        <v>40% of Units at 60% of AMI</v>
      </c>
      <c r="M49" s="1011"/>
      <c r="N49" s="7"/>
      <c r="Q49" s="7"/>
      <c r="R49" s="434"/>
    </row>
    <row r="50" spans="1:18" s="105" customFormat="1" ht="9" customHeight="1">
      <c r="A50" s="142"/>
      <c r="B50" s="3855" t="s">
        <v>4814</v>
      </c>
      <c r="C50" s="3855"/>
      <c r="D50" s="3855"/>
      <c r="E50" s="3855"/>
      <c r="F50" s="3855"/>
      <c r="G50" s="3855"/>
      <c r="H50" s="3855"/>
      <c r="I50" s="3855"/>
      <c r="J50" s="3855"/>
      <c r="K50" s="3855"/>
      <c r="L50" s="3855"/>
      <c r="M50" s="1011"/>
      <c r="N50" s="7"/>
      <c r="Q50" s="7"/>
      <c r="R50" s="434"/>
    </row>
    <row r="51" spans="1:18" s="105" customFormat="1" ht="13.5" customHeight="1">
      <c r="B51" s="3855"/>
      <c r="C51" s="3855"/>
      <c r="D51" s="3855"/>
      <c r="E51" s="3855"/>
      <c r="F51" s="3855"/>
      <c r="G51" s="3855"/>
      <c r="H51" s="3855"/>
      <c r="I51" s="3855"/>
      <c r="J51" s="3855"/>
      <c r="K51" s="3855"/>
      <c r="L51" s="3855"/>
      <c r="M51" s="1020">
        <v>2</v>
      </c>
      <c r="N51" s="449" t="s">
        <v>1983</v>
      </c>
      <c r="O51" s="1042">
        <f>MIN($M51, O52+O53)</f>
        <v>0</v>
      </c>
      <c r="P51" s="1042">
        <f>MIN($M51, P52+P53)</f>
        <v>0</v>
      </c>
    </row>
    <row r="52" spans="1:18" s="105" customFormat="1" ht="13.5" customHeight="1">
      <c r="A52" s="142"/>
      <c r="B52" s="1532" t="s">
        <v>1986</v>
      </c>
      <c r="C52" s="2455" t="s">
        <v>4815</v>
      </c>
      <c r="D52" s="52"/>
      <c r="H52" s="52" t="s">
        <v>4816</v>
      </c>
      <c r="I52" s="2452"/>
      <c r="K52" s="2611">
        <f>'Part VI-Revenues &amp; Expenses'!B49</f>
        <v>60</v>
      </c>
      <c r="L52" s="4061" t="str">
        <f>IF(AND(O52&gt;0,O53&gt;0), "CHOOSE EITHER A OR B, NOT BOTH!", "")</f>
        <v/>
      </c>
      <c r="M52" s="1197">
        <v>2</v>
      </c>
      <c r="N52" s="194" t="s">
        <v>1986</v>
      </c>
      <c r="O52" s="598"/>
      <c r="P52" s="612"/>
      <c r="Q52" s="2549" t="str">
        <f>IF(OR($O52=$M52,$O52=0,$O52=""),"","*CHECK!*")</f>
        <v/>
      </c>
      <c r="R52" s="1141" t="s">
        <v>2706</v>
      </c>
    </row>
    <row r="53" spans="1:18" s="105" customFormat="1" ht="13.5" customHeight="1">
      <c r="A53" s="2453" t="s">
        <v>3344</v>
      </c>
      <c r="B53" s="1532" t="s">
        <v>1988</v>
      </c>
      <c r="C53" s="2455" t="s">
        <v>4817</v>
      </c>
      <c r="D53" s="52"/>
      <c r="I53" s="2452"/>
      <c r="K53" s="52"/>
      <c r="L53" s="4061"/>
      <c r="M53" s="1197">
        <v>2</v>
      </c>
      <c r="N53" s="194" t="s">
        <v>1988</v>
      </c>
      <c r="O53" s="599"/>
      <c r="P53" s="613"/>
      <c r="Q53" s="2549" t="str">
        <f>IF(OR($O53=$M53,$O53=0,$O53=""),"","*CHECK!*")</f>
        <v/>
      </c>
      <c r="R53" s="1141" t="s">
        <v>2706</v>
      </c>
    </row>
    <row r="54" spans="1:18" s="490" customFormat="1" ht="6.75" customHeight="1">
      <c r="A54" s="672"/>
      <c r="B54" s="666"/>
      <c r="C54" s="667"/>
      <c r="D54" s="143"/>
      <c r="K54" s="1036"/>
      <c r="L54" s="1036"/>
      <c r="M54" s="1197"/>
      <c r="N54" s="449"/>
      <c r="O54" s="1041"/>
      <c r="P54" s="1041"/>
    </row>
    <row r="55" spans="1:18" s="490" customFormat="1" ht="13.5" customHeight="1">
      <c r="A55" s="142" t="s">
        <v>1985</v>
      </c>
      <c r="B55" s="1037" t="s">
        <v>3651</v>
      </c>
      <c r="E55" s="491"/>
      <c r="H55" s="4067" t="s">
        <v>4818</v>
      </c>
      <c r="I55" s="4068"/>
      <c r="J55" s="2458" t="s">
        <v>4819</v>
      </c>
      <c r="M55" s="1020">
        <v>3</v>
      </c>
      <c r="N55" s="166" t="s">
        <v>1985</v>
      </c>
      <c r="O55" s="1042">
        <f>IF(AND(O56="Yes", O57="Yes"),$M$55,0)</f>
        <v>0</v>
      </c>
      <c r="P55" s="1042">
        <f>IF(AND(P56="Yes", P57="Yes"),$M$55,0)</f>
        <v>0</v>
      </c>
    </row>
    <row r="56" spans="1:18" s="490" customFormat="1" ht="13.5" customHeight="1">
      <c r="A56" s="489"/>
      <c r="B56" s="1532" t="s">
        <v>1986</v>
      </c>
      <c r="C56" s="2456">
        <v>0.3</v>
      </c>
      <c r="D56" s="1119" t="s">
        <v>3652</v>
      </c>
      <c r="E56" s="491"/>
      <c r="F56" s="1008"/>
      <c r="H56" s="1500"/>
      <c r="I56" s="1501"/>
      <c r="J56" s="2457">
        <f>'Part VI-Revenues &amp; Expenses'!O65</f>
        <v>84</v>
      </c>
      <c r="K56" s="1067">
        <f>IF(OR('Part VI-Revenues &amp; Expenses'!$O$65="", 'Part VI-Revenues &amp; Expenses'!$O$65=0),0,H56/'Part VI-Revenues &amp; Expenses'!$O$65)</f>
        <v>0</v>
      </c>
      <c r="L56" s="1067">
        <f>IF(OR('Part VI-Revenues &amp; Expenses'!$O$65="", 'Part VI-Revenues &amp; Expenses'!$O$65=0),0,I56/'Part VI-Revenues &amp; Expenses'!$O$65)</f>
        <v>0</v>
      </c>
      <c r="M56" s="1197"/>
      <c r="N56" s="449" t="s">
        <v>1986</v>
      </c>
      <c r="O56" s="1038" t="str">
        <f>IF(AND(K56 &gt;= $C$56,O57="Yes"),"Yes","No")</f>
        <v>No</v>
      </c>
      <c r="P56" s="1038" t="str">
        <f>IF(AND(L56 &gt;= $C$56,P57="Yes"),"Yes","No")</f>
        <v>No</v>
      </c>
    </row>
    <row r="57" spans="1:18" s="490" customFormat="1" ht="13.5" customHeight="1">
      <c r="A57" s="672"/>
      <c r="B57" s="1532" t="s">
        <v>1988</v>
      </c>
      <c r="C57" s="1072" t="s">
        <v>3959</v>
      </c>
      <c r="E57" s="1085"/>
      <c r="F57" s="1008"/>
      <c r="I57" s="1040"/>
      <c r="J57" s="1040"/>
      <c r="K57" s="1040"/>
      <c r="L57" s="1040"/>
      <c r="M57" s="1040"/>
      <c r="N57" s="449" t="s">
        <v>1988</v>
      </c>
      <c r="O57" s="239"/>
      <c r="P57" s="619"/>
    </row>
    <row r="58" spans="1:18" s="43" customFormat="1" ht="10.5" customHeight="1">
      <c r="A58" s="42"/>
      <c r="B58" s="100" t="s">
        <v>1866</v>
      </c>
      <c r="C58" s="490"/>
      <c r="D58" s="87"/>
      <c r="E58" s="1506"/>
      <c r="F58" s="1506"/>
      <c r="G58" s="1506"/>
      <c r="H58" s="1506"/>
      <c r="I58" s="1506"/>
      <c r="J58" s="1506"/>
      <c r="K58" s="1506"/>
      <c r="L58" s="1506"/>
      <c r="M58" s="1506"/>
      <c r="N58" s="75"/>
      <c r="O58" s="71"/>
      <c r="P58" s="1503"/>
      <c r="Q58" s="490"/>
    </row>
    <row r="59" spans="1:18" s="43" customFormat="1" ht="22.5" customHeight="1">
      <c r="A59" s="3603"/>
      <c r="B59" s="3604"/>
      <c r="C59" s="3604"/>
      <c r="D59" s="3604"/>
      <c r="E59" s="3604"/>
      <c r="F59" s="3604"/>
      <c r="G59" s="3604"/>
      <c r="H59" s="3604"/>
      <c r="I59" s="3604"/>
      <c r="J59" s="3604"/>
      <c r="K59" s="3604"/>
      <c r="L59" s="3604"/>
      <c r="M59" s="3604"/>
      <c r="N59" s="3604"/>
      <c r="O59" s="3604"/>
      <c r="P59" s="3605"/>
      <c r="Q59" s="509"/>
    </row>
    <row r="60" spans="1:18" ht="7.5" customHeight="1" thickBot="1"/>
    <row r="61" spans="1:18" s="43" customFormat="1" ht="12.6" customHeight="1" thickBot="1">
      <c r="A61" s="157" t="s">
        <v>742</v>
      </c>
      <c r="B61" s="108" t="s">
        <v>4099</v>
      </c>
      <c r="D61" s="41"/>
      <c r="I61" s="4093" t="s">
        <v>3772</v>
      </c>
      <c r="J61" s="4093"/>
      <c r="K61" s="4093"/>
      <c r="L61" s="1181"/>
      <c r="M61" s="1503">
        <v>10</v>
      </c>
      <c r="N61" s="527"/>
      <c r="O61" s="1329">
        <f>IF(OR($M64-O65&lt;0,O64-O65&lt;0),0,IF(O64&lt;=$M64,O64-O65,IF(O64&gt;$M64,$M64-O65,0)))</f>
        <v>0</v>
      </c>
      <c r="P61" s="1329">
        <f>IF(OR($M64-P65&lt;0,P64-P65&lt;0),0,IF(P64&lt;=$M64,P64-P65,IF(P64&gt;$M64,$M64-P65,0)))</f>
        <v>0</v>
      </c>
      <c r="Q61" s="112" t="s">
        <v>441</v>
      </c>
    </row>
    <row r="62" spans="1:18" s="43" customFormat="1" ht="3" customHeight="1">
      <c r="A62" s="42"/>
      <c r="D62" s="39"/>
      <c r="E62" s="36"/>
      <c r="F62" s="1011"/>
      <c r="G62" s="1011"/>
      <c r="H62" s="1181"/>
      <c r="I62" s="1181"/>
      <c r="J62" s="1181"/>
      <c r="K62" s="1181"/>
      <c r="L62" s="1181"/>
      <c r="M62" s="60"/>
      <c r="N62" s="1011"/>
      <c r="O62" s="1505"/>
      <c r="P62" s="3"/>
    </row>
    <row r="63" spans="1:18" s="105" customFormat="1" ht="12" customHeight="1">
      <c r="A63" s="142"/>
      <c r="B63" s="36" t="s">
        <v>3857</v>
      </c>
      <c r="D63" s="33"/>
      <c r="N63" s="527"/>
      <c r="O63" s="238"/>
      <c r="P63" s="617"/>
    </row>
    <row r="64" spans="1:18" s="105" customFormat="1" ht="12" customHeight="1">
      <c r="A64" s="142" t="s">
        <v>1983</v>
      </c>
      <c r="B64" s="184" t="s">
        <v>1874</v>
      </c>
      <c r="C64" s="4"/>
      <c r="D64" s="4"/>
      <c r="F64" s="327"/>
      <c r="H64" s="969" t="s">
        <v>2718</v>
      </c>
      <c r="I64" s="4030" t="s">
        <v>4179</v>
      </c>
      <c r="J64" s="4030"/>
      <c r="K64" s="4030"/>
      <c r="L64" s="4030"/>
      <c r="M64" s="73">
        <v>10</v>
      </c>
      <c r="N64" s="194" t="s">
        <v>1983</v>
      </c>
      <c r="O64" s="598"/>
      <c r="P64" s="612"/>
      <c r="Q64" s="2549" t="str">
        <f>IF(OR($O64=$M64,$O64=0,$O64=""),"","*CHECK!*")</f>
        <v/>
      </c>
    </row>
    <row r="65" spans="1:21" s="105" customFormat="1" ht="12.6" customHeight="1">
      <c r="A65" s="142" t="s">
        <v>1985</v>
      </c>
      <c r="B65" s="184" t="s">
        <v>3846</v>
      </c>
      <c r="D65" s="1357"/>
      <c r="F65" s="2610"/>
      <c r="H65" s="969" t="s">
        <v>3988</v>
      </c>
      <c r="I65" s="4030"/>
      <c r="J65" s="4030"/>
      <c r="K65" s="4030"/>
      <c r="L65" s="4030"/>
      <c r="M65" s="2597" t="s">
        <v>1238</v>
      </c>
      <c r="N65" s="527" t="s">
        <v>1985</v>
      </c>
      <c r="O65" s="599"/>
      <c r="P65" s="613"/>
    </row>
    <row r="66" spans="1:21" s="43" customFormat="1" ht="11.25" customHeight="1" thickBot="1">
      <c r="A66" s="42"/>
      <c r="B66" s="1488" t="s">
        <v>3757</v>
      </c>
      <c r="C66" s="42"/>
      <c r="D66" s="48"/>
      <c r="E66" s="48"/>
      <c r="F66" s="48"/>
      <c r="G66" s="48"/>
      <c r="H66" s="36"/>
      <c r="I66" s="4092"/>
      <c r="J66" s="4092"/>
      <c r="K66" s="4092"/>
      <c r="L66" s="4092"/>
      <c r="M66" s="46"/>
      <c r="N66" s="62"/>
      <c r="O66" s="3"/>
      <c r="P66" s="1505"/>
    </row>
    <row r="67" spans="1:21" s="43" customFormat="1" ht="72" customHeight="1" thickTop="1" thickBot="1">
      <c r="A67" s="3934"/>
      <c r="B67" s="3935"/>
      <c r="C67" s="3935"/>
      <c r="D67" s="3935"/>
      <c r="E67" s="3935"/>
      <c r="F67" s="3935"/>
      <c r="G67" s="3935"/>
      <c r="H67" s="3935"/>
      <c r="I67" s="3935"/>
      <c r="J67" s="3935"/>
      <c r="K67" s="3935"/>
      <c r="L67" s="3935"/>
      <c r="M67" s="3935"/>
      <c r="N67" s="3935"/>
      <c r="O67" s="3935"/>
      <c r="P67" s="3936"/>
      <c r="Q67" s="1291" t="s">
        <v>1254</v>
      </c>
      <c r="R67" s="510"/>
    </row>
    <row r="68" spans="1:21" s="43" customFormat="1" ht="11.45" customHeight="1" thickTop="1">
      <c r="A68" s="42"/>
      <c r="B68" s="67" t="s">
        <v>1866</v>
      </c>
      <c r="C68" s="42"/>
      <c r="D68" s="140"/>
      <c r="E68" s="1506"/>
      <c r="F68" s="1506"/>
      <c r="G68" s="1506"/>
      <c r="H68" s="1506"/>
      <c r="I68" s="1506"/>
      <c r="J68" s="1506"/>
      <c r="K68" s="1506"/>
      <c r="L68" s="1506"/>
      <c r="M68" s="1506"/>
      <c r="N68" s="75"/>
      <c r="O68" s="71"/>
      <c r="P68" s="1503"/>
      <c r="Q68" s="490"/>
      <c r="R68" s="490"/>
    </row>
    <row r="69" spans="1:21" s="43" customFormat="1" ht="72" customHeight="1">
      <c r="A69" s="3603"/>
      <c r="B69" s="3604"/>
      <c r="C69" s="3604"/>
      <c r="D69" s="3604"/>
      <c r="E69" s="3604"/>
      <c r="F69" s="3604"/>
      <c r="G69" s="3604"/>
      <c r="H69" s="3604"/>
      <c r="I69" s="3604"/>
      <c r="J69" s="3604"/>
      <c r="K69" s="3604"/>
      <c r="L69" s="3604"/>
      <c r="M69" s="3604"/>
      <c r="N69" s="3604"/>
      <c r="O69" s="3604"/>
      <c r="P69" s="3605"/>
      <c r="Q69" s="509"/>
      <c r="R69" s="510"/>
    </row>
    <row r="70" spans="1:21" ht="7.5" customHeight="1" thickBot="1">
      <c r="M70" s="33"/>
      <c r="N70" s="118"/>
      <c r="O70" s="155"/>
      <c r="P70" s="155"/>
    </row>
    <row r="71" spans="1:21" s="43" customFormat="1" ht="12.6" customHeight="1" thickBot="1">
      <c r="A71" s="157" t="s">
        <v>1792</v>
      </c>
      <c r="B71" s="108" t="s">
        <v>2631</v>
      </c>
      <c r="D71" s="41"/>
      <c r="K71" s="1178" t="s">
        <v>1879</v>
      </c>
      <c r="M71" s="1503">
        <v>6</v>
      </c>
      <c r="N71" s="527"/>
      <c r="O71" s="1329">
        <f>IF($J$72="Flexible",MIN($M71,MAX(O86,O92)),IF(AND($J$72="Rural",O100&gt;0),MIN($M100,O100),0))</f>
        <v>0</v>
      </c>
      <c r="P71" s="1329">
        <f>IF($J$72="Flexible",MIN($M71,MAX(P86,P92)),IF(AND($J$72="Rural",P100&gt;0),MIN($M100,P100),0))</f>
        <v>0</v>
      </c>
      <c r="Q71" s="112" t="s">
        <v>441</v>
      </c>
      <c r="R71" s="4095" t="s">
        <v>5024</v>
      </c>
      <c r="S71" s="4095"/>
      <c r="T71" s="4095"/>
      <c r="U71" s="4095"/>
    </row>
    <row r="72" spans="1:21" s="43" customFormat="1" ht="17.25" customHeight="1">
      <c r="A72" s="157"/>
      <c r="B72" s="114" t="s">
        <v>3962</v>
      </c>
      <c r="D72" s="41"/>
      <c r="H72" s="184" t="s">
        <v>2794</v>
      </c>
      <c r="I72" s="588"/>
      <c r="J72" s="586" t="str">
        <f>'Part I-Project Information'!$H$105</f>
        <v>N/A - 4% Bond</v>
      </c>
      <c r="K72" s="48"/>
      <c r="M72" s="1503"/>
      <c r="N72" s="527"/>
      <c r="O72" s="1172" t="s">
        <v>3596</v>
      </c>
      <c r="P72" s="1172" t="s">
        <v>3597</v>
      </c>
      <c r="Q72" s="112"/>
      <c r="R72" s="4095"/>
      <c r="S72" s="4095"/>
      <c r="T72" s="4095"/>
      <c r="U72" s="4095"/>
    </row>
    <row r="73" spans="1:21" s="43" customFormat="1" ht="11.25" customHeight="1">
      <c r="A73" s="157"/>
      <c r="B73" s="432" t="s">
        <v>1986</v>
      </c>
      <c r="C73" s="36" t="s">
        <v>4826</v>
      </c>
      <c r="D73" s="1357"/>
      <c r="E73" s="105"/>
      <c r="F73" s="105"/>
      <c r="G73" s="105"/>
      <c r="H73" s="45"/>
      <c r="I73" s="49"/>
      <c r="J73" s="48"/>
      <c r="K73" s="48"/>
      <c r="L73" s="105"/>
      <c r="M73" s="2433"/>
      <c r="N73" s="527"/>
      <c r="O73" s="238"/>
      <c r="P73" s="617"/>
      <c r="Q73" s="112"/>
      <c r="R73" s="4095"/>
      <c r="S73" s="4095"/>
      <c r="T73" s="4095"/>
      <c r="U73" s="4095"/>
    </row>
    <row r="74" spans="1:21" s="43" customFormat="1" ht="11.25" customHeight="1">
      <c r="A74" s="157"/>
      <c r="B74" s="432" t="s">
        <v>1988</v>
      </c>
      <c r="C74" s="36" t="s">
        <v>4827</v>
      </c>
      <c r="D74" s="1357"/>
      <c r="E74" s="105"/>
      <c r="F74" s="105"/>
      <c r="G74" s="105"/>
      <c r="H74" s="45"/>
      <c r="I74" s="49"/>
      <c r="J74" s="48"/>
      <c r="K74" s="48"/>
      <c r="L74" s="105"/>
      <c r="M74" s="105"/>
      <c r="N74" s="527"/>
      <c r="O74" s="422"/>
      <c r="P74" s="618"/>
      <c r="Q74" s="112"/>
      <c r="R74" s="4095"/>
      <c r="S74" s="4095"/>
      <c r="T74" s="4095"/>
      <c r="U74" s="4095"/>
    </row>
    <row r="75" spans="1:21" s="43" customFormat="1" ht="11.25" customHeight="1">
      <c r="A75" s="157"/>
      <c r="B75" s="432" t="s">
        <v>2534</v>
      </c>
      <c r="C75" s="36" t="s">
        <v>4828</v>
      </c>
      <c r="D75" s="1357"/>
      <c r="E75" s="105"/>
      <c r="F75" s="105"/>
      <c r="G75" s="105"/>
      <c r="H75" s="45"/>
      <c r="I75" s="49"/>
      <c r="J75" s="48"/>
      <c r="K75" s="48"/>
      <c r="L75" s="105"/>
      <c r="M75" s="105"/>
      <c r="N75" s="527"/>
      <c r="O75" s="422"/>
      <c r="P75" s="618"/>
      <c r="Q75" s="112"/>
      <c r="R75" s="4095"/>
      <c r="S75" s="4095"/>
      <c r="T75" s="4095"/>
      <c r="U75" s="4095"/>
    </row>
    <row r="76" spans="1:21" s="43" customFormat="1" ht="11.25" customHeight="1">
      <c r="A76" s="157"/>
      <c r="B76" s="432" t="s">
        <v>1224</v>
      </c>
      <c r="C76" s="36" t="s">
        <v>4821</v>
      </c>
      <c r="D76" s="1357"/>
      <c r="E76" s="105"/>
      <c r="F76" s="105"/>
      <c r="G76" s="105"/>
      <c r="H76" s="45"/>
      <c r="I76" s="49"/>
      <c r="J76" s="48"/>
      <c r="K76" s="48"/>
      <c r="L76" s="105"/>
      <c r="M76" s="105"/>
      <c r="N76" s="527"/>
      <c r="O76" s="239"/>
      <c r="P76" s="619"/>
      <c r="Q76" s="112"/>
      <c r="R76" s="4095"/>
      <c r="S76" s="4095"/>
      <c r="T76" s="4095"/>
      <c r="U76" s="4095"/>
    </row>
    <row r="77" spans="1:21" s="43" customFormat="1" ht="3" customHeight="1">
      <c r="A77" s="157"/>
      <c r="B77" s="108"/>
      <c r="D77" s="41"/>
      <c r="H77" s="45"/>
      <c r="I77" s="49"/>
      <c r="J77" s="48"/>
      <c r="K77" s="48"/>
      <c r="M77" s="1503"/>
      <c r="N77" s="527"/>
      <c r="O77" s="3"/>
      <c r="P77" s="3"/>
      <c r="Q77" s="112"/>
      <c r="R77" s="4095"/>
      <c r="S77" s="4095"/>
      <c r="T77" s="4095"/>
      <c r="U77" s="4095"/>
    </row>
    <row r="78" spans="1:21" s="43" customFormat="1" ht="13.5" customHeight="1">
      <c r="A78" s="157"/>
      <c r="B78" s="114" t="s">
        <v>3968</v>
      </c>
      <c r="D78" s="41"/>
      <c r="F78" s="3891" t="s">
        <v>3717</v>
      </c>
      <c r="G78" s="3891"/>
      <c r="H78" s="3891"/>
      <c r="I78" s="3891"/>
      <c r="J78" s="3891" t="s">
        <v>3718</v>
      </c>
      <c r="K78" s="3891"/>
      <c r="L78" s="3891"/>
      <c r="M78" s="3891"/>
      <c r="N78" s="527"/>
      <c r="O78" s="4086" t="s">
        <v>5023</v>
      </c>
      <c r="P78" s="4087"/>
      <c r="Q78" s="112"/>
      <c r="R78" s="4095"/>
      <c r="S78" s="4095"/>
      <c r="T78" s="4095"/>
      <c r="U78" s="4095"/>
    </row>
    <row r="79" spans="1:21" s="43" customFormat="1" ht="12.75" customHeight="1">
      <c r="A79" s="157"/>
      <c r="C79" s="557" t="s">
        <v>3967</v>
      </c>
      <c r="D79" s="712"/>
      <c r="E79" s="300"/>
      <c r="F79" s="4088"/>
      <c r="G79" s="4089"/>
      <c r="H79" s="4090"/>
      <c r="I79" s="4091"/>
      <c r="J79" s="4088"/>
      <c r="K79" s="4089"/>
      <c r="L79" s="4090"/>
      <c r="M79" s="4091"/>
      <c r="N79" s="527"/>
      <c r="Q79" s="112"/>
      <c r="R79" s="4095"/>
      <c r="S79" s="4095"/>
      <c r="T79" s="4095"/>
      <c r="U79" s="4095"/>
    </row>
    <row r="80" spans="1:21" s="43" customFormat="1" ht="12.75" customHeight="1">
      <c r="A80" s="4026" t="s">
        <v>4145</v>
      </c>
      <c r="B80" s="4026"/>
      <c r="D80" s="1438" t="s">
        <v>3969</v>
      </c>
      <c r="E80" s="300"/>
      <c r="F80" s="3892"/>
      <c r="G80" s="3893"/>
      <c r="H80" s="3894"/>
      <c r="I80" s="3895"/>
      <c r="J80" s="3892"/>
      <c r="K80" s="3893"/>
      <c r="L80" s="3894"/>
      <c r="M80" s="3895"/>
      <c r="N80" s="527"/>
      <c r="O80" s="1445"/>
      <c r="P80" s="1446"/>
      <c r="Q80" s="112"/>
      <c r="R80" s="4095"/>
      <c r="S80" s="4095"/>
      <c r="T80" s="4095"/>
      <c r="U80" s="4095"/>
    </row>
    <row r="81" spans="1:21" s="43" customFormat="1" ht="12.75" customHeight="1">
      <c r="A81" s="4026"/>
      <c r="B81" s="4026"/>
      <c r="C81" s="557" t="s">
        <v>4097</v>
      </c>
      <c r="D81" s="712"/>
      <c r="E81" s="300"/>
      <c r="F81" s="4103"/>
      <c r="G81" s="4104"/>
      <c r="H81" s="4109"/>
      <c r="I81" s="4110"/>
      <c r="J81" s="4103"/>
      <c r="K81" s="4104"/>
      <c r="L81" s="4109"/>
      <c r="M81" s="4110"/>
      <c r="N81" s="527"/>
      <c r="O81" s="527"/>
      <c r="P81" s="527"/>
      <c r="Q81" s="112"/>
      <c r="R81" s="4095"/>
      <c r="S81" s="4095"/>
      <c r="T81" s="4095"/>
      <c r="U81" s="4095"/>
    </row>
    <row r="82" spans="1:21" s="43" customFormat="1" ht="12.75" customHeight="1">
      <c r="A82" s="4026"/>
      <c r="B82" s="4026"/>
      <c r="E82" s="2406" t="s">
        <v>4096</v>
      </c>
      <c r="F82" s="4107"/>
      <c r="G82" s="4108"/>
      <c r="H82" s="4069"/>
      <c r="I82" s="4070"/>
      <c r="J82" s="4107"/>
      <c r="K82" s="4108"/>
      <c r="L82" s="4069"/>
      <c r="M82" s="4070"/>
      <c r="N82" s="527"/>
      <c r="O82" s="1445"/>
      <c r="P82" s="1446"/>
      <c r="Q82" s="112"/>
      <c r="R82" s="4095"/>
      <c r="S82" s="4095"/>
      <c r="T82" s="4095"/>
      <c r="U82" s="4095"/>
    </row>
    <row r="83" spans="1:21" s="43" customFormat="1" ht="9" customHeight="1">
      <c r="A83" s="157"/>
      <c r="B83" s="108"/>
      <c r="D83" s="41"/>
      <c r="H83" s="45"/>
      <c r="I83" s="49"/>
      <c r="J83" s="48"/>
      <c r="K83" s="48"/>
      <c r="M83" s="1503"/>
      <c r="N83" s="527"/>
      <c r="O83" s="3"/>
      <c r="P83" s="3"/>
      <c r="Q83" s="112"/>
      <c r="R83" s="1356"/>
      <c r="S83" s="1356"/>
      <c r="T83" s="1356"/>
      <c r="U83" s="1356"/>
    </row>
    <row r="84" spans="1:21" s="43" customFormat="1" ht="12.6" customHeight="1">
      <c r="A84" s="587" t="s">
        <v>2785</v>
      </c>
      <c r="B84" s="108"/>
      <c r="D84" s="41"/>
      <c r="F84" s="61" t="s">
        <v>3758</v>
      </c>
      <c r="M84" s="1503"/>
      <c r="N84" s="1503"/>
      <c r="O84" s="1503"/>
      <c r="P84" s="1503"/>
      <c r="Q84" s="112"/>
      <c r="R84" s="1356"/>
      <c r="S84" s="1356"/>
      <c r="T84" s="1356"/>
      <c r="U84" s="1356"/>
    </row>
    <row r="85" spans="1:21" s="43" customFormat="1" ht="2.25" customHeight="1">
      <c r="A85" s="587"/>
      <c r="B85" s="108"/>
      <c r="D85" s="41"/>
      <c r="F85" s="61"/>
      <c r="M85" s="2495"/>
      <c r="N85" s="2495"/>
      <c r="O85" s="2495"/>
      <c r="P85" s="2495"/>
      <c r="Q85" s="112"/>
      <c r="R85" s="1356"/>
      <c r="S85" s="1356"/>
      <c r="T85" s="1356"/>
      <c r="U85" s="1356"/>
    </row>
    <row r="86" spans="1:21" s="43" customFormat="1" ht="12.6" customHeight="1">
      <c r="A86" s="147" t="s">
        <v>1983</v>
      </c>
      <c r="B86" s="184" t="s">
        <v>3750</v>
      </c>
      <c r="D86" s="41"/>
      <c r="F86" s="45" t="s">
        <v>3859</v>
      </c>
      <c r="M86" s="1503">
        <v>6</v>
      </c>
      <c r="N86" s="449" t="s">
        <v>1983</v>
      </c>
      <c r="O86" s="1177">
        <f>IF($J$72="Flexible",MIN($M86,O87+O88+O89),0)</f>
        <v>0</v>
      </c>
      <c r="P86" s="1177">
        <f>IF($J$72="Flexible",MIN($M86,P87+P88+P89),0)</f>
        <v>0</v>
      </c>
      <c r="Q86" s="112"/>
    </row>
    <row r="87" spans="1:21" s="472" customFormat="1" ht="23.25" customHeight="1">
      <c r="B87" s="504" t="s">
        <v>1986</v>
      </c>
      <c r="C87" s="3665" t="s">
        <v>4822</v>
      </c>
      <c r="D87" s="3665"/>
      <c r="E87" s="3665"/>
      <c r="F87" s="3665"/>
      <c r="G87" s="3665"/>
      <c r="H87" s="3665"/>
      <c r="I87" s="3896" t="s">
        <v>4094</v>
      </c>
      <c r="J87" s="3897"/>
      <c r="K87" s="3897"/>
      <c r="L87" s="3898"/>
      <c r="M87" s="583">
        <v>5</v>
      </c>
      <c r="N87" s="543" t="s">
        <v>1986</v>
      </c>
      <c r="O87" s="981"/>
      <c r="P87" s="980"/>
      <c r="Q87" s="2549" t="str">
        <f>IF(OR($O87=$M87,$O87=0,$O87=""),"","*CHECK!*")</f>
        <v/>
      </c>
      <c r="R87" s="1141" t="s">
        <v>2706</v>
      </c>
    </row>
    <row r="88" spans="1:21" s="472" customFormat="1" ht="12" customHeight="1">
      <c r="A88" s="672" t="s">
        <v>1353</v>
      </c>
      <c r="B88" s="504" t="s">
        <v>1988</v>
      </c>
      <c r="C88" s="450" t="s">
        <v>3963</v>
      </c>
      <c r="D88" s="450"/>
      <c r="E88" s="450"/>
      <c r="F88" s="450"/>
      <c r="G88" s="450"/>
      <c r="H88" s="2597" t="str">
        <f>IF(AND(O88&gt;0,O87&gt;0),"Pick A1 or A2!","")</f>
        <v/>
      </c>
      <c r="I88" s="3899"/>
      <c r="J88" s="3900"/>
      <c r="K88" s="3900"/>
      <c r="L88" s="3901"/>
      <c r="M88" s="73">
        <v>4</v>
      </c>
      <c r="N88" s="499" t="s">
        <v>1988</v>
      </c>
      <c r="O88" s="598"/>
      <c r="P88" s="612"/>
      <c r="Q88" s="2549" t="str">
        <f>IF(OR($O88=$M88,$O88=0,$O88=""),"","*CHECK!*")</f>
        <v/>
      </c>
      <c r="R88" s="1141" t="s">
        <v>2706</v>
      </c>
    </row>
    <row r="89" spans="1:21" s="472" customFormat="1" ht="12" customHeight="1">
      <c r="B89" s="504" t="s">
        <v>2534</v>
      </c>
      <c r="C89" s="450" t="s">
        <v>3751</v>
      </c>
      <c r="D89" s="450"/>
      <c r="E89" s="450"/>
      <c r="F89" s="450"/>
      <c r="I89" s="3899"/>
      <c r="J89" s="3900"/>
      <c r="K89" s="3900"/>
      <c r="L89" s="3901"/>
      <c r="M89" s="73">
        <v>1</v>
      </c>
      <c r="N89" s="499" t="s">
        <v>2534</v>
      </c>
      <c r="O89" s="599"/>
      <c r="P89" s="613"/>
      <c r="Q89" s="2549" t="str">
        <f>IF(OR($O89=$M89,$O89=0,$O89=""),"","*CHECK!*")</f>
        <v/>
      </c>
      <c r="R89" s="1141" t="s">
        <v>2706</v>
      </c>
    </row>
    <row r="90" spans="1:21" s="472" customFormat="1" ht="12" customHeight="1">
      <c r="B90" s="504"/>
      <c r="C90" s="969" t="s">
        <v>4095</v>
      </c>
      <c r="D90" s="450"/>
      <c r="E90" s="450"/>
      <c r="F90" s="2462" t="str">
        <f>'Part I-Project Information'!$H$82</f>
        <v>Family</v>
      </c>
      <c r="G90" s="969"/>
      <c r="H90" s="2462"/>
      <c r="I90" s="3899"/>
      <c r="J90" s="3900"/>
      <c r="K90" s="3900"/>
      <c r="L90" s="3901"/>
      <c r="M90" s="105"/>
      <c r="N90" s="105"/>
      <c r="O90" s="105"/>
      <c r="P90" s="105"/>
      <c r="Q90" s="1179"/>
      <c r="R90" s="1395"/>
    </row>
    <row r="91" spans="1:21" s="472" customFormat="1" ht="12" customHeight="1">
      <c r="B91" s="504"/>
      <c r="C91" s="969"/>
      <c r="D91" s="450"/>
      <c r="E91" s="450"/>
      <c r="F91" s="2462"/>
      <c r="G91" s="969"/>
      <c r="H91" s="2462"/>
      <c r="I91" s="3902"/>
      <c r="J91" s="3903"/>
      <c r="K91" s="3903"/>
      <c r="L91" s="3904"/>
      <c r="M91" s="105"/>
      <c r="N91" s="105"/>
      <c r="O91" s="105"/>
      <c r="P91" s="105"/>
      <c r="Q91" s="1179"/>
      <c r="R91" s="1395"/>
    </row>
    <row r="92" spans="1:21" s="472" customFormat="1" ht="12" customHeight="1">
      <c r="A92" s="147" t="s">
        <v>1985</v>
      </c>
      <c r="B92" s="1394" t="s">
        <v>3752</v>
      </c>
      <c r="C92" s="736"/>
      <c r="D92" s="736"/>
      <c r="E92" s="736"/>
      <c r="F92" s="1354" t="s">
        <v>3858</v>
      </c>
      <c r="I92" s="4111" t="s">
        <v>3748</v>
      </c>
      <c r="J92" s="4112"/>
      <c r="K92" s="4112"/>
      <c r="L92" s="4071" t="s">
        <v>3749</v>
      </c>
      <c r="M92" s="2596">
        <v>3</v>
      </c>
      <c r="N92" s="527" t="s">
        <v>1985</v>
      </c>
      <c r="O92" s="1177">
        <f>IF($J$72="Flexible",MIN($M92,O95+O96+O97),0)</f>
        <v>0</v>
      </c>
      <c r="P92" s="1177">
        <f>IF($J$72="Flexible",MIN($M92,P95+P96+P97),0)</f>
        <v>0</v>
      </c>
      <c r="Q92" s="584"/>
      <c r="R92" s="448"/>
    </row>
    <row r="93" spans="1:21" s="43" customFormat="1" ht="11.25" customHeight="1">
      <c r="A93" s="157"/>
      <c r="B93" s="446" t="s">
        <v>3783</v>
      </c>
      <c r="C93" s="192" t="s">
        <v>4824</v>
      </c>
      <c r="D93" s="1357"/>
      <c r="E93" s="105"/>
      <c r="F93" s="105"/>
      <c r="G93" s="105"/>
      <c r="H93" s="45"/>
      <c r="I93" s="4113"/>
      <c r="J93" s="4114"/>
      <c r="K93" s="4114"/>
      <c r="L93" s="4072"/>
      <c r="M93" s="105"/>
      <c r="N93" s="446" t="s">
        <v>3783</v>
      </c>
      <c r="O93" s="1174"/>
      <c r="P93" s="1084"/>
      <c r="Q93" s="112"/>
      <c r="R93" s="448"/>
      <c r="S93" s="472"/>
      <c r="T93" s="472"/>
      <c r="U93" s="472"/>
    </row>
    <row r="94" spans="1:21" s="43" customFormat="1" ht="11.25" customHeight="1">
      <c r="A94" s="157"/>
      <c r="B94" s="446" t="s">
        <v>3784</v>
      </c>
      <c r="C94" s="192" t="s">
        <v>4823</v>
      </c>
      <c r="D94" s="1357"/>
      <c r="E94" s="105"/>
      <c r="F94" s="105"/>
      <c r="G94" s="105"/>
      <c r="H94" s="45"/>
      <c r="I94" s="4082" t="s">
        <v>4825</v>
      </c>
      <c r="J94" s="4083"/>
      <c r="K94" s="4083"/>
      <c r="L94" s="4084"/>
      <c r="M94" s="105"/>
      <c r="N94" s="446" t="s">
        <v>3784</v>
      </c>
      <c r="O94" s="239"/>
      <c r="P94" s="619"/>
      <c r="Q94" s="112"/>
      <c r="R94" s="448"/>
      <c r="S94" s="472"/>
      <c r="T94" s="472"/>
      <c r="U94" s="472"/>
    </row>
    <row r="95" spans="1:21" s="472" customFormat="1" ht="12" customHeight="1">
      <c r="A95" s="142"/>
      <c r="B95" s="2612" t="s">
        <v>1986</v>
      </c>
      <c r="C95" s="3813" t="s">
        <v>3964</v>
      </c>
      <c r="D95" s="3813"/>
      <c r="E95" s="3813"/>
      <c r="F95" s="3813"/>
      <c r="G95" s="3813"/>
      <c r="H95" s="4076"/>
      <c r="I95" s="3961"/>
      <c r="J95" s="3962"/>
      <c r="K95" s="3962"/>
      <c r="L95" s="3963"/>
      <c r="M95" s="73">
        <v>3</v>
      </c>
      <c r="N95" s="499" t="s">
        <v>1986</v>
      </c>
      <c r="O95" s="598"/>
      <c r="P95" s="611"/>
      <c r="Q95" s="1179" t="str">
        <f>IF(OR($O95=$M95,$O95=0,$O95=""),"","*CHECK!*")</f>
        <v/>
      </c>
      <c r="R95" s="1395" t="s">
        <v>2706</v>
      </c>
    </row>
    <row r="96" spans="1:21" s="43" customFormat="1" ht="12" customHeight="1">
      <c r="A96" s="672" t="s">
        <v>1353</v>
      </c>
      <c r="B96" s="2612" t="s">
        <v>1988</v>
      </c>
      <c r="C96" s="3813" t="s">
        <v>3965</v>
      </c>
      <c r="D96" s="3813"/>
      <c r="E96" s="3813"/>
      <c r="F96" s="3813"/>
      <c r="G96" s="3813"/>
      <c r="H96" s="4076"/>
      <c r="I96" s="4082" t="s">
        <v>3598</v>
      </c>
      <c r="J96" s="4083"/>
      <c r="K96" s="4083"/>
      <c r="L96" s="4084"/>
      <c r="M96" s="73">
        <v>2</v>
      </c>
      <c r="N96" s="499" t="s">
        <v>1988</v>
      </c>
      <c r="O96" s="598"/>
      <c r="P96" s="612"/>
      <c r="Q96" s="1179" t="str">
        <f>IF(OR($O96=$M96,$O96=0,$O96=""),"","*CHECK!*")</f>
        <v/>
      </c>
      <c r="R96" s="1395" t="s">
        <v>2706</v>
      </c>
    </row>
    <row r="97" spans="1:18" s="43" customFormat="1" ht="14.25" customHeight="1">
      <c r="A97" s="672" t="s">
        <v>1353</v>
      </c>
      <c r="B97" s="2612" t="s">
        <v>2534</v>
      </c>
      <c r="C97" s="3813" t="s">
        <v>3966</v>
      </c>
      <c r="D97" s="3813"/>
      <c r="E97" s="3813"/>
      <c r="F97" s="3813"/>
      <c r="G97" s="3813"/>
      <c r="H97" s="4076"/>
      <c r="I97" s="3961"/>
      <c r="J97" s="3962"/>
      <c r="K97" s="3962"/>
      <c r="L97" s="3963"/>
      <c r="M97" s="73">
        <v>1</v>
      </c>
      <c r="N97" s="499" t="s">
        <v>2534</v>
      </c>
      <c r="O97" s="599"/>
      <c r="P97" s="613"/>
      <c r="Q97" s="1179" t="str">
        <f>IF(OR($O97=$M97,$O97=0,$O97=""),"","*CHECK!*")</f>
        <v/>
      </c>
      <c r="R97" s="1395" t="s">
        <v>2706</v>
      </c>
    </row>
    <row r="98" spans="1:18" s="43" customFormat="1" ht="14.25" customHeight="1">
      <c r="A98" s="1355"/>
      <c r="B98" s="2441"/>
      <c r="C98" s="2497"/>
      <c r="D98" s="2497"/>
      <c r="E98" s="2497"/>
      <c r="F98" s="3789" t="str">
        <f>IF(OR(AND(O95&gt;0,O96&gt;0,O97&gt;0),AND(O95&gt;0,O96&gt;0),AND(O95&gt;0,O97&gt;0),AND(O96&gt;0,O97&gt;0)),"Choose only one option: B1 or B2 or B3!","")</f>
        <v/>
      </c>
      <c r="G98" s="3789"/>
      <c r="H98" s="4081"/>
      <c r="I98" s="4082" t="s">
        <v>3599</v>
      </c>
      <c r="J98" s="4083"/>
      <c r="K98" s="4083"/>
      <c r="L98" s="4084"/>
      <c r="M98" s="105"/>
      <c r="N98" s="105"/>
      <c r="O98" s="105"/>
      <c r="P98" s="105"/>
      <c r="Q98" s="1179"/>
      <c r="R98" s="1395"/>
    </row>
    <row r="99" spans="1:18" s="43" customFormat="1" ht="12.6" customHeight="1">
      <c r="A99" s="587" t="s">
        <v>2787</v>
      </c>
      <c r="B99" s="184"/>
      <c r="E99" s="41"/>
      <c r="I99" s="3964"/>
      <c r="J99" s="3965"/>
      <c r="K99" s="3965"/>
      <c r="L99" s="3966"/>
      <c r="M99" s="73"/>
      <c r="N99" s="73"/>
      <c r="O99" s="73"/>
      <c r="P99" s="73"/>
      <c r="Q99" s="434"/>
      <c r="R99" s="434"/>
    </row>
    <row r="100" spans="1:18" s="105" customFormat="1" ht="12" customHeight="1">
      <c r="A100" s="142"/>
      <c r="B100" s="504" t="s">
        <v>1224</v>
      </c>
      <c r="C100" s="3860" t="s">
        <v>4933</v>
      </c>
      <c r="D100" s="3860"/>
      <c r="E100" s="3860"/>
      <c r="F100" s="3860"/>
      <c r="G100" s="3860"/>
      <c r="H100" s="3860"/>
      <c r="I100" s="184"/>
      <c r="J100" s="184"/>
      <c r="K100" s="184"/>
      <c r="L100" s="184"/>
      <c r="M100" s="73">
        <v>2</v>
      </c>
      <c r="N100" s="499" t="s">
        <v>1224</v>
      </c>
      <c r="O100" s="682"/>
      <c r="P100" s="978"/>
      <c r="Q100" s="1179" t="str">
        <f>IF(OR($O100=$M100,$O100=0,$O100=""),"","*CHECK!*")</f>
        <v/>
      </c>
      <c r="R100" s="1395" t="s">
        <v>2706</v>
      </c>
    </row>
    <row r="101" spans="1:18" s="105" customFormat="1" ht="12" customHeight="1">
      <c r="A101" s="142"/>
      <c r="B101" s="504"/>
      <c r="C101" s="3860"/>
      <c r="D101" s="3860"/>
      <c r="E101" s="3860"/>
      <c r="F101" s="3860"/>
      <c r="G101" s="3860"/>
      <c r="H101" s="3860"/>
      <c r="I101" s="184"/>
      <c r="J101" s="184"/>
      <c r="K101" s="184"/>
      <c r="L101" s="184"/>
      <c r="M101" s="184"/>
      <c r="N101" s="184"/>
      <c r="O101" s="184"/>
      <c r="P101" s="184"/>
      <c r="Q101" s="1179"/>
      <c r="R101" s="1395"/>
    </row>
    <row r="102" spans="1:18" s="43" customFormat="1" ht="12.6" customHeight="1">
      <c r="A102" s="36" t="s">
        <v>4098</v>
      </c>
      <c r="B102" s="184"/>
      <c r="E102" s="41"/>
      <c r="K102" s="48"/>
      <c r="M102" s="73"/>
      <c r="N102" s="73"/>
      <c r="O102" s="73"/>
      <c r="P102" s="73"/>
      <c r="Q102" s="434"/>
      <c r="R102" s="434"/>
    </row>
    <row r="103" spans="1:18" s="105" customFormat="1" ht="11.45" customHeight="1">
      <c r="A103" s="42"/>
      <c r="B103" s="100" t="s">
        <v>1866</v>
      </c>
      <c r="C103" s="42"/>
      <c r="D103" s="100"/>
      <c r="E103" s="1509"/>
      <c r="F103" s="1509"/>
      <c r="G103" s="1509"/>
      <c r="H103" s="1509"/>
      <c r="I103" s="1509"/>
      <c r="J103" s="1509"/>
      <c r="K103" s="1509"/>
      <c r="L103" s="1509"/>
      <c r="M103" s="1509"/>
      <c r="N103" s="95"/>
      <c r="O103" s="992"/>
      <c r="P103" s="1503"/>
      <c r="Q103" s="490"/>
    </row>
    <row r="104" spans="1:18" s="43" customFormat="1" ht="11.25" customHeight="1">
      <c r="A104" s="3603"/>
      <c r="B104" s="3604"/>
      <c r="C104" s="3604"/>
      <c r="D104" s="3604"/>
      <c r="E104" s="3604"/>
      <c r="F104" s="3604"/>
      <c r="G104" s="3604"/>
      <c r="H104" s="3604"/>
      <c r="I104" s="3604"/>
      <c r="J104" s="3604"/>
      <c r="K104" s="3604"/>
      <c r="L104" s="3604"/>
      <c r="M104" s="3604"/>
      <c r="N104" s="3604"/>
      <c r="O104" s="3604"/>
      <c r="P104" s="3605"/>
      <c r="Q104" s="509"/>
    </row>
    <row r="105" spans="1:18" ht="3" customHeight="1">
      <c r="B105" s="120"/>
      <c r="C105" s="120"/>
      <c r="D105" s="120"/>
      <c r="E105" s="120"/>
      <c r="R105" s="43"/>
    </row>
    <row r="106" spans="1:18" s="43" customFormat="1" ht="3" customHeight="1" thickBot="1">
      <c r="A106" s="42"/>
      <c r="D106" s="39"/>
      <c r="E106" s="36"/>
      <c r="F106" s="1011"/>
      <c r="G106" s="1011"/>
      <c r="H106" s="1011"/>
      <c r="I106" s="1011"/>
      <c r="J106" s="1021"/>
      <c r="K106" s="1021"/>
      <c r="L106" s="1021"/>
      <c r="M106" s="60"/>
      <c r="N106" s="1011"/>
      <c r="O106" s="1505"/>
      <c r="P106" s="3"/>
    </row>
    <row r="107" spans="1:18" s="43" customFormat="1" ht="12.75" customHeight="1" thickBot="1">
      <c r="A107" s="157" t="s">
        <v>1794</v>
      </c>
      <c r="B107" s="109" t="s">
        <v>3986</v>
      </c>
      <c r="D107" s="39"/>
      <c r="E107" s="36"/>
      <c r="F107" s="1011"/>
      <c r="G107" s="1011"/>
      <c r="H107" s="1011"/>
      <c r="I107" s="61" t="s">
        <v>3758</v>
      </c>
      <c r="J107" s="1021"/>
      <c r="K107" s="1021"/>
      <c r="L107" s="1021"/>
      <c r="M107" s="1503">
        <v>4</v>
      </c>
      <c r="N107" s="1011"/>
      <c r="O107" s="1329">
        <f>IF(AND(O109&gt;0,O115&gt;0),"AorB?",MIN($M$107,O109+O115+O137))</f>
        <v>0</v>
      </c>
      <c r="P107" s="1329">
        <f>IF(AND(P109&gt;0,P115&gt;0),"AorB?",MIN($M$107,P109+P115+P137))</f>
        <v>0</v>
      </c>
      <c r="Q107" s="112" t="s">
        <v>441</v>
      </c>
    </row>
    <row r="108" spans="1:18" s="43" customFormat="1" ht="1.5" customHeight="1" thickBot="1">
      <c r="A108" s="42"/>
      <c r="D108" s="39"/>
      <c r="E108" s="36"/>
      <c r="F108" s="1011"/>
      <c r="G108" s="1011"/>
      <c r="H108" s="1011"/>
      <c r="I108" s="1011"/>
      <c r="J108" s="1021"/>
      <c r="K108" s="1021"/>
      <c r="L108" s="1021"/>
      <c r="M108" s="60"/>
      <c r="N108" s="1011"/>
      <c r="O108" s="1505"/>
      <c r="P108" s="3"/>
    </row>
    <row r="109" spans="1:18" s="105" customFormat="1" ht="12.75" customHeight="1" thickBot="1">
      <c r="A109" s="198" t="s">
        <v>1983</v>
      </c>
      <c r="B109" s="989" t="s">
        <v>3987</v>
      </c>
      <c r="C109" s="94"/>
      <c r="D109" s="1326"/>
      <c r="E109" s="52" t="s">
        <v>4101</v>
      </c>
      <c r="G109" s="117"/>
      <c r="I109" s="527" t="s">
        <v>4095</v>
      </c>
      <c r="J109" s="1444" t="str">
        <f>'Part I-Project Information'!$H$82</f>
        <v>Family</v>
      </c>
      <c r="K109" s="1357"/>
      <c r="L109" s="434" t="str">
        <f>IF(OR($O109=$M109,$O109=0,$O109=""),"","* * Check Score! * *")</f>
        <v/>
      </c>
      <c r="M109" s="73">
        <v>3</v>
      </c>
      <c r="N109" s="527" t="s">
        <v>1983</v>
      </c>
      <c r="O109" s="1399"/>
      <c r="P109" s="1367"/>
      <c r="Q109" s="2549" t="str">
        <f>IF(OR($O109=$M109,$O109=0,$O109=""),"","*CHECK!*")</f>
        <v/>
      </c>
      <c r="R109" s="1141" t="s">
        <v>2706</v>
      </c>
    </row>
    <row r="110" spans="1:18" s="43" customFormat="1" ht="11.25" customHeight="1">
      <c r="A110" s="42"/>
      <c r="B110" s="55" t="s">
        <v>4619</v>
      </c>
      <c r="D110" s="39"/>
      <c r="E110" s="36"/>
      <c r="F110" s="1011"/>
      <c r="G110" s="1011"/>
      <c r="H110" s="1011"/>
      <c r="I110" s="1011"/>
      <c r="J110" s="1021"/>
      <c r="K110" s="1021"/>
      <c r="L110" s="1021"/>
      <c r="M110" s="60"/>
      <c r="N110" s="1011"/>
      <c r="O110" s="1505"/>
      <c r="P110" s="3"/>
    </row>
    <row r="111" spans="1:18" s="43" customFormat="1" ht="11.25" customHeight="1">
      <c r="A111" s="42"/>
      <c r="B111" s="2442" t="s">
        <v>1986</v>
      </c>
      <c r="C111" s="88" t="s">
        <v>5026</v>
      </c>
      <c r="D111" s="39"/>
      <c r="E111" s="36"/>
      <c r="F111" s="1011"/>
      <c r="G111" s="1011"/>
      <c r="H111" s="1011"/>
      <c r="I111" s="1011"/>
      <c r="J111" s="1021"/>
      <c r="K111" s="1021"/>
      <c r="L111" s="1021"/>
      <c r="M111" s="60"/>
      <c r="N111" s="1325" t="s">
        <v>1986</v>
      </c>
      <c r="O111" s="238"/>
      <c r="P111" s="617"/>
    </row>
    <row r="112" spans="1:18" s="43" customFormat="1" ht="11.25" customHeight="1">
      <c r="A112" s="42"/>
      <c r="B112" s="2442" t="s">
        <v>1988</v>
      </c>
      <c r="C112" s="88" t="s">
        <v>5027</v>
      </c>
      <c r="D112" s="39"/>
      <c r="E112" s="36"/>
      <c r="F112" s="1011"/>
      <c r="G112" s="1011"/>
      <c r="H112" s="1011"/>
      <c r="I112" s="1011"/>
      <c r="J112" s="1021"/>
      <c r="K112" s="1021"/>
      <c r="L112" s="1021"/>
      <c r="M112" s="60"/>
      <c r="N112" s="1325" t="s">
        <v>1988</v>
      </c>
      <c r="O112" s="239"/>
      <c r="P112" s="619"/>
    </row>
    <row r="113" spans="1:21" s="36" customFormat="1" ht="10.5" customHeight="1">
      <c r="A113" s="64"/>
      <c r="B113" s="2442" t="s">
        <v>2534</v>
      </c>
      <c r="C113" s="36" t="s">
        <v>4829</v>
      </c>
      <c r="E113" s="4100"/>
      <c r="F113" s="4101"/>
      <c r="G113" s="4101"/>
      <c r="H113" s="4101"/>
      <c r="I113" s="4101"/>
      <c r="J113" s="4101"/>
      <c r="K113" s="4101"/>
      <c r="L113" s="4101"/>
      <c r="M113" s="4101"/>
      <c r="N113" s="4101"/>
      <c r="O113" s="4101"/>
      <c r="P113" s="4102"/>
      <c r="Q113" s="1285"/>
      <c r="R113" s="1285"/>
      <c r="S113" s="1285"/>
      <c r="T113" s="1285"/>
    </row>
    <row r="114" spans="1:21" s="43" customFormat="1" ht="2.25" customHeight="1" thickBot="1">
      <c r="A114" s="42"/>
      <c r="D114" s="39"/>
      <c r="E114" s="36"/>
      <c r="F114" s="1011"/>
      <c r="G114" s="1011"/>
      <c r="H114" s="1011"/>
      <c r="I114" s="1011"/>
      <c r="J114" s="1021"/>
      <c r="K114" s="1021"/>
      <c r="L114" s="1021"/>
      <c r="M114" s="60"/>
      <c r="N114" s="1011"/>
      <c r="O114" s="2274"/>
      <c r="P114" s="3"/>
    </row>
    <row r="115" spans="1:21" s="105" customFormat="1" ht="12.75" customHeight="1" thickBot="1">
      <c r="A115" s="198" t="s">
        <v>1985</v>
      </c>
      <c r="B115" s="184" t="s">
        <v>3990</v>
      </c>
      <c r="D115" s="94"/>
      <c r="F115" s="52"/>
      <c r="G115" s="52"/>
      <c r="H115" s="94"/>
      <c r="I115" s="94"/>
      <c r="J115" s="94"/>
      <c r="K115" s="94"/>
      <c r="L115" s="434" t="str">
        <f>IF(OR($O115=$M115,$O115=0,$O115=""),"","* * Check Score! * *")</f>
        <v/>
      </c>
      <c r="M115" s="1197">
        <v>3</v>
      </c>
      <c r="N115" s="527" t="s">
        <v>1985</v>
      </c>
      <c r="O115" s="1399"/>
      <c r="P115" s="1367"/>
      <c r="Q115" s="2549" t="str">
        <f>IF(OR($O115=$M115,$O115=0,$O115=""),"","*CHECK!*")</f>
        <v/>
      </c>
      <c r="R115" s="1141" t="s">
        <v>2706</v>
      </c>
      <c r="S115" s="1285"/>
      <c r="T115" s="1285"/>
    </row>
    <row r="116" spans="1:21" s="105" customFormat="1" ht="10.5" customHeight="1">
      <c r="A116" s="198"/>
      <c r="B116" s="1012"/>
      <c r="C116" s="52" t="s">
        <v>3991</v>
      </c>
      <c r="D116" s="94"/>
      <c r="E116" s="52"/>
      <c r="F116" s="52"/>
      <c r="G116" s="52"/>
      <c r="H116" s="94"/>
      <c r="I116" s="94"/>
      <c r="J116" s="94"/>
      <c r="K116" s="94"/>
      <c r="L116" s="94"/>
      <c r="M116" s="1197"/>
      <c r="N116" s="1197"/>
      <c r="O116" s="113"/>
      <c r="P116" s="621"/>
      <c r="Q116" s="1285"/>
      <c r="R116" s="1285"/>
      <c r="S116" s="1285"/>
      <c r="T116" s="1285"/>
    </row>
    <row r="117" spans="1:21" s="105" customFormat="1" ht="10.5" customHeight="1">
      <c r="A117" s="198"/>
      <c r="B117" s="1012"/>
      <c r="C117" s="52" t="s">
        <v>3992</v>
      </c>
      <c r="D117" s="192" t="s">
        <v>4831</v>
      </c>
      <c r="F117" s="52"/>
      <c r="G117" s="52"/>
      <c r="H117" s="4074"/>
      <c r="I117" s="4074"/>
      <c r="J117" s="4074"/>
      <c r="K117" s="4074"/>
      <c r="L117" s="4074"/>
      <c r="M117" s="4074"/>
      <c r="N117" s="4074"/>
      <c r="O117" s="4074"/>
      <c r="P117" s="4074"/>
      <c r="Q117" s="1285"/>
      <c r="R117" s="1285"/>
      <c r="S117" s="1285"/>
      <c r="T117" s="1285"/>
    </row>
    <row r="118" spans="1:21" s="105" customFormat="1" ht="10.5" customHeight="1">
      <c r="A118" s="198"/>
      <c r="B118" s="52"/>
      <c r="C118" s="36" t="s">
        <v>3994</v>
      </c>
      <c r="D118" s="94"/>
      <c r="E118" s="52"/>
      <c r="F118" s="52"/>
      <c r="G118" s="52"/>
      <c r="H118" s="94"/>
      <c r="I118" s="94"/>
      <c r="J118" s="94"/>
      <c r="K118" s="94"/>
      <c r="L118" s="94"/>
      <c r="M118" s="494"/>
      <c r="N118" s="1188" t="s">
        <v>3783</v>
      </c>
      <c r="O118" s="1174"/>
      <c r="P118" s="1084"/>
      <c r="Q118" s="1285"/>
      <c r="R118" s="1285"/>
      <c r="S118" s="1285"/>
      <c r="T118" s="1285"/>
    </row>
    <row r="119" spans="1:21" s="36" customFormat="1" ht="10.5" customHeight="1">
      <c r="A119" s="64"/>
      <c r="B119" s="432"/>
      <c r="C119" s="36" t="s">
        <v>3995</v>
      </c>
      <c r="D119" s="52"/>
      <c r="E119" s="52"/>
      <c r="F119" s="52"/>
      <c r="G119" s="52"/>
      <c r="H119" s="52"/>
      <c r="I119" s="52"/>
      <c r="J119" s="52"/>
      <c r="K119" s="52"/>
      <c r="L119" s="52"/>
      <c r="M119" s="1508"/>
      <c r="N119" s="446" t="s">
        <v>3784</v>
      </c>
      <c r="O119" s="422"/>
      <c r="P119" s="618"/>
      <c r="Q119" s="1285"/>
      <c r="R119" s="1285"/>
      <c r="S119" s="1285"/>
      <c r="T119" s="1285"/>
    </row>
    <row r="120" spans="1:21" s="55" customFormat="1" ht="10.5" customHeight="1">
      <c r="A120" s="64"/>
      <c r="C120" s="55" t="s">
        <v>4129</v>
      </c>
      <c r="D120" s="478"/>
      <c r="E120" s="52"/>
      <c r="F120" s="52"/>
      <c r="G120" s="52"/>
      <c r="H120" s="478"/>
      <c r="J120" s="478"/>
      <c r="L120" s="3672" t="s">
        <v>3820</v>
      </c>
      <c r="M120" s="3672"/>
      <c r="N120" s="3672"/>
      <c r="O120" s="4085" t="s">
        <v>3819</v>
      </c>
      <c r="P120" s="4085"/>
      <c r="Q120" s="52"/>
    </row>
    <row r="121" spans="1:21" s="55" customFormat="1" ht="10.5" customHeight="1">
      <c r="A121" s="64"/>
      <c r="B121" s="433"/>
      <c r="C121" s="3967"/>
      <c r="D121" s="3968"/>
      <c r="E121" s="3968"/>
      <c r="F121" s="3968"/>
      <c r="G121" s="3968"/>
      <c r="H121" s="3968"/>
      <c r="I121" s="3968"/>
      <c r="J121" s="3968"/>
      <c r="K121" s="3969"/>
      <c r="L121" s="4098" t="s">
        <v>3701</v>
      </c>
      <c r="M121" s="4098"/>
      <c r="N121" s="4098"/>
      <c r="O121" s="4099"/>
      <c r="P121" s="4099"/>
      <c r="Q121" s="1346" t="str">
        <f>IF(O121&gt;15, "Too much!","")</f>
        <v/>
      </c>
    </row>
    <row r="122" spans="1:21" s="55" customFormat="1" ht="10.5" customHeight="1">
      <c r="A122" s="64"/>
      <c r="B122" s="447"/>
      <c r="C122" s="3970"/>
      <c r="D122" s="3971"/>
      <c r="E122" s="3971"/>
      <c r="F122" s="3971"/>
      <c r="G122" s="3971"/>
      <c r="H122" s="3971"/>
      <c r="I122" s="3971"/>
      <c r="J122" s="3971"/>
      <c r="K122" s="3972"/>
      <c r="L122" s="4096" t="s">
        <v>3701</v>
      </c>
      <c r="M122" s="4096"/>
      <c r="N122" s="4096"/>
      <c r="O122" s="4073"/>
      <c r="P122" s="4073"/>
      <c r="Q122" s="1346" t="str">
        <f>IF(O122&gt;15, "Too much!","")</f>
        <v/>
      </c>
    </row>
    <row r="123" spans="1:21" s="55" customFormat="1" ht="10.5" customHeight="1">
      <c r="A123" s="64"/>
      <c r="B123" s="433"/>
      <c r="C123" s="3970"/>
      <c r="D123" s="3971"/>
      <c r="E123" s="3971"/>
      <c r="F123" s="3971"/>
      <c r="G123" s="3971"/>
      <c r="H123" s="3971"/>
      <c r="I123" s="3971"/>
      <c r="J123" s="3971"/>
      <c r="K123" s="3972"/>
      <c r="L123" s="4096" t="s">
        <v>3701</v>
      </c>
      <c r="M123" s="4096"/>
      <c r="N123" s="4096"/>
      <c r="O123" s="4073"/>
      <c r="P123" s="4073"/>
      <c r="Q123" s="1346" t="str">
        <f>IF(O123&gt;15, "Too much!","")</f>
        <v/>
      </c>
    </row>
    <row r="124" spans="1:21" s="55" customFormat="1" ht="10.5" customHeight="1">
      <c r="A124" s="64"/>
      <c r="B124" s="446"/>
      <c r="C124" s="3973"/>
      <c r="D124" s="3974"/>
      <c r="E124" s="3974"/>
      <c r="F124" s="3974"/>
      <c r="G124" s="3974"/>
      <c r="H124" s="3974"/>
      <c r="I124" s="3974"/>
      <c r="J124" s="3974"/>
      <c r="K124" s="3975"/>
      <c r="L124" s="4077" t="s">
        <v>3701</v>
      </c>
      <c r="M124" s="4077"/>
      <c r="N124" s="4077"/>
      <c r="O124" s="4097"/>
      <c r="P124" s="4097"/>
      <c r="Q124" s="1346" t="str">
        <f>IF(O124&gt;15, "Too much!","")</f>
        <v/>
      </c>
    </row>
    <row r="125" spans="1:21" s="105" customFormat="1" ht="10.5" customHeight="1">
      <c r="B125" s="1012"/>
      <c r="C125" s="52" t="s">
        <v>3993</v>
      </c>
      <c r="D125" s="36" t="s">
        <v>3996</v>
      </c>
      <c r="E125" s="52"/>
      <c r="F125" s="52"/>
      <c r="G125" s="52"/>
      <c r="H125" s="94"/>
      <c r="I125" s="94"/>
      <c r="J125" s="94"/>
      <c r="K125" s="94"/>
      <c r="L125" s="94"/>
      <c r="M125" s="94"/>
      <c r="N125" s="1188" t="s">
        <v>3783</v>
      </c>
      <c r="O125" s="238"/>
      <c r="P125" s="617"/>
      <c r="Q125" s="563"/>
      <c r="R125" s="55"/>
      <c r="S125" s="55"/>
      <c r="T125" s="55"/>
      <c r="U125" s="55"/>
    </row>
    <row r="126" spans="1:21" s="105" customFormat="1" ht="10.5" customHeight="1">
      <c r="A126" s="198"/>
      <c r="B126" s="52"/>
      <c r="D126" s="36" t="s">
        <v>3997</v>
      </c>
      <c r="E126" s="52"/>
      <c r="F126" s="52"/>
      <c r="G126" s="52"/>
      <c r="H126" s="94"/>
      <c r="I126" s="94"/>
      <c r="J126" s="94"/>
      <c r="K126" s="94"/>
      <c r="L126" s="94"/>
      <c r="M126" s="494"/>
      <c r="N126" s="446" t="s">
        <v>3784</v>
      </c>
      <c r="O126" s="239"/>
      <c r="P126" s="619"/>
      <c r="Q126" s="563"/>
      <c r="R126" s="55"/>
      <c r="S126" s="55"/>
      <c r="T126" s="55"/>
      <c r="U126" s="55"/>
    </row>
    <row r="127" spans="1:21" s="36" customFormat="1" ht="10.5" customHeight="1">
      <c r="A127" s="64"/>
      <c r="B127" s="432"/>
      <c r="D127" s="55" t="s">
        <v>4830</v>
      </c>
      <c r="E127" s="52"/>
      <c r="F127" s="52"/>
      <c r="G127" s="52"/>
      <c r="H127" s="52"/>
      <c r="I127" s="52"/>
      <c r="J127" s="52"/>
      <c r="K127" s="52"/>
      <c r="L127" s="52"/>
      <c r="M127" s="1508"/>
      <c r="N127" s="446" t="s">
        <v>3785</v>
      </c>
      <c r="Q127" s="52"/>
      <c r="R127" s="55"/>
      <c r="S127" s="55"/>
      <c r="T127" s="55"/>
      <c r="U127" s="55"/>
    </row>
    <row r="128" spans="1:21" s="55" customFormat="1" ht="10.5" customHeight="1">
      <c r="A128" s="64"/>
      <c r="B128" s="64"/>
      <c r="D128" s="64"/>
      <c r="E128" s="1021" t="s">
        <v>4161</v>
      </c>
      <c r="F128" s="64"/>
      <c r="L128" s="64"/>
      <c r="M128" s="64"/>
      <c r="N128" s="64"/>
      <c r="O128" s="238"/>
      <c r="P128" s="617"/>
      <c r="Q128" s="52"/>
    </row>
    <row r="129" spans="1:21" s="55" customFormat="1" ht="10.5" customHeight="1">
      <c r="A129" s="64"/>
      <c r="B129" s="64"/>
      <c r="D129" s="64"/>
      <c r="E129" s="1021" t="s">
        <v>4484</v>
      </c>
      <c r="F129" s="64"/>
      <c r="L129" s="64"/>
      <c r="M129" s="64"/>
      <c r="N129" s="64"/>
      <c r="O129" s="422"/>
      <c r="P129" s="618"/>
      <c r="Q129" s="52"/>
    </row>
    <row r="130" spans="1:21" s="55" customFormat="1" ht="10.5" customHeight="1">
      <c r="A130" s="64"/>
      <c r="B130" s="64"/>
      <c r="D130" s="64"/>
      <c r="E130" s="1021" t="s">
        <v>4163</v>
      </c>
      <c r="F130" s="64"/>
      <c r="L130" s="64"/>
      <c r="M130" s="64"/>
      <c r="N130" s="64"/>
      <c r="O130" s="422"/>
      <c r="P130" s="618"/>
      <c r="Q130" s="52"/>
    </row>
    <row r="131" spans="1:21" s="55" customFormat="1" ht="10.5" customHeight="1">
      <c r="A131" s="64"/>
      <c r="B131" s="64"/>
      <c r="D131" s="64"/>
      <c r="E131" s="1021" t="s">
        <v>4616</v>
      </c>
      <c r="F131" s="64"/>
      <c r="I131" s="1021"/>
      <c r="L131" s="64"/>
      <c r="M131" s="64"/>
      <c r="N131" s="64"/>
      <c r="O131" s="2275"/>
      <c r="P131" s="1035"/>
      <c r="Q131" s="52"/>
    </row>
    <row r="132" spans="1:21" s="55" customFormat="1" ht="10.5" customHeight="1">
      <c r="A132" s="64"/>
      <c r="B132" s="64"/>
      <c r="D132" s="64"/>
      <c r="E132" s="52" t="s">
        <v>4617</v>
      </c>
      <c r="F132" s="64"/>
      <c r="I132" s="1021"/>
      <c r="L132" s="64"/>
      <c r="M132" s="64"/>
      <c r="N132" s="64"/>
      <c r="O132" s="2275"/>
      <c r="P132" s="1035"/>
      <c r="Q132" s="52"/>
    </row>
    <row r="133" spans="1:21" s="55" customFormat="1" ht="10.5" customHeight="1">
      <c r="A133" s="64"/>
      <c r="B133" s="64"/>
      <c r="D133" s="64"/>
      <c r="E133" s="1021" t="s">
        <v>4618</v>
      </c>
      <c r="F133" s="64"/>
      <c r="I133" s="1021"/>
      <c r="L133" s="64"/>
      <c r="M133" s="64"/>
      <c r="N133" s="64"/>
      <c r="O133" s="2275"/>
      <c r="P133" s="1035"/>
      <c r="Q133" s="52"/>
    </row>
    <row r="134" spans="1:21" s="55" customFormat="1" ht="10.5" customHeight="1">
      <c r="A134" s="64"/>
      <c r="B134" s="64"/>
      <c r="D134" s="64"/>
      <c r="E134" s="4078" t="s">
        <v>4167</v>
      </c>
      <c r="F134" s="4079"/>
      <c r="G134" s="4079"/>
      <c r="H134" s="4079"/>
      <c r="I134" s="4079"/>
      <c r="J134" s="4079"/>
      <c r="K134" s="4079"/>
      <c r="L134" s="4080"/>
      <c r="M134" s="64"/>
      <c r="N134" s="64"/>
      <c r="O134" s="239"/>
      <c r="P134" s="619"/>
      <c r="Q134" s="52"/>
    </row>
    <row r="135" spans="1:21" s="105" customFormat="1" ht="10.5" customHeight="1">
      <c r="A135" s="198"/>
      <c r="B135" s="52"/>
      <c r="D135" s="36" t="s">
        <v>4832</v>
      </c>
      <c r="E135" s="52"/>
      <c r="F135" s="52"/>
      <c r="G135" s="52"/>
      <c r="H135" s="94"/>
      <c r="I135" s="94"/>
      <c r="J135" s="94"/>
      <c r="K135" s="94"/>
      <c r="L135" s="94"/>
      <c r="M135" s="494"/>
      <c r="N135" s="446" t="s">
        <v>3787</v>
      </c>
      <c r="O135" s="239"/>
      <c r="P135" s="619"/>
      <c r="Q135" s="563"/>
      <c r="R135" s="55"/>
      <c r="S135" s="55"/>
      <c r="T135" s="55"/>
      <c r="U135" s="55"/>
    </row>
    <row r="136" spans="1:21" s="472" customFormat="1" ht="3" customHeight="1" thickBot="1">
      <c r="A136" s="676"/>
      <c r="B136" s="991"/>
      <c r="C136" s="1513"/>
      <c r="D136" s="1513"/>
      <c r="E136" s="1513"/>
      <c r="F136" s="1513"/>
      <c r="G136" s="1513"/>
      <c r="H136" s="1513"/>
      <c r="I136" s="1513"/>
      <c r="J136" s="1513"/>
      <c r="K136" s="1513"/>
      <c r="L136" s="1513"/>
      <c r="M136" s="605"/>
      <c r="N136" s="606"/>
      <c r="O136" s="1525"/>
      <c r="P136" s="606"/>
      <c r="Q136" s="1119"/>
    </row>
    <row r="137" spans="1:21" s="105" customFormat="1" ht="12.75" customHeight="1" thickBot="1">
      <c r="A137" s="198" t="s">
        <v>749</v>
      </c>
      <c r="B137" s="989" t="s">
        <v>3821</v>
      </c>
      <c r="D137" s="52"/>
      <c r="F137" s="52"/>
      <c r="G137" s="52"/>
      <c r="H137" s="52"/>
      <c r="I137" s="52"/>
      <c r="J137" s="52"/>
      <c r="K137" s="52"/>
      <c r="L137" s="434" t="str">
        <f>IF(OR($O137=$M137,$O137=0,$O137=""),"","* * Check Score! * *")</f>
        <v/>
      </c>
      <c r="M137" s="1197">
        <v>1</v>
      </c>
      <c r="N137" s="1325" t="s">
        <v>1988</v>
      </c>
      <c r="O137" s="1399"/>
      <c r="P137" s="1367"/>
      <c r="Q137" s="2549" t="str">
        <f>IF(OR($O137=$M137,$O137=0,$O137=""),"","*CHECK!*")</f>
        <v/>
      </c>
      <c r="R137" s="1141" t="s">
        <v>2706</v>
      </c>
      <c r="S137" s="1285"/>
      <c r="T137" s="1285"/>
      <c r="U137" s="1285"/>
    </row>
    <row r="138" spans="1:21" s="36" customFormat="1" ht="10.5" customHeight="1">
      <c r="A138" s="64"/>
      <c r="C138" s="52" t="s">
        <v>3998</v>
      </c>
      <c r="D138" s="1514"/>
      <c r="E138" s="1514"/>
      <c r="F138" s="1514"/>
      <c r="G138" s="1514"/>
      <c r="H138" s="1514"/>
      <c r="I138" s="1514"/>
      <c r="J138" s="1514"/>
      <c r="K138" s="1514"/>
      <c r="L138" s="1514"/>
      <c r="M138" s="1508"/>
      <c r="N138" s="52"/>
      <c r="O138" s="113"/>
      <c r="P138" s="621"/>
      <c r="Q138" s="52"/>
      <c r="R138" s="1285"/>
      <c r="S138" s="1285"/>
      <c r="T138" s="1285"/>
      <c r="U138" s="1285"/>
    </row>
    <row r="139" spans="1:21" s="36" customFormat="1" ht="10.5" customHeight="1">
      <c r="A139" s="64"/>
      <c r="B139" s="1012"/>
      <c r="C139" s="3602" t="s">
        <v>4833</v>
      </c>
      <c r="D139" s="3602"/>
      <c r="E139" s="3602"/>
      <c r="F139" s="1514"/>
      <c r="G139" s="1021" t="s">
        <v>3999</v>
      </c>
      <c r="I139" s="1514"/>
      <c r="J139" s="1514"/>
      <c r="K139" s="1514"/>
      <c r="L139" s="1514"/>
      <c r="M139" s="65" t="s">
        <v>2435</v>
      </c>
      <c r="N139" s="446" t="s">
        <v>3783</v>
      </c>
      <c r="O139" s="1174"/>
      <c r="P139" s="1084"/>
      <c r="Q139" s="52"/>
      <c r="R139" s="1285"/>
      <c r="S139" s="1285"/>
      <c r="T139" s="1285"/>
      <c r="U139" s="1285"/>
    </row>
    <row r="140" spans="1:21" s="36" customFormat="1" ht="10.5" customHeight="1">
      <c r="A140" s="64"/>
      <c r="B140" s="432"/>
      <c r="C140" s="3602"/>
      <c r="D140" s="3602"/>
      <c r="E140" s="3602"/>
      <c r="F140" s="1514"/>
      <c r="G140" s="1021" t="s">
        <v>4000</v>
      </c>
      <c r="I140" s="1514"/>
      <c r="J140" s="1514"/>
      <c r="K140" s="1514"/>
      <c r="L140" s="1514"/>
      <c r="M140" s="1508"/>
      <c r="N140" s="1188" t="s">
        <v>3784</v>
      </c>
      <c r="O140" s="422"/>
      <c r="P140" s="618"/>
      <c r="Q140" s="52"/>
      <c r="R140" s="1285"/>
      <c r="S140" s="1285"/>
      <c r="T140" s="1285"/>
      <c r="U140" s="1285"/>
    </row>
    <row r="141" spans="1:21" s="36" customFormat="1" ht="10.5" customHeight="1">
      <c r="A141" s="65"/>
      <c r="B141" s="432"/>
      <c r="C141" s="3602"/>
      <c r="D141" s="3602"/>
      <c r="E141" s="3602"/>
      <c r="F141" s="1514"/>
      <c r="G141" s="1021" t="s">
        <v>4001</v>
      </c>
      <c r="I141" s="1514"/>
      <c r="J141" s="1514"/>
      <c r="K141" s="1514"/>
      <c r="L141" s="1514"/>
      <c r="M141" s="1508"/>
      <c r="N141" s="446" t="s">
        <v>3785</v>
      </c>
      <c r="O141" s="422"/>
      <c r="P141" s="618"/>
      <c r="Q141" s="52"/>
      <c r="R141" s="1285"/>
      <c r="S141" s="1285"/>
      <c r="T141" s="1285"/>
      <c r="U141" s="1285"/>
    </row>
    <row r="142" spans="1:21" s="36" customFormat="1" ht="10.5" customHeight="1">
      <c r="A142" s="64"/>
      <c r="B142" s="432"/>
      <c r="D142" s="1514"/>
      <c r="E142" s="1514"/>
      <c r="F142" s="1514"/>
      <c r="G142" s="1021" t="s">
        <v>4002</v>
      </c>
      <c r="I142" s="1514"/>
      <c r="J142" s="1514"/>
      <c r="K142" s="1514"/>
      <c r="L142" s="1514"/>
      <c r="M142" s="1508"/>
      <c r="N142" s="446" t="s">
        <v>3787</v>
      </c>
      <c r="O142" s="422"/>
      <c r="P142" s="618"/>
      <c r="Q142" s="52"/>
      <c r="R142" s="1285"/>
      <c r="S142" s="1285"/>
      <c r="T142" s="1285"/>
      <c r="U142" s="1285"/>
    </row>
    <row r="143" spans="1:21" s="36" customFormat="1" ht="10.5" customHeight="1">
      <c r="A143" s="64"/>
      <c r="B143" s="432"/>
      <c r="D143" s="1514"/>
      <c r="E143" s="1514"/>
      <c r="F143" s="1514"/>
      <c r="G143" s="1021" t="s">
        <v>4003</v>
      </c>
      <c r="I143" s="1514"/>
      <c r="J143" s="1514"/>
      <c r="K143" s="1514"/>
      <c r="L143" s="1514"/>
      <c r="M143" s="1508"/>
      <c r="N143" s="1188" t="s">
        <v>3788</v>
      </c>
      <c r="O143" s="239"/>
      <c r="P143" s="619"/>
      <c r="Q143" s="52"/>
    </row>
    <row r="144" spans="1:21" s="36" customFormat="1" ht="10.5" customHeight="1">
      <c r="A144" s="64"/>
      <c r="B144" s="1012"/>
      <c r="C144" s="1021" t="s">
        <v>4834</v>
      </c>
      <c r="D144" s="1514"/>
      <c r="E144" s="1514"/>
      <c r="F144" s="1514"/>
      <c r="G144" s="1514"/>
      <c r="H144" s="1514"/>
      <c r="I144" s="1514"/>
      <c r="J144" s="1514"/>
      <c r="K144" s="1514"/>
      <c r="L144" s="1514"/>
      <c r="M144" s="65"/>
      <c r="N144" s="65" t="s">
        <v>2436</v>
      </c>
      <c r="O144" s="542"/>
      <c r="P144" s="616"/>
      <c r="Q144" s="52"/>
    </row>
    <row r="145" spans="1:18" s="55" customFormat="1" ht="10.5" customHeight="1">
      <c r="A145" s="64"/>
      <c r="B145" s="504"/>
      <c r="C145" s="55" t="s">
        <v>3835</v>
      </c>
      <c r="D145" s="478"/>
      <c r="E145" s="52"/>
      <c r="F145" s="52"/>
      <c r="G145" s="55" t="s">
        <v>4134</v>
      </c>
      <c r="H145" s="478"/>
      <c r="M145" s="58"/>
      <c r="N145" s="58"/>
      <c r="O145" s="58"/>
      <c r="P145" s="58"/>
      <c r="Q145" s="52"/>
    </row>
    <row r="146" spans="1:18" s="55" customFormat="1" ht="10.5" customHeight="1">
      <c r="B146" s="433"/>
      <c r="C146" s="3967"/>
      <c r="D146" s="3968"/>
      <c r="E146" s="3968"/>
      <c r="F146" s="3969"/>
      <c r="G146" s="3967"/>
      <c r="H146" s="3968"/>
      <c r="I146" s="3968"/>
      <c r="J146" s="3968"/>
      <c r="K146" s="3968"/>
      <c r="L146" s="3968"/>
      <c r="M146" s="3968"/>
      <c r="N146" s="3968"/>
      <c r="O146" s="3968"/>
      <c r="P146" s="3969"/>
      <c r="Q146" s="52"/>
    </row>
    <row r="147" spans="1:18" s="55" customFormat="1" ht="10.5" customHeight="1">
      <c r="A147" s="64"/>
      <c r="B147" s="447"/>
      <c r="C147" s="3970"/>
      <c r="D147" s="3971"/>
      <c r="E147" s="3971"/>
      <c r="F147" s="3972"/>
      <c r="G147" s="3970"/>
      <c r="H147" s="3971"/>
      <c r="I147" s="3971"/>
      <c r="J147" s="3971"/>
      <c r="K147" s="3971"/>
      <c r="L147" s="3971"/>
      <c r="M147" s="3971"/>
      <c r="N147" s="3971"/>
      <c r="O147" s="3971"/>
      <c r="P147" s="3972"/>
      <c r="Q147" s="52"/>
    </row>
    <row r="148" spans="1:18" s="55" customFormat="1" ht="10.5" customHeight="1">
      <c r="A148" s="3514" t="s">
        <v>4168</v>
      </c>
      <c r="B148" s="3514"/>
      <c r="C148" s="3970"/>
      <c r="D148" s="3971"/>
      <c r="E148" s="3971"/>
      <c r="F148" s="3972"/>
      <c r="G148" s="3970"/>
      <c r="H148" s="3971"/>
      <c r="I148" s="3971"/>
      <c r="J148" s="3971"/>
      <c r="K148" s="3971"/>
      <c r="L148" s="3971"/>
      <c r="M148" s="3971"/>
      <c r="N148" s="3971"/>
      <c r="O148" s="3971"/>
      <c r="P148" s="3972"/>
      <c r="Q148" s="52"/>
    </row>
    <row r="149" spans="1:18" s="55" customFormat="1" ht="10.5" customHeight="1">
      <c r="A149" s="3514"/>
      <c r="B149" s="3514"/>
      <c r="C149" s="3973"/>
      <c r="D149" s="3974"/>
      <c r="E149" s="3974"/>
      <c r="F149" s="3975"/>
      <c r="G149" s="3973"/>
      <c r="H149" s="3974"/>
      <c r="I149" s="3974"/>
      <c r="J149" s="3974"/>
      <c r="K149" s="3974"/>
      <c r="L149" s="3974"/>
      <c r="M149" s="3974"/>
      <c r="N149" s="3974"/>
      <c r="O149" s="3974"/>
      <c r="P149" s="3975"/>
      <c r="Q149" s="52"/>
    </row>
    <row r="150" spans="1:18" s="43" customFormat="1" ht="4.5" customHeight="1">
      <c r="A150" s="4075"/>
      <c r="B150" s="4075"/>
      <c r="C150" s="101"/>
      <c r="D150" s="87"/>
      <c r="E150" s="102"/>
      <c r="F150" s="1506"/>
      <c r="G150" s="1506"/>
      <c r="H150" s="1506"/>
      <c r="I150" s="1506"/>
      <c r="J150" s="1506"/>
      <c r="K150" s="1506"/>
      <c r="L150" s="1506"/>
      <c r="M150" s="1506"/>
      <c r="N150" s="75"/>
      <c r="O150" s="71"/>
      <c r="P150" s="1503"/>
      <c r="Q150" s="490"/>
    </row>
    <row r="151" spans="1:18" s="43" customFormat="1" ht="11.25" customHeight="1">
      <c r="A151" s="3603"/>
      <c r="B151" s="3604"/>
      <c r="C151" s="3604"/>
      <c r="D151" s="3604"/>
      <c r="E151" s="3604"/>
      <c r="F151" s="3604"/>
      <c r="G151" s="3604"/>
      <c r="H151" s="3604"/>
      <c r="I151" s="3604"/>
      <c r="J151" s="3604"/>
      <c r="K151" s="3604"/>
      <c r="L151" s="3604"/>
      <c r="M151" s="3604"/>
      <c r="N151" s="3604"/>
      <c r="O151" s="3604"/>
      <c r="P151" s="3605"/>
      <c r="Q151" s="509"/>
    </row>
    <row r="152" spans="1:18" s="43" customFormat="1" ht="3" customHeight="1" thickBot="1">
      <c r="A152" s="42"/>
      <c r="C152" s="1506"/>
      <c r="D152" s="1506"/>
      <c r="E152" s="1506"/>
      <c r="F152" s="1506"/>
      <c r="G152" s="1506"/>
      <c r="H152" s="1506"/>
      <c r="I152" s="1506"/>
      <c r="J152" s="1506"/>
      <c r="K152" s="1506"/>
      <c r="L152" s="1506"/>
      <c r="M152" s="1506"/>
      <c r="N152" s="75"/>
      <c r="O152" s="71"/>
      <c r="P152" s="1011"/>
    </row>
    <row r="153" spans="1:18" s="43" customFormat="1" ht="13.5" customHeight="1" thickBot="1">
      <c r="A153" s="157" t="s">
        <v>530</v>
      </c>
      <c r="B153" s="109" t="s">
        <v>3970</v>
      </c>
      <c r="C153" s="1506"/>
      <c r="D153" s="1506"/>
      <c r="E153" s="1506"/>
      <c r="F153" s="1506"/>
      <c r="G153" s="1506"/>
      <c r="H153" s="1506"/>
      <c r="I153" s="1506"/>
      <c r="J153" s="1506"/>
      <c r="K153" s="1506"/>
      <c r="L153" s="1506"/>
      <c r="M153" s="1011">
        <v>5</v>
      </c>
      <c r="N153" s="75"/>
      <c r="O153" s="1329">
        <f>O155+O171</f>
        <v>0</v>
      </c>
      <c r="P153" s="1329">
        <f>P155+P171</f>
        <v>0</v>
      </c>
      <c r="Q153" s="112" t="s">
        <v>441</v>
      </c>
    </row>
    <row r="154" spans="1:18" s="43" customFormat="1" ht="9" customHeight="1">
      <c r="A154" s="42"/>
      <c r="C154" s="1506"/>
      <c r="D154" s="1506"/>
      <c r="E154" s="1506"/>
      <c r="F154" s="1506"/>
      <c r="G154" s="1506"/>
      <c r="H154" s="1506"/>
      <c r="I154" s="1506"/>
      <c r="J154" s="1506"/>
      <c r="K154" s="1506"/>
      <c r="L154" s="1506"/>
      <c r="M154" s="1506"/>
      <c r="N154" s="75"/>
      <c r="O154" s="71"/>
      <c r="P154" s="1011"/>
    </row>
    <row r="155" spans="1:18" s="105" customFormat="1" ht="13.5" customHeight="1">
      <c r="A155" s="198" t="s">
        <v>1983</v>
      </c>
      <c r="B155" s="10" t="s">
        <v>4007</v>
      </c>
      <c r="C155" s="94"/>
      <c r="D155" s="1326"/>
      <c r="E155" s="1326"/>
      <c r="G155" s="1357"/>
      <c r="H155" s="1357"/>
      <c r="I155" s="1357"/>
      <c r="J155" s="1357"/>
      <c r="K155" s="1357"/>
      <c r="L155" s="1357"/>
      <c r="M155" s="494">
        <v>3</v>
      </c>
      <c r="N155" s="194"/>
      <c r="O155" s="1360">
        <f>IF('Part VI-Revenues &amp; Expenses'!$O$67=0,0,IF(AND($F$160="Family",$U$166=3),3,IF($U$166=3,2,IF(OR($U$166=2,$U$166=1),1,0))))</f>
        <v>0</v>
      </c>
      <c r="P155" s="2550"/>
      <c r="R155" s="192"/>
    </row>
    <row r="156" spans="1:18" s="43" customFormat="1" ht="12" customHeight="1">
      <c r="B156" s="40" t="s">
        <v>3830</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73"/>
      <c r="P157" s="1473"/>
      <c r="R157" s="434"/>
    </row>
    <row r="158" spans="1:18" s="43" customFormat="1" ht="11.25" customHeight="1">
      <c r="A158" s="142"/>
      <c r="B158" s="3861" t="s">
        <v>5032</v>
      </c>
      <c r="C158" s="3861"/>
      <c r="D158" s="3861"/>
      <c r="E158" s="52" t="s">
        <v>3827</v>
      </c>
      <c r="F158" s="105"/>
      <c r="G158" s="52"/>
      <c r="H158" s="105"/>
      <c r="I158" s="4100"/>
      <c r="J158" s="4101"/>
      <c r="K158" s="4101"/>
      <c r="L158" s="4102"/>
    </row>
    <row r="159" spans="1:18" s="43" customFormat="1" ht="11.25" customHeight="1">
      <c r="A159" s="142"/>
      <c r="B159" s="3861"/>
      <c r="C159" s="3861"/>
      <c r="D159" s="3861"/>
      <c r="E159" s="40" t="s">
        <v>4837</v>
      </c>
      <c r="F159" s="434"/>
      <c r="G159" s="105"/>
      <c r="H159" s="105"/>
      <c r="I159" s="40"/>
      <c r="J159" s="1521"/>
      <c r="K159" s="1521"/>
      <c r="L159" s="1521"/>
      <c r="M159" s="105"/>
      <c r="N159" s="1359"/>
      <c r="O159" s="98"/>
      <c r="P159" s="615"/>
      <c r="Q159" s="137"/>
    </row>
    <row r="160" spans="1:18" s="43" customFormat="1" ht="12" customHeight="1">
      <c r="A160" s="42"/>
      <c r="C160" s="1506"/>
      <c r="D160" s="1506"/>
      <c r="E160" s="52" t="s">
        <v>4838</v>
      </c>
      <c r="F160" s="2615" t="str">
        <f>'Part I-Project Information'!$H$82</f>
        <v>Family</v>
      </c>
      <c r="H160" s="2614"/>
      <c r="I160" s="1506"/>
      <c r="J160" s="1506"/>
      <c r="M160" s="1506"/>
      <c r="N160" s="75"/>
      <c r="O160" s="4115" t="s">
        <v>5028</v>
      </c>
      <c r="P160" s="4115"/>
    </row>
    <row r="161" spans="1:24" s="55" customFormat="1" ht="3" customHeight="1">
      <c r="A161" s="1028"/>
      <c r="B161" s="492"/>
      <c r="O161" s="4116"/>
      <c r="P161" s="4116"/>
    </row>
    <row r="162" spans="1:24" s="43" customFormat="1" ht="12" customHeight="1">
      <c r="A162" s="433" t="s">
        <v>2435</v>
      </c>
      <c r="B162" s="114" t="s">
        <v>4836</v>
      </c>
      <c r="C162" s="2434"/>
      <c r="D162" s="2434"/>
      <c r="E162" s="52"/>
      <c r="F162" s="2435"/>
      <c r="G162" s="2435"/>
      <c r="I162" s="2434"/>
      <c r="J162" s="2434"/>
      <c r="K162" s="2434"/>
      <c r="L162" s="2434"/>
      <c r="M162" s="4122" t="s">
        <v>4835</v>
      </c>
      <c r="N162" s="75"/>
      <c r="O162" s="4116"/>
      <c r="P162" s="4116"/>
      <c r="T162" s="3671" t="s">
        <v>5066</v>
      </c>
    </row>
    <row r="163" spans="1:24" s="55" customFormat="1" ht="3" customHeight="1">
      <c r="A163" s="1028"/>
      <c r="B163" s="492"/>
      <c r="M163" s="4122"/>
      <c r="O163" s="4116"/>
      <c r="P163" s="4116"/>
      <c r="T163" s="3671"/>
    </row>
    <row r="164" spans="1:24" s="43" customFormat="1" ht="13.5" customHeight="1">
      <c r="A164" s="142"/>
      <c r="B164" s="632"/>
      <c r="C164" s="631"/>
      <c r="D164" s="631"/>
      <c r="E164" s="1522"/>
      <c r="H164" s="4119" t="s">
        <v>3825</v>
      </c>
      <c r="I164" s="4123" t="s">
        <v>3870</v>
      </c>
      <c r="J164" s="4124"/>
      <c r="K164" s="4125"/>
      <c r="L164" s="4122" t="s">
        <v>3824</v>
      </c>
      <c r="M164" s="4122"/>
      <c r="N164" s="2464"/>
      <c r="O164" s="4116"/>
      <c r="P164" s="4116"/>
      <c r="R164" s="4154" t="s">
        <v>5033</v>
      </c>
      <c r="T164" s="3671"/>
      <c r="U164" s="3848" t="s">
        <v>5065</v>
      </c>
    </row>
    <row r="165" spans="1:24" s="43" customFormat="1" ht="13.5" customHeight="1">
      <c r="A165" s="142"/>
      <c r="B165" s="640" t="s">
        <v>3822</v>
      </c>
      <c r="C165" s="1521"/>
      <c r="D165" s="4143" t="s">
        <v>3826</v>
      </c>
      <c r="E165" s="4143"/>
      <c r="F165" s="4143"/>
      <c r="G165" s="1517" t="s">
        <v>3398</v>
      </c>
      <c r="H165" s="3848"/>
      <c r="I165" s="595">
        <v>2015</v>
      </c>
      <c r="J165" s="595">
        <v>2016</v>
      </c>
      <c r="K165" s="595">
        <v>2017</v>
      </c>
      <c r="L165" s="3120"/>
      <c r="M165" s="3120"/>
      <c r="N165" s="2464"/>
      <c r="O165" s="4117"/>
      <c r="P165" s="4117"/>
      <c r="R165" s="4155"/>
      <c r="T165" s="3848"/>
      <c r="U165" s="3848"/>
    </row>
    <row r="166" spans="1:24" s="43" customFormat="1" ht="12" customHeight="1">
      <c r="B166" s="677" t="s">
        <v>4006</v>
      </c>
      <c r="D166" s="4129"/>
      <c r="E166" s="4130"/>
      <c r="F166" s="4131"/>
      <c r="G166" s="1274"/>
      <c r="H166" s="679"/>
      <c r="I166" s="1199"/>
      <c r="J166" s="1200"/>
      <c r="K166" s="1200"/>
      <c r="L166" s="2439" t="str">
        <f>IF(I166+J166+K166=0,"",AVERAGE(I166,J166,K166))</f>
        <v/>
      </c>
      <c r="M166" s="725" t="str">
        <f>IF(L166="","",IF(L166&gt;R166,"Yes",IF(L166&lt;R166,"No","")))</f>
        <v/>
      </c>
      <c r="O166" s="238"/>
      <c r="P166" s="617"/>
      <c r="R166" s="2436">
        <v>73.400000000000006</v>
      </c>
      <c r="S166" s="54"/>
      <c r="T166" s="678">
        <f>IF(OR(M166="Yes",O166="Yes"),1,0)</f>
        <v>0</v>
      </c>
      <c r="U166" s="4145">
        <f>SUM(T166:T170)</f>
        <v>0</v>
      </c>
    </row>
    <row r="167" spans="1:24" s="43" customFormat="1" ht="12" customHeight="1">
      <c r="B167" s="677" t="s">
        <v>4169</v>
      </c>
      <c r="D167" s="4132"/>
      <c r="E167" s="4133"/>
      <c r="F167" s="4134"/>
      <c r="G167" s="1275"/>
      <c r="H167" s="680"/>
      <c r="I167" s="1201"/>
      <c r="J167" s="1202"/>
      <c r="K167" s="1202"/>
      <c r="L167" s="2438" t="str">
        <f>IF(I167+J167+K167=0,"",AVERAGE(I167,J167,K167))</f>
        <v/>
      </c>
      <c r="M167" s="726" t="str">
        <f>IF(L167="","",IF(L167&gt;R167,"Yes",IF(L167&lt;R167,"No","")))</f>
        <v/>
      </c>
      <c r="O167" s="422"/>
      <c r="P167" s="618"/>
      <c r="R167" s="2436">
        <v>72.099999999999994</v>
      </c>
      <c r="S167" s="54"/>
      <c r="T167" s="678">
        <f t="shared" ref="T167:T168" si="0">IF(OR(M167="Yes",O167="Yes"),1,0)</f>
        <v>0</v>
      </c>
      <c r="U167" s="4145"/>
    </row>
    <row r="168" spans="1:24" s="43" customFormat="1" ht="12" customHeight="1">
      <c r="A168" s="433"/>
      <c r="B168" s="677" t="s">
        <v>4004</v>
      </c>
      <c r="D168" s="4126"/>
      <c r="E168" s="4127"/>
      <c r="F168" s="4128"/>
      <c r="G168" s="1276"/>
      <c r="H168" s="681"/>
      <c r="I168" s="1203"/>
      <c r="J168" s="1204"/>
      <c r="K168" s="1204"/>
      <c r="L168" s="2437" t="str">
        <f>IF(I168+J168+K168=0,"",AVERAGE(I168,J168,K168))</f>
        <v/>
      </c>
      <c r="M168" s="727" t="str">
        <f>IF(L168="","",IF(L168&gt;R168,"Yes",IF(L168&lt;R168,"No","")))</f>
        <v/>
      </c>
      <c r="O168" s="239"/>
      <c r="P168" s="619"/>
      <c r="R168" s="2436">
        <v>73.3</v>
      </c>
      <c r="S168" s="54"/>
      <c r="T168" s="678">
        <f t="shared" si="0"/>
        <v>0</v>
      </c>
      <c r="U168" s="4145"/>
    </row>
    <row r="169" spans="1:24" s="43" customFormat="1" ht="1.5" customHeight="1">
      <c r="A169" s="433"/>
      <c r="B169" s="677"/>
      <c r="L169" s="2461"/>
    </row>
    <row r="170" spans="1:24" s="55" customFormat="1" ht="8.25" customHeight="1" thickBot="1">
      <c r="A170" s="1028"/>
      <c r="B170" s="492"/>
    </row>
    <row r="171" spans="1:24" s="105" customFormat="1" ht="13.5" customHeight="1" thickBot="1">
      <c r="A171" s="198" t="s">
        <v>1985</v>
      </c>
      <c r="B171" s="10" t="s">
        <v>4008</v>
      </c>
      <c r="C171" s="94"/>
      <c r="D171" s="1326"/>
      <c r="E171" s="1326"/>
      <c r="F171" s="61" t="s">
        <v>3391</v>
      </c>
      <c r="H171" s="40" t="s">
        <v>3871</v>
      </c>
      <c r="M171" s="494">
        <v>2</v>
      </c>
      <c r="N171" s="194"/>
      <c r="O171" s="1329">
        <f>IF(AND(I180="Yes",I181="Yes"),$H$181,IF(AND(I180="Yes",I181="No"),$H$180,0))</f>
        <v>0</v>
      </c>
      <c r="P171" s="1329">
        <f>IF(AND(J180="Yes",J181="Yes"),$H$181,IF(AND(J180="Yes",J181="No"),$H$180,0))</f>
        <v>0</v>
      </c>
      <c r="Q171" s="112"/>
      <c r="R171" s="1327"/>
    </row>
    <row r="172" spans="1:24" s="55" customFormat="1" ht="15" customHeight="1">
      <c r="E172" s="3914" t="s">
        <v>4171</v>
      </c>
      <c r="F172" s="3914" t="s">
        <v>3661</v>
      </c>
      <c r="G172" s="3917" t="s">
        <v>3399</v>
      </c>
      <c r="H172" s="3917"/>
      <c r="I172" s="3917"/>
      <c r="J172" s="3917"/>
      <c r="K172" s="3917"/>
      <c r="L172" s="3917"/>
      <c r="M172" s="3917"/>
      <c r="N172" s="3917"/>
      <c r="P172" s="1361"/>
      <c r="R172" s="52" t="s">
        <v>2833</v>
      </c>
      <c r="S172" s="36"/>
      <c r="T172" s="3905" t="str">
        <f>'Part I-Project Information'!$F$38</f>
        <v>Stonecrest</v>
      </c>
      <c r="U172" s="3906"/>
      <c r="V172" s="3906"/>
      <c r="W172" s="3906"/>
      <c r="X172" s="3907"/>
    </row>
    <row r="173" spans="1:24" s="55" customFormat="1" ht="13.5" customHeight="1">
      <c r="A173" s="47"/>
      <c r="B173" s="3928" t="s">
        <v>4011</v>
      </c>
      <c r="C173" s="3928"/>
      <c r="D173" s="3928"/>
      <c r="E173" s="3921"/>
      <c r="F173" s="3921"/>
      <c r="G173" s="3916" t="s">
        <v>4010</v>
      </c>
      <c r="H173" s="3916"/>
      <c r="I173" s="3916"/>
      <c r="J173" s="3916"/>
      <c r="K173" s="3916"/>
      <c r="L173" s="3916"/>
      <c r="M173" s="3916"/>
      <c r="N173" s="3916"/>
      <c r="O173" s="3914" t="s">
        <v>3662</v>
      </c>
      <c r="P173" s="3914"/>
      <c r="R173" s="52" t="s">
        <v>2834</v>
      </c>
      <c r="S173" s="36"/>
      <c r="T173" s="3856" t="str">
        <f>'Part I-Project Information'!$J$39</f>
        <v>DeKalb</v>
      </c>
      <c r="U173" s="3857"/>
      <c r="V173" s="3857"/>
      <c r="W173" s="3857"/>
      <c r="X173" s="3858"/>
    </row>
    <row r="174" spans="1:24" s="55" customFormat="1" ht="13.5" customHeight="1">
      <c r="A174" s="47"/>
      <c r="B174" s="4118" t="s">
        <v>3831</v>
      </c>
      <c r="C174" s="4118"/>
      <c r="D174" s="4118"/>
      <c r="E174" s="1518">
        <v>3000</v>
      </c>
      <c r="F174" s="1518">
        <v>6000</v>
      </c>
      <c r="G174" s="3911">
        <v>15000</v>
      </c>
      <c r="H174" s="3911"/>
      <c r="I174" s="3911"/>
      <c r="J174" s="3911"/>
      <c r="K174" s="3911"/>
      <c r="L174" s="3911"/>
      <c r="M174" s="3911"/>
      <c r="N174" s="3911"/>
      <c r="O174" s="3911">
        <v>20000</v>
      </c>
      <c r="P174" s="3911"/>
      <c r="R174" s="40" t="s">
        <v>2835</v>
      </c>
      <c r="S174" s="36"/>
      <c r="T174" s="3856" t="str">
        <f>'Part I-Project Information'!$O$40</f>
        <v>Atlanta-Sandy Springs-Marietta</v>
      </c>
      <c r="U174" s="3857"/>
      <c r="V174" s="3857"/>
      <c r="W174" s="3857"/>
      <c r="X174" s="3858"/>
    </row>
    <row r="175" spans="1:24" s="36" customFormat="1" ht="13.5" customHeight="1">
      <c r="A175" s="47"/>
      <c r="B175" s="4159" t="s">
        <v>4009</v>
      </c>
      <c r="C175" s="4159"/>
      <c r="D175" s="4159"/>
      <c r="E175" s="1516">
        <v>4500</v>
      </c>
      <c r="F175" s="1516">
        <v>9000</v>
      </c>
      <c r="G175" s="3915">
        <v>22500</v>
      </c>
      <c r="H175" s="3915"/>
      <c r="I175" s="3915"/>
      <c r="J175" s="3915"/>
      <c r="K175" s="3915"/>
      <c r="L175" s="3915"/>
      <c r="M175" s="3915"/>
      <c r="N175" s="3915"/>
      <c r="O175" s="3915">
        <v>30000</v>
      </c>
      <c r="P175" s="3915"/>
      <c r="R175" s="40" t="s">
        <v>3864</v>
      </c>
      <c r="T175" s="3856" t="str">
        <f>VLOOKUP('Part I-Project Information'!$J$39,'DCA Underwriting Assumptions'!$G$158:$J$317,4)</f>
        <v>MSA</v>
      </c>
      <c r="U175" s="3857"/>
      <c r="V175" s="3857"/>
      <c r="W175" s="3857"/>
      <c r="X175" s="3858"/>
    </row>
    <row r="176" spans="1:24" s="55" customFormat="1" ht="9" customHeight="1">
      <c r="A176" s="47"/>
      <c r="B176" s="47"/>
      <c r="C176" s="478"/>
      <c r="K176" s="595"/>
      <c r="L176" s="595"/>
    </row>
    <row r="177" spans="1:24" s="55" customFormat="1" ht="12" customHeight="1">
      <c r="B177" s="1026" t="s">
        <v>3865</v>
      </c>
      <c r="E177" s="1023"/>
      <c r="F177" s="1023"/>
      <c r="G177" s="1023"/>
      <c r="I177" s="1024"/>
      <c r="J177" s="1407"/>
      <c r="R177" s="36" t="s">
        <v>3627</v>
      </c>
      <c r="S177" s="36"/>
      <c r="T177" s="3918" t="str">
        <f>'Part I-Project Information'!$K$40</f>
        <v>Urban</v>
      </c>
      <c r="U177" s="3919"/>
      <c r="V177" s="3919"/>
      <c r="W177" s="3919"/>
      <c r="X177" s="3920"/>
    </row>
    <row r="178" spans="1:24" s="55" customFormat="1" ht="12" customHeight="1">
      <c r="A178" s="1028"/>
      <c r="B178" s="492" t="s">
        <v>3626</v>
      </c>
      <c r="H178" s="1027" t="str">
        <f>IF(I178&lt;I177,"Threshold not met!","")</f>
        <v/>
      </c>
      <c r="I178" s="1025"/>
      <c r="J178" s="1408"/>
      <c r="K178" s="1363" t="str">
        <f>IF(J178&lt;J177,"Threshold not met!","")</f>
        <v/>
      </c>
    </row>
    <row r="179" spans="1:24" s="55" customFormat="1" ht="8.25" customHeight="1">
      <c r="A179" s="1028"/>
      <c r="B179" s="492"/>
    </row>
    <row r="180" spans="1:24" s="55" customFormat="1" ht="11.25" customHeight="1">
      <c r="B180" s="666" t="s">
        <v>1986</v>
      </c>
      <c r="C180" s="36" t="s">
        <v>4170</v>
      </c>
      <c r="D180" s="1266"/>
      <c r="E180" s="1266"/>
      <c r="F180" s="1266"/>
      <c r="G180" s="1266"/>
      <c r="H180" s="1442" t="s">
        <v>1986</v>
      </c>
      <c r="I180" s="1439" t="str">
        <f>IF(OR(I177="",I178=""),"",IF(I178&gt;=I177,"Yes","No"))</f>
        <v/>
      </c>
      <c r="J180" s="1439" t="str">
        <f>IF(OR(J177="",J178=""),"",IF(J178&gt;=J177,"Yes","No"))</f>
        <v/>
      </c>
    </row>
    <row r="181" spans="1:24" s="55" customFormat="1" ht="11.25" customHeight="1">
      <c r="A181" s="1268" t="s">
        <v>1353</v>
      </c>
      <c r="B181" s="666" t="s">
        <v>1988</v>
      </c>
      <c r="C181" s="36" t="s">
        <v>4012</v>
      </c>
      <c r="D181" s="1522"/>
      <c r="E181" s="1522"/>
      <c r="F181" s="1522"/>
      <c r="H181" s="1442" t="s">
        <v>1988</v>
      </c>
      <c r="I181" s="1440" t="str">
        <f>IF(OR(I177="",I178=""),"",IF(I178&gt;=HLOOKUP(I177,$E$174:$P$175,2),"Yes","No"))</f>
        <v/>
      </c>
      <c r="J181" s="1440" t="str">
        <f>IF(OR(J177="",J178=""),"",IF(J178&gt;=HLOOKUP(J177,$E$174:$P$175,2),"Yes","No"))</f>
        <v/>
      </c>
    </row>
    <row r="182" spans="1:24" s="55" customFormat="1" ht="11.25" customHeight="1">
      <c r="B182" s="142"/>
      <c r="C182" s="492" t="s">
        <v>3887</v>
      </c>
      <c r="D182" s="1522"/>
      <c r="E182" s="1522"/>
      <c r="F182" s="1522"/>
      <c r="G182" s="1362"/>
      <c r="I182" s="1441">
        <f>IF(I178="",0,(I178/I177) - 1)</f>
        <v>0</v>
      </c>
      <c r="J182" s="1441">
        <f>IF(J178="",0,(J178/J177) - 1)</f>
        <v>0</v>
      </c>
      <c r="M182" s="595"/>
    </row>
    <row r="183" spans="1:24" s="55" customFormat="1" ht="9" customHeight="1">
      <c r="A183" s="47"/>
      <c r="B183" s="47"/>
      <c r="C183" s="478"/>
      <c r="F183" s="2597"/>
      <c r="K183" s="595"/>
      <c r="L183" s="595"/>
    </row>
    <row r="184" spans="1:24" s="43" customFormat="1" ht="10.5" customHeight="1" thickBot="1">
      <c r="A184" s="42"/>
      <c r="B184" s="1488" t="s">
        <v>3757</v>
      </c>
      <c r="C184" s="42"/>
      <c r="D184" s="48"/>
      <c r="E184" s="48"/>
      <c r="F184" s="48"/>
      <c r="G184" s="48"/>
      <c r="H184" s="36"/>
      <c r="I184" s="36"/>
      <c r="J184" s="36"/>
      <c r="K184" s="36"/>
      <c r="M184" s="46"/>
      <c r="N184" s="62"/>
      <c r="O184" s="3"/>
      <c r="P184" s="1505"/>
    </row>
    <row r="185" spans="1:24" s="43" customFormat="1" ht="21.75" customHeight="1" thickTop="1" thickBot="1">
      <c r="A185" s="3934"/>
      <c r="B185" s="3935"/>
      <c r="C185" s="3935"/>
      <c r="D185" s="3935"/>
      <c r="E185" s="3935"/>
      <c r="F185" s="3935"/>
      <c r="G185" s="3935"/>
      <c r="H185" s="3935"/>
      <c r="I185" s="3935"/>
      <c r="J185" s="3935"/>
      <c r="K185" s="3935"/>
      <c r="L185" s="3935"/>
      <c r="M185" s="3935"/>
      <c r="N185" s="3935"/>
      <c r="O185" s="3935"/>
      <c r="P185" s="3936"/>
      <c r="Q185" s="1291" t="s">
        <v>1254</v>
      </c>
    </row>
    <row r="186" spans="1:24" s="43" customFormat="1" ht="10.5" customHeight="1" thickTop="1">
      <c r="A186" s="42"/>
      <c r="B186" s="87" t="s">
        <v>1866</v>
      </c>
      <c r="C186" s="101"/>
      <c r="D186" s="87"/>
      <c r="E186" s="102"/>
      <c r="F186" s="1506"/>
      <c r="G186" s="1506"/>
      <c r="H186" s="1506"/>
      <c r="I186" s="1506"/>
      <c r="J186" s="1506"/>
      <c r="K186" s="1506"/>
      <c r="L186" s="1506"/>
      <c r="M186" s="1506"/>
      <c r="N186" s="75"/>
      <c r="O186" s="71"/>
      <c r="P186" s="1503"/>
      <c r="Q186" s="490"/>
    </row>
    <row r="187" spans="1:24" s="43" customFormat="1" ht="11.25" customHeight="1">
      <c r="A187" s="3603"/>
      <c r="B187" s="3604"/>
      <c r="C187" s="3604"/>
      <c r="D187" s="3604"/>
      <c r="E187" s="3604"/>
      <c r="F187" s="3604"/>
      <c r="G187" s="3604"/>
      <c r="H187" s="3604"/>
      <c r="I187" s="3604"/>
      <c r="J187" s="3604"/>
      <c r="K187" s="3604"/>
      <c r="L187" s="3604"/>
      <c r="M187" s="3604"/>
      <c r="N187" s="3604"/>
      <c r="O187" s="3604"/>
      <c r="P187" s="3605"/>
      <c r="Q187" s="509"/>
      <c r="U187" s="2467"/>
    </row>
    <row r="188" spans="1:24" s="43" customFormat="1" ht="3" customHeight="1" thickBot="1">
      <c r="A188" s="42"/>
      <c r="C188" s="1506"/>
      <c r="D188" s="1506"/>
      <c r="E188" s="1506"/>
      <c r="F188" s="1506"/>
      <c r="G188" s="1506"/>
      <c r="H188" s="1506"/>
      <c r="I188" s="1506"/>
      <c r="J188" s="1506"/>
      <c r="K188" s="1506"/>
      <c r="L188" s="1506"/>
      <c r="M188" s="1506"/>
      <c r="N188" s="75"/>
      <c r="O188" s="71"/>
      <c r="P188" s="1011"/>
    </row>
    <row r="189" spans="1:24" s="105" customFormat="1" ht="12.6" customHeight="1" thickBot="1">
      <c r="A189" s="157" t="s">
        <v>772</v>
      </c>
      <c r="B189" s="109" t="s">
        <v>4018</v>
      </c>
      <c r="C189" s="94"/>
      <c r="D189" s="59"/>
      <c r="E189" s="59"/>
      <c r="I189" s="1269"/>
      <c r="J189" s="1269"/>
      <c r="K189" s="668"/>
      <c r="L189" s="668"/>
      <c r="M189" s="1503">
        <v>7</v>
      </c>
      <c r="N189" s="7"/>
      <c r="O189" s="1328">
        <f>IF(OR(O$153&gt;0,O$277&gt;0),0,MIN($M$189,O205+O210))</f>
        <v>0</v>
      </c>
      <c r="P189" s="1329">
        <f>IF(OR(P$153&gt;0,P$277&gt;0),0,MIN($M$189,P205+P210))</f>
        <v>0</v>
      </c>
      <c r="Q189" s="112" t="s">
        <v>441</v>
      </c>
      <c r="R189" s="3922" t="s">
        <v>4845</v>
      </c>
      <c r="S189" s="3923"/>
    </row>
    <row r="190" spans="1:24" s="43" customFormat="1" ht="2.25" customHeight="1">
      <c r="A190" s="493"/>
      <c r="C190" s="184"/>
      <c r="D190" s="184"/>
      <c r="E190" s="192"/>
      <c r="F190" s="184"/>
      <c r="G190" s="184"/>
      <c r="H190" s="184"/>
      <c r="I190" s="184"/>
      <c r="J190" s="184"/>
      <c r="K190" s="184"/>
      <c r="L190" s="184"/>
      <c r="M190" s="184"/>
      <c r="N190" s="184"/>
      <c r="O190" s="184"/>
      <c r="P190" s="184"/>
      <c r="R190" s="3924"/>
      <c r="S190" s="3925"/>
    </row>
    <row r="191" spans="1:24" s="43" customFormat="1" ht="23.25" customHeight="1">
      <c r="A191" s="493"/>
      <c r="B191" s="3813" t="s">
        <v>4845</v>
      </c>
      <c r="C191" s="3813"/>
      <c r="D191" s="3813"/>
      <c r="E191" s="3813"/>
      <c r="F191" s="3813"/>
      <c r="G191" s="3813"/>
      <c r="H191" s="3813"/>
      <c r="I191" s="3813"/>
      <c r="J191" s="3813"/>
      <c r="K191" s="3813"/>
      <c r="L191" s="3813"/>
      <c r="M191" s="3813"/>
      <c r="N191" s="3813"/>
      <c r="O191" s="3813"/>
      <c r="P191" s="3813"/>
      <c r="R191" s="3924"/>
      <c r="S191" s="3925"/>
    </row>
    <row r="192" spans="1:24" s="43" customFormat="1" ht="12" customHeight="1">
      <c r="A192" s="493"/>
      <c r="B192" s="184" t="s">
        <v>4135</v>
      </c>
      <c r="C192" s="184"/>
      <c r="D192" s="184"/>
      <c r="E192" s="184"/>
      <c r="F192" s="184"/>
      <c r="G192" s="184"/>
      <c r="H192" s="184"/>
      <c r="I192" s="184"/>
      <c r="J192" s="184"/>
      <c r="K192" s="1455" t="s">
        <v>2510</v>
      </c>
      <c r="L192" s="1456" t="s">
        <v>2510</v>
      </c>
      <c r="N192" s="1491"/>
      <c r="P192" s="1492"/>
      <c r="R192" s="3924"/>
      <c r="S192" s="3925"/>
    </row>
    <row r="193" spans="1:25" s="451" customFormat="1" ht="11.25" customHeight="1">
      <c r="B193" s="1188" t="s">
        <v>2435</v>
      </c>
      <c r="C193" s="3863" t="s">
        <v>4951</v>
      </c>
      <c r="D193" s="3863"/>
      <c r="E193" s="3863"/>
      <c r="F193" s="3863"/>
      <c r="G193" s="3863"/>
      <c r="H193" s="3863"/>
      <c r="I193" s="3863"/>
      <c r="J193" s="1188" t="s">
        <v>2435</v>
      </c>
      <c r="K193" s="1493"/>
      <c r="L193" s="1494"/>
      <c r="M193" s="3929" t="s">
        <v>3860</v>
      </c>
      <c r="N193" s="3930"/>
      <c r="O193" s="3930"/>
      <c r="P193" s="3931"/>
      <c r="R193" s="3924"/>
      <c r="S193" s="3925"/>
    </row>
    <row r="194" spans="1:25" s="43" customFormat="1" ht="11.25" customHeight="1">
      <c r="A194" s="431"/>
      <c r="B194" s="433"/>
      <c r="C194" s="3863"/>
      <c r="D194" s="3863"/>
      <c r="E194" s="3863"/>
      <c r="F194" s="3863"/>
      <c r="G194" s="3863"/>
      <c r="H194" s="3863"/>
      <c r="I194" s="3863"/>
      <c r="K194" s="1472"/>
      <c r="L194" s="1472"/>
      <c r="R194" s="3924"/>
      <c r="S194" s="3925"/>
    </row>
    <row r="195" spans="1:25" s="105" customFormat="1" ht="11.25" customHeight="1">
      <c r="A195" s="493"/>
      <c r="B195" s="433" t="s">
        <v>2436</v>
      </c>
      <c r="C195" s="3862" t="s">
        <v>4839</v>
      </c>
      <c r="D195" s="3862"/>
      <c r="E195" s="3862"/>
      <c r="F195" s="3862"/>
      <c r="G195" s="3862"/>
      <c r="J195" s="433" t="s">
        <v>2436</v>
      </c>
      <c r="K195" s="1495"/>
      <c r="L195" s="623"/>
      <c r="M195" s="4137" t="s">
        <v>3860</v>
      </c>
      <c r="N195" s="4138"/>
      <c r="O195" s="4138"/>
      <c r="P195" s="4139"/>
      <c r="R195" s="3924"/>
      <c r="S195" s="3925"/>
    </row>
    <row r="196" spans="1:25" s="33" customFormat="1" ht="11.25" customHeight="1">
      <c r="B196" s="433" t="s">
        <v>2437</v>
      </c>
      <c r="C196" s="558" t="s">
        <v>4840</v>
      </c>
      <c r="D196" s="558"/>
      <c r="E196" s="558"/>
      <c r="F196" s="558"/>
      <c r="G196" s="558"/>
      <c r="H196" s="558"/>
      <c r="J196" s="433" t="s">
        <v>2437</v>
      </c>
      <c r="K196" s="2533"/>
      <c r="L196" s="2534"/>
      <c r="M196" s="3908" t="s">
        <v>3860</v>
      </c>
      <c r="N196" s="3909"/>
      <c r="O196" s="3909"/>
      <c r="P196" s="3910"/>
      <c r="R196" s="3924"/>
      <c r="S196" s="3925"/>
    </row>
    <row r="197" spans="1:25" s="33" customFormat="1" ht="11.25" customHeight="1">
      <c r="B197" s="433" t="s">
        <v>2439</v>
      </c>
      <c r="C197" s="138" t="s">
        <v>4841</v>
      </c>
      <c r="D197" s="558"/>
      <c r="E197" s="558"/>
      <c r="F197" s="558"/>
      <c r="G197" s="558"/>
      <c r="H197" s="558"/>
      <c r="J197" s="433" t="s">
        <v>2439</v>
      </c>
      <c r="K197" s="2533"/>
      <c r="L197" s="2534"/>
      <c r="M197" s="3908" t="s">
        <v>3860</v>
      </c>
      <c r="N197" s="3909"/>
      <c r="O197" s="3909"/>
      <c r="P197" s="3910"/>
      <c r="R197" s="3924"/>
      <c r="S197" s="3925"/>
    </row>
    <row r="198" spans="1:25" s="33" customFormat="1" ht="11.25" customHeight="1">
      <c r="B198" s="433" t="s">
        <v>2438</v>
      </c>
      <c r="C198" s="52" t="s">
        <v>4843</v>
      </c>
      <c r="D198" s="52"/>
      <c r="E198" s="52"/>
      <c r="F198" s="52"/>
      <c r="G198" s="52"/>
      <c r="H198" s="52"/>
      <c r="J198" s="433" t="s">
        <v>2438</v>
      </c>
      <c r="K198" s="2533"/>
      <c r="L198" s="2534"/>
      <c r="M198" s="3908" t="s">
        <v>3860</v>
      </c>
      <c r="N198" s="3909"/>
      <c r="O198" s="3909"/>
      <c r="P198" s="3910"/>
      <c r="R198" s="3924"/>
      <c r="S198" s="3925"/>
    </row>
    <row r="199" spans="1:25" s="33" customFormat="1" ht="11.25" customHeight="1">
      <c r="B199" s="446" t="s">
        <v>2455</v>
      </c>
      <c r="C199" s="52" t="s">
        <v>4842</v>
      </c>
      <c r="D199" s="558"/>
      <c r="E199" s="558"/>
      <c r="F199" s="558"/>
      <c r="G199" s="558"/>
      <c r="J199" s="446" t="s">
        <v>2455</v>
      </c>
      <c r="K199" s="2533"/>
      <c r="L199" s="2534"/>
      <c r="M199" s="4156" t="s">
        <v>3860</v>
      </c>
      <c r="N199" s="4157"/>
      <c r="O199" s="4157"/>
      <c r="P199" s="4158"/>
      <c r="R199" s="3924"/>
      <c r="S199" s="3925"/>
    </row>
    <row r="200" spans="1:25" s="33" customFormat="1" ht="11.25" customHeight="1">
      <c r="B200" s="446" t="s">
        <v>2456</v>
      </c>
      <c r="C200" s="3876" t="s">
        <v>4949</v>
      </c>
      <c r="D200" s="3876"/>
      <c r="E200" s="3876"/>
      <c r="F200" s="3876"/>
      <c r="G200" s="3876"/>
      <c r="H200" s="3876"/>
      <c r="I200" s="2551"/>
      <c r="J200" s="446" t="s">
        <v>2456</v>
      </c>
      <c r="K200" s="2533"/>
      <c r="L200" s="2534"/>
      <c r="R200" s="3924"/>
      <c r="S200" s="3925"/>
    </row>
    <row r="201" spans="1:25" s="43" customFormat="1" ht="11.25" customHeight="1">
      <c r="A201" s="431"/>
      <c r="B201" s="433"/>
      <c r="C201" s="3876"/>
      <c r="D201" s="3876"/>
      <c r="E201" s="3876"/>
      <c r="F201" s="3876"/>
      <c r="G201" s="3876"/>
      <c r="H201" s="3876"/>
      <c r="I201" s="2551"/>
      <c r="J201" s="446" t="s">
        <v>4950</v>
      </c>
      <c r="K201" s="2552"/>
      <c r="L201" s="2553"/>
      <c r="M201" s="558"/>
      <c r="N201" s="558"/>
      <c r="O201" s="558"/>
      <c r="P201" s="558"/>
      <c r="R201" s="3924"/>
      <c r="S201" s="3925"/>
    </row>
    <row r="202" spans="1:25" s="33" customFormat="1" ht="11.25" customHeight="1">
      <c r="B202" s="1188" t="s">
        <v>2457</v>
      </c>
      <c r="C202" s="3863" t="s">
        <v>4846</v>
      </c>
      <c r="D202" s="3863"/>
      <c r="E202" s="3863"/>
      <c r="F202" s="3863"/>
      <c r="G202" s="3863"/>
      <c r="H202" s="3863"/>
      <c r="I202" s="3863"/>
      <c r="J202" s="446" t="s">
        <v>2457</v>
      </c>
      <c r="K202" s="1496"/>
      <c r="L202" s="624"/>
      <c r="R202" s="3924"/>
      <c r="S202" s="3925"/>
    </row>
    <row r="203" spans="1:25" s="43" customFormat="1" ht="11.25" customHeight="1" thickBot="1">
      <c r="A203" s="431"/>
      <c r="B203" s="433"/>
      <c r="C203" s="3863"/>
      <c r="D203" s="3863"/>
      <c r="E203" s="3863"/>
      <c r="F203" s="3863"/>
      <c r="G203" s="3863"/>
      <c r="H203" s="3863"/>
      <c r="I203" s="3863"/>
      <c r="K203" s="1472"/>
      <c r="L203" s="1472"/>
      <c r="R203" s="3926"/>
      <c r="S203" s="3927"/>
    </row>
    <row r="204" spans="1:25" ht="4.5" customHeight="1">
      <c r="B204" s="446"/>
      <c r="C204" s="558"/>
      <c r="K204" s="40"/>
      <c r="M204" s="431"/>
      <c r="N204" s="431"/>
      <c r="O204" s="431"/>
      <c r="P204" s="431"/>
    </row>
    <row r="205" spans="1:25" ht="11.25" customHeight="1">
      <c r="A205" s="142" t="s">
        <v>1983</v>
      </c>
      <c r="B205" s="197" t="s">
        <v>4017</v>
      </c>
      <c r="H205" s="163"/>
      <c r="I205" s="495" t="s">
        <v>4844</v>
      </c>
      <c r="M205" s="494">
        <v>5</v>
      </c>
      <c r="N205" s="47" t="s">
        <v>1983</v>
      </c>
      <c r="O205" s="628">
        <f>IF(SUM(O206:O207)=$M$207,0,MIN($M$205,SUM(O206:O207)))</f>
        <v>0</v>
      </c>
      <c r="P205" s="628">
        <f>IF(SUM(P206:P207)=$M$207,0,MIN($M$205,SUM(P206:P207)))</f>
        <v>0</v>
      </c>
      <c r="Q205" s="1185"/>
      <c r="X205" s="431"/>
      <c r="Y205" s="433"/>
    </row>
    <row r="206" spans="1:25" ht="22.5" customHeight="1">
      <c r="A206" s="581"/>
      <c r="B206" s="674" t="s">
        <v>1986</v>
      </c>
      <c r="C206" s="3861" t="s">
        <v>4937</v>
      </c>
      <c r="D206" s="3861"/>
      <c r="E206" s="3861"/>
      <c r="F206" s="3861"/>
      <c r="G206" s="3861"/>
      <c r="H206" s="3861"/>
      <c r="I206" s="3861"/>
      <c r="J206" s="3861"/>
      <c r="K206" s="3861"/>
      <c r="L206" s="3861"/>
      <c r="M206" s="1393">
        <v>3</v>
      </c>
      <c r="N206" s="543" t="s">
        <v>1986</v>
      </c>
      <c r="O206" s="981"/>
      <c r="P206" s="980"/>
      <c r="Q206" s="2549" t="str">
        <f>IF(OR($O206=$M206,$O206=0,$O206=""),"","*CHECK!*")</f>
        <v/>
      </c>
      <c r="R206" s="1175" t="s">
        <v>2706</v>
      </c>
    </row>
    <row r="207" spans="1:25" ht="12" customHeight="1">
      <c r="A207" s="581"/>
      <c r="B207" s="674" t="s">
        <v>1988</v>
      </c>
      <c r="C207" s="1187" t="s">
        <v>4935</v>
      </c>
      <c r="D207" s="1187"/>
      <c r="E207" s="1187"/>
      <c r="F207" s="1187"/>
      <c r="G207" s="1187"/>
      <c r="H207" s="1187"/>
      <c r="I207" s="1187"/>
      <c r="J207" s="497" t="s">
        <v>3782</v>
      </c>
      <c r="K207" s="33"/>
      <c r="L207" s="2531" t="str">
        <f>'Part I-Project Information'!$N$39</f>
        <v>Yes</v>
      </c>
      <c r="M207" s="2499">
        <v>2</v>
      </c>
      <c r="N207" s="499" t="s">
        <v>1988</v>
      </c>
      <c r="O207" s="599"/>
      <c r="P207" s="613"/>
      <c r="Q207" s="1179" t="str">
        <f>IF(OR($O207=$M207,$O207=0,$O207=""),"","*CHECK!*")</f>
        <v/>
      </c>
      <c r="R207" s="1175" t="s">
        <v>2706</v>
      </c>
    </row>
    <row r="208" spans="1:25" ht="12" customHeight="1">
      <c r="A208" s="581"/>
      <c r="B208" s="674"/>
      <c r="C208" s="3862" t="s">
        <v>4936</v>
      </c>
      <c r="D208" s="3862"/>
      <c r="E208" s="3862"/>
      <c r="F208" s="3862"/>
      <c r="G208" s="3862"/>
      <c r="H208" s="3862"/>
      <c r="I208" s="2500"/>
      <c r="J208" s="497" t="s">
        <v>3576</v>
      </c>
      <c r="K208" s="2535"/>
      <c r="L208" s="2532" t="str">
        <f>'Part I-Project Information'!$O$38</f>
        <v>233.10</v>
      </c>
      <c r="M208" s="2501"/>
      <c r="N208" s="1393"/>
      <c r="O208" s="1393"/>
      <c r="P208" s="1393"/>
      <c r="Q208" s="1179"/>
      <c r="R208" s="1175"/>
    </row>
    <row r="209" spans="1:23" ht="12" customHeight="1">
      <c r="A209" s="581"/>
      <c r="B209" s="538"/>
      <c r="C209" s="3862"/>
      <c r="D209" s="3862"/>
      <c r="E209" s="3862"/>
      <c r="F209" s="3862"/>
      <c r="G209" s="3862"/>
      <c r="H209" s="3862"/>
      <c r="J209" s="497" t="s">
        <v>3375</v>
      </c>
      <c r="K209" s="33"/>
      <c r="L209" s="2530" t="str">
        <f>'Part IV-A-Uses of Funds'!$H$152</f>
        <v>DDA/QCT</v>
      </c>
      <c r="M209" s="2530"/>
      <c r="N209" s="27"/>
      <c r="O209" s="27"/>
      <c r="P209" s="27"/>
      <c r="R209" s="163"/>
    </row>
    <row r="210" spans="1:23" ht="12" customHeight="1">
      <c r="A210" s="142" t="s">
        <v>1985</v>
      </c>
      <c r="B210" s="197" t="s">
        <v>4847</v>
      </c>
      <c r="D210" s="33"/>
      <c r="F210" s="2474"/>
      <c r="K210" s="1443"/>
      <c r="L210" s="434" t="str">
        <f>IF(OR($O210=$M210,$O210=0,$O210=""),"","* * Check Score! * *")</f>
        <v/>
      </c>
      <c r="M210" s="494">
        <v>2</v>
      </c>
      <c r="N210" s="64" t="s">
        <v>1985</v>
      </c>
      <c r="O210" s="682"/>
      <c r="P210" s="979"/>
      <c r="Q210" s="1179" t="str">
        <f>IF(OR($O210=$M210,$O210=0,$O210=""),"","*CHECK!*")</f>
        <v/>
      </c>
      <c r="R210" s="1175" t="s">
        <v>2706</v>
      </c>
    </row>
    <row r="211" spans="1:23" s="43" customFormat="1" ht="9.75" customHeight="1">
      <c r="A211" s="142"/>
      <c r="B211" s="105"/>
      <c r="C211" s="36" t="s">
        <v>2794</v>
      </c>
      <c r="D211" s="39"/>
      <c r="E211" s="36"/>
      <c r="F211" s="1011"/>
      <c r="G211" s="105"/>
      <c r="H211" s="138"/>
      <c r="I211" s="105"/>
      <c r="J211" s="717" t="str">
        <f>'Part I-Project Information'!$H$105</f>
        <v>N/A - 4% Bond</v>
      </c>
      <c r="K211" s="1021"/>
      <c r="L211" s="105"/>
      <c r="M211" s="105"/>
      <c r="N211" s="105"/>
      <c r="O211" s="105"/>
      <c r="P211" s="105"/>
      <c r="T211" s="434" t="str">
        <f>IF(OR($O210=$M210,$O210=0,$O210=""),"","* * Check Score! * *")</f>
        <v/>
      </c>
      <c r="V211" s="1285"/>
      <c r="W211" s="1285"/>
    </row>
    <row r="212" spans="1:23" s="43" customFormat="1" ht="11.25" customHeight="1">
      <c r="A212" s="195"/>
      <c r="B212" s="194" t="s">
        <v>3783</v>
      </c>
      <c r="C212" s="36" t="s">
        <v>3861</v>
      </c>
      <c r="D212" s="105"/>
      <c r="E212" s="105"/>
      <c r="F212" s="105"/>
      <c r="G212" s="105"/>
      <c r="H212" s="105"/>
      <c r="I212" s="105"/>
      <c r="J212" s="3864"/>
      <c r="K212" s="3865"/>
      <c r="L212" s="3865"/>
      <c r="M212" s="3865"/>
      <c r="N212" s="3865"/>
      <c r="O212" s="3865"/>
      <c r="P212" s="3866"/>
      <c r="V212" s="1285"/>
      <c r="W212" s="1285"/>
    </row>
    <row r="213" spans="1:23" s="43" customFormat="1" ht="11.25" customHeight="1">
      <c r="A213" s="195"/>
      <c r="B213" s="527" t="s">
        <v>3784</v>
      </c>
      <c r="C213" s="497" t="s">
        <v>3862</v>
      </c>
      <c r="D213" s="105"/>
      <c r="E213" s="105"/>
      <c r="F213" s="105"/>
      <c r="G213" s="105"/>
      <c r="H213" s="105"/>
      <c r="I213" s="2408" t="str">
        <f>IF($J$213="Government", "Additional documentation required - see QAP.","")</f>
        <v/>
      </c>
      <c r="J213" s="3819" t="s">
        <v>2829</v>
      </c>
      <c r="K213" s="3912"/>
      <c r="L213" s="3913"/>
      <c r="M213" s="105"/>
      <c r="N213" s="105"/>
      <c r="O213" s="105"/>
      <c r="P213" s="105"/>
      <c r="V213" s="1285"/>
      <c r="W213" s="1285"/>
    </row>
    <row r="214" spans="1:23" ht="11.25" customHeight="1">
      <c r="A214" s="196"/>
      <c r="B214" s="527" t="s">
        <v>3785</v>
      </c>
      <c r="C214" s="497" t="s">
        <v>4852</v>
      </c>
      <c r="D214" s="33"/>
      <c r="E214" s="33"/>
      <c r="F214" s="673"/>
      <c r="G214" s="673"/>
      <c r="H214" s="673"/>
      <c r="I214" s="33"/>
      <c r="J214" s="238"/>
      <c r="K214" s="3867" t="s">
        <v>4849</v>
      </c>
      <c r="L214" s="3868"/>
      <c r="M214" s="3868"/>
      <c r="N214" s="3868"/>
      <c r="O214" s="2469"/>
      <c r="P214" s="94"/>
      <c r="V214" s="1285"/>
      <c r="W214" s="1285"/>
    </row>
    <row r="215" spans="1:23" ht="11.25" customHeight="1">
      <c r="A215" s="196"/>
      <c r="B215" s="446" t="s">
        <v>3787</v>
      </c>
      <c r="C215" s="497" t="s">
        <v>4848</v>
      </c>
      <c r="D215" s="33"/>
      <c r="E215" s="33"/>
      <c r="F215" s="673"/>
      <c r="G215" s="673"/>
      <c r="H215" s="673"/>
      <c r="I215" s="33"/>
      <c r="J215" s="422"/>
      <c r="K215" s="3867"/>
      <c r="L215" s="3868"/>
      <c r="M215" s="3868"/>
      <c r="N215" s="3868"/>
      <c r="O215" s="2473"/>
      <c r="P215" s="2470" t="s">
        <v>3790</v>
      </c>
      <c r="V215" s="1285"/>
      <c r="W215" s="1285"/>
    </row>
    <row r="216" spans="1:23" ht="11.25" customHeight="1">
      <c r="A216" s="196"/>
      <c r="B216" s="446" t="s">
        <v>3788</v>
      </c>
      <c r="C216" s="497" t="s">
        <v>4851</v>
      </c>
      <c r="D216" s="33"/>
      <c r="E216" s="33"/>
      <c r="F216" s="673"/>
      <c r="G216" s="673"/>
      <c r="H216" s="673"/>
      <c r="I216" s="33"/>
      <c r="J216" s="239"/>
      <c r="L216" s="2471" t="s">
        <v>4850</v>
      </c>
      <c r="N216" s="2472"/>
      <c r="O216" s="3869"/>
      <c r="P216" s="3870"/>
      <c r="V216" s="1285"/>
      <c r="W216" s="1285"/>
    </row>
    <row r="217" spans="1:23" ht="2.25" customHeight="1">
      <c r="A217" s="196"/>
      <c r="G217" s="450"/>
      <c r="L217" s="1409"/>
      <c r="V217" s="1285"/>
      <c r="W217" s="1285"/>
    </row>
    <row r="218" spans="1:23" ht="21.75" customHeight="1">
      <c r="A218" s="4164" t="s">
        <v>4175</v>
      </c>
      <c r="B218" s="4162" t="s">
        <v>4172</v>
      </c>
      <c r="C218" s="4163"/>
      <c r="D218" s="3087"/>
      <c r="E218" s="3088"/>
      <c r="F218" s="3088"/>
      <c r="G218" s="3088"/>
      <c r="H218" s="3088"/>
      <c r="I218" s="3088"/>
      <c r="J218" s="3088"/>
      <c r="K218" s="3088"/>
      <c r="L218" s="3088"/>
      <c r="M218" s="3088"/>
      <c r="N218" s="3088"/>
      <c r="O218" s="3088"/>
      <c r="P218" s="3090"/>
      <c r="Q218" s="509"/>
      <c r="V218" s="1285"/>
      <c r="W218" s="1285"/>
    </row>
    <row r="219" spans="1:23" ht="22.5" customHeight="1">
      <c r="A219" s="4165"/>
      <c r="B219" s="4160" t="s">
        <v>4173</v>
      </c>
      <c r="C219" s="4161"/>
      <c r="D219" s="3067"/>
      <c r="E219" s="3068"/>
      <c r="F219" s="3068"/>
      <c r="G219" s="3068"/>
      <c r="H219" s="3068"/>
      <c r="I219" s="3068"/>
      <c r="J219" s="3068"/>
      <c r="K219" s="3068"/>
      <c r="L219" s="3068"/>
      <c r="M219" s="3068"/>
      <c r="N219" s="3068"/>
      <c r="O219" s="3068"/>
      <c r="P219" s="3070"/>
      <c r="Q219" s="509"/>
      <c r="V219" s="1285"/>
      <c r="W219" s="1285"/>
    </row>
    <row r="220" spans="1:23" ht="22.5" customHeight="1">
      <c r="A220" s="4166"/>
      <c r="B220" s="4169" t="s">
        <v>4931</v>
      </c>
      <c r="C220" s="4170"/>
      <c r="D220" s="3074"/>
      <c r="E220" s="3075"/>
      <c r="F220" s="3075"/>
      <c r="G220" s="3075"/>
      <c r="H220" s="3075"/>
      <c r="I220" s="3075"/>
      <c r="J220" s="3075"/>
      <c r="K220" s="3075"/>
      <c r="L220" s="3075"/>
      <c r="M220" s="3075"/>
      <c r="N220" s="3075"/>
      <c r="O220" s="3075"/>
      <c r="P220" s="3077"/>
      <c r="Q220" s="509"/>
      <c r="V220" s="1285"/>
      <c r="W220" s="1285"/>
    </row>
    <row r="221" spans="1:23" ht="11.25" customHeight="1">
      <c r="B221" s="36" t="s">
        <v>3454</v>
      </c>
      <c r="G221" s="4142" t="s">
        <v>2629</v>
      </c>
      <c r="H221" s="4142"/>
      <c r="J221" s="4140"/>
      <c r="K221" s="4141"/>
      <c r="L221" s="4167"/>
      <c r="M221" s="4168"/>
      <c r="V221" s="1285"/>
      <c r="W221" s="1285"/>
    </row>
    <row r="222" spans="1:23" s="43" customFormat="1" ht="11.25" customHeight="1">
      <c r="C222" s="36" t="s">
        <v>3455</v>
      </c>
      <c r="D222" s="1506"/>
      <c r="G222" s="4171">
        <f>'Part IV-A-Uses of Funds'!$G$132</f>
        <v>18093801</v>
      </c>
      <c r="H222" s="4172"/>
      <c r="J222" s="4135">
        <f>IF($J221=0,0,$J221/$G$222)</f>
        <v>0</v>
      </c>
      <c r="K222" s="4136"/>
      <c r="L222" s="4135">
        <f>IF($L221=0,0,$L221/$G$222)</f>
        <v>0</v>
      </c>
      <c r="M222" s="4136"/>
      <c r="V222" s="1285"/>
      <c r="W222" s="1285"/>
    </row>
    <row r="223" spans="1:23" s="105" customFormat="1" ht="10.5" customHeight="1" thickBot="1">
      <c r="A223" s="42"/>
      <c r="B223" s="1488" t="s">
        <v>3757</v>
      </c>
      <c r="C223" s="42"/>
      <c r="D223" s="48"/>
      <c r="E223" s="48"/>
      <c r="F223" s="48"/>
      <c r="G223" s="48"/>
      <c r="H223" s="36"/>
      <c r="I223" s="36"/>
      <c r="J223" s="36"/>
      <c r="K223" s="36"/>
      <c r="M223" s="46"/>
      <c r="N223" s="6"/>
      <c r="O223" s="3"/>
      <c r="P223" s="1503"/>
    </row>
    <row r="224" spans="1:23" s="43" customFormat="1" ht="21.75" customHeight="1" thickTop="1" thickBot="1">
      <c r="A224" s="3934"/>
      <c r="B224" s="3935"/>
      <c r="C224" s="3935"/>
      <c r="D224" s="3935"/>
      <c r="E224" s="3935"/>
      <c r="F224" s="3935"/>
      <c r="G224" s="3935"/>
      <c r="H224" s="3935"/>
      <c r="I224" s="3935"/>
      <c r="J224" s="3935"/>
      <c r="K224" s="3935"/>
      <c r="L224" s="3935"/>
      <c r="M224" s="3935"/>
      <c r="N224" s="3935"/>
      <c r="O224" s="3935"/>
      <c r="P224" s="3936"/>
      <c r="Q224" s="1291" t="s">
        <v>1254</v>
      </c>
    </row>
    <row r="225" spans="1:23" s="105" customFormat="1" ht="11.45" customHeight="1" thickTop="1">
      <c r="A225" s="42"/>
      <c r="B225" s="100" t="s">
        <v>1866</v>
      </c>
      <c r="C225" s="42"/>
      <c r="D225" s="100"/>
      <c r="E225" s="1509"/>
      <c r="F225" s="1509"/>
      <c r="G225" s="1509"/>
      <c r="H225" s="1509"/>
      <c r="I225" s="1509"/>
      <c r="J225" s="1509"/>
      <c r="K225" s="1509"/>
      <c r="L225" s="1509"/>
      <c r="M225" s="1509"/>
      <c r="N225" s="95"/>
      <c r="O225" s="992"/>
      <c r="P225" s="1503"/>
      <c r="Q225" s="490"/>
    </row>
    <row r="226" spans="1:23" s="43" customFormat="1" ht="11.25" customHeight="1">
      <c r="A226" s="3603"/>
      <c r="B226" s="3604"/>
      <c r="C226" s="3604"/>
      <c r="D226" s="3604"/>
      <c r="E226" s="3604"/>
      <c r="F226" s="3604"/>
      <c r="G226" s="3604"/>
      <c r="H226" s="3604"/>
      <c r="I226" s="3604"/>
      <c r="J226" s="3604"/>
      <c r="K226" s="3604"/>
      <c r="L226" s="3604"/>
      <c r="M226" s="3604"/>
      <c r="N226" s="3604"/>
      <c r="O226" s="3604"/>
      <c r="P226" s="3605"/>
      <c r="Q226" s="509"/>
    </row>
    <row r="227" spans="1:23" s="43" customFormat="1" ht="3" customHeight="1" thickBot="1">
      <c r="A227" s="42"/>
      <c r="C227" s="1506"/>
      <c r="D227" s="1506"/>
      <c r="E227" s="1506"/>
      <c r="F227" s="1506"/>
      <c r="G227" s="1506"/>
      <c r="H227" s="1506"/>
      <c r="I227" s="1506"/>
      <c r="J227" s="1506"/>
      <c r="K227" s="1506"/>
      <c r="L227" s="1506"/>
      <c r="M227" s="1506"/>
      <c r="N227" s="75"/>
      <c r="O227" s="71"/>
      <c r="P227" s="1011"/>
    </row>
    <row r="228" spans="1:23" s="43" customFormat="1" ht="13.5" customHeight="1" thickBot="1">
      <c r="A228" s="157" t="s">
        <v>292</v>
      </c>
      <c r="B228" s="109" t="s">
        <v>4021</v>
      </c>
      <c r="C228" s="1506"/>
      <c r="D228" s="1506"/>
      <c r="E228" s="1506"/>
      <c r="F228" s="1506"/>
      <c r="G228" s="1506"/>
      <c r="H228" s="1506"/>
      <c r="I228" s="1506"/>
      <c r="J228" s="1506"/>
      <c r="M228" s="1011">
        <v>3</v>
      </c>
      <c r="N228" s="75"/>
      <c r="O228" s="71"/>
      <c r="P228" s="1367"/>
      <c r="Q228" s="112" t="s">
        <v>441</v>
      </c>
      <c r="R228" s="1175" t="s">
        <v>2706</v>
      </c>
    </row>
    <row r="229" spans="1:23" s="43" customFormat="1" ht="13.5" customHeight="1">
      <c r="A229" s="157"/>
      <c r="B229" s="106" t="s">
        <v>4614</v>
      </c>
      <c r="C229" s="2271"/>
      <c r="D229" s="2271"/>
      <c r="E229" s="2271"/>
      <c r="F229" s="2271"/>
      <c r="G229" s="2271"/>
      <c r="H229" s="2271"/>
      <c r="I229" s="2271"/>
      <c r="J229" s="2271"/>
      <c r="K229" s="2270"/>
      <c r="L229" s="2475" t="str">
        <f>IF(OR(O$153&gt;0,O$277&gt;0),"Applicant is ineligible for points in this section!  Points claimed in VI or IX.","")</f>
        <v/>
      </c>
      <c r="M229" s="1011"/>
      <c r="N229" s="75"/>
      <c r="O229" s="542"/>
      <c r="P229" s="2273"/>
      <c r="Q229" s="112"/>
      <c r="R229" s="1175"/>
    </row>
    <row r="230" spans="1:23" s="43" customFormat="1" ht="13.5" customHeight="1">
      <c r="A230" s="157"/>
      <c r="B230" s="117" t="s">
        <v>4023</v>
      </c>
      <c r="C230" s="2271"/>
      <c r="D230" s="2271"/>
      <c r="E230" s="2271"/>
      <c r="F230" s="2271"/>
      <c r="G230" s="2271"/>
      <c r="H230" s="2271"/>
      <c r="I230" s="2271"/>
      <c r="J230" s="2271"/>
      <c r="K230" s="1507" t="s">
        <v>3246</v>
      </c>
      <c r="L230" s="1507" t="s">
        <v>256</v>
      </c>
      <c r="M230" s="1011"/>
      <c r="N230" s="75"/>
      <c r="O230" s="71"/>
      <c r="P230" s="71"/>
      <c r="Q230" s="112"/>
      <c r="R230" s="1175"/>
    </row>
    <row r="231" spans="1:23" s="43" customFormat="1" ht="11.25" customHeight="1">
      <c r="A231" s="142"/>
      <c r="C231" s="55" t="s">
        <v>4859</v>
      </c>
      <c r="K231" s="1452">
        <f>$O$189</f>
        <v>0</v>
      </c>
      <c r="L231" s="1453">
        <f>$P$189</f>
        <v>0</v>
      </c>
      <c r="N231" s="527" t="s">
        <v>2435</v>
      </c>
      <c r="O231" s="238"/>
      <c r="P231" s="617"/>
      <c r="R231" s="434"/>
    </row>
    <row r="232" spans="1:23" s="43" customFormat="1" ht="11.25" customHeight="1">
      <c r="A232" s="142"/>
      <c r="C232" s="55" t="s">
        <v>4860</v>
      </c>
      <c r="K232" s="1452">
        <f>$O$107</f>
        <v>0</v>
      </c>
      <c r="L232" s="1453">
        <f>$P$107</f>
        <v>0</v>
      </c>
      <c r="N232" s="527" t="s">
        <v>2436</v>
      </c>
      <c r="O232" s="422"/>
      <c r="P232" s="618"/>
      <c r="R232" s="1285"/>
      <c r="S232" s="1285"/>
    </row>
    <row r="233" spans="1:23" s="43" customFormat="1" ht="11.25" customHeight="1">
      <c r="C233" s="55" t="s">
        <v>4861</v>
      </c>
      <c r="N233" s="527" t="s">
        <v>2437</v>
      </c>
      <c r="O233" s="239"/>
      <c r="P233" s="618"/>
      <c r="R233" s="1285"/>
      <c r="S233" s="1285"/>
    </row>
    <row r="234" spans="1:23" s="43" customFormat="1" ht="11.25" customHeight="1">
      <c r="A234" s="142"/>
      <c r="C234" s="55" t="s">
        <v>4027</v>
      </c>
      <c r="K234" s="2458" t="str">
        <f>'Part I-Project Information'!F38</f>
        <v>Stonecrest</v>
      </c>
      <c r="L234" s="2461"/>
      <c r="N234" s="527" t="s">
        <v>2438</v>
      </c>
      <c r="O234" s="527"/>
      <c r="P234" s="618"/>
      <c r="R234" s="1285"/>
      <c r="S234" s="1285"/>
    </row>
    <row r="235" spans="1:23" s="43" customFormat="1" ht="11.25" customHeight="1">
      <c r="A235" s="142"/>
      <c r="C235" s="55" t="s">
        <v>4953</v>
      </c>
      <c r="K235" s="1452">
        <f>$O$153</f>
        <v>0</v>
      </c>
      <c r="L235" s="1453">
        <f>$P$153</f>
        <v>0</v>
      </c>
      <c r="N235" s="527" t="s">
        <v>2439</v>
      </c>
      <c r="O235" s="238"/>
      <c r="P235" s="618"/>
      <c r="R235" s="1285"/>
      <c r="S235" s="1285"/>
    </row>
    <row r="236" spans="1:23" s="43" customFormat="1" ht="11.25" customHeight="1">
      <c r="A236" s="142"/>
      <c r="C236" s="55" t="s">
        <v>4952</v>
      </c>
      <c r="K236" s="1452">
        <f>$O$277</f>
        <v>0</v>
      </c>
      <c r="L236" s="1453">
        <f>$P$277</f>
        <v>0</v>
      </c>
      <c r="N236" s="527" t="s">
        <v>2438</v>
      </c>
      <c r="O236" s="239"/>
      <c r="P236" s="619"/>
      <c r="R236" s="1285"/>
      <c r="S236" s="1285"/>
    </row>
    <row r="237" spans="1:23" s="43" customFormat="1" ht="3" customHeight="1">
      <c r="A237" s="42"/>
      <c r="C237" s="1506"/>
      <c r="D237" s="1506"/>
      <c r="E237" s="1506"/>
      <c r="F237" s="1506"/>
      <c r="G237" s="1506"/>
      <c r="H237" s="1506"/>
      <c r="I237" s="1506"/>
      <c r="J237" s="1506"/>
      <c r="K237" s="1506"/>
      <c r="L237" s="1506"/>
      <c r="M237" s="1506"/>
      <c r="N237" s="75"/>
      <c r="O237" s="71"/>
      <c r="P237" s="1011"/>
    </row>
    <row r="238" spans="1:23" ht="11.25" customHeight="1">
      <c r="A238" s="142" t="s">
        <v>1983</v>
      </c>
      <c r="B238" s="197" t="s">
        <v>4030</v>
      </c>
      <c r="D238" s="33"/>
      <c r="G238" s="538" t="s">
        <v>3786</v>
      </c>
      <c r="N238" s="27"/>
      <c r="O238" s="27"/>
      <c r="P238" s="27"/>
      <c r="Q238" s="1185"/>
    </row>
    <row r="239" spans="1:23" s="33" customFormat="1" ht="11.25" customHeight="1">
      <c r="A239" s="581"/>
      <c r="B239" s="138" t="s">
        <v>3866</v>
      </c>
      <c r="D239" s="4146"/>
      <c r="E239" s="4144"/>
      <c r="F239" s="4144"/>
      <c r="G239" s="3490"/>
      <c r="H239" s="4147"/>
      <c r="I239" s="1510" t="s">
        <v>2704</v>
      </c>
      <c r="J239" s="4146"/>
      <c r="K239" s="4144"/>
      <c r="L239" s="4144"/>
      <c r="M239" s="4144"/>
      <c r="N239" s="4147"/>
      <c r="O239" s="660"/>
      <c r="P239" s="660"/>
      <c r="Q239" s="1185"/>
      <c r="R239" s="4148" t="s">
        <v>5029</v>
      </c>
      <c r="S239" s="4149"/>
    </row>
    <row r="240" spans="1:23" s="33" customFormat="1" ht="11.25" customHeight="1">
      <c r="A240" s="581"/>
      <c r="B240" s="138" t="s">
        <v>2194</v>
      </c>
      <c r="D240" s="4027"/>
      <c r="E240" s="4028"/>
      <c r="F240" s="4029"/>
      <c r="G240" s="138" t="s">
        <v>1721</v>
      </c>
      <c r="H240" s="1270"/>
      <c r="I240" s="497" t="s">
        <v>1800</v>
      </c>
      <c r="J240" s="4027"/>
      <c r="K240" s="4028"/>
      <c r="L240" s="4028"/>
      <c r="M240" s="4028"/>
      <c r="N240" s="4029"/>
      <c r="Q240" s="1185"/>
      <c r="R240" s="4150"/>
      <c r="S240" s="4151"/>
      <c r="V240" s="1285"/>
      <c r="W240" s="1285"/>
    </row>
    <row r="241" spans="1:23" ht="3" customHeight="1">
      <c r="A241" s="581"/>
      <c r="C241" s="1187"/>
      <c r="D241" s="1187"/>
      <c r="E241" s="1187"/>
      <c r="F241" s="1187"/>
      <c r="G241" s="1187"/>
      <c r="H241" s="1187"/>
      <c r="I241" s="1187"/>
      <c r="J241" s="1187"/>
      <c r="K241" s="1187"/>
      <c r="L241" s="1187"/>
      <c r="N241" s="27"/>
      <c r="O241" s="27"/>
      <c r="P241" s="27"/>
      <c r="Q241" s="1185"/>
      <c r="R241" s="4150"/>
      <c r="S241" s="4151"/>
    </row>
    <row r="242" spans="1:23" ht="10.5" customHeight="1">
      <c r="A242" s="581"/>
      <c r="B242" s="674" t="s">
        <v>1986</v>
      </c>
      <c r="C242" s="1187" t="s">
        <v>4029</v>
      </c>
      <c r="D242" s="1182"/>
      <c r="E242" s="1182"/>
      <c r="F242" s="1182"/>
      <c r="G242" s="1182"/>
      <c r="H242" s="1182"/>
      <c r="I242" s="1182"/>
      <c r="J242" s="1182"/>
      <c r="K242" s="1182"/>
      <c r="L242" s="1182"/>
      <c r="M242" s="1182"/>
      <c r="N242" s="1182"/>
      <c r="O242" s="589" t="s">
        <v>2510</v>
      </c>
      <c r="P242" s="589" t="s">
        <v>2510</v>
      </c>
      <c r="Q242" s="1182"/>
      <c r="R242" s="4150"/>
      <c r="S242" s="4151"/>
    </row>
    <row r="243" spans="1:23" s="33" customFormat="1" ht="21.75" customHeight="1">
      <c r="A243" s="1512"/>
      <c r="B243" s="718"/>
      <c r="C243" s="3862" t="s">
        <v>4040</v>
      </c>
      <c r="D243" s="3862"/>
      <c r="E243" s="3862"/>
      <c r="F243" s="3862"/>
      <c r="G243" s="3862"/>
      <c r="H243" s="3862"/>
      <c r="I243" s="3862"/>
      <c r="J243" s="3862"/>
      <c r="K243" s="3862"/>
      <c r="L243" s="3862"/>
      <c r="M243" s="3862"/>
      <c r="N243" s="449" t="s">
        <v>1986</v>
      </c>
      <c r="O243" s="1424"/>
      <c r="P243" s="1425"/>
      <c r="Q243" s="1182"/>
      <c r="R243" s="4150"/>
      <c r="S243" s="4151"/>
      <c r="V243" s="1285"/>
      <c r="W243" s="1285"/>
    </row>
    <row r="244" spans="1:23" s="33" customFormat="1" ht="11.25" customHeight="1">
      <c r="A244" s="581"/>
      <c r="B244" s="527" t="s">
        <v>2435</v>
      </c>
      <c r="C244" s="138" t="s">
        <v>4031</v>
      </c>
      <c r="D244" s="4020"/>
      <c r="E244" s="4021"/>
      <c r="F244" s="4021"/>
      <c r="G244" s="4144"/>
      <c r="H244" s="4022"/>
      <c r="I244" s="1510" t="s">
        <v>2704</v>
      </c>
      <c r="J244" s="4020"/>
      <c r="K244" s="4021"/>
      <c r="L244" s="4021"/>
      <c r="M244" s="4021"/>
      <c r="N244" s="4022"/>
      <c r="O244" s="4120" t="s">
        <v>4033</v>
      </c>
      <c r="P244" s="4121"/>
      <c r="Q244" s="1182"/>
      <c r="R244" s="4150"/>
      <c r="S244" s="4151"/>
      <c r="V244" s="1285"/>
      <c r="W244" s="1285"/>
    </row>
    <row r="245" spans="1:23" s="33" customFormat="1" ht="11.25" customHeight="1">
      <c r="A245" s="581"/>
      <c r="C245" s="1304" t="s">
        <v>2194</v>
      </c>
      <c r="D245" s="4027"/>
      <c r="E245" s="4028"/>
      <c r="F245" s="4029"/>
      <c r="G245" s="1413" t="s">
        <v>1721</v>
      </c>
      <c r="H245" s="1270"/>
      <c r="I245" s="1303" t="s">
        <v>1800</v>
      </c>
      <c r="J245" s="4027"/>
      <c r="K245" s="4028"/>
      <c r="L245" s="4028"/>
      <c r="M245" s="4028"/>
      <c r="N245" s="4029"/>
      <c r="O245" s="239"/>
      <c r="P245" s="619"/>
      <c r="Q245" s="1182"/>
      <c r="R245" s="4150"/>
      <c r="S245" s="4151"/>
      <c r="V245" s="1285"/>
      <c r="W245" s="1285"/>
    </row>
    <row r="246" spans="1:23" s="33" customFormat="1" ht="11.25" customHeight="1">
      <c r="A246" s="581"/>
      <c r="B246" s="527" t="s">
        <v>2436</v>
      </c>
      <c r="C246" s="138" t="s">
        <v>4032</v>
      </c>
      <c r="D246" s="4020"/>
      <c r="E246" s="4021"/>
      <c r="F246" s="4021"/>
      <c r="G246" s="4144"/>
      <c r="H246" s="4022"/>
      <c r="I246" s="1510" t="s">
        <v>2704</v>
      </c>
      <c r="J246" s="4020"/>
      <c r="K246" s="4021"/>
      <c r="L246" s="4021"/>
      <c r="M246" s="4021"/>
      <c r="N246" s="4022"/>
      <c r="O246" s="4120" t="s">
        <v>4033</v>
      </c>
      <c r="P246" s="4121"/>
      <c r="Q246" s="1182"/>
      <c r="R246" s="4150"/>
      <c r="S246" s="4151"/>
      <c r="V246" s="1285"/>
      <c r="W246" s="1285"/>
    </row>
    <row r="247" spans="1:23" s="33" customFormat="1" ht="11.25" customHeight="1">
      <c r="A247" s="581"/>
      <c r="C247" s="1304" t="s">
        <v>2194</v>
      </c>
      <c r="D247" s="4027"/>
      <c r="E247" s="4028"/>
      <c r="F247" s="4029"/>
      <c r="G247" s="1413" t="s">
        <v>1721</v>
      </c>
      <c r="H247" s="1270"/>
      <c r="I247" s="1303" t="s">
        <v>1800</v>
      </c>
      <c r="J247" s="4027"/>
      <c r="K247" s="4028"/>
      <c r="L247" s="4028"/>
      <c r="M247" s="4028"/>
      <c r="N247" s="4029"/>
      <c r="O247" s="239"/>
      <c r="P247" s="619"/>
      <c r="Q247" s="1182"/>
      <c r="R247" s="4150"/>
      <c r="S247" s="4151"/>
      <c r="V247" s="1285"/>
      <c r="W247" s="1285"/>
    </row>
    <row r="248" spans="1:23" ht="11.25" customHeight="1">
      <c r="A248" s="581"/>
      <c r="B248" s="674" t="s">
        <v>1988</v>
      </c>
      <c r="C248" s="1187" t="s">
        <v>4034</v>
      </c>
      <c r="D248" s="1182"/>
      <c r="E248" s="1182"/>
      <c r="F248" s="1182"/>
      <c r="G248" s="538" t="s">
        <v>3786</v>
      </c>
      <c r="H248" s="1182"/>
      <c r="I248" s="1182"/>
      <c r="J248" s="1182"/>
      <c r="K248" s="1182"/>
      <c r="L248" s="1182"/>
      <c r="M248" s="1182"/>
      <c r="N248" s="1182"/>
      <c r="O248" s="589" t="s">
        <v>2510</v>
      </c>
      <c r="P248" s="589" t="s">
        <v>2510</v>
      </c>
      <c r="Q248" s="1182"/>
      <c r="R248" s="4150"/>
      <c r="S248" s="4151"/>
    </row>
    <row r="249" spans="1:23" ht="33.75" customHeight="1">
      <c r="A249" s="581"/>
      <c r="B249" s="1189"/>
      <c r="C249" s="3863" t="s">
        <v>4139</v>
      </c>
      <c r="D249" s="3863"/>
      <c r="E249" s="3863"/>
      <c r="F249" s="3863"/>
      <c r="G249" s="3863"/>
      <c r="H249" s="3863"/>
      <c r="I249" s="3863"/>
      <c r="J249" s="3863"/>
      <c r="K249" s="3863"/>
      <c r="L249" s="3863"/>
      <c r="M249" s="3863"/>
      <c r="N249" s="449" t="s">
        <v>1988</v>
      </c>
      <c r="O249" s="1424"/>
      <c r="P249" s="1425"/>
      <c r="Q249" s="1186"/>
      <c r="R249" s="4150"/>
      <c r="S249" s="4151"/>
      <c r="V249" s="1285"/>
      <c r="W249" s="1285"/>
    </row>
    <row r="250" spans="1:23" ht="11.25" customHeight="1">
      <c r="A250" s="581"/>
      <c r="B250" s="527" t="s">
        <v>2435</v>
      </c>
      <c r="C250" s="1191" t="s">
        <v>4140</v>
      </c>
      <c r="D250" s="1511"/>
      <c r="E250" s="1511"/>
      <c r="F250" s="1511"/>
      <c r="G250" s="1511"/>
      <c r="H250" s="1511"/>
      <c r="I250" s="1511"/>
      <c r="J250" s="1511"/>
      <c r="K250" s="1511"/>
      <c r="L250" s="1511"/>
      <c r="M250" s="1511"/>
      <c r="N250" s="1511"/>
      <c r="O250" s="1511"/>
      <c r="P250" s="1511"/>
      <c r="Q250" s="1186"/>
      <c r="R250" s="4150"/>
      <c r="S250" s="4151"/>
      <c r="V250" s="1285"/>
      <c r="W250" s="1285"/>
    </row>
    <row r="251" spans="1:23" ht="11.25" customHeight="1">
      <c r="A251" s="581"/>
      <c r="B251" s="33"/>
      <c r="C251" s="3958" t="s">
        <v>4615</v>
      </c>
      <c r="D251" s="3959"/>
      <c r="E251" s="3959"/>
      <c r="F251" s="3959"/>
      <c r="G251" s="3959"/>
      <c r="H251" s="3959"/>
      <c r="I251" s="3959"/>
      <c r="J251" s="3959"/>
      <c r="K251" s="3959"/>
      <c r="L251" s="3959"/>
      <c r="M251" s="3959"/>
      <c r="N251" s="3959"/>
      <c r="O251" s="3959"/>
      <c r="P251" s="3960"/>
      <c r="Q251" s="1291"/>
      <c r="R251" s="4150"/>
      <c r="S251" s="4151"/>
      <c r="V251" s="1285"/>
      <c r="W251" s="1285"/>
    </row>
    <row r="252" spans="1:23" ht="11.25" customHeight="1">
      <c r="A252" s="581"/>
      <c r="B252" s="1189"/>
      <c r="C252" s="3961" t="s">
        <v>226</v>
      </c>
      <c r="D252" s="3962"/>
      <c r="E252" s="3962"/>
      <c r="F252" s="3962"/>
      <c r="G252" s="3962"/>
      <c r="H252" s="3962"/>
      <c r="I252" s="3962"/>
      <c r="J252" s="3962"/>
      <c r="K252" s="3962"/>
      <c r="L252" s="3962"/>
      <c r="M252" s="3962"/>
      <c r="N252" s="3962"/>
      <c r="O252" s="3962"/>
      <c r="P252" s="3963"/>
      <c r="Q252" s="1186"/>
      <c r="R252" s="4150"/>
      <c r="S252" s="4151"/>
      <c r="V252" s="1285"/>
      <c r="W252" s="1285"/>
    </row>
    <row r="253" spans="1:23" ht="11.25" customHeight="1">
      <c r="A253" s="581"/>
      <c r="B253" s="1189"/>
      <c r="C253" s="3964" t="s">
        <v>1404</v>
      </c>
      <c r="D253" s="3965"/>
      <c r="E253" s="3965"/>
      <c r="F253" s="3965"/>
      <c r="G253" s="3965"/>
      <c r="H253" s="3965"/>
      <c r="I253" s="3965"/>
      <c r="J253" s="3965"/>
      <c r="K253" s="3965"/>
      <c r="L253" s="3965"/>
      <c r="M253" s="3965"/>
      <c r="N253" s="3965"/>
      <c r="O253" s="3965"/>
      <c r="P253" s="3966"/>
      <c r="Q253" s="1186"/>
      <c r="R253" s="4150"/>
      <c r="S253" s="4151"/>
      <c r="V253" s="1285"/>
      <c r="W253" s="1285"/>
    </row>
    <row r="254" spans="1:23" ht="11.25" customHeight="1">
      <c r="A254" s="581"/>
      <c r="B254" s="527" t="s">
        <v>2436</v>
      </c>
      <c r="C254" s="1191" t="s">
        <v>4138</v>
      </c>
      <c r="D254" s="1511"/>
      <c r="E254" s="1511"/>
      <c r="F254" s="1511"/>
      <c r="G254" s="1511"/>
      <c r="H254" s="1511"/>
      <c r="I254" s="1511"/>
      <c r="J254" s="1511"/>
      <c r="K254" s="1511"/>
      <c r="L254" s="3976" t="s">
        <v>4142</v>
      </c>
      <c r="M254" s="3976"/>
      <c r="N254" s="3977" t="s">
        <v>4143</v>
      </c>
      <c r="O254" s="3977"/>
      <c r="P254" s="3977"/>
      <c r="Q254" s="1186"/>
      <c r="R254" s="4150"/>
      <c r="S254" s="4151"/>
      <c r="V254" s="1285"/>
      <c r="W254" s="1285"/>
    </row>
    <row r="255" spans="1:23" ht="11.25" customHeight="1">
      <c r="A255" s="581"/>
      <c r="B255" s="1189"/>
      <c r="C255" s="3967" t="s">
        <v>4615</v>
      </c>
      <c r="D255" s="3968"/>
      <c r="E255" s="3968"/>
      <c r="F255" s="3968"/>
      <c r="G255" s="3968"/>
      <c r="H255" s="3968"/>
      <c r="I255" s="3968"/>
      <c r="J255" s="3968"/>
      <c r="K255" s="3969"/>
      <c r="L255" s="3967"/>
      <c r="M255" s="3969"/>
      <c r="N255" s="3967"/>
      <c r="O255" s="3968"/>
      <c r="P255" s="3969"/>
      <c r="Q255" s="1291"/>
      <c r="R255" s="4150"/>
      <c r="S255" s="4151"/>
      <c r="V255" s="1285"/>
      <c r="W255" s="1285"/>
    </row>
    <row r="256" spans="1:23" ht="11.25" customHeight="1">
      <c r="A256" s="581"/>
      <c r="B256" s="1189"/>
      <c r="C256" s="3970" t="s">
        <v>226</v>
      </c>
      <c r="D256" s="3971"/>
      <c r="E256" s="3971"/>
      <c r="F256" s="3971"/>
      <c r="G256" s="3971"/>
      <c r="H256" s="3971"/>
      <c r="I256" s="3971"/>
      <c r="J256" s="3971"/>
      <c r="K256" s="3972"/>
      <c r="L256" s="3970"/>
      <c r="M256" s="3972"/>
      <c r="N256" s="3970"/>
      <c r="O256" s="3971"/>
      <c r="P256" s="3972"/>
      <c r="Q256" s="1186"/>
      <c r="R256" s="4150"/>
      <c r="S256" s="4151"/>
      <c r="V256" s="1285"/>
      <c r="W256" s="1285"/>
    </row>
    <row r="257" spans="1:23" ht="11.25" customHeight="1">
      <c r="A257" s="581"/>
      <c r="B257" s="1189"/>
      <c r="C257" s="3973" t="s">
        <v>1404</v>
      </c>
      <c r="D257" s="3974"/>
      <c r="E257" s="3974"/>
      <c r="F257" s="3974"/>
      <c r="G257" s="3974"/>
      <c r="H257" s="3974"/>
      <c r="I257" s="3974"/>
      <c r="J257" s="3974"/>
      <c r="K257" s="3975"/>
      <c r="L257" s="3973"/>
      <c r="M257" s="3975"/>
      <c r="N257" s="3973"/>
      <c r="O257" s="3974"/>
      <c r="P257" s="3975"/>
      <c r="Q257" s="1186"/>
      <c r="R257" s="4150"/>
      <c r="S257" s="4151"/>
      <c r="V257" s="1285"/>
      <c r="W257" s="1285"/>
    </row>
    <row r="258" spans="1:23" ht="11.25" customHeight="1">
      <c r="A258" s="581"/>
      <c r="B258" s="674" t="s">
        <v>2534</v>
      </c>
      <c r="C258" s="1187" t="s">
        <v>4035</v>
      </c>
      <c r="D258" s="1182"/>
      <c r="E258" s="1182"/>
      <c r="F258" s="1182"/>
      <c r="G258" s="1182"/>
      <c r="H258" s="1182"/>
      <c r="I258" s="1182"/>
      <c r="J258" s="1182"/>
      <c r="K258" s="1182"/>
      <c r="L258" s="1182"/>
      <c r="M258" s="1182"/>
      <c r="N258" s="1182"/>
      <c r="O258" s="589"/>
      <c r="P258" s="589"/>
      <c r="Q258" s="1182"/>
      <c r="R258" s="4152"/>
      <c r="S258" s="4153"/>
    </row>
    <row r="259" spans="1:23" s="33" customFormat="1" ht="11.25" customHeight="1">
      <c r="A259" s="581"/>
      <c r="B259" s="1190"/>
      <c r="C259" s="3862" t="s">
        <v>4039</v>
      </c>
      <c r="D259" s="3862"/>
      <c r="E259" s="3862"/>
      <c r="F259" s="3862"/>
      <c r="G259" s="3862"/>
      <c r="H259" s="3862"/>
      <c r="I259" s="3862"/>
      <c r="J259" s="3862"/>
      <c r="K259" s="3862"/>
      <c r="L259" s="3862"/>
      <c r="M259" s="3862"/>
      <c r="N259" s="449" t="s">
        <v>2534</v>
      </c>
      <c r="O259" s="542"/>
      <c r="P259" s="616"/>
      <c r="Q259" s="1186"/>
      <c r="V259" s="1285"/>
      <c r="W259" s="1285"/>
    </row>
    <row r="260" spans="1:23" ht="11.25" customHeight="1">
      <c r="A260" s="142"/>
      <c r="B260" s="1012" t="s">
        <v>1224</v>
      </c>
      <c r="C260" s="671" t="s">
        <v>3789</v>
      </c>
      <c r="D260" s="33"/>
      <c r="N260" s="27"/>
      <c r="O260" s="27"/>
      <c r="P260" s="27"/>
      <c r="Q260" s="118"/>
    </row>
    <row r="261" spans="1:23" s="33" customFormat="1" ht="21.75" customHeight="1">
      <c r="A261" s="581"/>
      <c r="B261" s="1190"/>
      <c r="C261" s="3861" t="s">
        <v>4041</v>
      </c>
      <c r="D261" s="3861"/>
      <c r="E261" s="3861"/>
      <c r="F261" s="3861"/>
      <c r="G261" s="3861"/>
      <c r="H261" s="3861"/>
      <c r="I261" s="3861"/>
      <c r="J261" s="3861"/>
      <c r="K261" s="3861"/>
      <c r="L261" s="3861"/>
      <c r="M261" s="3861"/>
      <c r="N261" s="449" t="s">
        <v>1224</v>
      </c>
      <c r="O261" s="1424"/>
      <c r="P261" s="1425"/>
      <c r="Q261" s="1186"/>
      <c r="V261" s="1285"/>
      <c r="W261" s="1285"/>
    </row>
    <row r="262" spans="1:23" s="33" customFormat="1" ht="10.5" customHeight="1">
      <c r="A262" s="581"/>
      <c r="B262" s="1190"/>
      <c r="C262" s="2541"/>
      <c r="D262" s="2541"/>
      <c r="E262" s="2541"/>
      <c r="F262" s="2541"/>
      <c r="G262" s="718" t="s">
        <v>4954</v>
      </c>
      <c r="H262" s="2541"/>
      <c r="J262" s="3981"/>
      <c r="K262" s="3982"/>
      <c r="L262" s="2541"/>
      <c r="M262" s="2541"/>
      <c r="N262" s="2541"/>
      <c r="O262" s="2541"/>
      <c r="P262" s="2541"/>
      <c r="Q262" s="1186"/>
      <c r="V262" s="1285"/>
      <c r="W262" s="1285"/>
    </row>
    <row r="263" spans="1:23" s="33" customFormat="1" ht="11.25" customHeight="1">
      <c r="A263" s="581"/>
      <c r="B263" s="446" t="s">
        <v>2435</v>
      </c>
      <c r="C263" s="3862" t="s">
        <v>4042</v>
      </c>
      <c r="D263" s="3862"/>
      <c r="E263" s="3862"/>
      <c r="F263" s="3862"/>
      <c r="G263" s="3862"/>
      <c r="H263" s="3862"/>
      <c r="I263" s="3862"/>
      <c r="J263" s="3862"/>
      <c r="K263" s="3862"/>
      <c r="L263" s="3862"/>
      <c r="M263" s="3862"/>
      <c r="N263" s="446" t="s">
        <v>2435</v>
      </c>
      <c r="O263" s="238"/>
      <c r="P263" s="617"/>
      <c r="Q263" s="1186"/>
      <c r="V263" s="1285"/>
      <c r="W263" s="1285"/>
    </row>
    <row r="264" spans="1:23" s="33" customFormat="1" ht="11.25" customHeight="1">
      <c r="A264" s="581"/>
      <c r="B264" s="446" t="s">
        <v>2436</v>
      </c>
      <c r="C264" s="3862" t="s">
        <v>4853</v>
      </c>
      <c r="D264" s="3862"/>
      <c r="E264" s="3862"/>
      <c r="F264" s="3862"/>
      <c r="G264" s="3862"/>
      <c r="H264" s="3862"/>
      <c r="I264" s="3862"/>
      <c r="J264" s="3862"/>
      <c r="K264" s="3862"/>
      <c r="L264" s="3862"/>
      <c r="M264" s="3862"/>
      <c r="N264" s="446" t="s">
        <v>2436</v>
      </c>
      <c r="O264" s="239"/>
      <c r="P264" s="619"/>
      <c r="Q264" s="1186"/>
      <c r="V264" s="1285"/>
      <c r="W264" s="1285"/>
    </row>
    <row r="265" spans="1:23" ht="11.25" customHeight="1">
      <c r="A265" s="142"/>
      <c r="B265" s="1012" t="s">
        <v>1225</v>
      </c>
      <c r="C265" s="671" t="s">
        <v>4854</v>
      </c>
      <c r="D265" s="33"/>
      <c r="N265" s="449" t="s">
        <v>1225</v>
      </c>
      <c r="O265" s="27"/>
      <c r="P265" s="27"/>
      <c r="Q265" s="118"/>
    </row>
    <row r="266" spans="1:23" s="33" customFormat="1" ht="11.25" customHeight="1">
      <c r="A266" s="581"/>
      <c r="B266" s="446" t="s">
        <v>2435</v>
      </c>
      <c r="C266" s="3862" t="s">
        <v>4855</v>
      </c>
      <c r="D266" s="3862"/>
      <c r="E266" s="3862"/>
      <c r="F266" s="3862"/>
      <c r="G266" s="3862"/>
      <c r="H266" s="3862"/>
      <c r="I266" s="3862"/>
      <c r="J266" s="3862"/>
      <c r="K266" s="3862"/>
      <c r="L266" s="3862"/>
      <c r="M266" s="3862"/>
      <c r="N266" s="446" t="s">
        <v>2435</v>
      </c>
      <c r="O266" s="238"/>
      <c r="P266" s="617"/>
      <c r="Q266" s="1186"/>
      <c r="V266" s="1285"/>
      <c r="W266" s="1285"/>
    </row>
    <row r="267" spans="1:23" s="33" customFormat="1" ht="11.25" customHeight="1">
      <c r="A267" s="581"/>
      <c r="B267" s="446" t="s">
        <v>2436</v>
      </c>
      <c r="C267" s="3862" t="s">
        <v>4856</v>
      </c>
      <c r="D267" s="3862"/>
      <c r="E267" s="3862"/>
      <c r="F267" s="3862"/>
      <c r="G267" s="3862"/>
      <c r="H267" s="3862"/>
      <c r="I267" s="3862"/>
      <c r="J267" s="3862"/>
      <c r="K267" s="3862"/>
      <c r="L267" s="3862"/>
      <c r="M267" s="3862"/>
      <c r="N267" s="446" t="s">
        <v>2436</v>
      </c>
      <c r="O267" s="239"/>
      <c r="P267" s="619"/>
      <c r="Q267" s="1186"/>
      <c r="V267" s="1285"/>
      <c r="W267" s="1285"/>
    </row>
    <row r="268" spans="1:23" ht="11.45" customHeight="1">
      <c r="A268" s="142" t="s">
        <v>1985</v>
      </c>
      <c r="B268" s="197" t="s">
        <v>4036</v>
      </c>
      <c r="D268" s="33"/>
      <c r="G268" s="538" t="s">
        <v>3786</v>
      </c>
      <c r="N268" s="27"/>
      <c r="O268" s="589" t="s">
        <v>2510</v>
      </c>
      <c r="P268" s="589" t="s">
        <v>2510</v>
      </c>
      <c r="Q268" s="1185"/>
    </row>
    <row r="269" spans="1:23" ht="22.5" customHeight="1">
      <c r="B269" s="674" t="s">
        <v>1986</v>
      </c>
      <c r="C269" s="3876" t="s">
        <v>4037</v>
      </c>
      <c r="D269" s="3876"/>
      <c r="E269" s="3876"/>
      <c r="F269" s="3876"/>
      <c r="G269" s="3876"/>
      <c r="H269" s="3876"/>
      <c r="I269" s="3876"/>
      <c r="J269" s="3876"/>
      <c r="K269" s="3876"/>
      <c r="L269" s="3876"/>
      <c r="M269" s="1368" t="s">
        <v>1985</v>
      </c>
      <c r="N269" s="449" t="s">
        <v>1986</v>
      </c>
      <c r="O269" s="1422"/>
      <c r="P269" s="1421"/>
      <c r="Q269" s="1185"/>
      <c r="V269" s="1285"/>
      <c r="W269" s="1285"/>
    </row>
    <row r="270" spans="1:23" s="33" customFormat="1" ht="11.25" customHeight="1">
      <c r="A270" s="581"/>
      <c r="B270" s="674" t="s">
        <v>1988</v>
      </c>
      <c r="C270" s="497" t="s">
        <v>4857</v>
      </c>
      <c r="D270" s="1129"/>
      <c r="E270" s="1129"/>
      <c r="F270" s="1129"/>
      <c r="G270" s="1129"/>
      <c r="H270" s="1129"/>
      <c r="I270" s="1129"/>
      <c r="J270" s="1129"/>
      <c r="K270" s="1129"/>
      <c r="L270" s="1129"/>
      <c r="M270" s="1129"/>
      <c r="N270" s="449" t="s">
        <v>1988</v>
      </c>
      <c r="O270" s="422"/>
      <c r="P270" s="618"/>
      <c r="Q270" s="1186"/>
      <c r="V270" s="1519"/>
      <c r="W270" s="1519"/>
    </row>
    <row r="271" spans="1:23" s="33" customFormat="1" ht="11.25" customHeight="1">
      <c r="A271" s="581"/>
      <c r="B271" s="674" t="s">
        <v>2534</v>
      </c>
      <c r="C271" s="497" t="s">
        <v>4858</v>
      </c>
      <c r="D271" s="1129"/>
      <c r="E271" s="1129"/>
      <c r="F271" s="1129"/>
      <c r="G271" s="1129"/>
      <c r="H271" s="1129"/>
      <c r="I271" s="1129"/>
      <c r="J271" s="1129"/>
      <c r="K271" s="1129"/>
      <c r="L271" s="1129"/>
      <c r="M271" s="1129"/>
      <c r="N271" s="449" t="s">
        <v>2534</v>
      </c>
      <c r="O271" s="239"/>
      <c r="P271" s="619"/>
      <c r="Q271" s="1186"/>
      <c r="V271" s="1519"/>
      <c r="W271" s="1519"/>
    </row>
    <row r="272" spans="1:23" s="43" customFormat="1" ht="12" customHeight="1" thickBot="1">
      <c r="A272" s="42"/>
      <c r="B272" s="1488" t="s">
        <v>3757</v>
      </c>
      <c r="C272" s="42"/>
      <c r="D272" s="48"/>
      <c r="E272" s="48"/>
      <c r="F272" s="48"/>
      <c r="G272" s="48"/>
      <c r="H272" s="36"/>
      <c r="I272" s="138"/>
      <c r="M272" s="46"/>
      <c r="N272" s="62"/>
      <c r="O272" s="3"/>
      <c r="P272" s="1505"/>
    </row>
    <row r="273" spans="1:18" s="43" customFormat="1" ht="21.75" customHeight="1" thickTop="1" thickBot="1">
      <c r="A273" s="3877"/>
      <c r="B273" s="3878"/>
      <c r="C273" s="3878"/>
      <c r="D273" s="3878"/>
      <c r="E273" s="3878"/>
      <c r="F273" s="3878"/>
      <c r="G273" s="3878"/>
      <c r="H273" s="3878"/>
      <c r="I273" s="3878"/>
      <c r="J273" s="3878"/>
      <c r="K273" s="3878"/>
      <c r="L273" s="3878"/>
      <c r="M273" s="3878"/>
      <c r="N273" s="3878"/>
      <c r="O273" s="3878"/>
      <c r="P273" s="3879"/>
      <c r="Q273" s="1291" t="s">
        <v>1254</v>
      </c>
    </row>
    <row r="274" spans="1:18" s="43" customFormat="1" ht="10.5" customHeight="1" thickTop="1">
      <c r="A274" s="42"/>
      <c r="B274" s="87" t="s">
        <v>1866</v>
      </c>
      <c r="C274" s="42"/>
      <c r="D274" s="87"/>
      <c r="E274" s="1506"/>
      <c r="F274" s="1506"/>
      <c r="G274" s="1506"/>
      <c r="H274" s="1506"/>
      <c r="I274" s="1506"/>
      <c r="J274" s="1506"/>
      <c r="K274" s="1506"/>
      <c r="L274" s="1506"/>
      <c r="M274" s="1506"/>
      <c r="N274" s="75"/>
      <c r="O274" s="71"/>
      <c r="P274" s="1503"/>
      <c r="Q274" s="490"/>
    </row>
    <row r="275" spans="1:18" s="43" customFormat="1" ht="11.25" customHeight="1">
      <c r="A275" s="3986"/>
      <c r="B275" s="3987"/>
      <c r="C275" s="3987"/>
      <c r="D275" s="3987"/>
      <c r="E275" s="3987"/>
      <c r="F275" s="3987"/>
      <c r="G275" s="3987"/>
      <c r="H275" s="3987"/>
      <c r="I275" s="3987"/>
      <c r="J275" s="3987"/>
      <c r="K275" s="3987"/>
      <c r="L275" s="3987"/>
      <c r="M275" s="3987"/>
      <c r="N275" s="3987"/>
      <c r="O275" s="3987"/>
      <c r="P275" s="3988"/>
      <c r="Q275" s="509"/>
    </row>
    <row r="276" spans="1:18" ht="3.6" customHeight="1" thickBot="1">
      <c r="B276" s="120"/>
      <c r="C276" s="120"/>
      <c r="D276" s="120"/>
      <c r="E276" s="120"/>
    </row>
    <row r="277" spans="1:18" s="105" customFormat="1" ht="12.6" customHeight="1" thickBot="1">
      <c r="A277" s="157" t="s">
        <v>426</v>
      </c>
      <c r="B277" s="109" t="s">
        <v>2786</v>
      </c>
      <c r="C277" s="94"/>
      <c r="D277" s="59"/>
      <c r="E277" s="59"/>
      <c r="G277" s="192" t="s">
        <v>4183</v>
      </c>
      <c r="M277" s="1503">
        <v>6</v>
      </c>
      <c r="N277" s="7"/>
      <c r="O277" s="1404">
        <f>O279+O288+O293</f>
        <v>0</v>
      </c>
      <c r="P277" s="1404">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3989" t="s">
        <v>3602</v>
      </c>
      <c r="B279" s="989" t="s">
        <v>4862</v>
      </c>
      <c r="C279" s="94"/>
      <c r="D279" s="59"/>
      <c r="E279" s="59"/>
      <c r="G279" s="538" t="s">
        <v>4869</v>
      </c>
      <c r="I279" s="27"/>
      <c r="J279" s="3983" t="str">
        <f>'Part I-Project Information'!$O$38</f>
        <v>233.10</v>
      </c>
      <c r="K279" s="3983"/>
      <c r="M279" s="1371">
        <v>3</v>
      </c>
      <c r="N279" s="2476"/>
      <c r="O279" s="1014">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5" customHeight="1">
      <c r="A280" s="3989"/>
      <c r="B280" s="114" t="s">
        <v>2794</v>
      </c>
      <c r="C280" s="585"/>
      <c r="D280" s="585"/>
      <c r="G280" s="586" t="str">
        <f>'Part I-Project Information'!$H$105</f>
        <v>N/A - 4% Bond</v>
      </c>
      <c r="M280" s="1183" t="s">
        <v>4863</v>
      </c>
      <c r="N280" s="2476"/>
      <c r="O280" s="1456" t="s">
        <v>2510</v>
      </c>
      <c r="P280" s="1456" t="s">
        <v>2510</v>
      </c>
    </row>
    <row r="281" spans="1:18" ht="11.45" customHeight="1">
      <c r="A281" s="3989"/>
      <c r="B281" s="1012" t="s">
        <v>1986</v>
      </c>
      <c r="C281" s="502" t="s">
        <v>2685</v>
      </c>
      <c r="E281" s="120"/>
      <c r="M281" s="82"/>
      <c r="N281" s="194" t="s">
        <v>1986</v>
      </c>
      <c r="O281" s="238"/>
      <c r="P281" s="617"/>
      <c r="Q281" s="3978" t="str">
        <f>IF(AND(O281="Yes",O284="Yes"),"Only 1 or 4 can be 'Yes'!","")</f>
        <v/>
      </c>
      <c r="R281" s="3978"/>
    </row>
    <row r="282" spans="1:18" ht="11.45" customHeight="1">
      <c r="B282" s="1012" t="s">
        <v>1988</v>
      </c>
      <c r="C282" s="502" t="s">
        <v>2739</v>
      </c>
      <c r="G282" s="103" t="s">
        <v>2389</v>
      </c>
      <c r="H282" s="550" t="s">
        <v>4903</v>
      </c>
      <c r="I282" s="502" t="s">
        <v>2740</v>
      </c>
      <c r="L282" s="138" t="s">
        <v>2738</v>
      </c>
      <c r="M282" s="1013" t="str">
        <f>IF(O282&gt;H282,"CHECK ACTUAL PERCENT!!!","")</f>
        <v/>
      </c>
      <c r="N282" s="194" t="s">
        <v>1988</v>
      </c>
      <c r="O282" s="2477"/>
      <c r="P282" s="2478"/>
      <c r="Q282" s="3978"/>
      <c r="R282" s="3978"/>
    </row>
    <row r="283" spans="1:18" ht="11.45" customHeight="1">
      <c r="B283" s="1012" t="s">
        <v>2534</v>
      </c>
      <c r="C283" s="478" t="s">
        <v>2390</v>
      </c>
      <c r="E283" s="120"/>
      <c r="G283" s="103" t="s">
        <v>2391</v>
      </c>
      <c r="J283" s="3849" t="s">
        <v>5067</v>
      </c>
      <c r="L283" s="497" t="s">
        <v>2732</v>
      </c>
      <c r="M283" s="33"/>
      <c r="N283" s="194" t="s">
        <v>2534</v>
      </c>
      <c r="O283" s="2479" t="s">
        <v>201</v>
      </c>
      <c r="P283" s="2480" t="s">
        <v>201</v>
      </c>
      <c r="Q283" s="3978"/>
      <c r="R283" s="3978"/>
    </row>
    <row r="284" spans="1:18" s="451" customFormat="1" ht="11.45" customHeight="1">
      <c r="B284" s="674" t="s">
        <v>1224</v>
      </c>
      <c r="C284" s="3863" t="s">
        <v>4878</v>
      </c>
      <c r="D284" s="3863"/>
      <c r="E284" s="3863"/>
      <c r="F284" s="3863"/>
      <c r="G284" s="3863"/>
      <c r="H284" s="3863"/>
      <c r="I284" s="3863"/>
      <c r="J284" s="3850"/>
      <c r="K284" s="3849" t="s">
        <v>4044</v>
      </c>
      <c r="M284" s="1372">
        <v>2</v>
      </c>
      <c r="N284" s="194" t="s">
        <v>1224</v>
      </c>
      <c r="O284" s="1447"/>
      <c r="P284" s="1448"/>
      <c r="Q284" s="3978"/>
      <c r="R284" s="3978"/>
    </row>
    <row r="285" spans="1:18" ht="11.45" customHeight="1">
      <c r="B285" s="432"/>
      <c r="C285" s="3863"/>
      <c r="D285" s="3863"/>
      <c r="E285" s="3863"/>
      <c r="F285" s="3863"/>
      <c r="G285" s="3863"/>
      <c r="H285" s="3863"/>
      <c r="I285" s="3863"/>
      <c r="J285" s="3851"/>
      <c r="K285" s="3851"/>
      <c r="L285" s="3880" t="s">
        <v>4100</v>
      </c>
      <c r="M285" s="3881"/>
      <c r="N285" s="120"/>
    </row>
    <row r="286" spans="1:18" ht="23.25" customHeight="1">
      <c r="B286" s="432"/>
      <c r="C286" s="3863"/>
      <c r="D286" s="3863"/>
      <c r="E286" s="3863"/>
      <c r="F286" s="3863"/>
      <c r="G286" s="3863"/>
      <c r="H286" s="3863"/>
      <c r="I286" s="3863"/>
      <c r="J286" s="2662"/>
      <c r="K286" s="2661"/>
      <c r="L286" s="1369">
        <f>O61</f>
        <v>0</v>
      </c>
      <c r="M286" s="1370">
        <f>P61</f>
        <v>0</v>
      </c>
      <c r="N286" s="27"/>
    </row>
    <row r="287" spans="1:18" ht="2.25" customHeight="1">
      <c r="A287" s="588"/>
      <c r="B287" s="1012"/>
      <c r="C287" s="478"/>
      <c r="E287" s="120"/>
      <c r="M287" s="1371"/>
      <c r="N287" s="1364"/>
      <c r="O287" s="1011"/>
      <c r="P287" s="1011"/>
    </row>
    <row r="288" spans="1:18" ht="11.45" customHeight="1">
      <c r="A288" s="588" t="s">
        <v>749</v>
      </c>
      <c r="B288" s="1012" t="s">
        <v>4864</v>
      </c>
      <c r="C288" s="478"/>
      <c r="E288" s="120"/>
      <c r="G288" s="495" t="s">
        <v>4865</v>
      </c>
      <c r="M288" s="1371">
        <v>2</v>
      </c>
      <c r="N288" s="1373" t="s">
        <v>749</v>
      </c>
      <c r="O288" s="1014">
        <f>IF(OR(AND(O289&gt;=60,O290&gt;=60,O291&gt;=60),AND(O289&lt;60,O290&gt;=60,O291&gt;=60),AND(O289&gt;=60,O290&lt;60,O291&gt;=60),AND(O289&gt;=60,O290&gt;=60,O291&lt;60)),$M$288,IF(OR(O289&gt;=60,O290&gt;=60,O291&gt;=60),1,0))</f>
        <v>0</v>
      </c>
      <c r="P288" s="1014">
        <f>IF(OR(AND(P289&gt;=60,P290&gt;=60,P291&gt;=60),AND(P289&lt;60,P290&gt;=60,P291&gt;=60),AND(P289&gt;=60,P290&lt;60,P291&gt;=60),AND(P289&gt;=60,P290&gt;=60,P291&lt;60)),$M$288,IF(OR(P289&gt;=60,P290&gt;=60,P291&gt;=60),1,0))</f>
        <v>0</v>
      </c>
    </row>
    <row r="289" spans="1:21" ht="11.45" customHeight="1">
      <c r="A289" s="588"/>
      <c r="B289" s="1012" t="s">
        <v>1986</v>
      </c>
      <c r="C289" s="138" t="s">
        <v>5062</v>
      </c>
      <c r="D289" s="138"/>
      <c r="G289" s="138" t="s">
        <v>4866</v>
      </c>
      <c r="H289" s="1129"/>
      <c r="I289" s="1129"/>
      <c r="J289" s="33"/>
      <c r="K289" s="33"/>
      <c r="L289" s="33"/>
      <c r="M289" s="33"/>
      <c r="N289" s="194" t="s">
        <v>1986</v>
      </c>
      <c r="O289" s="2481"/>
      <c r="P289" s="2482"/>
    </row>
    <row r="290" spans="1:21" ht="11.45" customHeight="1">
      <c r="A290" s="588"/>
      <c r="B290" s="1012" t="s">
        <v>1988</v>
      </c>
      <c r="C290" s="138" t="s">
        <v>5063</v>
      </c>
      <c r="D290" s="138"/>
      <c r="G290" s="138" t="s">
        <v>4867</v>
      </c>
      <c r="H290" s="1129"/>
      <c r="I290" s="1129"/>
      <c r="J290" s="33"/>
      <c r="K290" s="33"/>
      <c r="L290" s="33"/>
      <c r="M290" s="33"/>
      <c r="N290" s="194" t="s">
        <v>1988</v>
      </c>
      <c r="O290" s="2483"/>
      <c r="P290" s="2484"/>
      <c r="R290" s="163" t="s">
        <v>5073</v>
      </c>
    </row>
    <row r="291" spans="1:21" ht="11.45" customHeight="1">
      <c r="A291" s="588"/>
      <c r="B291" s="1012" t="s">
        <v>2534</v>
      </c>
      <c r="C291" s="138" t="s">
        <v>5064</v>
      </c>
      <c r="D291" s="138"/>
      <c r="G291" s="138" t="s">
        <v>4868</v>
      </c>
      <c r="H291" s="1129"/>
      <c r="I291" s="1129"/>
      <c r="J291" s="33"/>
      <c r="K291" s="33"/>
      <c r="L291" s="33"/>
      <c r="M291" s="33"/>
      <c r="N291" s="194" t="s">
        <v>2534</v>
      </c>
      <c r="O291" s="2485"/>
      <c r="P291" s="2486"/>
    </row>
    <row r="292" spans="1:21" ht="2.25" customHeight="1">
      <c r="A292" s="588"/>
      <c r="B292" s="1012"/>
      <c r="C292" s="478"/>
      <c r="E292" s="120"/>
      <c r="M292" s="1371"/>
      <c r="N292" s="1364"/>
      <c r="O292" s="1011"/>
      <c r="P292" s="1011"/>
    </row>
    <row r="293" spans="1:21" ht="11.45" customHeight="1">
      <c r="A293" s="588" t="s">
        <v>2115</v>
      </c>
      <c r="B293" s="1012" t="s">
        <v>3603</v>
      </c>
      <c r="C293" s="478"/>
      <c r="E293" s="120"/>
      <c r="G293" s="2460" t="s">
        <v>3607</v>
      </c>
      <c r="H293" s="2487">
        <f>IF('Part VI-Revenues &amp; Expenses'!$O$67=0,0,'Part VI-Revenues &amp; Expenses'!$O$64/'Part VI-Revenues &amp; Expenses'!$O$67)</f>
        <v>0</v>
      </c>
      <c r="J293" s="2468" t="s">
        <v>4870</v>
      </c>
      <c r="K293" s="3984" t="str">
        <f>'Part I-Project Information'!$K$94</f>
        <v>40% of Units at 60% of AMI</v>
      </c>
      <c r="L293" s="3985"/>
      <c r="M293" s="1371">
        <v>1</v>
      </c>
      <c r="N293" s="1364" t="s">
        <v>2115</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12"/>
      <c r="C294" s="478"/>
      <c r="E294" s="120"/>
      <c r="M294" s="1371"/>
      <c r="N294" s="1364"/>
      <c r="O294" s="1011"/>
      <c r="P294" s="1011"/>
    </row>
    <row r="295" spans="1:21" s="43" customFormat="1" ht="10.5" customHeight="1">
      <c r="A295" s="42"/>
      <c r="B295" s="87" t="s">
        <v>1866</v>
      </c>
      <c r="C295" s="42"/>
      <c r="D295" s="87"/>
      <c r="E295" s="1506"/>
      <c r="F295" s="1506"/>
      <c r="G295" s="1506"/>
      <c r="H295" s="1506"/>
      <c r="I295" s="1506"/>
      <c r="J295" s="1506"/>
      <c r="K295" s="1506"/>
      <c r="L295" s="1506"/>
      <c r="M295" s="1506"/>
      <c r="N295" s="75"/>
      <c r="O295" s="71"/>
      <c r="P295" s="1503"/>
      <c r="Q295" s="490"/>
    </row>
    <row r="296" spans="1:21" s="43" customFormat="1" ht="11.25" customHeight="1">
      <c r="A296" s="3986"/>
      <c r="B296" s="3987"/>
      <c r="C296" s="3987"/>
      <c r="D296" s="3987"/>
      <c r="E296" s="3987"/>
      <c r="F296" s="3987"/>
      <c r="G296" s="3987"/>
      <c r="H296" s="3987"/>
      <c r="I296" s="3987"/>
      <c r="J296" s="3987"/>
      <c r="K296" s="3987"/>
      <c r="L296" s="3987"/>
      <c r="M296" s="3987"/>
      <c r="N296" s="3987"/>
      <c r="O296" s="3987"/>
      <c r="P296" s="3988"/>
      <c r="Q296" s="509"/>
    </row>
    <row r="297" spans="1:21" s="43" customFormat="1" ht="3" customHeight="1" thickBot="1">
      <c r="A297" s="42"/>
      <c r="D297" s="39"/>
      <c r="E297" s="36"/>
      <c r="F297" s="1011"/>
      <c r="G297" s="1011"/>
      <c r="H297" s="1011"/>
      <c r="I297" s="1011"/>
      <c r="J297" s="1021"/>
      <c r="K297" s="1021"/>
      <c r="L297" s="1021"/>
      <c r="M297" s="60"/>
      <c r="N297" s="1011"/>
      <c r="O297" s="1505"/>
      <c r="P297" s="3"/>
    </row>
    <row r="298" spans="1:21" s="105" customFormat="1" ht="12.6" customHeight="1" thickBot="1">
      <c r="A298" s="157" t="s">
        <v>362</v>
      </c>
      <c r="B298" s="109" t="s">
        <v>4047</v>
      </c>
      <c r="C298" s="94"/>
      <c r="D298" s="59"/>
      <c r="E298" s="59"/>
      <c r="H298" s="192"/>
      <c r="I298" s="496" t="s">
        <v>3802</v>
      </c>
      <c r="M298" s="1503">
        <v>10</v>
      </c>
      <c r="N298" s="7"/>
      <c r="O298" s="1329">
        <f>IF(OR(O299="Yes",O300="Yes"),$M$298,0)</f>
        <v>0</v>
      </c>
      <c r="P298" s="1329">
        <f>IF(OR(P299="Yes",P300="Yes"),$M$298,0)</f>
        <v>0</v>
      </c>
      <c r="Q298" s="112" t="s">
        <v>441</v>
      </c>
      <c r="R298" s="43"/>
    </row>
    <row r="299" spans="1:21" ht="11.25" customHeight="1">
      <c r="A299" s="1504" t="s">
        <v>1983</v>
      </c>
      <c r="B299" s="1374" t="s">
        <v>3793</v>
      </c>
      <c r="D299" s="718"/>
      <c r="E299" s="718"/>
      <c r="F299" s="718"/>
      <c r="G299" s="718"/>
      <c r="H299" s="718"/>
      <c r="I299" s="718"/>
      <c r="J299" s="718"/>
      <c r="K299" s="718"/>
      <c r="L299" s="1191"/>
      <c r="M299" s="3997" t="str">
        <f>IF(OR(SUM(T299:T300)&gt;1,SUM(U299:U300)&gt;1),"Only one category can be met by other means!","")</f>
        <v/>
      </c>
      <c r="N299" s="527" t="s">
        <v>1983</v>
      </c>
      <c r="O299" s="238"/>
      <c r="P299" s="617"/>
      <c r="U299" s="1523">
        <f>IF(L299="Yes",1,0)</f>
        <v>0</v>
      </c>
    </row>
    <row r="300" spans="1:21" ht="11.25" customHeight="1">
      <c r="A300" s="1504" t="s">
        <v>1985</v>
      </c>
      <c r="B300" s="1374" t="s">
        <v>3794</v>
      </c>
      <c r="D300" s="718"/>
      <c r="L300" s="1191"/>
      <c r="M300" s="3997"/>
      <c r="N300" s="527" t="s">
        <v>1985</v>
      </c>
      <c r="O300" s="239"/>
      <c r="P300" s="619"/>
      <c r="U300" s="1523">
        <f>IF(L300="Yes",1,0)</f>
        <v>0</v>
      </c>
    </row>
    <row r="301" spans="1:21" s="43" customFormat="1" ht="10.5" customHeight="1" thickBot="1">
      <c r="A301" s="42"/>
      <c r="B301" s="1488" t="s">
        <v>3757</v>
      </c>
      <c r="C301" s="42"/>
      <c r="D301" s="48"/>
      <c r="E301" s="48"/>
      <c r="F301" s="48"/>
      <c r="G301" s="48"/>
      <c r="H301" s="36"/>
      <c r="I301" s="36"/>
      <c r="J301" s="36"/>
      <c r="K301" s="36"/>
      <c r="M301" s="46"/>
      <c r="N301" s="62"/>
      <c r="O301" s="3"/>
      <c r="P301" s="1505"/>
    </row>
    <row r="302" spans="1:21" s="43" customFormat="1" ht="21.75" customHeight="1" thickTop="1" thickBot="1">
      <c r="A302" s="3934"/>
      <c r="B302" s="3935"/>
      <c r="C302" s="3935"/>
      <c r="D302" s="3935"/>
      <c r="E302" s="3935"/>
      <c r="F302" s="3935"/>
      <c r="G302" s="3935"/>
      <c r="H302" s="3935"/>
      <c r="I302" s="3935"/>
      <c r="J302" s="3935"/>
      <c r="K302" s="3935"/>
      <c r="L302" s="3935"/>
      <c r="M302" s="3935"/>
      <c r="N302" s="3935"/>
      <c r="O302" s="3935"/>
      <c r="P302" s="3936"/>
      <c r="Q302" s="1291" t="s">
        <v>1254</v>
      </c>
    </row>
    <row r="303" spans="1:21" s="43" customFormat="1" ht="10.5" customHeight="1" thickTop="1">
      <c r="A303" s="42"/>
      <c r="B303" s="87" t="s">
        <v>1866</v>
      </c>
      <c r="C303" s="42"/>
      <c r="D303" s="87"/>
      <c r="E303" s="1506"/>
      <c r="F303" s="1506"/>
      <c r="G303" s="1506"/>
      <c r="H303" s="1506"/>
      <c r="I303" s="1506"/>
      <c r="J303" s="1506"/>
      <c r="K303" s="1506"/>
      <c r="L303" s="1506"/>
      <c r="M303" s="1506"/>
      <c r="N303" s="75"/>
      <c r="O303" s="71"/>
      <c r="P303" s="1503"/>
      <c r="Q303" s="490"/>
    </row>
    <row r="304" spans="1:21" s="43" customFormat="1" ht="11.25" customHeight="1">
      <c r="A304" s="3986"/>
      <c r="B304" s="3987"/>
      <c r="C304" s="3987"/>
      <c r="D304" s="3987"/>
      <c r="E304" s="3987"/>
      <c r="F304" s="3987"/>
      <c r="G304" s="3987"/>
      <c r="H304" s="3987"/>
      <c r="I304" s="3987"/>
      <c r="J304" s="3987"/>
      <c r="K304" s="3987"/>
      <c r="L304" s="3987"/>
      <c r="M304" s="3987"/>
      <c r="N304" s="3987"/>
      <c r="O304" s="3987"/>
      <c r="P304" s="3988"/>
      <c r="Q304" s="509"/>
    </row>
    <row r="305" spans="1:27" s="43" customFormat="1" ht="1.5" customHeight="1" thickBot="1">
      <c r="A305" s="42"/>
      <c r="D305" s="39"/>
      <c r="E305" s="36"/>
      <c r="F305" s="1011"/>
      <c r="G305" s="1011"/>
      <c r="H305" s="1011"/>
      <c r="I305" s="1011"/>
      <c r="J305" s="1021"/>
      <c r="K305" s="1021"/>
      <c r="L305" s="1021"/>
      <c r="M305" s="60"/>
      <c r="N305" s="1011"/>
      <c r="O305" s="1505"/>
      <c r="P305" s="3"/>
    </row>
    <row r="306" spans="1:27" s="43" customFormat="1" ht="12" customHeight="1" thickBot="1">
      <c r="A306" s="157" t="s">
        <v>363</v>
      </c>
      <c r="B306" s="108" t="s">
        <v>2459</v>
      </c>
      <c r="D306" s="41"/>
      <c r="E306" s="41"/>
      <c r="F306" s="41"/>
      <c r="H306" s="61" t="s">
        <v>4874</v>
      </c>
      <c r="J306" s="88" t="s">
        <v>2794</v>
      </c>
      <c r="K306" s="48"/>
      <c r="L306" s="717" t="str">
        <f>'Part I-Project Information'!$H$105</f>
        <v>N/A - 4% Bond</v>
      </c>
      <c r="M306" s="1503">
        <v>4</v>
      </c>
      <c r="N306" s="6"/>
      <c r="O306" s="1397">
        <f>IF(AND($L$306="Flexible",O307=$M307),$M307,IF(AND($L$306="Flexible",O316&gt;0),O316,IF(AND($L$306="Rural",O320&gt;0),O320,0)))</f>
        <v>0</v>
      </c>
      <c r="P306" s="1397">
        <f>IF(AND($L$306="Flexible",P307=$M307),$M307,IF(AND($L$306="Flexible",P316&gt;0),P316,IF(AND($L$306="Rural",P320&gt;0),P320,0)))</f>
        <v>0</v>
      </c>
      <c r="Q306" s="112" t="s">
        <v>441</v>
      </c>
    </row>
    <row r="307" spans="1:27" ht="11.25" customHeight="1">
      <c r="A307" s="1504" t="s">
        <v>1983</v>
      </c>
      <c r="B307" s="197" t="s">
        <v>4048</v>
      </c>
      <c r="D307" s="33"/>
      <c r="E307" s="33"/>
      <c r="F307" s="33"/>
      <c r="H307" s="88" t="s">
        <v>3684</v>
      </c>
      <c r="I307" s="495"/>
      <c r="J307" s="3993" t="str">
        <f>'Part I-Project Information'!$O$34</f>
        <v>Yes - no Master Plan</v>
      </c>
      <c r="K307" s="3993"/>
      <c r="L307" s="1069">
        <f>'Part I-Project Information'!$O$35</f>
        <v>0</v>
      </c>
      <c r="M307" s="73">
        <v>3</v>
      </c>
      <c r="N307" s="527" t="s">
        <v>1983</v>
      </c>
      <c r="O307" s="682"/>
      <c r="P307" s="979"/>
      <c r="Q307" s="1179" t="str">
        <f>IF(OR($O307=$M307,$O307=0,$O307=""),"","*CHECK!*")</f>
        <v/>
      </c>
      <c r="R307" s="1327" t="s">
        <v>2706</v>
      </c>
    </row>
    <row r="308" spans="1:27" s="103" customFormat="1" ht="23.1" customHeight="1">
      <c r="B308" s="674" t="s">
        <v>1986</v>
      </c>
      <c r="C308" s="3861" t="s">
        <v>4879</v>
      </c>
      <c r="D308" s="3861"/>
      <c r="E308" s="3861"/>
      <c r="F308" s="3861"/>
      <c r="G308" s="3861"/>
      <c r="H308" s="3861"/>
      <c r="I308" s="3861"/>
      <c r="J308" s="3861"/>
      <c r="K308" s="3861"/>
      <c r="L308" s="3861"/>
      <c r="M308" s="1184"/>
      <c r="N308" s="449" t="s">
        <v>1986</v>
      </c>
      <c r="O308" s="1412"/>
      <c r="P308" s="1392"/>
      <c r="Q308" s="3979" t="s">
        <v>4197</v>
      </c>
      <c r="R308" s="3863"/>
      <c r="S308" s="3863"/>
      <c r="T308" s="1184"/>
      <c r="U308" s="1184"/>
      <c r="V308" s="1184"/>
      <c r="W308" s="1184"/>
      <c r="X308" s="1184"/>
      <c r="Y308" s="1184"/>
      <c r="Z308" s="1184"/>
      <c r="AA308" s="1184"/>
    </row>
    <row r="309" spans="1:27" s="121" customFormat="1" ht="11.25" customHeight="1">
      <c r="B309" s="1012"/>
      <c r="C309" s="138" t="s">
        <v>3808</v>
      </c>
      <c r="I309" s="446" t="s">
        <v>4875</v>
      </c>
      <c r="J309" s="2465"/>
      <c r="K309" s="497" t="s">
        <v>2301</v>
      </c>
      <c r="L309" s="3994"/>
      <c r="M309" s="3995"/>
      <c r="N309" s="3995"/>
      <c r="O309" s="3995"/>
      <c r="P309" s="3996"/>
      <c r="Q309" s="3979"/>
      <c r="R309" s="3863"/>
      <c r="S309" s="3863"/>
    </row>
    <row r="310" spans="1:27" s="121" customFormat="1" ht="11.25" customHeight="1">
      <c r="B310" s="1012"/>
      <c r="C310" s="138" t="s">
        <v>3863</v>
      </c>
      <c r="I310" s="446" t="s">
        <v>4875</v>
      </c>
      <c r="J310" s="2466"/>
      <c r="K310" s="497" t="s">
        <v>2301</v>
      </c>
      <c r="L310" s="3999"/>
      <c r="M310" s="4000"/>
      <c r="N310" s="4000"/>
      <c r="O310" s="4000"/>
      <c r="P310" s="4001"/>
      <c r="Q310" s="3979"/>
      <c r="R310" s="3863"/>
      <c r="S310" s="3863"/>
    </row>
    <row r="311" spans="1:27" s="121" customFormat="1" ht="11.25" customHeight="1">
      <c r="B311" s="1012" t="s">
        <v>1988</v>
      </c>
      <c r="C311" s="121" t="s">
        <v>963</v>
      </c>
      <c r="M311" s="7"/>
      <c r="N311" s="194" t="s">
        <v>1988</v>
      </c>
      <c r="O311" s="1174"/>
      <c r="P311" s="1084"/>
      <c r="Q311" s="3979"/>
      <c r="R311" s="3863"/>
      <c r="S311" s="3863"/>
    </row>
    <row r="312" spans="1:27" s="121" customFormat="1" ht="11.25" customHeight="1">
      <c r="B312" s="1012" t="s">
        <v>2534</v>
      </c>
      <c r="C312" s="121" t="s">
        <v>964</v>
      </c>
      <c r="M312" s="7"/>
      <c r="N312" s="194" t="s">
        <v>2534</v>
      </c>
      <c r="O312" s="422"/>
      <c r="P312" s="618"/>
      <c r="Q312" s="3979"/>
      <c r="R312" s="3863"/>
      <c r="S312" s="3863"/>
    </row>
    <row r="313" spans="1:27" s="121" customFormat="1" ht="11.25" customHeight="1">
      <c r="B313" s="1012" t="s">
        <v>1224</v>
      </c>
      <c r="C313" s="138" t="s">
        <v>4880</v>
      </c>
      <c r="M313" s="7"/>
      <c r="N313" s="194" t="s">
        <v>1224</v>
      </c>
      <c r="O313" s="422"/>
      <c r="P313" s="618"/>
      <c r="Q313" s="3979"/>
      <c r="R313" s="3863"/>
      <c r="S313" s="3863"/>
    </row>
    <row r="314" spans="1:27" s="121" customFormat="1" ht="11.25" customHeight="1">
      <c r="A314" s="581"/>
      <c r="B314" s="1012" t="s">
        <v>1225</v>
      </c>
      <c r="C314" s="121" t="s">
        <v>965</v>
      </c>
      <c r="M314" s="7"/>
      <c r="N314" s="194" t="s">
        <v>1225</v>
      </c>
      <c r="O314" s="239"/>
      <c r="P314" s="619"/>
      <c r="Q314" s="3979"/>
      <c r="R314" s="3863"/>
      <c r="S314" s="3863"/>
    </row>
    <row r="315" spans="1:27" s="33" customFormat="1" ht="11.25" customHeight="1">
      <c r="A315" s="1504" t="s">
        <v>1985</v>
      </c>
      <c r="B315" s="197" t="s">
        <v>4049</v>
      </c>
      <c r="D315" s="673"/>
      <c r="H315" s="61" t="s">
        <v>4876</v>
      </c>
    </row>
    <row r="316" spans="1:27" s="33" customFormat="1" ht="11.25" customHeight="1">
      <c r="A316" s="1504"/>
      <c r="B316" s="2488" t="s">
        <v>4881</v>
      </c>
      <c r="C316" s="2488"/>
      <c r="D316" s="2488"/>
      <c r="E316" s="2488"/>
      <c r="F316" s="2488"/>
      <c r="G316" s="2488"/>
      <c r="H316" s="2488"/>
      <c r="I316" s="2488"/>
      <c r="J316" s="2488"/>
      <c r="K316" s="2488"/>
      <c r="L316" s="2488"/>
      <c r="M316" s="669">
        <v>3</v>
      </c>
      <c r="N316" s="527" t="s">
        <v>1985</v>
      </c>
      <c r="O316" s="1018">
        <f>IF(AND(O317&gt;0,O318&gt;0),"choose",IF($L$306="Flexible", MIN($M$316, SUM(O317:O318)), 0))</f>
        <v>0</v>
      </c>
      <c r="P316" s="1018">
        <f>IF(AND(P317&gt;0,P318&gt;0),"choose",IF($L$306="Flexible", MIN($M$316, SUM(P317:P318)), 0))</f>
        <v>0</v>
      </c>
    </row>
    <row r="317" spans="1:27" s="33" customFormat="1" ht="11.25" customHeight="1">
      <c r="B317" s="1012" t="s">
        <v>1986</v>
      </c>
      <c r="C317" s="671" t="s">
        <v>4051</v>
      </c>
      <c r="L317" s="434" t="str">
        <f>IF(OR($O317=$M317,$O317=0,$O317=""),"","* * Check Score! * *")</f>
        <v/>
      </c>
      <c r="M317" s="73">
        <v>3</v>
      </c>
      <c r="N317" s="499" t="s">
        <v>1986</v>
      </c>
      <c r="O317" s="597"/>
      <c r="P317" s="611"/>
      <c r="Q317" s="1179" t="str">
        <f>IF(OR($O317=$M317,$O317=0,$O317=""),"","*CHECK!*")</f>
        <v/>
      </c>
      <c r="R317" s="1327" t="s">
        <v>2706</v>
      </c>
    </row>
    <row r="318" spans="1:27" ht="11.25" customHeight="1">
      <c r="A318" s="672"/>
      <c r="B318" s="674" t="s">
        <v>1988</v>
      </c>
      <c r="C318" s="503" t="s">
        <v>3609</v>
      </c>
      <c r="D318" s="33"/>
      <c r="E318" s="33"/>
      <c r="F318" s="33"/>
      <c r="G318" s="40"/>
      <c r="H318" s="61"/>
      <c r="I318" s="40"/>
      <c r="L318" s="434" t="str">
        <f>IF(OR($O318=$M318,$O318=0,$O318=""),"","* * Check Score! * *")</f>
        <v/>
      </c>
      <c r="M318" s="82">
        <v>2</v>
      </c>
      <c r="N318" s="1016" t="s">
        <v>1988</v>
      </c>
      <c r="O318" s="599"/>
      <c r="P318" s="613"/>
      <c r="Q318" s="1179" t="str">
        <f>IF(OR($O318=$M318,$O318=0,$O318=""),"","*CHECK!*")</f>
        <v/>
      </c>
      <c r="R318" s="1327" t="s">
        <v>2706</v>
      </c>
    </row>
    <row r="319" spans="1:27" s="33" customFormat="1" ht="11.25" customHeight="1">
      <c r="A319" s="1504" t="s">
        <v>749</v>
      </c>
      <c r="B319" s="197" t="s">
        <v>4050</v>
      </c>
      <c r="D319" s="673"/>
      <c r="H319" s="61" t="s">
        <v>4877</v>
      </c>
    </row>
    <row r="320" spans="1:27" s="33" customFormat="1" ht="11.25" customHeight="1">
      <c r="A320" s="1504"/>
      <c r="B320" s="1015" t="s">
        <v>3611</v>
      </c>
      <c r="D320" s="673"/>
      <c r="H320" s="61"/>
      <c r="M320" s="669">
        <v>4</v>
      </c>
      <c r="N320" s="527" t="s">
        <v>749</v>
      </c>
      <c r="O320" s="1018">
        <f>IF(OR(AND(O321&gt;0,O322&gt;0,O323&gt;0),AND(O321&gt;0,O322&gt;0),AND(O321&gt;0,O323&gt;0),AND(O322&gt;0,O323&gt;0)),"choose",IF($L$306="Rural", MIN($M$320, SUM(O321:O323)), 0))</f>
        <v>0</v>
      </c>
      <c r="P320" s="1018">
        <f>IF($L$306="Rural", MIN($M$320, SUM(P321:P323)), 0)</f>
        <v>0</v>
      </c>
    </row>
    <row r="321" spans="1:21" s="33" customFormat="1" ht="11.25" customHeight="1">
      <c r="B321" s="1012" t="s">
        <v>1986</v>
      </c>
      <c r="C321" s="495" t="s">
        <v>3610</v>
      </c>
      <c r="K321" s="3998" t="str">
        <f>IF(OR(AND(O321&gt;0,O323&gt;0), AND(O322&gt;0,O323&gt;0), AND(O321&gt;0,O322&gt;0)),"Choose option 1 or 2 or 3!!!","")</f>
        <v/>
      </c>
      <c r="L321" s="3998"/>
      <c r="M321" s="73">
        <v>4</v>
      </c>
      <c r="N321" s="499" t="s">
        <v>1986</v>
      </c>
      <c r="O321" s="597"/>
      <c r="P321" s="611"/>
      <c r="Q321" s="1179" t="str">
        <f>IF(OR($O321=$M321,$O321=0,$O321=""),"","*CHECK!*")</f>
        <v/>
      </c>
      <c r="R321" s="1327" t="s">
        <v>2706</v>
      </c>
    </row>
    <row r="322" spans="1:21" ht="11.25" customHeight="1">
      <c r="A322" s="672"/>
      <c r="B322" s="674" t="s">
        <v>1988</v>
      </c>
      <c r="C322" s="671" t="s">
        <v>4052</v>
      </c>
      <c r="D322" s="33"/>
      <c r="E322" s="33"/>
      <c r="F322" s="33"/>
      <c r="G322" s="40"/>
      <c r="H322" s="1017"/>
      <c r="I322" s="40"/>
      <c r="K322" s="3998"/>
      <c r="L322" s="3998"/>
      <c r="M322" s="82">
        <v>3</v>
      </c>
      <c r="N322" s="1016" t="s">
        <v>1988</v>
      </c>
      <c r="O322" s="598"/>
      <c r="P322" s="612"/>
      <c r="Q322" s="1179" t="str">
        <f>IF(OR($O322=$M322,$O322=0,$O322=""),"","*CHECK!*")</f>
        <v/>
      </c>
      <c r="R322" s="1327" t="s">
        <v>2706</v>
      </c>
    </row>
    <row r="323" spans="1:21" ht="11.25" customHeight="1">
      <c r="A323" s="672"/>
      <c r="B323" s="674" t="s">
        <v>2534</v>
      </c>
      <c r="C323" s="503" t="s">
        <v>3612</v>
      </c>
      <c r="D323" s="33"/>
      <c r="E323" s="33"/>
      <c r="F323" s="33"/>
      <c r="G323" s="40"/>
      <c r="H323" s="61"/>
      <c r="I323" s="40"/>
      <c r="K323" s="3998"/>
      <c r="L323" s="3998"/>
      <c r="M323" s="82">
        <v>2</v>
      </c>
      <c r="N323" s="1016" t="s">
        <v>2534</v>
      </c>
      <c r="O323" s="599"/>
      <c r="P323" s="613"/>
      <c r="Q323" s="1179" t="str">
        <f>IF(OR($O323=$M323,$O323=0,$O323=""),"","*CHECK!*")</f>
        <v/>
      </c>
      <c r="R323" s="1327" t="s">
        <v>2706</v>
      </c>
    </row>
    <row r="324" spans="1:21" s="43" customFormat="1" ht="10.5" customHeight="1" thickBot="1">
      <c r="A324" s="42"/>
      <c r="B324" s="1488" t="s">
        <v>3757</v>
      </c>
      <c r="C324" s="42"/>
      <c r="D324" s="48"/>
      <c r="E324" s="48"/>
      <c r="F324" s="48"/>
      <c r="G324" s="48"/>
      <c r="H324" s="36"/>
      <c r="I324" s="36"/>
      <c r="J324" s="36"/>
      <c r="K324" s="36"/>
      <c r="M324" s="46"/>
      <c r="N324" s="62"/>
      <c r="O324" s="3"/>
      <c r="P324" s="1563"/>
    </row>
    <row r="325" spans="1:21" s="43" customFormat="1" ht="21.75" customHeight="1" thickTop="1" thickBot="1">
      <c r="A325" s="3934"/>
      <c r="B325" s="3935"/>
      <c r="C325" s="3935"/>
      <c r="D325" s="3935"/>
      <c r="E325" s="3935"/>
      <c r="F325" s="3935"/>
      <c r="G325" s="3935"/>
      <c r="H325" s="3935"/>
      <c r="I325" s="3935"/>
      <c r="J325" s="3935"/>
      <c r="K325" s="3935"/>
      <c r="L325" s="3935"/>
      <c r="M325" s="3935"/>
      <c r="N325" s="3935"/>
      <c r="O325" s="3935"/>
      <c r="P325" s="3936"/>
      <c r="Q325" s="1291" t="s">
        <v>1254</v>
      </c>
    </row>
    <row r="326" spans="1:21" s="43" customFormat="1" ht="10.5" customHeight="1" thickTop="1">
      <c r="B326" s="87" t="s">
        <v>1866</v>
      </c>
      <c r="C326" s="101"/>
      <c r="D326" s="87"/>
      <c r="E326" s="102"/>
      <c r="F326" s="1506"/>
      <c r="G326" s="1506"/>
      <c r="H326" s="1506"/>
      <c r="I326" s="1506"/>
      <c r="J326" s="1506"/>
      <c r="K326" s="1506"/>
      <c r="L326" s="1506"/>
      <c r="M326" s="1506"/>
      <c r="N326" s="75"/>
      <c r="O326" s="71"/>
      <c r="P326" s="1503"/>
      <c r="Q326" s="490"/>
    </row>
    <row r="327" spans="1:21" s="43" customFormat="1" ht="11.25" customHeight="1">
      <c r="A327" s="3603"/>
      <c r="B327" s="3604"/>
      <c r="C327" s="3604"/>
      <c r="D327" s="3604"/>
      <c r="E327" s="3604"/>
      <c r="F327" s="3604"/>
      <c r="G327" s="3604"/>
      <c r="H327" s="3604"/>
      <c r="I327" s="3604"/>
      <c r="J327" s="3604"/>
      <c r="K327" s="3604"/>
      <c r="L327" s="3604"/>
      <c r="M327" s="3604"/>
      <c r="N327" s="3604"/>
      <c r="O327" s="3604"/>
      <c r="P327" s="3605"/>
      <c r="Q327" s="509"/>
    </row>
    <row r="328" spans="1:21" ht="1.5" customHeight="1" thickBot="1">
      <c r="B328" s="120"/>
      <c r="C328" s="120"/>
      <c r="D328" s="120"/>
      <c r="E328" s="120"/>
      <c r="T328" s="1285"/>
      <c r="U328" s="1285"/>
    </row>
    <row r="329" spans="1:21" s="43" customFormat="1" ht="12" customHeight="1" thickBot="1">
      <c r="A329" s="157" t="s">
        <v>364</v>
      </c>
      <c r="B329" s="109" t="s">
        <v>2827</v>
      </c>
      <c r="C329" s="54"/>
      <c r="D329" s="119"/>
      <c r="E329" s="119"/>
      <c r="F329" s="41"/>
      <c r="H329" s="61" t="s">
        <v>400</v>
      </c>
      <c r="K329" s="48"/>
      <c r="M329" s="1503">
        <v>4</v>
      </c>
      <c r="N329" s="6"/>
      <c r="O329" s="1329">
        <f>IF(AND(O330&gt;0,O334&gt;0),"AorB?",MIN($M329,SUM(O330,O334,O336)))</f>
        <v>0</v>
      </c>
      <c r="P329" s="1329">
        <f>IF(AND(P330&gt;0,P334&gt;0),"AorB?",MIN($M329,SUM(P330,P334,P336)))</f>
        <v>0</v>
      </c>
      <c r="Q329" s="112" t="s">
        <v>441</v>
      </c>
      <c r="T329" s="1285"/>
      <c r="U329" s="1285"/>
    </row>
    <row r="330" spans="1:21" s="105" customFormat="1" ht="11.25" customHeight="1">
      <c r="A330" s="142" t="s">
        <v>1983</v>
      </c>
      <c r="B330" s="184" t="s">
        <v>2233</v>
      </c>
      <c r="D330" s="61"/>
      <c r="E330" s="61"/>
      <c r="F330" s="44"/>
      <c r="G330" s="27"/>
      <c r="L330" s="434"/>
      <c r="M330" s="7">
        <v>3</v>
      </c>
      <c r="N330" s="527" t="s">
        <v>1983</v>
      </c>
      <c r="O330" s="2489">
        <f>IF(OR(AND(O331="Yes",O332="Yes",O333="Yes"),AND(O331="Yes",O333="Yes"),AND(O332="Yes",O333="Yes"),AND(O331="Yes",O332="Yes")),"choose",IF(O331="Yes",$M$331,IF(O332="Yes",$M$332, IF(O333="Yes",$M$333,0))))</f>
        <v>0</v>
      </c>
      <c r="P330" s="2489">
        <f>IF(OR(AND(P331="Yes",P332="Yes",P333="Yes"),AND(P331="Yes",P333="Yes"),AND(P332="Yes",P333="Yes"),AND(P331="Yes",P332="Yes")),"choose",IF(P331="Yes",$M$331,IF(P332="Yes",$M$332, IF(P333="Yes",$M$333,0))))</f>
        <v>0</v>
      </c>
      <c r="Q330" s="1179"/>
      <c r="R330" s="1327"/>
      <c r="T330" s="1285"/>
      <c r="U330" s="1285"/>
    </row>
    <row r="331" spans="1:21" s="105" customFormat="1" ht="11.25" customHeight="1">
      <c r="A331" s="142"/>
      <c r="B331" s="1012" t="s">
        <v>1986</v>
      </c>
      <c r="C331" s="40" t="s">
        <v>4882</v>
      </c>
      <c r="D331" s="61"/>
      <c r="E331" s="61"/>
      <c r="F331" s="44"/>
      <c r="G331" s="27"/>
      <c r="L331" s="434"/>
      <c r="M331" s="7">
        <v>3</v>
      </c>
      <c r="N331" s="499" t="s">
        <v>1986</v>
      </c>
      <c r="O331" s="238"/>
      <c r="P331" s="617"/>
      <c r="Q331" s="1179"/>
      <c r="R331" s="1327"/>
      <c r="T331" s="1285"/>
      <c r="U331" s="1285"/>
    </row>
    <row r="332" spans="1:21" s="105" customFormat="1" ht="11.25" customHeight="1">
      <c r="A332" s="142"/>
      <c r="B332" s="674" t="s">
        <v>1988</v>
      </c>
      <c r="C332" s="40" t="s">
        <v>4883</v>
      </c>
      <c r="D332" s="61"/>
      <c r="E332" s="61"/>
      <c r="F332" s="44"/>
      <c r="G332" s="27"/>
      <c r="L332" s="434"/>
      <c r="M332" s="7">
        <v>2</v>
      </c>
      <c r="N332" s="1016" t="s">
        <v>1988</v>
      </c>
      <c r="O332" s="422"/>
      <c r="P332" s="618"/>
      <c r="Q332" s="1179"/>
      <c r="R332" s="1327"/>
      <c r="T332" s="1285"/>
      <c r="U332" s="1285"/>
    </row>
    <row r="333" spans="1:21" s="105" customFormat="1" ht="10.5" customHeight="1">
      <c r="A333" s="142"/>
      <c r="B333" s="674" t="s">
        <v>2534</v>
      </c>
      <c r="C333" s="40" t="s">
        <v>4884</v>
      </c>
      <c r="D333" s="61"/>
      <c r="E333" s="61"/>
      <c r="F333" s="44"/>
      <c r="G333" s="27"/>
      <c r="K333" s="527"/>
      <c r="M333" s="7">
        <v>1</v>
      </c>
      <c r="N333" s="1016" t="s">
        <v>2534</v>
      </c>
      <c r="O333" s="239"/>
      <c r="P333" s="619"/>
      <c r="R333" s="448"/>
      <c r="T333" s="1285"/>
      <c r="U333" s="1285"/>
    </row>
    <row r="334" spans="1:21" s="43" customFormat="1" ht="11.25" customHeight="1">
      <c r="A334" s="142" t="s">
        <v>1985</v>
      </c>
      <c r="B334" s="184" t="s">
        <v>2234</v>
      </c>
      <c r="D334" s="57"/>
      <c r="K334" s="52"/>
      <c r="L334" s="434" t="str">
        <f>IF(OR($O334=$M334,$O334=0,$O334=""),"","* * Check Score! * *")</f>
        <v/>
      </c>
      <c r="M334" s="7">
        <v>1</v>
      </c>
      <c r="N334" s="527" t="s">
        <v>1985</v>
      </c>
      <c r="O334" s="1411">
        <f>IF(O335="Yes",$M$334,0)</f>
        <v>0</v>
      </c>
      <c r="P334" s="1411">
        <f>IF(P335="Yes",$M$334,0)</f>
        <v>0</v>
      </c>
      <c r="Q334" s="1179" t="str">
        <f>IF(OR($O334=$M334,$O334=0,$O334=""),"","*CHECK!*")</f>
        <v/>
      </c>
      <c r="R334" s="1327" t="s">
        <v>2706</v>
      </c>
      <c r="T334" s="1285"/>
      <c r="U334" s="1285"/>
    </row>
    <row r="335" spans="1:21" s="43" customFormat="1" ht="21.75" customHeight="1">
      <c r="A335" s="158"/>
      <c r="B335" s="3682" t="s">
        <v>4886</v>
      </c>
      <c r="C335" s="3682"/>
      <c r="D335" s="3682"/>
      <c r="E335" s="3682"/>
      <c r="F335" s="3682"/>
      <c r="G335" s="3682"/>
      <c r="H335" s="3682"/>
      <c r="I335" s="3682"/>
      <c r="J335" s="3682"/>
      <c r="K335" s="3682"/>
      <c r="L335" s="3682"/>
      <c r="M335" s="7"/>
      <c r="N335" s="527"/>
      <c r="O335" s="1498"/>
      <c r="P335" s="1499"/>
      <c r="Q335" s="448"/>
      <c r="R335" s="434"/>
      <c r="T335" s="1285"/>
      <c r="U335" s="1285"/>
    </row>
    <row r="336" spans="1:21" s="43" customFormat="1" ht="11.25" customHeight="1">
      <c r="A336" s="142" t="s">
        <v>749</v>
      </c>
      <c r="B336" s="184" t="s">
        <v>4885</v>
      </c>
      <c r="D336" s="57"/>
      <c r="H336" s="192"/>
      <c r="K336" s="52"/>
      <c r="L336" s="434"/>
      <c r="M336" s="7">
        <v>1</v>
      </c>
      <c r="N336" s="527" t="s">
        <v>749</v>
      </c>
      <c r="O336" s="1411">
        <f>IF(O330=0,0,IF(O337="Yes",$M$336,0))</f>
        <v>0</v>
      </c>
      <c r="P336" s="1411">
        <f>IF(P330=0,0,IF(P337="Yes",$M$336,0))</f>
        <v>0</v>
      </c>
      <c r="Q336" s="1179" t="str">
        <f>IF(OR($O336=$M336,$O336=0,$O336=""),"","*CHECK!*")</f>
        <v/>
      </c>
      <c r="R336" s="1327" t="s">
        <v>2706</v>
      </c>
      <c r="T336" s="1285"/>
      <c r="U336" s="1285"/>
    </row>
    <row r="337" spans="1:21" s="43" customFormat="1" ht="33.75" customHeight="1">
      <c r="B337" s="3602" t="s">
        <v>5038</v>
      </c>
      <c r="C337" s="3602"/>
      <c r="D337" s="3602"/>
      <c r="E337" s="3602"/>
      <c r="F337" s="3602"/>
      <c r="G337" s="3602"/>
      <c r="H337" s="3602"/>
      <c r="I337" s="3602"/>
      <c r="J337" s="3602"/>
      <c r="K337" s="3602"/>
      <c r="L337" s="3602"/>
      <c r="M337" s="7"/>
      <c r="N337" s="527"/>
      <c r="O337" s="1447"/>
      <c r="P337" s="1448"/>
      <c r="Q337" s="448"/>
      <c r="R337" s="434"/>
      <c r="T337" s="1285"/>
      <c r="U337" s="1285"/>
    </row>
    <row r="338" spans="1:21" s="43" customFormat="1" ht="22.5" customHeight="1">
      <c r="B338" s="3602" t="s">
        <v>5039</v>
      </c>
      <c r="C338" s="3602"/>
      <c r="D338" s="3602"/>
      <c r="E338" s="3602"/>
      <c r="F338" s="3602"/>
      <c r="G338" s="3602"/>
      <c r="H338" s="3602"/>
      <c r="I338" s="3602"/>
      <c r="J338" s="3602"/>
      <c r="K338" s="3602"/>
      <c r="L338" s="3602"/>
      <c r="M338" s="7"/>
      <c r="N338" s="7"/>
      <c r="O338" s="7"/>
      <c r="P338" s="7"/>
      <c r="Q338" s="448"/>
      <c r="R338" s="434"/>
      <c r="T338" s="1285"/>
      <c r="U338" s="1285"/>
    </row>
    <row r="339" spans="1:21" s="43" customFormat="1" ht="10.5" customHeight="1">
      <c r="A339" s="42"/>
      <c r="B339" s="87" t="s">
        <v>1866</v>
      </c>
      <c r="C339" s="101"/>
      <c r="D339" s="87"/>
      <c r="E339" s="102"/>
      <c r="F339" s="1506"/>
      <c r="G339" s="1506"/>
      <c r="H339" s="1506"/>
      <c r="I339" s="1506"/>
      <c r="J339" s="1506"/>
      <c r="K339" s="1506"/>
      <c r="L339" s="1506"/>
      <c r="M339" s="1506"/>
      <c r="N339" s="75"/>
      <c r="O339" s="71"/>
      <c r="P339" s="1503"/>
      <c r="Q339" s="490"/>
    </row>
    <row r="340" spans="1:21" s="43" customFormat="1" ht="11.25" customHeight="1">
      <c r="A340" s="3603"/>
      <c r="B340" s="3604"/>
      <c r="C340" s="3604"/>
      <c r="D340" s="3604"/>
      <c r="E340" s="3604"/>
      <c r="F340" s="3604"/>
      <c r="G340" s="3604"/>
      <c r="H340" s="3604"/>
      <c r="I340" s="3604"/>
      <c r="J340" s="3604"/>
      <c r="K340" s="3604"/>
      <c r="L340" s="3604"/>
      <c r="M340" s="3604"/>
      <c r="N340" s="3604"/>
      <c r="O340" s="3604"/>
      <c r="P340" s="3605"/>
      <c r="Q340" s="509"/>
    </row>
    <row r="341" spans="1:21" s="43" customFormat="1" ht="1.5" customHeight="1" thickBot="1">
      <c r="A341" s="42"/>
      <c r="B341" s="42"/>
      <c r="C341" s="1506"/>
      <c r="D341" s="1506"/>
      <c r="E341" s="1506"/>
      <c r="F341" s="1506"/>
      <c r="G341" s="1506"/>
      <c r="H341" s="1506"/>
      <c r="I341" s="1506"/>
      <c r="J341" s="1506"/>
      <c r="K341" s="1506"/>
      <c r="L341" s="1506"/>
      <c r="M341" s="1506"/>
      <c r="N341" s="75"/>
      <c r="O341" s="71"/>
      <c r="P341" s="1011"/>
    </row>
    <row r="342" spans="1:21" s="43" customFormat="1" ht="12" customHeight="1" thickBot="1">
      <c r="A342" s="158" t="s">
        <v>1726</v>
      </c>
      <c r="B342" s="109" t="s">
        <v>4055</v>
      </c>
      <c r="C342" s="89"/>
      <c r="D342" s="58"/>
      <c r="E342" s="52"/>
      <c r="G342" s="55"/>
      <c r="M342" s="1503">
        <v>2</v>
      </c>
      <c r="N342" s="6"/>
      <c r="O342" s="6"/>
      <c r="P342" s="1397">
        <f>P343+P351</f>
        <v>0</v>
      </c>
      <c r="Q342" s="112" t="s">
        <v>441</v>
      </c>
    </row>
    <row r="343" spans="1:21" s="43" customFormat="1" ht="12" customHeight="1">
      <c r="A343" s="142" t="s">
        <v>1983</v>
      </c>
      <c r="B343" s="184" t="s">
        <v>4056</v>
      </c>
      <c r="C343" s="89"/>
      <c r="D343" s="58"/>
      <c r="E343" s="52"/>
      <c r="G343" s="554">
        <f>'Part VIII-Threshold Criteria'!I361</f>
        <v>0</v>
      </c>
      <c r="J343" s="40" t="s">
        <v>2686</v>
      </c>
      <c r="L343" s="36"/>
      <c r="N343" s="527" t="s">
        <v>1983</v>
      </c>
      <c r="O343" s="526" t="str">
        <f>'Part I-Project Information'!$H$100</f>
        <v>No</v>
      </c>
      <c r="P343" s="614"/>
      <c r="Q343" s="112"/>
      <c r="R343" s="1327" t="s">
        <v>2706</v>
      </c>
    </row>
    <row r="344" spans="1:21" s="105" customFormat="1" ht="10.5" customHeight="1">
      <c r="A344" s="142"/>
      <c r="B344" s="432" t="s">
        <v>1986</v>
      </c>
      <c r="C344" s="36" t="s">
        <v>4958</v>
      </c>
      <c r="D344" s="33"/>
      <c r="N344" s="499" t="s">
        <v>4960</v>
      </c>
      <c r="O344" s="238"/>
      <c r="P344" s="617"/>
      <c r="R344" s="434"/>
    </row>
    <row r="345" spans="1:21" s="105" customFormat="1" ht="10.5" customHeight="1">
      <c r="A345" s="142"/>
      <c r="B345" s="432"/>
      <c r="C345" s="36" t="s">
        <v>4959</v>
      </c>
      <c r="D345" s="33"/>
      <c r="N345" s="499" t="s">
        <v>4961</v>
      </c>
      <c r="O345" s="422"/>
      <c r="P345" s="618"/>
      <c r="R345" s="434"/>
    </row>
    <row r="346" spans="1:21" s="105" customFormat="1" ht="10.5" customHeight="1">
      <c r="A346" s="142"/>
      <c r="B346" s="432" t="s">
        <v>1988</v>
      </c>
      <c r="C346" s="36" t="s">
        <v>4073</v>
      </c>
      <c r="D346" s="33"/>
      <c r="N346" s="1016" t="s">
        <v>1988</v>
      </c>
      <c r="O346" s="422"/>
      <c r="P346" s="618"/>
      <c r="R346" s="434"/>
    </row>
    <row r="347" spans="1:21" s="105" customFormat="1" ht="10.5" customHeight="1">
      <c r="A347" s="142"/>
      <c r="B347" s="432" t="s">
        <v>2534</v>
      </c>
      <c r="C347" s="36" t="s">
        <v>4962</v>
      </c>
      <c r="D347" s="33"/>
      <c r="N347" s="1016" t="s">
        <v>2534</v>
      </c>
      <c r="O347" s="422"/>
      <c r="P347" s="618"/>
      <c r="R347" s="434"/>
    </row>
    <row r="348" spans="1:21" s="105" customFormat="1" ht="10.5" customHeight="1">
      <c r="B348" s="432" t="s">
        <v>1224</v>
      </c>
      <c r="C348" s="36" t="s">
        <v>4887</v>
      </c>
      <c r="D348" s="33"/>
      <c r="N348" s="1016" t="s">
        <v>1224</v>
      </c>
      <c r="O348" s="422"/>
      <c r="P348" s="618"/>
      <c r="R348" s="434"/>
    </row>
    <row r="349" spans="1:21" s="105" customFormat="1" ht="10.5" customHeight="1">
      <c r="A349" s="142"/>
      <c r="B349" s="432" t="s">
        <v>1225</v>
      </c>
      <c r="C349" s="36" t="s">
        <v>4888</v>
      </c>
      <c r="D349" s="33"/>
      <c r="N349" s="1016" t="s">
        <v>1225</v>
      </c>
      <c r="O349" s="422"/>
      <c r="P349" s="618"/>
      <c r="R349" s="434"/>
    </row>
    <row r="350" spans="1:21" s="105" customFormat="1" ht="10.5" customHeight="1">
      <c r="A350" s="142"/>
      <c r="B350" s="432" t="s">
        <v>1881</v>
      </c>
      <c r="C350" s="36" t="s">
        <v>4074</v>
      </c>
      <c r="D350" s="33"/>
      <c r="N350" s="1016" t="s">
        <v>1881</v>
      </c>
      <c r="O350" s="239"/>
      <c r="P350" s="619"/>
      <c r="R350" s="434"/>
    </row>
    <row r="351" spans="1:21" s="43" customFormat="1" ht="12" customHeight="1">
      <c r="A351" s="142" t="s">
        <v>1985</v>
      </c>
      <c r="B351" s="184" t="s">
        <v>4057</v>
      </c>
      <c r="C351" s="89"/>
      <c r="D351" s="58"/>
      <c r="E351" s="52"/>
      <c r="G351" s="554">
        <f>'Part I-Project Information'!D165</f>
        <v>0</v>
      </c>
      <c r="I351" s="554"/>
      <c r="L351" s="1456"/>
      <c r="M351" s="1456"/>
      <c r="N351" s="527" t="s">
        <v>1985</v>
      </c>
      <c r="P351" s="614"/>
      <c r="Q351" s="112"/>
      <c r="R351" s="1327" t="s">
        <v>2706</v>
      </c>
    </row>
    <row r="352" spans="1:21" s="105" customFormat="1" ht="10.5" customHeight="1">
      <c r="A352" s="158"/>
      <c r="B352" s="432" t="s">
        <v>1986</v>
      </c>
      <c r="C352" s="36" t="s">
        <v>4958</v>
      </c>
      <c r="D352" s="52"/>
      <c r="E352" s="52"/>
      <c r="M352" s="1503"/>
      <c r="N352" s="499" t="s">
        <v>4960</v>
      </c>
      <c r="O352" s="238"/>
      <c r="P352" s="617"/>
      <c r="Q352" s="112"/>
    </row>
    <row r="353" spans="1:18" s="105" customFormat="1" ht="10.5" customHeight="1">
      <c r="A353" s="142"/>
      <c r="B353" s="432"/>
      <c r="C353" s="36" t="s">
        <v>4963</v>
      </c>
      <c r="D353" s="33"/>
      <c r="N353" s="499" t="s">
        <v>4961</v>
      </c>
      <c r="O353" s="422"/>
      <c r="P353" s="618"/>
      <c r="R353" s="434"/>
    </row>
    <row r="354" spans="1:18" s="105" customFormat="1" ht="10.5" customHeight="1">
      <c r="A354" s="142"/>
      <c r="B354" s="432" t="s">
        <v>1988</v>
      </c>
      <c r="C354" s="36" t="s">
        <v>4086</v>
      </c>
      <c r="D354" s="33"/>
      <c r="N354" s="1016" t="s">
        <v>1988</v>
      </c>
      <c r="O354" s="422"/>
      <c r="P354" s="618"/>
      <c r="R354" s="434"/>
    </row>
    <row r="355" spans="1:18" s="105" customFormat="1" ht="10.5" customHeight="1">
      <c r="B355" s="432" t="s">
        <v>2534</v>
      </c>
      <c r="C355" s="36" t="s">
        <v>4074</v>
      </c>
      <c r="D355" s="33"/>
      <c r="N355" s="1016" t="s">
        <v>2534</v>
      </c>
      <c r="O355" s="239"/>
      <c r="P355" s="619"/>
      <c r="R355" s="434"/>
    </row>
    <row r="356" spans="1:18" s="43" customFormat="1" ht="10.5" customHeight="1">
      <c r="B356" s="87" t="s">
        <v>1866</v>
      </c>
      <c r="C356" s="101"/>
      <c r="D356" s="87"/>
      <c r="E356" s="102"/>
      <c r="F356" s="1506"/>
      <c r="G356" s="1506"/>
      <c r="H356" s="1506"/>
      <c r="I356" s="1506"/>
      <c r="J356" s="1506"/>
      <c r="K356" s="1506"/>
      <c r="L356" s="1506"/>
      <c r="M356" s="1506"/>
      <c r="N356" s="75"/>
      <c r="O356" s="71"/>
      <c r="P356" s="1503"/>
      <c r="Q356" s="490"/>
    </row>
    <row r="357" spans="1:18" s="43" customFormat="1" ht="11.25" customHeight="1">
      <c r="A357" s="3603"/>
      <c r="B357" s="3604"/>
      <c r="C357" s="3604"/>
      <c r="D357" s="3604"/>
      <c r="E357" s="3604"/>
      <c r="F357" s="3604"/>
      <c r="G357" s="3604"/>
      <c r="H357" s="3604"/>
      <c r="I357" s="3604"/>
      <c r="J357" s="3604"/>
      <c r="K357" s="3604"/>
      <c r="L357" s="3604"/>
      <c r="M357" s="3604"/>
      <c r="N357" s="3604"/>
      <c r="O357" s="3604"/>
      <c r="P357" s="3605"/>
      <c r="Q357" s="509"/>
    </row>
    <row r="358" spans="1:18" ht="2.25" customHeight="1" thickBot="1"/>
    <row r="359" spans="1:18" s="63" customFormat="1" ht="12.6" customHeight="1" thickBot="1">
      <c r="A359" s="158" t="s">
        <v>2782</v>
      </c>
      <c r="B359" s="108" t="s">
        <v>4058</v>
      </c>
      <c r="H359" s="527" t="s">
        <v>3577</v>
      </c>
      <c r="I359" s="1520" t="str">
        <f>'Part I-Project Information'!$H$105</f>
        <v>N/A - 4% Bond</v>
      </c>
      <c r="J359" s="1515"/>
      <c r="L359" s="434" t="str">
        <f>IF(OR($O359=$M359,$O359=0,$O359=""),"","* * Check Score! * *")</f>
        <v/>
      </c>
      <c r="M359" s="1503">
        <v>1</v>
      </c>
      <c r="N359" s="454"/>
      <c r="O359" s="1401"/>
      <c r="P359" s="1402"/>
      <c r="Q359" s="112" t="s">
        <v>441</v>
      </c>
    </row>
    <row r="360" spans="1:18" s="63" customFormat="1" ht="12" customHeight="1">
      <c r="C360" s="1022"/>
      <c r="D360" s="1022"/>
      <c r="E360" s="1022"/>
      <c r="F360" s="1022"/>
      <c r="G360" s="1022"/>
      <c r="H360" s="1022"/>
      <c r="I360" s="3992" t="s">
        <v>4889</v>
      </c>
      <c r="J360" s="3992"/>
      <c r="K360" s="3992"/>
      <c r="L360" s="3992"/>
      <c r="M360" s="3992"/>
      <c r="N360" s="3992"/>
      <c r="O360" s="3992"/>
      <c r="P360" s="3992"/>
      <c r="R360" s="434"/>
    </row>
    <row r="361" spans="1:18" s="63" customFormat="1" ht="12" customHeight="1">
      <c r="A361" s="1022"/>
      <c r="B361" s="3602" t="s">
        <v>4932</v>
      </c>
      <c r="C361" s="3602"/>
      <c r="D361" s="3602"/>
      <c r="E361" s="3602"/>
      <c r="F361" s="3602"/>
      <c r="G361" s="3602"/>
      <c r="H361" s="3678"/>
      <c r="I361" s="3990">
        <v>1</v>
      </c>
      <c r="J361" s="3990"/>
      <c r="K361" s="3990"/>
      <c r="L361" s="3990">
        <v>4</v>
      </c>
      <c r="M361" s="3990"/>
      <c r="N361" s="3990"/>
      <c r="O361" s="3990"/>
      <c r="P361" s="3990"/>
      <c r="R361" s="434"/>
    </row>
    <row r="362" spans="1:18" s="63" customFormat="1" ht="12" customHeight="1">
      <c r="A362" s="1022"/>
      <c r="B362" s="3602"/>
      <c r="C362" s="3602"/>
      <c r="D362" s="3602"/>
      <c r="E362" s="3602"/>
      <c r="F362" s="3602"/>
      <c r="G362" s="3602"/>
      <c r="H362" s="3678"/>
      <c r="I362" s="3991">
        <v>2</v>
      </c>
      <c r="J362" s="3991"/>
      <c r="K362" s="3991"/>
      <c r="L362" s="3991">
        <v>5</v>
      </c>
      <c r="M362" s="3991"/>
      <c r="N362" s="3991"/>
      <c r="O362" s="3991"/>
      <c r="P362" s="3991"/>
      <c r="R362" s="434"/>
    </row>
    <row r="363" spans="1:18" s="63" customFormat="1" ht="12" customHeight="1">
      <c r="A363" s="2496"/>
      <c r="B363" s="3602"/>
      <c r="C363" s="3602"/>
      <c r="D363" s="3602"/>
      <c r="E363" s="3602"/>
      <c r="F363" s="3602"/>
      <c r="G363" s="3602"/>
      <c r="H363" s="3678"/>
      <c r="I363" s="3859">
        <v>3</v>
      </c>
      <c r="J363" s="3859"/>
      <c r="K363" s="3859"/>
      <c r="L363" s="3859">
        <v>6</v>
      </c>
      <c r="M363" s="3859"/>
      <c r="N363" s="3859"/>
      <c r="O363" s="3859"/>
      <c r="P363" s="3859"/>
      <c r="R363" s="434"/>
    </row>
    <row r="364" spans="1:18" s="105" customFormat="1" ht="10.5" customHeight="1" thickBot="1">
      <c r="A364" s="42"/>
      <c r="B364" s="1488" t="s">
        <v>3757</v>
      </c>
      <c r="C364" s="42"/>
      <c r="D364" s="48"/>
      <c r="E364" s="48"/>
      <c r="F364" s="48"/>
      <c r="G364" s="48"/>
      <c r="H364" s="36"/>
      <c r="I364" s="36"/>
      <c r="J364" s="36"/>
      <c r="K364" s="36"/>
      <c r="M364" s="46"/>
      <c r="N364" s="6"/>
      <c r="O364" s="3"/>
      <c r="P364" s="1503"/>
    </row>
    <row r="365" spans="1:18" s="43" customFormat="1" ht="21.75" customHeight="1" thickTop="1" thickBot="1">
      <c r="A365" s="3934"/>
      <c r="B365" s="3935"/>
      <c r="C365" s="3935"/>
      <c r="D365" s="3935"/>
      <c r="E365" s="3935"/>
      <c r="F365" s="3935"/>
      <c r="G365" s="3935"/>
      <c r="H365" s="3935"/>
      <c r="I365" s="3935"/>
      <c r="J365" s="3935"/>
      <c r="K365" s="3935"/>
      <c r="L365" s="3935"/>
      <c r="M365" s="3935"/>
      <c r="N365" s="3935"/>
      <c r="O365" s="3935"/>
      <c r="P365" s="3936"/>
      <c r="Q365" s="1291" t="s">
        <v>1254</v>
      </c>
    </row>
    <row r="366" spans="1:18" s="105" customFormat="1" ht="10.5" customHeight="1" thickTop="1">
      <c r="A366" s="42"/>
      <c r="B366" s="100" t="s">
        <v>1866</v>
      </c>
      <c r="C366" s="42"/>
      <c r="D366" s="100"/>
      <c r="E366" s="1509"/>
      <c r="F366" s="1509"/>
      <c r="G366" s="1509"/>
      <c r="H366" s="1509"/>
      <c r="I366" s="1509"/>
      <c r="J366" s="1509"/>
      <c r="K366" s="1509"/>
      <c r="L366" s="1509"/>
      <c r="M366" s="1509"/>
      <c r="N366" s="95"/>
      <c r="O366" s="992"/>
      <c r="P366" s="1503"/>
      <c r="Q366" s="490"/>
    </row>
    <row r="367" spans="1:18" s="43" customFormat="1" ht="11.25" customHeight="1">
      <c r="A367" s="3603"/>
      <c r="B367" s="3604"/>
      <c r="C367" s="3604"/>
      <c r="D367" s="3604"/>
      <c r="E367" s="3604"/>
      <c r="F367" s="3604"/>
      <c r="G367" s="3604"/>
      <c r="H367" s="3604"/>
      <c r="I367" s="3604"/>
      <c r="J367" s="3604"/>
      <c r="K367" s="3604"/>
      <c r="L367" s="3604"/>
      <c r="M367" s="3604"/>
      <c r="N367" s="3604"/>
      <c r="O367" s="3604"/>
      <c r="P367" s="3605"/>
      <c r="Q367" s="509"/>
    </row>
    <row r="368" spans="1:18" s="43" customFormat="1" ht="2.25" customHeight="1" thickBot="1">
      <c r="A368" s="42"/>
      <c r="C368" s="1506"/>
      <c r="D368" s="1506"/>
      <c r="E368" s="1506"/>
      <c r="F368" s="1506"/>
      <c r="G368" s="1506"/>
      <c r="H368" s="1506"/>
      <c r="I368" s="1506"/>
      <c r="J368" s="1506"/>
      <c r="K368" s="1506"/>
      <c r="L368" s="1506"/>
      <c r="M368" s="1506"/>
      <c r="N368" s="75"/>
      <c r="O368" s="71"/>
      <c r="P368" s="1011"/>
    </row>
    <row r="369" spans="1:18" s="43" customFormat="1" ht="12" customHeight="1" thickBot="1">
      <c r="A369" s="157" t="s">
        <v>2251</v>
      </c>
      <c r="B369" s="108" t="s">
        <v>1672</v>
      </c>
      <c r="D369" s="90"/>
      <c r="E369" s="90"/>
      <c r="G369" s="52"/>
      <c r="I369" s="521"/>
      <c r="J369" s="521"/>
      <c r="K369" s="1976"/>
      <c r="L369" s="1895"/>
      <c r="M369" s="1011">
        <v>1</v>
      </c>
      <c r="N369" s="454"/>
      <c r="O369" s="1329">
        <f>IF(AND(NOT($I$370="&lt; Select applicable GICH &gt;"),OR(O371="Yes",O372="Yes"),O374="Yes",O375="Yes",O376="Yes"),$M$369,0)</f>
        <v>0</v>
      </c>
      <c r="P369" s="1329">
        <f>IF(AND(NOT($I$370="&lt; Select applicable GICH &gt;"),OR(P371="Yes",P372="Yes"),P374="Yes",P375="Yes",P376="Yes"),$M$369,0)</f>
        <v>0</v>
      </c>
      <c r="Q369" s="112" t="s">
        <v>441</v>
      </c>
    </row>
    <row r="370" spans="1:18" s="43" customFormat="1" ht="11.25" customHeight="1">
      <c r="A370" s="142"/>
      <c r="B370" s="117" t="s">
        <v>3615</v>
      </c>
      <c r="D370" s="90"/>
      <c r="E370" s="90"/>
      <c r="G370" s="52"/>
      <c r="I370" s="3489" t="s">
        <v>2522</v>
      </c>
      <c r="J370" s="3490"/>
      <c r="K370" s="3490"/>
      <c r="L370" s="3491"/>
      <c r="M370" s="494"/>
      <c r="N370" s="454"/>
      <c r="Q370" s="1179"/>
      <c r="R370" s="1327" t="s">
        <v>2706</v>
      </c>
    </row>
    <row r="371" spans="1:18" s="43" customFormat="1" ht="11.25" customHeight="1">
      <c r="A371" s="142"/>
      <c r="B371" s="432" t="s">
        <v>1986</v>
      </c>
      <c r="C371" s="55" t="s">
        <v>4905</v>
      </c>
      <c r="D371" s="90"/>
      <c r="E371" s="55" t="s">
        <v>4906</v>
      </c>
      <c r="G371" s="52"/>
      <c r="I371" s="1894"/>
      <c r="J371" s="1207"/>
      <c r="K371" s="1207"/>
      <c r="L371" s="1207"/>
      <c r="M371" s="2490"/>
      <c r="N371" s="2514"/>
      <c r="O371" s="238"/>
      <c r="P371" s="617"/>
      <c r="Q371" s="2515"/>
      <c r="R371" s="1327"/>
    </row>
    <row r="372" spans="1:18" s="43" customFormat="1" ht="11.25" customHeight="1">
      <c r="A372" s="142"/>
      <c r="B372" s="51"/>
      <c r="C372" s="55"/>
      <c r="D372" s="90"/>
      <c r="E372" s="1266" t="s">
        <v>4907</v>
      </c>
      <c r="G372" s="52"/>
      <c r="H372" s="1346"/>
      <c r="I372" s="55"/>
      <c r="J372" s="55"/>
      <c r="K372" s="55"/>
      <c r="L372" s="2514"/>
      <c r="M372" s="682"/>
      <c r="N372" s="2514"/>
      <c r="O372" s="239"/>
      <c r="P372" s="619"/>
      <c r="Q372" s="2515"/>
      <c r="R372" s="1327"/>
    </row>
    <row r="373" spans="1:18" s="43" customFormat="1" ht="11.25" customHeight="1">
      <c r="B373" s="432" t="s">
        <v>1988</v>
      </c>
      <c r="C373" s="40" t="s">
        <v>4908</v>
      </c>
      <c r="D373" s="105"/>
      <c r="E373" s="90"/>
      <c r="F373" s="52"/>
      <c r="G373" s="52"/>
      <c r="N373" s="527" t="s">
        <v>1983</v>
      </c>
      <c r="O373" s="1456" t="s">
        <v>2510</v>
      </c>
      <c r="P373" s="1456" t="s">
        <v>2510</v>
      </c>
    </row>
    <row r="374" spans="1:18" s="121" customFormat="1" ht="10.5" customHeight="1">
      <c r="B374" s="433" t="s">
        <v>2435</v>
      </c>
      <c r="C374" s="497" t="s">
        <v>4059</v>
      </c>
      <c r="H374" s="39"/>
      <c r="I374" s="39"/>
      <c r="J374" s="39"/>
      <c r="K374" s="39"/>
      <c r="N374" s="433" t="s">
        <v>2435</v>
      </c>
      <c r="O374" s="238"/>
      <c r="P374" s="617"/>
    </row>
    <row r="375" spans="1:18" s="121" customFormat="1" ht="10.5" customHeight="1">
      <c r="B375" s="447" t="s">
        <v>2436</v>
      </c>
      <c r="C375" s="497" t="s">
        <v>4060</v>
      </c>
      <c r="N375" s="447" t="s">
        <v>2436</v>
      </c>
      <c r="O375" s="422"/>
      <c r="P375" s="618"/>
    </row>
    <row r="376" spans="1:18" s="121" customFormat="1" ht="10.5" customHeight="1">
      <c r="B376" s="433" t="s">
        <v>2437</v>
      </c>
      <c r="C376" s="497" t="s">
        <v>4890</v>
      </c>
      <c r="N376" s="433" t="s">
        <v>2437</v>
      </c>
      <c r="O376" s="239"/>
      <c r="P376" s="619"/>
    </row>
    <row r="377" spans="1:18" s="103" customFormat="1" ht="11.25" customHeight="1">
      <c r="B377" s="199" t="s">
        <v>3616</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8" t="s">
        <v>3757</v>
      </c>
      <c r="C379" s="42"/>
      <c r="D379" s="48"/>
      <c r="E379" s="48"/>
      <c r="F379" s="48"/>
      <c r="G379" s="48"/>
      <c r="H379" s="36"/>
      <c r="I379" s="36"/>
      <c r="J379" s="36"/>
      <c r="K379" s="36"/>
      <c r="M379" s="46"/>
      <c r="N379" s="6"/>
      <c r="O379" s="3"/>
      <c r="P379" s="1503"/>
    </row>
    <row r="380" spans="1:18" s="43" customFormat="1" ht="21.75" customHeight="1" thickTop="1" thickBot="1">
      <c r="A380" s="3934"/>
      <c r="B380" s="3935"/>
      <c r="C380" s="3935"/>
      <c r="D380" s="3935"/>
      <c r="E380" s="3935"/>
      <c r="F380" s="3935"/>
      <c r="G380" s="3935"/>
      <c r="H380" s="3935"/>
      <c r="I380" s="3935"/>
      <c r="J380" s="3935"/>
      <c r="K380" s="3935"/>
      <c r="L380" s="3935"/>
      <c r="M380" s="3935"/>
      <c r="N380" s="3935"/>
      <c r="O380" s="3935"/>
      <c r="P380" s="3936"/>
      <c r="Q380" s="1291" t="s">
        <v>1254</v>
      </c>
    </row>
    <row r="381" spans="1:18" s="105" customFormat="1" ht="10.5" customHeight="1" thickTop="1">
      <c r="A381" s="42"/>
      <c r="B381" s="100" t="s">
        <v>1866</v>
      </c>
      <c r="C381" s="42"/>
      <c r="D381" s="100"/>
      <c r="E381" s="1509"/>
      <c r="F381" s="1509"/>
      <c r="G381" s="1509"/>
      <c r="H381" s="1509"/>
      <c r="I381" s="1509"/>
      <c r="J381" s="1509"/>
      <c r="K381" s="1509"/>
      <c r="L381" s="1509"/>
      <c r="M381" s="1509"/>
      <c r="N381" s="95"/>
      <c r="O381" s="992"/>
      <c r="P381" s="1503"/>
      <c r="Q381" s="490"/>
    </row>
    <row r="382" spans="1:18" s="43" customFormat="1" ht="11.25" customHeight="1">
      <c r="A382" s="3603"/>
      <c r="B382" s="3604"/>
      <c r="C382" s="3604"/>
      <c r="D382" s="3604"/>
      <c r="E382" s="3604"/>
      <c r="F382" s="3604"/>
      <c r="G382" s="3604"/>
      <c r="H382" s="3604"/>
      <c r="I382" s="3604"/>
      <c r="J382" s="3604"/>
      <c r="K382" s="3604"/>
      <c r="L382" s="3604"/>
      <c r="M382" s="3604"/>
      <c r="N382" s="3604"/>
      <c r="O382" s="3604"/>
      <c r="P382" s="3605"/>
      <c r="Q382" s="509"/>
    </row>
    <row r="383" spans="1:18" ht="3" customHeight="1" thickBot="1"/>
    <row r="384" spans="1:18" s="43" customFormat="1" ht="12.75" customHeight="1" thickBot="1">
      <c r="A384" s="157" t="s">
        <v>4104</v>
      </c>
      <c r="B384" s="108" t="s">
        <v>4065</v>
      </c>
      <c r="D384" s="90"/>
      <c r="E384" s="90"/>
      <c r="F384" s="52"/>
      <c r="G384" s="52"/>
      <c r="H384" s="184" t="s">
        <v>2794</v>
      </c>
      <c r="J384" s="586" t="str">
        <f>'Part I-Project Information'!$H$105</f>
        <v>N/A - 4% Bond</v>
      </c>
      <c r="L384" s="434" t="str">
        <f>IF(OR($O384=$M384,$O384=$M391,$O384=$M411,$O384=0,$O384=""),"","* * Check Score! * *")</f>
        <v/>
      </c>
      <c r="M384" s="3">
        <v>4</v>
      </c>
      <c r="N384" s="6"/>
      <c r="O384" s="1400">
        <f>O391+O411</f>
        <v>0</v>
      </c>
      <c r="P384" s="1400">
        <f>P391+P411</f>
        <v>0</v>
      </c>
      <c r="Q384" s="112" t="s">
        <v>441</v>
      </c>
    </row>
    <row r="385" spans="1:19" s="43" customFormat="1" ht="10.5" customHeight="1">
      <c r="A385" s="42"/>
      <c r="B385" s="117" t="s">
        <v>4892</v>
      </c>
      <c r="E385" s="90"/>
      <c r="F385" s="52"/>
      <c r="G385" s="52"/>
      <c r="H385" s="52"/>
      <c r="I385" s="52"/>
      <c r="J385" s="54"/>
      <c r="K385" s="60"/>
      <c r="L385" s="56"/>
      <c r="O385" s="589" t="s">
        <v>2510</v>
      </c>
      <c r="P385" s="589" t="s">
        <v>2510</v>
      </c>
    </row>
    <row r="386" spans="1:19" s="103" customFormat="1" ht="12.75" customHeight="1">
      <c r="B386" s="433" t="s">
        <v>2435</v>
      </c>
      <c r="C386" s="138" t="s">
        <v>2828</v>
      </c>
      <c r="E386" s="90"/>
      <c r="F386" s="52"/>
      <c r="G386" s="52"/>
      <c r="H386" s="52"/>
      <c r="I386" s="52"/>
      <c r="J386" s="54"/>
      <c r="K386" s="60"/>
      <c r="L386" s="4006" t="str">
        <f>IF(OR(O386="No",O386="",O387="No",O387="",O388="No",O388="",O389="No",O389=""),"Unmet criterion results in no points!","")</f>
        <v>Unmet criterion results in no points!</v>
      </c>
      <c r="M386" s="4006"/>
      <c r="N386" s="433" t="s">
        <v>2435</v>
      </c>
      <c r="O386" s="238"/>
      <c r="P386" s="617"/>
      <c r="R386" s="3980" t="str">
        <f>IF(OR(P386="No",P386="",P387="No",P387="",P388="No",P388="",P389="No",P389=""),"Unmet criterion results in no points!","")</f>
        <v>Unmet criterion results in no points!</v>
      </c>
      <c r="S386" s="3980" t="e">
        <f>IF(OR(V386="No",V386="",V387="No",V387="",V388="No",V388="",V389="No",V389="",#REF!="No",#REF!="",#REF!="No",#REF!=""),"Unmet criterion results in no points!","")</f>
        <v>#REF!</v>
      </c>
    </row>
    <row r="387" spans="1:19" s="103" customFormat="1" ht="12.75" customHeight="1">
      <c r="B387" s="433" t="s">
        <v>2436</v>
      </c>
      <c r="C387" s="138" t="s">
        <v>3811</v>
      </c>
      <c r="L387" s="4006"/>
      <c r="M387" s="4006"/>
      <c r="N387" s="433" t="s">
        <v>2436</v>
      </c>
      <c r="O387" s="422"/>
      <c r="P387" s="618"/>
      <c r="R387" s="3980"/>
      <c r="S387" s="3980"/>
    </row>
    <row r="388" spans="1:19" s="103" customFormat="1" ht="12.75" customHeight="1">
      <c r="B388" s="433" t="s">
        <v>2437</v>
      </c>
      <c r="C388" s="138" t="s">
        <v>3810</v>
      </c>
      <c r="L388" s="4006"/>
      <c r="M388" s="4006"/>
      <c r="N388" s="433" t="s">
        <v>2437</v>
      </c>
      <c r="O388" s="422"/>
      <c r="P388" s="618"/>
      <c r="R388" s="3980"/>
      <c r="S388" s="3980"/>
    </row>
    <row r="389" spans="1:19" s="103" customFormat="1" ht="33.75" customHeight="1">
      <c r="B389" s="447" t="s">
        <v>2438</v>
      </c>
      <c r="C389" s="3861" t="s">
        <v>4891</v>
      </c>
      <c r="D389" s="3861"/>
      <c r="E389" s="3861"/>
      <c r="F389" s="3861"/>
      <c r="G389" s="3861"/>
      <c r="H389" s="3861"/>
      <c r="I389" s="3861"/>
      <c r="J389" s="3861"/>
      <c r="K389" s="3861"/>
      <c r="L389" s="3861"/>
      <c r="M389" s="3861"/>
      <c r="N389" s="447" t="s">
        <v>2438</v>
      </c>
      <c r="O389" s="1447"/>
      <c r="P389" s="1448"/>
    </row>
    <row r="390" spans="1:19" ht="3" customHeight="1">
      <c r="C390" s="3861"/>
      <c r="D390" s="3861"/>
      <c r="E390" s="3861"/>
      <c r="F390" s="3861"/>
      <c r="G390" s="3861"/>
      <c r="H390" s="3861"/>
      <c r="I390" s="3861"/>
      <c r="J390" s="3861"/>
      <c r="K390" s="3861"/>
      <c r="L390" s="3861"/>
      <c r="M390" s="3861"/>
    </row>
    <row r="391" spans="1:19" ht="12.75" customHeight="1">
      <c r="A391" s="1198" t="s">
        <v>1983</v>
      </c>
      <c r="B391" s="197" t="s">
        <v>4067</v>
      </c>
      <c r="L391" s="434" t="str">
        <f>IF(OR($O391=$M391,$O391=0,$O391=""),"","* * Check Score! * *")</f>
        <v/>
      </c>
      <c r="M391" s="1372">
        <v>3</v>
      </c>
      <c r="N391" s="527" t="s">
        <v>1983</v>
      </c>
      <c r="O391" s="682"/>
      <c r="P391" s="979"/>
      <c r="Q391" s="1179" t="str">
        <f>IF(OR($O391=$M391,$O391=0,$O391=""),"","*CHECK!*")</f>
        <v/>
      </c>
      <c r="R391" s="1327" t="s">
        <v>2706</v>
      </c>
    </row>
    <row r="392" spans="1:19" ht="12.75" customHeight="1">
      <c r="A392" s="1198"/>
      <c r="B392" s="674" t="s">
        <v>1986</v>
      </c>
      <c r="C392" s="1182" t="s">
        <v>4894</v>
      </c>
      <c r="D392" s="1182"/>
      <c r="E392" s="1182"/>
      <c r="F392" s="1182"/>
      <c r="G392" s="1182"/>
      <c r="H392" s="1182"/>
      <c r="I392" s="1182"/>
      <c r="N392" s="27"/>
      <c r="O392" s="27"/>
      <c r="P392" s="27"/>
    </row>
    <row r="393" spans="1:19" ht="12.75" customHeight="1">
      <c r="A393" s="1198"/>
      <c r="B393" s="504"/>
      <c r="C393" s="1182" t="s">
        <v>4893</v>
      </c>
      <c r="D393" s="1182"/>
      <c r="E393" s="1182"/>
      <c r="F393" s="1182"/>
      <c r="G393" s="1182"/>
      <c r="H393" s="1182"/>
      <c r="I393" s="1182"/>
      <c r="J393" s="4005" t="s">
        <v>1990</v>
      </c>
      <c r="K393" s="4005"/>
      <c r="M393" s="4005" t="s">
        <v>1990</v>
      </c>
      <c r="N393" s="4005"/>
      <c r="O393" s="4005"/>
      <c r="P393" s="4005"/>
    </row>
    <row r="394" spans="1:19" s="43" customFormat="1" ht="12.75" customHeight="1">
      <c r="A394" s="195"/>
      <c r="B394" s="433" t="s">
        <v>2435</v>
      </c>
      <c r="C394" s="36" t="s">
        <v>1482</v>
      </c>
      <c r="I394" s="433" t="s">
        <v>2435</v>
      </c>
      <c r="J394" s="3874"/>
      <c r="K394" s="3875"/>
      <c r="L394" s="433" t="s">
        <v>2435</v>
      </c>
      <c r="M394" s="4002"/>
      <c r="N394" s="4003"/>
      <c r="O394" s="4003"/>
      <c r="P394" s="4004"/>
      <c r="R394" s="434"/>
    </row>
    <row r="395" spans="1:19" ht="12.75" customHeight="1">
      <c r="A395" s="196"/>
      <c r="B395" s="447" t="s">
        <v>2436</v>
      </c>
      <c r="C395" s="36" t="s">
        <v>3622</v>
      </c>
      <c r="I395" s="447" t="s">
        <v>2436</v>
      </c>
      <c r="J395" s="3932"/>
      <c r="K395" s="3933"/>
      <c r="L395" s="447" t="s">
        <v>2436</v>
      </c>
      <c r="M395" s="3871"/>
      <c r="N395" s="3872"/>
      <c r="O395" s="3872"/>
      <c r="P395" s="3873"/>
      <c r="R395" s="434"/>
    </row>
    <row r="396" spans="1:19" ht="12.75" customHeight="1">
      <c r="B396" s="433" t="s">
        <v>2437</v>
      </c>
      <c r="C396" s="36" t="s">
        <v>2626</v>
      </c>
      <c r="I396" s="433" t="s">
        <v>2437</v>
      </c>
      <c r="J396" s="3932"/>
      <c r="K396" s="3933"/>
      <c r="L396" s="433" t="s">
        <v>2437</v>
      </c>
      <c r="M396" s="3871"/>
      <c r="N396" s="3872"/>
      <c r="O396" s="3872"/>
      <c r="P396" s="3873"/>
      <c r="R396" s="434"/>
    </row>
    <row r="397" spans="1:19" ht="12.75" customHeight="1">
      <c r="A397" s="196"/>
      <c r="B397" s="433" t="s">
        <v>2438</v>
      </c>
      <c r="C397" s="36" t="s">
        <v>3461</v>
      </c>
      <c r="I397" s="433" t="s">
        <v>2438</v>
      </c>
      <c r="J397" s="3932"/>
      <c r="K397" s="3933"/>
      <c r="L397" s="433" t="s">
        <v>2438</v>
      </c>
      <c r="M397" s="3871"/>
      <c r="N397" s="3872"/>
      <c r="O397" s="3872"/>
      <c r="P397" s="3873"/>
      <c r="R397" s="434"/>
    </row>
    <row r="398" spans="1:19" s="43" customFormat="1" ht="12.75" customHeight="1">
      <c r="A398" s="195"/>
      <c r="B398" s="447" t="s">
        <v>2439</v>
      </c>
      <c r="C398" s="36" t="s">
        <v>2731</v>
      </c>
      <c r="I398" s="447" t="s">
        <v>2439</v>
      </c>
      <c r="J398" s="3932"/>
      <c r="K398" s="3933"/>
      <c r="L398" s="447" t="s">
        <v>2439</v>
      </c>
      <c r="M398" s="3871"/>
      <c r="N398" s="3872"/>
      <c r="O398" s="3872"/>
      <c r="P398" s="3873"/>
      <c r="R398" s="434"/>
    </row>
    <row r="399" spans="1:19" ht="12.75" customHeight="1">
      <c r="B399" s="433" t="s">
        <v>2455</v>
      </c>
      <c r="C399" s="36" t="s">
        <v>1481</v>
      </c>
      <c r="I399" s="433" t="s">
        <v>2455</v>
      </c>
      <c r="J399" s="3932"/>
      <c r="K399" s="3933"/>
      <c r="L399" s="433" t="s">
        <v>2455</v>
      </c>
      <c r="M399" s="3871"/>
      <c r="N399" s="3872"/>
      <c r="O399" s="3872"/>
      <c r="P399" s="3873"/>
      <c r="R399" s="434"/>
    </row>
    <row r="400" spans="1:19" ht="12.75" customHeight="1">
      <c r="A400" s="196"/>
      <c r="B400" s="433" t="s">
        <v>2456</v>
      </c>
      <c r="C400" s="36" t="s">
        <v>3620</v>
      </c>
      <c r="I400" s="433" t="s">
        <v>2456</v>
      </c>
      <c r="J400" s="3932"/>
      <c r="K400" s="3933"/>
      <c r="L400" s="433" t="s">
        <v>2456</v>
      </c>
      <c r="M400" s="3871"/>
      <c r="N400" s="3872"/>
      <c r="O400" s="3872"/>
      <c r="P400" s="3873"/>
      <c r="R400" s="434"/>
    </row>
    <row r="401" spans="1:23" ht="12.75" customHeight="1">
      <c r="B401" s="446" t="s">
        <v>2457</v>
      </c>
      <c r="C401" s="36" t="s">
        <v>4895</v>
      </c>
      <c r="I401" s="446" t="s">
        <v>2457</v>
      </c>
      <c r="J401" s="3932"/>
      <c r="K401" s="3933"/>
      <c r="L401" s="446" t="s">
        <v>2457</v>
      </c>
      <c r="M401" s="3871"/>
      <c r="N401" s="3872"/>
      <c r="O401" s="3872"/>
      <c r="P401" s="3873"/>
      <c r="R401" s="434"/>
    </row>
    <row r="402" spans="1:23" ht="12.75" customHeight="1">
      <c r="B402" s="446" t="s">
        <v>2458</v>
      </c>
      <c r="C402" s="36" t="s">
        <v>4896</v>
      </c>
      <c r="I402" s="446" t="s">
        <v>2458</v>
      </c>
      <c r="J402" s="3932"/>
      <c r="K402" s="3933"/>
      <c r="L402" s="446" t="s">
        <v>2458</v>
      </c>
      <c r="M402" s="3871"/>
      <c r="N402" s="3872"/>
      <c r="O402" s="3872"/>
      <c r="P402" s="3873"/>
      <c r="R402" s="434"/>
    </row>
    <row r="403" spans="1:23" ht="12.75" customHeight="1" thickBot="1">
      <c r="B403" s="446" t="s">
        <v>3623</v>
      </c>
      <c r="C403" s="36" t="s">
        <v>4897</v>
      </c>
      <c r="I403" s="446" t="s">
        <v>3623</v>
      </c>
      <c r="J403" s="3932"/>
      <c r="K403" s="3933"/>
      <c r="L403" s="446" t="s">
        <v>3623</v>
      </c>
      <c r="M403" s="3955"/>
      <c r="N403" s="3956"/>
      <c r="O403" s="3956"/>
      <c r="P403" s="3957"/>
      <c r="R403" s="434"/>
    </row>
    <row r="404" spans="1:23" ht="12.75" customHeight="1" thickBot="1">
      <c r="B404" s="1454" t="s">
        <v>4898</v>
      </c>
      <c r="H404" s="1487" t="s">
        <v>2628</v>
      </c>
      <c r="J404" s="4010">
        <f>SUM(J394:K403)</f>
        <v>0</v>
      </c>
      <c r="K404" s="4011"/>
      <c r="M404" s="4010">
        <f>SUM($M394:$M403)</f>
        <v>0</v>
      </c>
      <c r="N404" s="4012"/>
      <c r="O404" s="4012"/>
      <c r="P404" s="4011"/>
      <c r="R404" s="434"/>
    </row>
    <row r="405" spans="1:23" s="43" customFormat="1" ht="7.5" customHeight="1">
      <c r="A405" s="42"/>
      <c r="D405" s="39"/>
      <c r="E405" s="36"/>
      <c r="F405" s="1011"/>
      <c r="G405" s="632"/>
      <c r="H405" s="309"/>
      <c r="J405" s="573"/>
      <c r="K405" s="573"/>
      <c r="L405" s="632"/>
      <c r="M405" s="573"/>
      <c r="N405" s="573"/>
      <c r="O405" s="1358"/>
      <c r="P405" s="573"/>
    </row>
    <row r="406" spans="1:23" ht="12.75" customHeight="1">
      <c r="B406" s="2502" t="s">
        <v>1988</v>
      </c>
      <c r="C406" s="588" t="s">
        <v>2627</v>
      </c>
      <c r="M406" s="573"/>
      <c r="N406" s="573"/>
      <c r="O406" s="163"/>
      <c r="P406" s="573"/>
    </row>
    <row r="407" spans="1:23" s="43" customFormat="1" ht="12" customHeight="1">
      <c r="A407" s="42"/>
      <c r="C407" s="3852" t="s">
        <v>5041</v>
      </c>
      <c r="D407" s="3852"/>
      <c r="E407" s="3852"/>
      <c r="F407" s="497" t="s">
        <v>4940</v>
      </c>
      <c r="H407" s="27"/>
      <c r="I407" s="2503"/>
      <c r="J407" s="3943">
        <f>'Part IV-A-Uses of Funds'!$G$132</f>
        <v>18093801</v>
      </c>
      <c r="K407" s="3944"/>
      <c r="L407" s="632"/>
      <c r="M407" s="573"/>
      <c r="N407" s="573"/>
      <c r="O407" s="1358"/>
      <c r="P407" s="573"/>
    </row>
    <row r="408" spans="1:23" ht="12.75" customHeight="1">
      <c r="C408" s="3852"/>
      <c r="D408" s="3852"/>
      <c r="E408" s="3852"/>
      <c r="F408" s="501" t="s">
        <v>4939</v>
      </c>
      <c r="I408" s="2504"/>
      <c r="J408" s="3950">
        <f>IF($J407=0,0,$J404/$J407)</f>
        <v>0</v>
      </c>
      <c r="K408" s="3951"/>
      <c r="M408" s="3952">
        <f>IF($J407=0,0,$M404/$J407)</f>
        <v>0</v>
      </c>
      <c r="N408" s="3953"/>
      <c r="O408" s="3953"/>
      <c r="P408" s="3954"/>
    </row>
    <row r="409" spans="1:23" s="43" customFormat="1" ht="12.75" customHeight="1">
      <c r="C409" s="3852"/>
      <c r="D409" s="3852"/>
      <c r="E409" s="3852"/>
      <c r="F409" s="1266" t="s">
        <v>4938</v>
      </c>
      <c r="I409" s="2505"/>
      <c r="J409" s="3947">
        <f>IF(L386="", IF($J408&gt;=0.1, 3,IF($J408&gt;=0.05, 2,IF($J408&gt;=0.02,1,0))),0)</f>
        <v>0</v>
      </c>
      <c r="K409" s="3949"/>
      <c r="L409" s="586"/>
      <c r="M409" s="3947">
        <f>IF(R386="", IF($M408&gt;=0.1, 3,IF($M408&gt;=0.05, 2,IF($M408&gt;=0.02,1,0))),0)</f>
        <v>0</v>
      </c>
      <c r="N409" s="3948"/>
      <c r="O409" s="3948"/>
      <c r="P409" s="3949"/>
    </row>
    <row r="410" spans="1:23" ht="3" customHeight="1" thickBot="1"/>
    <row r="411" spans="1:23" s="105" customFormat="1" ht="12.75" customHeight="1" thickBot="1">
      <c r="A411" s="142" t="s">
        <v>1985</v>
      </c>
      <c r="B411" s="199" t="s">
        <v>3624</v>
      </c>
      <c r="D411" s="39"/>
      <c r="E411" s="36"/>
      <c r="F411" s="1011"/>
      <c r="H411" s="36"/>
      <c r="I411" s="1011"/>
      <c r="J411" s="1021"/>
      <c r="K411" s="1021"/>
      <c r="L411" s="434" t="str">
        <f>IF(OR($O411=$M411,$O411=0,$O411=""),"","* * Check Score! * *")</f>
        <v/>
      </c>
      <c r="M411" s="678">
        <v>1</v>
      </c>
      <c r="N411" s="65" t="s">
        <v>1985</v>
      </c>
      <c r="O411" s="1399"/>
      <c r="P411" s="1367"/>
      <c r="Q411" s="112" t="s">
        <v>441</v>
      </c>
      <c r="R411" s="1327" t="s">
        <v>2706</v>
      </c>
      <c r="V411" s="1285"/>
      <c r="W411" s="1285"/>
    </row>
    <row r="412" spans="1:23" s="43" customFormat="1" ht="22.5" customHeight="1">
      <c r="A412" s="142"/>
      <c r="B412" s="1188" t="s">
        <v>2435</v>
      </c>
      <c r="C412" s="3602" t="s">
        <v>4069</v>
      </c>
      <c r="D412" s="3602"/>
      <c r="E412" s="3602"/>
      <c r="F412" s="3602"/>
      <c r="G412" s="3602"/>
      <c r="H412" s="3602"/>
      <c r="I412" s="3602"/>
      <c r="J412" s="3602"/>
      <c r="K412" s="3602"/>
      <c r="L412" s="3602"/>
      <c r="M412" s="3602"/>
      <c r="N412" s="447" t="s">
        <v>2435</v>
      </c>
      <c r="O412" s="1265"/>
      <c r="P412" s="1398"/>
      <c r="V412" s="1285"/>
      <c r="W412" s="1285"/>
    </row>
    <row r="413" spans="1:23" s="43" customFormat="1" ht="12.75" customHeight="1">
      <c r="A413" s="142"/>
      <c r="B413" s="433" t="s">
        <v>2436</v>
      </c>
      <c r="C413" s="52" t="s">
        <v>3803</v>
      </c>
      <c r="D413" s="52"/>
      <c r="E413" s="52"/>
      <c r="F413" s="52"/>
      <c r="G413" s="52"/>
      <c r="H413" s="52"/>
      <c r="I413" s="52"/>
      <c r="J413" s="52"/>
      <c r="K413" s="52"/>
      <c r="M413" s="52"/>
      <c r="N413" s="447" t="s">
        <v>2436</v>
      </c>
      <c r="O413" s="239"/>
      <c r="P413" s="619"/>
      <c r="V413" s="1285"/>
      <c r="W413" s="1285"/>
    </row>
    <row r="414" spans="1:23" ht="12.75" customHeight="1">
      <c r="B414" s="433" t="s">
        <v>2437</v>
      </c>
      <c r="C414" s="495" t="s">
        <v>4899</v>
      </c>
      <c r="N414" s="433" t="s">
        <v>2437</v>
      </c>
      <c r="O414" s="239"/>
      <c r="P414" s="619"/>
    </row>
    <row r="415" spans="1:23" ht="12" customHeight="1" thickBot="1">
      <c r="B415" s="1488" t="s">
        <v>3757</v>
      </c>
    </row>
    <row r="416" spans="1:23" s="43" customFormat="1" ht="21.75" customHeight="1" thickTop="1" thickBot="1">
      <c r="A416" s="3934"/>
      <c r="B416" s="3935"/>
      <c r="C416" s="3935"/>
      <c r="D416" s="3935"/>
      <c r="E416" s="3935"/>
      <c r="F416" s="3935"/>
      <c r="G416" s="3935"/>
      <c r="H416" s="3935"/>
      <c r="I416" s="3935"/>
      <c r="J416" s="3935"/>
      <c r="K416" s="3935"/>
      <c r="L416" s="3935"/>
      <c r="M416" s="3935"/>
      <c r="N416" s="3935"/>
      <c r="O416" s="3935"/>
      <c r="P416" s="3936"/>
      <c r="Q416" s="1291" t="s">
        <v>1254</v>
      </c>
    </row>
    <row r="417" spans="1:19" s="105" customFormat="1" ht="11.25" customHeight="1" thickTop="1">
      <c r="A417" s="42"/>
      <c r="B417" s="577" t="s">
        <v>1866</v>
      </c>
      <c r="C417" s="101"/>
      <c r="D417" s="100"/>
      <c r="E417" s="200"/>
      <c r="F417" s="1509"/>
      <c r="G417" s="1509"/>
      <c r="H417" s="1509"/>
      <c r="I417" s="1509"/>
      <c r="J417" s="1509"/>
      <c r="K417" s="1509"/>
      <c r="L417" s="1509"/>
      <c r="M417" s="1509"/>
      <c r="N417" s="95"/>
      <c r="O417" s="992"/>
      <c r="P417" s="1503"/>
      <c r="Q417" s="490"/>
    </row>
    <row r="418" spans="1:19" s="43" customFormat="1" ht="11.25" customHeight="1">
      <c r="A418" s="3603"/>
      <c r="B418" s="3604"/>
      <c r="C418" s="3604"/>
      <c r="D418" s="3604"/>
      <c r="E418" s="3604"/>
      <c r="F418" s="3604"/>
      <c r="G418" s="3604"/>
      <c r="H418" s="3604"/>
      <c r="I418" s="3604"/>
      <c r="J418" s="3604"/>
      <c r="K418" s="3604"/>
      <c r="L418" s="3604"/>
      <c r="M418" s="3604"/>
      <c r="N418" s="3604"/>
      <c r="O418" s="3604"/>
      <c r="P418" s="3605"/>
      <c r="Q418" s="509"/>
    </row>
    <row r="419" spans="1:19" s="43" customFormat="1" ht="3" customHeight="1" thickBot="1">
      <c r="A419" s="42"/>
      <c r="B419" s="42"/>
      <c r="C419" s="1506"/>
      <c r="D419" s="1506"/>
      <c r="E419" s="1506"/>
      <c r="F419" s="1506"/>
      <c r="G419" s="1506"/>
      <c r="H419" s="1506"/>
      <c r="I419" s="1506"/>
      <c r="J419" s="1506"/>
      <c r="K419" s="1506"/>
      <c r="L419" s="1506"/>
      <c r="M419" s="1506"/>
      <c r="N419" s="75"/>
      <c r="O419" s="71"/>
      <c r="P419" s="1011"/>
    </row>
    <row r="420" spans="1:19" s="43" customFormat="1" ht="13.5" customHeight="1" thickBot="1">
      <c r="A420" s="157" t="s">
        <v>4105</v>
      </c>
      <c r="B420" s="108" t="s">
        <v>2721</v>
      </c>
      <c r="D420" s="40"/>
      <c r="G420" s="61" t="s">
        <v>3391</v>
      </c>
      <c r="J420" s="36"/>
      <c r="K420" s="36"/>
      <c r="L420" s="36"/>
      <c r="M420" s="1503">
        <v>2</v>
      </c>
      <c r="N420" s="527"/>
      <c r="O420" s="1397">
        <f>MIN($M420,O424+O431)</f>
        <v>0</v>
      </c>
      <c r="P420" s="1397">
        <f>MIN($M420,P424+P431)</f>
        <v>0</v>
      </c>
      <c r="Q420" s="112" t="s">
        <v>441</v>
      </c>
      <c r="R420" s="434" t="str">
        <f>IF(OR($O424=$M420,$O424=0,$O424=""),"","* * Check Score! * *")</f>
        <v/>
      </c>
    </row>
    <row r="421" spans="1:19" s="472" customFormat="1" ht="1.5" customHeight="1">
      <c r="B421" s="504"/>
      <c r="F421" s="498"/>
      <c r="G421" s="1020"/>
      <c r="M421" s="473"/>
      <c r="N421" s="473"/>
      <c r="O421" s="473"/>
      <c r="P421" s="473"/>
      <c r="Q421" s="192"/>
    </row>
    <row r="422" spans="1:19" s="472" customFormat="1" ht="11.25" customHeight="1">
      <c r="A422" s="158"/>
      <c r="B422" s="1019" t="s">
        <v>3462</v>
      </c>
      <c r="D422" s="3489" t="s">
        <v>5030</v>
      </c>
      <c r="E422" s="3490"/>
      <c r="F422" s="3490"/>
      <c r="G422" s="3490"/>
      <c r="H422" s="3490"/>
      <c r="I422" s="3491"/>
      <c r="J422" s="450" t="s">
        <v>2832</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32" t="s">
        <v>1983</v>
      </c>
      <c r="B424" s="88" t="s">
        <v>3676</v>
      </c>
      <c r="C424" s="450"/>
      <c r="D424" s="450"/>
      <c r="E424" s="450"/>
      <c r="F424" s="450"/>
      <c r="G424" s="450"/>
      <c r="H424" s="450"/>
      <c r="I424" s="450"/>
      <c r="M424" s="473">
        <v>2</v>
      </c>
      <c r="N424" s="166" t="s">
        <v>1983</v>
      </c>
      <c r="O424" s="682"/>
      <c r="P424" s="2272"/>
      <c r="Q424" s="1179" t="str">
        <f>IF(OR($O424=$M424,$O424=0,$O424=""),"","*CHECK!*")</f>
        <v/>
      </c>
      <c r="R424" s="1327" t="s">
        <v>2706</v>
      </c>
    </row>
    <row r="425" spans="1:19" s="472" customFormat="1" ht="12" customHeight="1">
      <c r="A425" s="471"/>
      <c r="B425" s="3813" t="s">
        <v>4901</v>
      </c>
      <c r="C425" s="3813"/>
      <c r="D425" s="3813"/>
      <c r="E425" s="3813"/>
      <c r="F425" s="3813"/>
      <c r="G425" s="3813"/>
      <c r="H425" s="3813"/>
      <c r="I425" s="3813"/>
      <c r="J425" s="3813"/>
      <c r="K425" s="3813"/>
      <c r="L425" s="3813"/>
      <c r="M425" s="3941" t="s">
        <v>5031</v>
      </c>
      <c r="N425" s="3941"/>
      <c r="Q425" s="192"/>
    </row>
    <row r="426" spans="1:19" s="472" customFormat="1" ht="12" customHeight="1">
      <c r="B426" s="3813"/>
      <c r="C426" s="3813"/>
      <c r="D426" s="3813"/>
      <c r="E426" s="3813"/>
      <c r="F426" s="3813"/>
      <c r="G426" s="3813"/>
      <c r="H426" s="3813"/>
      <c r="I426" s="3813"/>
      <c r="J426" s="3813"/>
      <c r="K426" s="3813"/>
      <c r="L426" s="3813"/>
      <c r="M426" s="3941"/>
      <c r="N426" s="3941"/>
      <c r="O426" s="3945">
        <f>'Part VI-Revenues &amp; Expenses'!$O$111</f>
        <v>0</v>
      </c>
      <c r="P426" s="3946"/>
      <c r="Q426" s="192"/>
    </row>
    <row r="427" spans="1:19" s="472" customFormat="1" ht="12" customHeight="1">
      <c r="B427" s="3813"/>
      <c r="C427" s="3813"/>
      <c r="D427" s="3813"/>
      <c r="E427" s="3813"/>
      <c r="F427" s="3813"/>
      <c r="G427" s="3813"/>
      <c r="H427" s="3813"/>
      <c r="I427" s="3813"/>
      <c r="J427" s="3813"/>
      <c r="K427" s="3813"/>
      <c r="L427" s="3813"/>
      <c r="M427" s="1185" t="s">
        <v>2830</v>
      </c>
      <c r="N427" s="473"/>
      <c r="O427" s="3939">
        <f>'Part VI-Revenues &amp; Expenses'!$O$67</f>
        <v>84</v>
      </c>
      <c r="P427" s="3940"/>
      <c r="Q427" s="192"/>
    </row>
    <row r="428" spans="1:19" s="472" customFormat="1" ht="12" customHeight="1">
      <c r="B428" s="3942"/>
      <c r="C428" s="3942"/>
      <c r="D428" s="3942"/>
      <c r="E428" s="3942"/>
      <c r="F428" s="3942"/>
      <c r="G428" s="3942"/>
      <c r="H428" s="3942"/>
      <c r="I428" s="3942"/>
      <c r="J428" s="3942"/>
      <c r="K428" s="3942"/>
      <c r="L428" s="3942"/>
      <c r="M428" s="2506" t="s">
        <v>2831</v>
      </c>
      <c r="N428" s="473"/>
      <c r="O428" s="3937">
        <f>IF(O427=0,0,O426/O427)</f>
        <v>0</v>
      </c>
      <c r="P428" s="3938"/>
      <c r="Q428" s="192"/>
    </row>
    <row r="429" spans="1:19" s="43" customFormat="1" ht="66.75" customHeight="1">
      <c r="A429" s="608"/>
      <c r="B429" s="3827" t="s">
        <v>4204</v>
      </c>
      <c r="C429" s="3828"/>
      <c r="D429" s="3828"/>
      <c r="E429" s="3828"/>
      <c r="F429" s="3828"/>
      <c r="G429" s="3828"/>
      <c r="H429" s="3828"/>
      <c r="I429" s="3828"/>
      <c r="J429" s="3828"/>
      <c r="K429" s="3828"/>
      <c r="L429" s="3828"/>
      <c r="M429" s="3828"/>
      <c r="N429" s="3828"/>
      <c r="O429" s="3828"/>
      <c r="P429" s="3829"/>
      <c r="Q429" s="509" t="s">
        <v>1254</v>
      </c>
      <c r="R429" s="1291"/>
      <c r="S429" s="1291"/>
    </row>
    <row r="430" spans="1:19" s="472" customFormat="1" ht="1.5" customHeight="1">
      <c r="A430" s="672"/>
      <c r="B430" s="504"/>
      <c r="F430" s="498"/>
      <c r="G430" s="1020"/>
      <c r="M430" s="473"/>
      <c r="N430" s="473"/>
      <c r="O430" s="473"/>
      <c r="P430" s="473"/>
      <c r="Q430" s="192"/>
    </row>
    <row r="431" spans="1:19" s="472" customFormat="1" ht="11.25" customHeight="1">
      <c r="A431" s="609" t="s">
        <v>4203</v>
      </c>
      <c r="B431" s="1068" t="s">
        <v>3357</v>
      </c>
      <c r="C431" s="143"/>
      <c r="D431" s="991"/>
      <c r="H431" s="450"/>
      <c r="M431" s="473">
        <v>2</v>
      </c>
      <c r="N431" s="166" t="s">
        <v>1985</v>
      </c>
      <c r="O431" s="682"/>
      <c r="P431" s="2272"/>
      <c r="Q431" s="1179" t="str">
        <f>IF(OR($O431=$M431,$O431=0,$O431=""),"","*CHECK!*")</f>
        <v/>
      </c>
      <c r="R431" s="1327" t="s">
        <v>2706</v>
      </c>
    </row>
    <row r="432" spans="1:19" s="472" customFormat="1" ht="11.25" customHeight="1">
      <c r="A432" s="609"/>
      <c r="B432" s="3602" t="s">
        <v>4900</v>
      </c>
      <c r="C432" s="3602"/>
      <c r="D432" s="3602"/>
      <c r="E432" s="3602"/>
      <c r="F432" s="3602"/>
      <c r="G432" s="3602"/>
      <c r="H432" s="3602"/>
      <c r="I432" s="3602"/>
      <c r="J432" s="3602"/>
      <c r="K432" s="3602"/>
      <c r="L432" s="3602"/>
      <c r="M432" s="2613" t="s">
        <v>4902</v>
      </c>
      <c r="O432" s="4008">
        <f>'Part VI-Revenues &amp; Expenses'!$O$113</f>
        <v>0</v>
      </c>
      <c r="P432" s="4009"/>
      <c r="Q432" s="192"/>
    </row>
    <row r="433" spans="1:18" s="472" customFormat="1" ht="11.25" customHeight="1">
      <c r="A433" s="609"/>
      <c r="B433" s="3602"/>
      <c r="C433" s="3602"/>
      <c r="D433" s="3602"/>
      <c r="E433" s="3602"/>
      <c r="F433" s="3602"/>
      <c r="G433" s="3602"/>
      <c r="H433" s="3602"/>
      <c r="I433" s="3602"/>
      <c r="J433" s="3602"/>
      <c r="K433" s="3602"/>
      <c r="L433" s="3602"/>
      <c r="M433" s="1534" t="s">
        <v>2830</v>
      </c>
      <c r="N433" s="473"/>
      <c r="O433" s="3939">
        <f>'Part VI-Revenues &amp; Expenses'!$O$67</f>
        <v>84</v>
      </c>
      <c r="P433" s="3940"/>
      <c r="Q433" s="192"/>
    </row>
    <row r="434" spans="1:18" s="472" customFormat="1" ht="11.25" customHeight="1">
      <c r="A434" s="609"/>
      <c r="B434" s="3602"/>
      <c r="C434" s="3602"/>
      <c r="D434" s="3602"/>
      <c r="E434" s="3602"/>
      <c r="F434" s="3602"/>
      <c r="G434" s="3602"/>
      <c r="H434" s="3602"/>
      <c r="I434" s="3602"/>
      <c r="J434" s="3602"/>
      <c r="K434" s="3602"/>
      <c r="L434" s="3602"/>
      <c r="M434" s="2506" t="s">
        <v>2831</v>
      </c>
      <c r="N434" s="473"/>
      <c r="O434" s="3937">
        <f>IF(O433=0,0,L420/O433)</f>
        <v>0</v>
      </c>
      <c r="P434" s="3938"/>
      <c r="Q434" s="192"/>
    </row>
    <row r="435" spans="1:18" s="43" customFormat="1" ht="11.25" customHeight="1" thickBot="1">
      <c r="A435" s="42"/>
      <c r="B435" s="1488" t="s">
        <v>3757</v>
      </c>
      <c r="C435" s="42"/>
      <c r="D435" s="48"/>
      <c r="E435" s="48"/>
      <c r="F435" s="48"/>
      <c r="G435" s="48"/>
      <c r="H435" s="36"/>
      <c r="I435" s="36"/>
      <c r="J435" s="36"/>
      <c r="K435" s="36"/>
      <c r="M435" s="46"/>
      <c r="N435" s="62"/>
      <c r="O435" s="3"/>
      <c r="P435" s="1505"/>
    </row>
    <row r="436" spans="1:18" s="43" customFormat="1" ht="21.75" customHeight="1" thickTop="1" thickBot="1">
      <c r="A436" s="3934"/>
      <c r="B436" s="3935"/>
      <c r="C436" s="3935"/>
      <c r="D436" s="3935"/>
      <c r="E436" s="3935"/>
      <c r="F436" s="3935"/>
      <c r="G436" s="3935"/>
      <c r="H436" s="3935"/>
      <c r="I436" s="3935"/>
      <c r="J436" s="3935"/>
      <c r="K436" s="3935"/>
      <c r="L436" s="3935"/>
      <c r="M436" s="3935"/>
      <c r="N436" s="3935"/>
      <c r="O436" s="3935"/>
      <c r="P436" s="3936"/>
      <c r="Q436" s="1291" t="s">
        <v>1254</v>
      </c>
      <c r="R436" s="510"/>
    </row>
    <row r="437" spans="1:18" s="43" customFormat="1" ht="10.5" customHeight="1" thickTop="1">
      <c r="B437" s="87" t="s">
        <v>1866</v>
      </c>
      <c r="C437" s="101"/>
      <c r="D437" s="87"/>
      <c r="E437" s="102"/>
      <c r="F437" s="1506"/>
      <c r="G437" s="1506"/>
      <c r="H437" s="1506"/>
      <c r="I437" s="1506"/>
      <c r="J437" s="1506"/>
      <c r="K437" s="1506"/>
      <c r="L437" s="1506"/>
      <c r="M437" s="1506"/>
      <c r="N437" s="75"/>
      <c r="O437" s="71"/>
      <c r="P437" s="1503"/>
      <c r="Q437" s="490"/>
    </row>
    <row r="438" spans="1:18" s="43" customFormat="1" ht="11.25" customHeight="1">
      <c r="A438" s="3603"/>
      <c r="B438" s="3604"/>
      <c r="C438" s="3604"/>
      <c r="D438" s="3604"/>
      <c r="E438" s="3604"/>
      <c r="F438" s="3604"/>
      <c r="G438" s="3604"/>
      <c r="H438" s="3604"/>
      <c r="I438" s="3604"/>
      <c r="J438" s="3604"/>
      <c r="K438" s="3604"/>
      <c r="L438" s="3604"/>
      <c r="M438" s="3604"/>
      <c r="N438" s="3604"/>
      <c r="O438" s="3604"/>
      <c r="P438" s="3605"/>
      <c r="Q438" s="509"/>
    </row>
    <row r="439" spans="1:18" s="43" customFormat="1" ht="3" customHeight="1" thickBot="1">
      <c r="A439" s="42"/>
      <c r="B439" s="42"/>
      <c r="C439" s="1506"/>
      <c r="D439" s="1506"/>
      <c r="E439" s="1506"/>
      <c r="F439" s="1506"/>
      <c r="G439" s="1506"/>
      <c r="H439" s="1506"/>
      <c r="I439" s="1506"/>
      <c r="J439" s="1506"/>
      <c r="K439" s="1506"/>
      <c r="L439" s="1506"/>
      <c r="M439" s="1506"/>
      <c r="N439" s="75"/>
      <c r="O439" s="71"/>
      <c r="P439" s="1011"/>
    </row>
    <row r="440" spans="1:18" s="105" customFormat="1" ht="11.25" customHeight="1" thickBot="1">
      <c r="A440" s="158" t="s">
        <v>4103</v>
      </c>
      <c r="B440" s="108" t="s">
        <v>1673</v>
      </c>
      <c r="D440" s="45"/>
      <c r="E440" s="45"/>
      <c r="F440" s="39"/>
      <c r="G440" s="36"/>
      <c r="I440" s="36"/>
      <c r="J440" s="36"/>
      <c r="K440" s="36"/>
      <c r="L440" s="434" t="str">
        <f>IF(OR($O440=$M440,$O440&lt;=0,$O440=""),"","* * Check Score! * *")</f>
        <v/>
      </c>
      <c r="M440" s="1503">
        <v>10</v>
      </c>
      <c r="N440" s="6"/>
      <c r="O440" s="1329">
        <f>MIN($M$440,O442-O443+O444)</f>
        <v>10</v>
      </c>
      <c r="P440" s="1329">
        <f>MIN($M$440,P442-P443+P444)</f>
        <v>10</v>
      </c>
      <c r="Q440" s="112" t="s">
        <v>441</v>
      </c>
    </row>
    <row r="441" spans="1:18" s="105" customFormat="1" ht="1.5" customHeight="1">
      <c r="A441" s="158"/>
      <c r="B441" s="108"/>
      <c r="D441" s="45"/>
      <c r="E441" s="45"/>
      <c r="F441" s="39"/>
      <c r="G441" s="36"/>
      <c r="I441" s="36"/>
      <c r="J441" s="36"/>
      <c r="K441" s="36"/>
      <c r="L441" s="434"/>
      <c r="M441" s="1503"/>
      <c r="N441" s="6"/>
      <c r="O441" s="6"/>
      <c r="P441" s="6"/>
      <c r="Q441" s="112"/>
    </row>
    <row r="442" spans="1:18" s="105" customFormat="1" ht="10.5" customHeight="1">
      <c r="A442" s="158"/>
      <c r="B442" s="88" t="s">
        <v>3658</v>
      </c>
      <c r="D442" s="45"/>
      <c r="E442" s="45"/>
      <c r="F442" s="39"/>
      <c r="G442" s="36"/>
      <c r="I442" s="36"/>
      <c r="J442" s="36"/>
      <c r="K442" s="36"/>
      <c r="L442" s="434"/>
      <c r="M442" s="1503"/>
      <c r="N442" s="6"/>
      <c r="O442" s="1411">
        <v>10</v>
      </c>
      <c r="P442" s="1411">
        <v>10</v>
      </c>
      <c r="Q442" s="112"/>
    </row>
    <row r="443" spans="1:18" s="105" customFormat="1" ht="10.5" customHeight="1">
      <c r="A443" s="158"/>
      <c r="B443" s="88" t="s">
        <v>3659</v>
      </c>
      <c r="D443" s="45"/>
      <c r="E443" s="45"/>
      <c r="F443" s="39"/>
      <c r="G443" s="36"/>
      <c r="I443" s="36"/>
      <c r="J443" s="36"/>
      <c r="K443" s="36"/>
      <c r="L443" s="434"/>
      <c r="M443" s="1503"/>
      <c r="N443" s="6"/>
      <c r="O443" s="1410"/>
      <c r="P443" s="1403"/>
      <c r="Q443" s="112"/>
    </row>
    <row r="444" spans="1:18" s="105" customFormat="1" ht="10.5" customHeight="1">
      <c r="A444" s="158"/>
      <c r="B444" s="88" t="s">
        <v>3660</v>
      </c>
      <c r="D444" s="45"/>
      <c r="E444" s="45"/>
      <c r="F444" s="39"/>
      <c r="G444" s="36"/>
      <c r="I444" s="36"/>
      <c r="J444" s="36"/>
      <c r="K444" s="36"/>
      <c r="L444" s="434"/>
      <c r="M444" s="1503"/>
      <c r="N444" s="6"/>
      <c r="O444" s="1043"/>
      <c r="P444" s="613"/>
      <c r="Q444" s="112"/>
    </row>
    <row r="445" spans="1:18" s="105" customFormat="1" ht="10.5" customHeight="1">
      <c r="A445" s="67"/>
      <c r="B445" s="67" t="s">
        <v>1866</v>
      </c>
      <c r="C445" s="50"/>
      <c r="D445" s="67"/>
      <c r="E445" s="1509"/>
      <c r="F445" s="1509"/>
      <c r="G445" s="1509"/>
      <c r="H445" s="1509"/>
      <c r="I445" s="1509"/>
      <c r="J445" s="1509"/>
      <c r="K445" s="1509"/>
      <c r="L445" s="1509"/>
      <c r="M445" s="1509"/>
      <c r="N445" s="95"/>
      <c r="O445" s="992"/>
      <c r="P445" s="1503"/>
    </row>
    <row r="446" spans="1:18" s="43" customFormat="1" ht="11.25" customHeight="1">
      <c r="A446" s="3603"/>
      <c r="B446" s="3604"/>
      <c r="C446" s="3604"/>
      <c r="D446" s="3604"/>
      <c r="E446" s="3604"/>
      <c r="F446" s="3604"/>
      <c r="G446" s="3604"/>
      <c r="H446" s="3604"/>
      <c r="I446" s="3604"/>
      <c r="J446" s="3604"/>
      <c r="K446" s="3604"/>
      <c r="L446" s="3604"/>
      <c r="M446" s="3604"/>
      <c r="N446" s="3604"/>
      <c r="O446" s="3604"/>
      <c r="P446" s="3605"/>
      <c r="Q446" s="509"/>
      <c r="R446" s="510"/>
    </row>
    <row r="447" spans="1:18" s="43" customFormat="1" ht="6" customHeight="1" thickBot="1">
      <c r="A447" s="158"/>
      <c r="B447" s="42"/>
      <c r="C447" s="1506"/>
      <c r="D447" s="1506"/>
      <c r="E447" s="1506"/>
      <c r="F447" s="1506"/>
      <c r="G447" s="1506"/>
      <c r="H447" s="1506"/>
      <c r="I447" s="1506"/>
      <c r="J447" s="1506"/>
      <c r="K447" s="1506"/>
      <c r="L447" s="1506"/>
      <c r="M447" s="1506"/>
      <c r="N447" s="75"/>
      <c r="O447" s="71"/>
      <c r="P447" s="1011"/>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96">
        <f>-O8+O22+O47+O61+O71+O107+O153+O189+O277+O298+O306+O329+O359+O369+O384+O420+O440</f>
        <v>20</v>
      </c>
      <c r="P448" s="1396">
        <f>-P8+P22+P47+P61+P71+P107+P153+P189+P228+P277+P298+P306+P329+P342+P359+P369+P384+P420+P440</f>
        <v>20</v>
      </c>
    </row>
    <row r="449" spans="1:19" s="42" customFormat="1" ht="11.25" customHeight="1" thickTop="1">
      <c r="A449" s="54"/>
      <c r="B449" s="68"/>
      <c r="C449" s="54"/>
      <c r="D449" s="35"/>
      <c r="E449" s="35"/>
      <c r="F449" s="70"/>
      <c r="G449" s="70"/>
      <c r="H449" s="184" t="s">
        <v>4193</v>
      </c>
      <c r="J449" s="69"/>
      <c r="K449" s="69"/>
      <c r="L449" s="43"/>
      <c r="M449" s="35"/>
      <c r="N449" s="1503"/>
      <c r="O449" s="1503"/>
      <c r="P449" s="525">
        <f>P228</f>
        <v>0</v>
      </c>
    </row>
    <row r="450" spans="1:19" s="42" customFormat="1" ht="11.25" customHeight="1">
      <c r="A450" s="54"/>
      <c r="B450" s="68"/>
      <c r="C450" s="54"/>
      <c r="D450" s="35"/>
      <c r="E450" s="35"/>
      <c r="F450" s="70"/>
      <c r="G450" s="70"/>
      <c r="H450" s="184" t="s">
        <v>4194</v>
      </c>
      <c r="J450" s="69"/>
      <c r="K450" s="69"/>
      <c r="L450" s="43"/>
      <c r="M450" s="35"/>
      <c r="N450" s="1503"/>
      <c r="O450" s="525"/>
      <c r="P450" s="525">
        <f>P342</f>
        <v>0</v>
      </c>
    </row>
    <row r="451" spans="1:19" s="43" customFormat="1" ht="11.25" customHeight="1">
      <c r="A451" s="42"/>
      <c r="D451" s="39"/>
      <c r="E451" s="36"/>
      <c r="F451" s="1011"/>
      <c r="H451" s="184" t="s">
        <v>4201</v>
      </c>
      <c r="I451" s="1011"/>
      <c r="J451" s="1021"/>
      <c r="K451" s="1021"/>
      <c r="L451" s="1021"/>
      <c r="M451" s="60"/>
      <c r="N451" s="1011"/>
      <c r="O451" s="1505"/>
      <c r="P451" s="1411">
        <f>P448-P449-P450</f>
        <v>20</v>
      </c>
    </row>
    <row r="452" spans="1:19" s="163" customFormat="1" ht="2.25" customHeight="1">
      <c r="A452" s="54"/>
      <c r="B452" s="68"/>
      <c r="C452" s="54"/>
      <c r="D452" s="151"/>
      <c r="E452" s="151"/>
      <c r="F452" s="40"/>
      <c r="G452" s="40"/>
      <c r="H452" s="70"/>
      <c r="I452" s="70"/>
      <c r="J452" s="544"/>
      <c r="K452" s="544"/>
      <c r="L452" s="43"/>
      <c r="M452" s="151"/>
      <c r="N452" s="1503"/>
      <c r="O452" s="1503"/>
      <c r="P452" s="3"/>
    </row>
    <row r="453" spans="1:19" s="43" customFormat="1" ht="22.5" customHeight="1">
      <c r="A453" s="4007" t="s">
        <v>3689</v>
      </c>
      <c r="B453" s="4007"/>
      <c r="C453" s="4007"/>
      <c r="D453" s="4007"/>
      <c r="E453" s="4007"/>
      <c r="F453" s="4007"/>
      <c r="G453" s="4007"/>
      <c r="H453" s="4007"/>
      <c r="I453" s="4007"/>
      <c r="J453" s="4007"/>
      <c r="K453" s="4007"/>
      <c r="L453" s="4007"/>
      <c r="M453" s="4007"/>
      <c r="N453" s="4007"/>
      <c r="O453" s="4007"/>
      <c r="P453" s="4007"/>
    </row>
    <row r="454" spans="1:19" s="43" customFormat="1" ht="84" customHeight="1">
      <c r="A454" s="3647"/>
      <c r="B454" s="3648"/>
      <c r="C454" s="3648"/>
      <c r="D454" s="3648"/>
      <c r="E454" s="3648"/>
      <c r="F454" s="3648"/>
      <c r="G454" s="3648"/>
      <c r="H454" s="3648"/>
      <c r="I454" s="3648"/>
      <c r="J454" s="3648"/>
      <c r="K454" s="3648"/>
      <c r="L454" s="3648"/>
      <c r="M454" s="3648"/>
      <c r="N454" s="3648"/>
      <c r="O454" s="3648"/>
      <c r="P454" s="3649"/>
      <c r="Q454" s="509" t="s">
        <v>1254</v>
      </c>
      <c r="R454" s="510"/>
    </row>
    <row r="455" spans="1:19" s="163" customFormat="1">
      <c r="N455" s="124"/>
      <c r="O455" s="1502"/>
      <c r="P455" s="1502"/>
    </row>
    <row r="456" spans="1:19" s="163" customFormat="1">
      <c r="N456" s="124"/>
      <c r="O456" s="1502"/>
      <c r="P456" s="1502"/>
      <c r="Q456" s="548"/>
      <c r="R456" s="548"/>
      <c r="S456" s="548"/>
    </row>
    <row r="457" spans="1:19" s="163" customFormat="1">
      <c r="N457" s="124"/>
      <c r="O457" s="1502"/>
      <c r="P457" s="1502"/>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c r="C459" s="515" t="s">
        <v>1649</v>
      </c>
      <c r="D459" s="515"/>
      <c r="E459" s="515"/>
      <c r="F459" s="515"/>
      <c r="G459" s="515"/>
      <c r="H459" s="515"/>
      <c r="I459" s="515"/>
      <c r="J459" s="515" t="s">
        <v>1014</v>
      </c>
      <c r="K459" s="515"/>
      <c r="L459" s="515"/>
      <c r="M459" s="515"/>
      <c r="N459" s="516"/>
      <c r="O459" s="1475"/>
      <c r="P459" s="1475"/>
      <c r="Q459" s="1365"/>
    </row>
    <row r="460" spans="1:19" s="548" customFormat="1">
      <c r="C460" s="515" t="s">
        <v>2089</v>
      </c>
      <c r="D460" s="515"/>
      <c r="E460" s="515"/>
      <c r="F460" s="515"/>
      <c r="G460" s="515"/>
      <c r="H460" s="515"/>
      <c r="I460" s="515"/>
      <c r="J460" s="515" t="s">
        <v>1771</v>
      </c>
      <c r="K460" s="515"/>
      <c r="L460" s="515"/>
      <c r="M460" s="515"/>
      <c r="N460" s="516"/>
      <c r="O460" s="1475"/>
      <c r="P460" s="1475"/>
      <c r="Q460" s="1365"/>
    </row>
    <row r="461" spans="1:19" s="548" customFormat="1">
      <c r="C461" s="515" t="s">
        <v>2544</v>
      </c>
      <c r="D461" s="515"/>
      <c r="E461" s="515"/>
      <c r="F461" s="515"/>
      <c r="G461" s="515"/>
      <c r="H461" s="515"/>
      <c r="I461" s="515"/>
      <c r="J461" s="1476" t="s">
        <v>230</v>
      </c>
      <c r="K461" s="515"/>
      <c r="L461" s="515"/>
      <c r="M461" s="515"/>
      <c r="N461" s="516"/>
      <c r="O461" s="1475"/>
      <c r="P461" s="1475"/>
      <c r="Q461" s="1365"/>
    </row>
    <row r="462" spans="1:19" s="548" customFormat="1">
      <c r="C462" s="515" t="s">
        <v>2090</v>
      </c>
      <c r="D462" s="515"/>
      <c r="E462" s="515"/>
      <c r="F462" s="515"/>
      <c r="G462" s="515"/>
      <c r="H462" s="515"/>
      <c r="I462" s="515"/>
      <c r="J462" s="1476" t="s">
        <v>1651</v>
      </c>
      <c r="K462" s="515"/>
      <c r="L462" s="515"/>
      <c r="M462" s="515"/>
      <c r="N462" s="516"/>
      <c r="O462" s="1475"/>
      <c r="P462" s="1475"/>
      <c r="Q462" s="1365"/>
    </row>
    <row r="463" spans="1:19" s="548" customFormat="1">
      <c r="C463" s="515" t="s">
        <v>2091</v>
      </c>
      <c r="D463" s="515"/>
      <c r="E463" s="515"/>
      <c r="F463" s="515"/>
      <c r="G463" s="515"/>
      <c r="H463" s="515"/>
      <c r="I463" s="515"/>
      <c r="J463" s="1476" t="s">
        <v>1652</v>
      </c>
      <c r="K463" s="515"/>
      <c r="L463" s="515"/>
      <c r="M463" s="515"/>
      <c r="N463" s="516"/>
      <c r="O463" s="1475"/>
      <c r="P463" s="1475"/>
      <c r="Q463" s="1365"/>
    </row>
    <row r="464" spans="1:19" s="548" customFormat="1">
      <c r="C464" s="1477" t="s">
        <v>2092</v>
      </c>
      <c r="D464" s="515"/>
      <c r="E464" s="515"/>
      <c r="F464" s="515"/>
      <c r="G464" s="515"/>
      <c r="H464" s="515"/>
      <c r="I464" s="515"/>
      <c r="J464" s="1476" t="s">
        <v>2505</v>
      </c>
      <c r="K464" s="515"/>
      <c r="L464" s="515"/>
      <c r="M464" s="515"/>
      <c r="N464" s="516"/>
      <c r="O464" s="1475"/>
      <c r="P464" s="1475"/>
      <c r="Q464" s="1365"/>
    </row>
    <row r="465" spans="3:17" s="548" customFormat="1">
      <c r="C465" s="1477" t="s">
        <v>2093</v>
      </c>
      <c r="D465" s="515"/>
      <c r="E465" s="515"/>
      <c r="F465" s="515"/>
      <c r="G465" s="515"/>
      <c r="H465" s="515"/>
      <c r="I465" s="515"/>
      <c r="J465" s="1476" t="s">
        <v>1653</v>
      </c>
      <c r="K465" s="515"/>
      <c r="L465" s="515"/>
      <c r="M465" s="515"/>
      <c r="N465" s="516"/>
      <c r="O465" s="1475"/>
      <c r="P465" s="1475"/>
      <c r="Q465" s="1365"/>
    </row>
    <row r="466" spans="3:17" s="548" customFormat="1">
      <c r="C466" s="1477"/>
      <c r="D466" s="515"/>
      <c r="E466" s="515"/>
      <c r="F466" s="515"/>
      <c r="G466" s="515"/>
      <c r="H466" s="515"/>
      <c r="I466" s="515"/>
      <c r="J466" s="1476" t="s">
        <v>1654</v>
      </c>
      <c r="K466" s="515"/>
      <c r="L466" s="515"/>
      <c r="M466" s="515"/>
      <c r="N466" s="516"/>
      <c r="O466" s="1475"/>
      <c r="P466" s="1475"/>
      <c r="Q466" s="1365"/>
    </row>
    <row r="467" spans="3:17" s="548" customFormat="1">
      <c r="C467" s="515" t="s">
        <v>1771</v>
      </c>
      <c r="D467" s="515"/>
      <c r="E467" s="515"/>
      <c r="F467" s="515"/>
      <c r="G467" s="515"/>
      <c r="H467" s="515"/>
      <c r="I467" s="515"/>
      <c r="J467" s="1476" t="s">
        <v>1655</v>
      </c>
      <c r="K467" s="515"/>
      <c r="L467" s="515"/>
      <c r="M467" s="515"/>
      <c r="N467" s="516"/>
      <c r="O467" s="1475"/>
      <c r="P467" s="1475"/>
      <c r="Q467" s="1365"/>
    </row>
    <row r="468" spans="3:17" s="548" customFormat="1">
      <c r="C468" s="1366" t="s">
        <v>1390</v>
      </c>
      <c r="D468" s="515"/>
      <c r="E468" s="515"/>
      <c r="F468" s="515"/>
      <c r="G468" s="515"/>
      <c r="H468" s="515"/>
      <c r="I468" s="515"/>
      <c r="J468" s="1476" t="s">
        <v>1656</v>
      </c>
      <c r="K468" s="515"/>
      <c r="L468" s="515"/>
      <c r="M468" s="515"/>
      <c r="N468" s="516"/>
      <c r="O468" s="1475"/>
      <c r="P468" s="1475"/>
      <c r="Q468" s="1365"/>
    </row>
    <row r="469" spans="3:17" s="548" customFormat="1">
      <c r="C469" s="1366" t="s">
        <v>1391</v>
      </c>
      <c r="D469" s="515"/>
      <c r="E469" s="515"/>
      <c r="F469" s="515"/>
      <c r="G469" s="515"/>
      <c r="H469" s="515"/>
      <c r="I469" s="515"/>
      <c r="J469" s="1476" t="s">
        <v>1657</v>
      </c>
      <c r="K469" s="515"/>
      <c r="L469" s="515"/>
      <c r="M469" s="515"/>
      <c r="N469" s="516"/>
      <c r="O469" s="1475"/>
      <c r="P469" s="1475"/>
      <c r="Q469" s="1365"/>
    </row>
    <row r="470" spans="3:17" s="548" customFormat="1">
      <c r="C470" s="1478" t="s">
        <v>2133</v>
      </c>
      <c r="D470" s="515"/>
      <c r="E470" s="515"/>
      <c r="F470" s="515"/>
      <c r="G470" s="515"/>
      <c r="H470" s="515"/>
      <c r="I470" s="515"/>
      <c r="J470" s="1476" t="s">
        <v>1658</v>
      </c>
      <c r="K470" s="515"/>
      <c r="L470" s="515"/>
      <c r="M470" s="515"/>
      <c r="N470" s="516"/>
      <c r="O470" s="1475"/>
      <c r="P470" s="1475"/>
      <c r="Q470" s="1365"/>
    </row>
    <row r="471" spans="3:17" s="548" customFormat="1">
      <c r="C471" s="1478" t="s">
        <v>1387</v>
      </c>
      <c r="D471" s="515"/>
      <c r="E471" s="515"/>
      <c r="F471" s="515"/>
      <c r="G471" s="515"/>
      <c r="H471" s="515"/>
      <c r="I471" s="515"/>
      <c r="J471" s="1476" t="s">
        <v>591</v>
      </c>
      <c r="K471" s="515"/>
      <c r="L471" s="515"/>
      <c r="M471" s="515"/>
      <c r="N471" s="516"/>
      <c r="O471" s="1475"/>
      <c r="P471" s="1475"/>
      <c r="Q471" s="1365"/>
    </row>
    <row r="472" spans="3:17" s="548" customFormat="1">
      <c r="C472" s="1478" t="s">
        <v>1388</v>
      </c>
      <c r="D472" s="515"/>
      <c r="E472" s="515"/>
      <c r="F472" s="515"/>
      <c r="G472" s="515"/>
      <c r="H472" s="515"/>
      <c r="I472" s="515"/>
      <c r="J472" s="1476" t="s">
        <v>1659</v>
      </c>
      <c r="K472" s="515"/>
      <c r="L472" s="515"/>
      <c r="M472" s="515"/>
      <c r="N472" s="516"/>
      <c r="O472" s="1475"/>
      <c r="P472" s="1475"/>
      <c r="Q472" s="1365"/>
    </row>
    <row r="473" spans="3:17" s="548" customFormat="1">
      <c r="C473" s="1366" t="s">
        <v>2128</v>
      </c>
      <c r="D473" s="515"/>
      <c r="E473" s="515"/>
      <c r="F473" s="515"/>
      <c r="G473" s="515"/>
      <c r="H473" s="515"/>
      <c r="I473" s="515"/>
      <c r="J473" s="1476" t="s">
        <v>1660</v>
      </c>
      <c r="K473" s="515"/>
      <c r="L473" s="515"/>
      <c r="M473" s="515"/>
      <c r="N473" s="516"/>
      <c r="O473" s="1475"/>
      <c r="P473" s="1475"/>
      <c r="Q473" s="1365"/>
    </row>
    <row r="474" spans="3:17" s="548" customFormat="1">
      <c r="C474" s="1366" t="s">
        <v>2129</v>
      </c>
      <c r="D474" s="515"/>
      <c r="E474" s="515"/>
      <c r="F474" s="515"/>
      <c r="G474" s="515"/>
      <c r="H474" s="515"/>
      <c r="I474" s="515"/>
      <c r="J474" s="1476" t="s">
        <v>1661</v>
      </c>
      <c r="K474" s="515"/>
      <c r="L474" s="515"/>
      <c r="M474" s="515"/>
      <c r="N474" s="516"/>
      <c r="O474" s="1475"/>
      <c r="P474" s="1475"/>
      <c r="Q474" s="1365"/>
    </row>
    <row r="475" spans="3:17" s="548" customFormat="1">
      <c r="C475" s="1366" t="s">
        <v>2130</v>
      </c>
      <c r="D475" s="515"/>
      <c r="E475" s="515"/>
      <c r="F475" s="515"/>
      <c r="G475" s="515"/>
      <c r="H475" s="515"/>
      <c r="I475" s="515"/>
      <c r="J475" s="1476" t="s">
        <v>35</v>
      </c>
      <c r="K475" s="515"/>
      <c r="L475" s="515"/>
      <c r="M475" s="515"/>
      <c r="N475" s="516"/>
      <c r="O475" s="1475"/>
      <c r="P475" s="1475"/>
      <c r="Q475" s="1365"/>
    </row>
    <row r="476" spans="3:17" s="548" customFormat="1">
      <c r="C476" s="1366" t="s">
        <v>2131</v>
      </c>
      <c r="D476" s="515"/>
      <c r="E476" s="515"/>
      <c r="F476" s="515"/>
      <c r="G476" s="515"/>
      <c r="H476" s="515"/>
      <c r="I476" s="515"/>
      <c r="J476" s="515"/>
      <c r="K476" s="515"/>
      <c r="L476" s="515"/>
      <c r="M476" s="515"/>
      <c r="N476" s="516"/>
      <c r="O476" s="1475"/>
      <c r="P476" s="1475"/>
      <c r="Q476" s="1365"/>
    </row>
    <row r="477" spans="3:17" s="548" customFormat="1">
      <c r="C477" s="1366" t="s">
        <v>2132</v>
      </c>
      <c r="D477" s="515"/>
      <c r="E477" s="515"/>
      <c r="F477" s="515"/>
      <c r="G477" s="515"/>
      <c r="H477" s="515"/>
      <c r="I477" s="515"/>
      <c r="J477" s="1479" t="s">
        <v>3415</v>
      </c>
      <c r="K477" s="515"/>
      <c r="L477" s="515"/>
      <c r="M477" s="515"/>
      <c r="N477" s="516"/>
      <c r="O477" s="1479" t="s">
        <v>3771</v>
      </c>
      <c r="P477" s="1475"/>
      <c r="Q477" s="1365"/>
    </row>
    <row r="478" spans="3:17" s="548" customFormat="1">
      <c r="C478" s="1366" t="s">
        <v>1389</v>
      </c>
      <c r="D478" s="515"/>
      <c r="E478" s="515"/>
      <c r="F478" s="515"/>
      <c r="G478" s="515"/>
      <c r="H478" s="515"/>
      <c r="I478" s="515"/>
      <c r="J478" s="1476" t="s">
        <v>3416</v>
      </c>
      <c r="K478" s="515"/>
      <c r="L478" s="515"/>
      <c r="M478" s="515"/>
      <c r="N478" s="516"/>
      <c r="O478" s="1475"/>
      <c r="P478" s="1475"/>
      <c r="Q478" s="1365"/>
    </row>
    <row r="479" spans="3:17" s="548" customFormat="1">
      <c r="C479" s="1366" t="s">
        <v>2282</v>
      </c>
      <c r="D479" s="91"/>
      <c r="E479" s="91"/>
      <c r="F479" s="515"/>
      <c r="G479" s="515"/>
      <c r="H479" s="515"/>
      <c r="I479" s="515"/>
      <c r="J479" s="515" t="s">
        <v>3400</v>
      </c>
      <c r="K479" s="515"/>
      <c r="L479" s="91"/>
      <c r="M479" s="515"/>
      <c r="N479" s="516"/>
      <c r="O479" s="1475">
        <v>2</v>
      </c>
      <c r="P479" s="1475"/>
      <c r="Q479" s="1365"/>
    </row>
    <row r="480" spans="3:17" s="548" customFormat="1">
      <c r="C480" s="515"/>
      <c r="D480" s="91"/>
      <c r="E480" s="91"/>
      <c r="F480" s="515"/>
      <c r="G480" s="515"/>
      <c r="H480" s="515"/>
      <c r="I480" s="515"/>
      <c r="J480" s="515" t="s">
        <v>3401</v>
      </c>
      <c r="K480" s="515"/>
      <c r="L480" s="91"/>
      <c r="M480" s="515"/>
      <c r="N480" s="516"/>
      <c r="O480" s="1475">
        <v>2</v>
      </c>
      <c r="P480" s="1475"/>
      <c r="Q480" s="1365"/>
    </row>
    <row r="481" spans="1:17" s="548" customFormat="1">
      <c r="C481" s="515"/>
      <c r="D481" s="91"/>
      <c r="E481" s="91"/>
      <c r="F481" s="515"/>
      <c r="G481" s="515"/>
      <c r="H481" s="515"/>
      <c r="I481" s="515"/>
      <c r="J481" s="515" t="s">
        <v>3402</v>
      </c>
      <c r="K481" s="515"/>
      <c r="L481" s="91"/>
      <c r="M481" s="515"/>
      <c r="N481" s="516"/>
      <c r="O481" s="1475">
        <v>2</v>
      </c>
      <c r="P481" s="1475"/>
      <c r="Q481" s="1365"/>
    </row>
    <row r="482" spans="1:17" s="548" customFormat="1">
      <c r="C482" s="515" t="s">
        <v>2786</v>
      </c>
      <c r="D482" s="91"/>
      <c r="E482" s="91"/>
      <c r="F482" s="515"/>
      <c r="G482" s="1480" t="s">
        <v>1503</v>
      </c>
      <c r="H482" s="1481"/>
      <c r="I482" s="1480"/>
      <c r="J482" s="515" t="s">
        <v>3403</v>
      </c>
      <c r="K482" s="515"/>
      <c r="L482" s="683"/>
      <c r="M482" s="515"/>
      <c r="N482" s="516"/>
      <c r="O482" s="1475">
        <v>2</v>
      </c>
      <c r="P482" s="1475"/>
      <c r="Q482" s="1365"/>
    </row>
    <row r="483" spans="1:17" s="548" customFormat="1">
      <c r="C483" s="1482" t="s">
        <v>2788</v>
      </c>
      <c r="D483" s="91"/>
      <c r="E483" s="91"/>
      <c r="F483" s="515"/>
      <c r="G483" s="1483" t="s">
        <v>2522</v>
      </c>
      <c r="H483" s="1481"/>
      <c r="I483" s="1483"/>
      <c r="J483" s="515" t="s">
        <v>3769</v>
      </c>
      <c r="K483" s="515"/>
      <c r="L483" s="2513"/>
      <c r="M483" s="515"/>
      <c r="N483" s="516"/>
      <c r="O483" s="1475">
        <v>2</v>
      </c>
      <c r="P483" s="1475"/>
      <c r="Q483" s="1365"/>
    </row>
    <row r="484" spans="1:17" s="548" customFormat="1">
      <c r="C484" s="1482" t="s">
        <v>2789</v>
      </c>
      <c r="D484" s="91"/>
      <c r="E484" s="91"/>
      <c r="F484" s="515"/>
      <c r="G484" s="1483" t="s">
        <v>1782</v>
      </c>
      <c r="H484" s="1481"/>
      <c r="I484" s="1484"/>
      <c r="J484" s="1481" t="s">
        <v>3404</v>
      </c>
      <c r="K484" s="515"/>
      <c r="L484" s="2424"/>
      <c r="M484" s="515"/>
      <c r="N484" s="516"/>
      <c r="O484" s="1475">
        <v>1</v>
      </c>
      <c r="P484" s="1475"/>
      <c r="Q484" s="1365"/>
    </row>
    <row r="485" spans="1:17" s="548" customFormat="1">
      <c r="C485" s="1482" t="s">
        <v>2790</v>
      </c>
      <c r="D485" s="91"/>
      <c r="E485" s="91"/>
      <c r="F485" s="515"/>
      <c r="G485" s="1483" t="s">
        <v>1636</v>
      </c>
      <c r="H485" s="1481"/>
      <c r="I485" s="1484"/>
      <c r="J485" s="1481" t="s">
        <v>3405</v>
      </c>
      <c r="K485" s="515"/>
      <c r="L485" s="2424"/>
      <c r="M485" s="515"/>
      <c r="N485" s="516"/>
      <c r="O485" s="1475">
        <v>1</v>
      </c>
      <c r="P485" s="1475"/>
      <c r="Q485" s="1365"/>
    </row>
    <row r="486" spans="1:17" s="548" customFormat="1">
      <c r="C486" s="1482" t="s">
        <v>2791</v>
      </c>
      <c r="D486" s="91"/>
      <c r="E486" s="91"/>
      <c r="F486" s="515"/>
      <c r="G486" s="1483" t="s">
        <v>1036</v>
      </c>
      <c r="H486" s="1481"/>
      <c r="I486" s="1484"/>
      <c r="J486" s="1481" t="s">
        <v>3406</v>
      </c>
      <c r="K486" s="515"/>
      <c r="L486" s="2424"/>
      <c r="M486" s="515"/>
      <c r="N486" s="516"/>
      <c r="O486" s="1475">
        <v>1</v>
      </c>
      <c r="P486" s="1475"/>
      <c r="Q486" s="1365"/>
    </row>
    <row r="487" spans="1:17" s="548" customFormat="1">
      <c r="C487" s="1482" t="s">
        <v>2792</v>
      </c>
      <c r="D487" s="91"/>
      <c r="E487" s="91"/>
      <c r="F487" s="515"/>
      <c r="G487" s="1483" t="s">
        <v>2554</v>
      </c>
      <c r="H487" s="1481"/>
      <c r="I487" s="1484"/>
      <c r="J487" s="1481" t="s">
        <v>3770</v>
      </c>
      <c r="K487" s="515"/>
      <c r="L487" s="2424"/>
      <c r="M487" s="515"/>
      <c r="N487" s="516"/>
      <c r="O487" s="1475">
        <v>1</v>
      </c>
      <c r="P487" s="1475"/>
      <c r="Q487" s="1365"/>
    </row>
    <row r="488" spans="1:17" s="548" customFormat="1">
      <c r="C488" s="1482" t="s">
        <v>2793</v>
      </c>
      <c r="D488" s="91"/>
      <c r="E488" s="91"/>
      <c r="F488" s="515"/>
      <c r="G488" s="1483" t="s">
        <v>2071</v>
      </c>
      <c r="H488" s="1481"/>
      <c r="I488" s="1484"/>
      <c r="J488" s="1481" t="s">
        <v>3414</v>
      </c>
      <c r="K488" s="515"/>
      <c r="L488" s="2424"/>
      <c r="M488" s="515"/>
      <c r="N488" s="516"/>
      <c r="O488" s="1475">
        <v>1</v>
      </c>
      <c r="P488" s="1475"/>
      <c r="Q488" s="1365"/>
    </row>
    <row r="489" spans="1:17" s="548" customFormat="1">
      <c r="C489" s="1482"/>
      <c r="D489" s="91"/>
      <c r="E489" s="91"/>
      <c r="F489" s="515"/>
      <c r="G489" s="1483" t="s">
        <v>3809</v>
      </c>
      <c r="H489" s="1481"/>
      <c r="I489" s="1484"/>
      <c r="J489" s="1481" t="s">
        <v>3407</v>
      </c>
      <c r="K489" s="515"/>
      <c r="L489" s="2424"/>
      <c r="M489" s="515"/>
      <c r="N489" s="516"/>
      <c r="O489" s="1475">
        <v>1</v>
      </c>
      <c r="P489" s="1475"/>
      <c r="Q489" s="1365"/>
    </row>
    <row r="490" spans="1:17" s="548" customFormat="1">
      <c r="C490" s="1482"/>
      <c r="D490" s="91"/>
      <c r="E490" s="91"/>
      <c r="F490" s="515"/>
      <c r="G490" s="1483" t="s">
        <v>11</v>
      </c>
      <c r="H490" s="1481"/>
      <c r="I490" s="1484"/>
      <c r="J490" s="1481" t="s">
        <v>3408</v>
      </c>
      <c r="K490" s="515"/>
      <c r="L490" s="2424"/>
      <c r="M490" s="515"/>
      <c r="N490" s="516"/>
      <c r="O490" s="1475">
        <v>1</v>
      </c>
      <c r="P490" s="1475"/>
      <c r="Q490" s="1365"/>
    </row>
    <row r="491" spans="1:17" s="548" customFormat="1">
      <c r="C491" s="1482"/>
      <c r="D491" s="515"/>
      <c r="E491" s="515"/>
      <c r="F491" s="515"/>
      <c r="G491" s="1483" t="s">
        <v>356</v>
      </c>
      <c r="H491" s="1481"/>
      <c r="I491" s="1484"/>
      <c r="J491" s="1481" t="s">
        <v>3409</v>
      </c>
      <c r="K491" s="515"/>
      <c r="L491" s="1484"/>
      <c r="M491" s="515"/>
      <c r="N491" s="516"/>
      <c r="O491" s="1475">
        <v>1</v>
      </c>
      <c r="P491" s="1475"/>
      <c r="Q491" s="1365"/>
    </row>
    <row r="492" spans="1:17" s="548" customFormat="1">
      <c r="C492" s="515"/>
      <c r="D492" s="515"/>
      <c r="E492" s="515"/>
      <c r="F492" s="515"/>
      <c r="G492" s="1483" t="s">
        <v>1332</v>
      </c>
      <c r="H492" s="1481"/>
      <c r="I492" s="1484"/>
      <c r="J492" s="1481" t="s">
        <v>3410</v>
      </c>
      <c r="K492" s="515"/>
      <c r="L492" s="1484"/>
      <c r="M492" s="515"/>
      <c r="N492" s="516"/>
      <c r="O492" s="1475">
        <v>1</v>
      </c>
      <c r="P492" s="1475"/>
      <c r="Q492" s="1365"/>
    </row>
    <row r="493" spans="1:17" s="548" customFormat="1">
      <c r="C493" s="515"/>
      <c r="D493" s="515"/>
      <c r="E493" s="515"/>
      <c r="F493" s="515"/>
      <c r="G493" s="1483" t="s">
        <v>1504</v>
      </c>
      <c r="H493" s="1481"/>
      <c r="I493" s="1484"/>
      <c r="J493" s="1481" t="s">
        <v>3413</v>
      </c>
      <c r="K493" s="515"/>
      <c r="L493" s="1484"/>
      <c r="M493" s="515"/>
      <c r="N493" s="516"/>
      <c r="O493" s="1475">
        <v>1</v>
      </c>
      <c r="P493" s="1475"/>
      <c r="Q493" s="1365"/>
    </row>
    <row r="494" spans="1:17" s="548" customFormat="1">
      <c r="A494" s="1208" t="s">
        <v>2795</v>
      </c>
      <c r="C494" s="515"/>
      <c r="D494" s="515"/>
      <c r="E494" s="515"/>
      <c r="F494" s="515"/>
      <c r="G494" s="1483" t="s">
        <v>1022</v>
      </c>
      <c r="H494" s="1481"/>
      <c r="I494" s="1484"/>
      <c r="J494" s="1481" t="s">
        <v>3411</v>
      </c>
      <c r="K494" s="515"/>
      <c r="L494" s="1484"/>
      <c r="M494" s="515"/>
      <c r="N494" s="516"/>
      <c r="O494" s="1475">
        <v>1</v>
      </c>
      <c r="P494" s="1475"/>
      <c r="Q494" s="1365"/>
    </row>
    <row r="495" spans="1:17" s="548" customFormat="1">
      <c r="A495" s="1208" t="s">
        <v>2823</v>
      </c>
      <c r="C495" s="515"/>
      <c r="D495" s="515"/>
      <c r="E495" s="515"/>
      <c r="F495" s="515"/>
      <c r="G495" s="1483" t="s">
        <v>1758</v>
      </c>
      <c r="H495" s="1481"/>
      <c r="I495" s="1484"/>
      <c r="J495" s="1481" t="s">
        <v>3412</v>
      </c>
      <c r="K495" s="515"/>
      <c r="L495" s="1484"/>
      <c r="M495" s="515"/>
      <c r="N495" s="516"/>
      <c r="O495" s="1475">
        <v>1</v>
      </c>
      <c r="P495" s="1475"/>
      <c r="Q495" s="1365"/>
    </row>
    <row r="496" spans="1:17" s="548" customFormat="1">
      <c r="A496" s="1217" t="s">
        <v>3376</v>
      </c>
      <c r="C496" s="515"/>
      <c r="D496" s="1482"/>
      <c r="E496" s="1482">
        <v>3</v>
      </c>
      <c r="F496" s="515"/>
      <c r="G496" s="1483" t="s">
        <v>2060</v>
      </c>
      <c r="H496" s="1481"/>
      <c r="I496" s="1484"/>
      <c r="J496" s="515"/>
      <c r="K496" s="515"/>
      <c r="L496" s="2424"/>
      <c r="M496" s="515"/>
      <c r="N496" s="516"/>
      <c r="O496" s="1475"/>
      <c r="P496" s="1475"/>
      <c r="Q496" s="1365"/>
    </row>
    <row r="497" spans="1:17" s="548" customFormat="1">
      <c r="A497" s="1217" t="s">
        <v>3377</v>
      </c>
      <c r="C497" s="515"/>
      <c r="D497" s="1482"/>
      <c r="E497" s="1482">
        <v>2</v>
      </c>
      <c r="F497" s="515"/>
      <c r="G497" s="1483" t="s">
        <v>87</v>
      </c>
      <c r="H497" s="1481"/>
      <c r="I497" s="1484"/>
      <c r="J497" s="515"/>
      <c r="K497" s="515"/>
      <c r="L497" s="2424"/>
      <c r="M497" s="515"/>
      <c r="N497" s="516"/>
      <c r="O497" s="1475"/>
      <c r="P497" s="1475"/>
      <c r="Q497" s="1365"/>
    </row>
    <row r="498" spans="1:17" s="548" customFormat="1">
      <c r="A498" s="1217" t="s">
        <v>3378</v>
      </c>
      <c r="C498" s="515"/>
      <c r="D498" s="1482"/>
      <c r="E498" s="1482">
        <v>10</v>
      </c>
      <c r="F498" s="515"/>
      <c r="G498" s="1483" t="s">
        <v>2489</v>
      </c>
      <c r="H498" s="1481"/>
      <c r="I498" s="1484"/>
      <c r="J498" s="2427" t="s">
        <v>3780</v>
      </c>
      <c r="K498" s="515"/>
      <c r="L498" s="2424"/>
      <c r="M498" s="515"/>
      <c r="N498" s="516"/>
      <c r="O498" s="1475"/>
      <c r="P498" s="1475"/>
      <c r="Q498" s="1365"/>
    </row>
    <row r="499" spans="1:17" s="548" customFormat="1">
      <c r="A499" s="1217" t="s">
        <v>2824</v>
      </c>
      <c r="C499" s="515"/>
      <c r="D499" s="1482"/>
      <c r="E499" s="1482"/>
      <c r="F499" s="515"/>
      <c r="G499" s="1483" t="s">
        <v>895</v>
      </c>
      <c r="H499" s="1481"/>
      <c r="I499" s="1484"/>
      <c r="J499" s="1481" t="s">
        <v>3983</v>
      </c>
      <c r="K499" s="515"/>
      <c r="L499" s="2424"/>
      <c r="M499" s="515"/>
      <c r="N499" s="516"/>
      <c r="O499" s="1475"/>
      <c r="P499" s="1475"/>
      <c r="Q499" s="1365"/>
    </row>
    <row r="500" spans="1:17" s="548" customFormat="1">
      <c r="C500" s="1482"/>
      <c r="D500" s="515"/>
      <c r="E500" s="515"/>
      <c r="F500" s="515"/>
      <c r="G500" s="1483" t="s">
        <v>2140</v>
      </c>
      <c r="H500" s="1481"/>
      <c r="I500" s="1484"/>
      <c r="J500" s="1481" t="s">
        <v>3978</v>
      </c>
      <c r="K500" s="515"/>
      <c r="L500" s="2424"/>
      <c r="M500" s="515"/>
      <c r="N500" s="516"/>
      <c r="O500" s="1475"/>
      <c r="P500" s="1475"/>
      <c r="Q500" s="1365"/>
    </row>
    <row r="501" spans="1:17" s="548" customFormat="1">
      <c r="C501" s="1482"/>
      <c r="D501" s="515"/>
      <c r="E501" s="515"/>
      <c r="F501" s="515"/>
      <c r="G501" s="1483" t="s">
        <v>2058</v>
      </c>
      <c r="H501" s="1481"/>
      <c r="I501" s="1484"/>
      <c r="J501" s="1481" t="s">
        <v>3773</v>
      </c>
      <c r="K501" s="1481"/>
      <c r="L501" s="2424"/>
      <c r="M501" s="515"/>
      <c r="N501" s="516"/>
      <c r="O501" s="1475"/>
      <c r="P501" s="1475"/>
      <c r="Q501" s="1365"/>
    </row>
    <row r="502" spans="1:17" s="548" customFormat="1">
      <c r="C502" s="1482"/>
      <c r="D502" s="515"/>
      <c r="E502" s="515"/>
      <c r="F502" s="515"/>
      <c r="G502" s="1483" t="s">
        <v>601</v>
      </c>
      <c r="H502" s="1484"/>
      <c r="I502" s="1481"/>
      <c r="J502" s="1481" t="s">
        <v>3972</v>
      </c>
      <c r="K502" s="515"/>
      <c r="L502" s="2424"/>
      <c r="M502" s="515"/>
      <c r="N502" s="516"/>
      <c r="O502" s="1475"/>
      <c r="P502" s="1475"/>
      <c r="Q502" s="1365"/>
    </row>
    <row r="503" spans="1:17" s="548" customFormat="1">
      <c r="C503" s="1482"/>
      <c r="D503" s="515"/>
      <c r="E503" s="515"/>
      <c r="F503" s="515"/>
      <c r="G503" s="1483" t="s">
        <v>335</v>
      </c>
      <c r="H503" s="1484"/>
      <c r="I503" s="1481"/>
      <c r="J503" s="1481" t="s">
        <v>3774</v>
      </c>
      <c r="K503" s="1481"/>
      <c r="L503" s="2424"/>
      <c r="M503" s="515"/>
      <c r="N503" s="516"/>
      <c r="O503" s="1475"/>
      <c r="P503" s="1475"/>
      <c r="Q503" s="1365"/>
    </row>
    <row r="504" spans="1:17" s="548" customFormat="1">
      <c r="C504" s="515"/>
      <c r="D504" s="515"/>
      <c r="E504" s="515"/>
      <c r="F504" s="515"/>
      <c r="G504" s="1483" t="s">
        <v>873</v>
      </c>
      <c r="H504" s="1484"/>
      <c r="I504" s="1481"/>
      <c r="J504" s="1481" t="s">
        <v>3973</v>
      </c>
      <c r="K504" s="515"/>
      <c r="L504" s="2424"/>
      <c r="M504" s="515"/>
      <c r="N504" s="516"/>
      <c r="O504" s="1475"/>
      <c r="P504" s="1475"/>
      <c r="Q504" s="1365"/>
    </row>
    <row r="505" spans="1:17" s="548" customFormat="1">
      <c r="C505" s="515"/>
      <c r="D505" s="515"/>
      <c r="E505" s="515"/>
      <c r="F505" s="515"/>
      <c r="G505" s="1483" t="s">
        <v>1924</v>
      </c>
      <c r="H505" s="1484"/>
      <c r="I505" s="1481"/>
      <c r="J505" s="1481" t="s">
        <v>3775</v>
      </c>
      <c r="K505" s="515"/>
      <c r="L505" s="2425"/>
      <c r="M505" s="515"/>
      <c r="N505" s="516"/>
      <c r="O505" s="1475"/>
      <c r="P505" s="1475"/>
      <c r="Q505" s="1365"/>
    </row>
    <row r="506" spans="1:17" s="548" customFormat="1">
      <c r="C506" s="515"/>
      <c r="D506" s="515"/>
      <c r="E506" s="515"/>
      <c r="F506" s="515"/>
      <c r="G506" s="1483" t="s">
        <v>1928</v>
      </c>
      <c r="H506" s="1484"/>
      <c r="I506" s="1481"/>
      <c r="J506" s="1481" t="s">
        <v>3974</v>
      </c>
      <c r="K506" s="515"/>
      <c r="L506" s="2424"/>
      <c r="M506" s="515"/>
      <c r="N506" s="516"/>
      <c r="O506" s="1475"/>
      <c r="P506" s="1475"/>
      <c r="Q506" s="1365"/>
    </row>
    <row r="507" spans="1:17" s="548" customFormat="1">
      <c r="C507" s="515"/>
      <c r="D507" s="515"/>
      <c r="E507" s="515"/>
      <c r="F507" s="515"/>
      <c r="G507" s="1483" t="s">
        <v>455</v>
      </c>
      <c r="H507" s="1484"/>
      <c r="I507" s="1481"/>
      <c r="J507" s="1481" t="s">
        <v>3979</v>
      </c>
      <c r="K507" s="515"/>
      <c r="L507" s="2424"/>
      <c r="M507" s="515"/>
      <c r="N507" s="516"/>
      <c r="O507" s="1475"/>
      <c r="P507" s="1475"/>
      <c r="Q507" s="1365"/>
    </row>
    <row r="508" spans="1:17" s="548" customFormat="1">
      <c r="C508" s="515"/>
      <c r="D508" s="515"/>
      <c r="E508" s="515"/>
      <c r="F508" s="515"/>
      <c r="G508" s="1483" t="s">
        <v>3619</v>
      </c>
      <c r="H508" s="1484"/>
      <c r="I508" s="1481"/>
      <c r="J508" s="1481" t="s">
        <v>3982</v>
      </c>
      <c r="K508" s="1481"/>
      <c r="L508" s="2425"/>
      <c r="M508" s="515"/>
      <c r="N508" s="516"/>
      <c r="O508" s="1475"/>
      <c r="P508" s="1475"/>
      <c r="Q508" s="1365"/>
    </row>
    <row r="509" spans="1:17" s="548" customFormat="1">
      <c r="C509" s="515"/>
      <c r="D509" s="1485"/>
      <c r="E509" s="515"/>
      <c r="F509" s="515"/>
      <c r="G509" s="1483" t="s">
        <v>420</v>
      </c>
      <c r="H509" s="1484"/>
      <c r="I509" s="1481"/>
      <c r="J509" s="1481" t="s">
        <v>3776</v>
      </c>
      <c r="K509" s="515"/>
      <c r="L509" s="2424"/>
      <c r="M509" s="515"/>
      <c r="N509" s="516"/>
      <c r="O509" s="1475"/>
      <c r="P509" s="1475"/>
      <c r="Q509" s="1365"/>
    </row>
    <row r="510" spans="1:17" s="548" customFormat="1">
      <c r="C510" s="515"/>
      <c r="D510" s="1485"/>
      <c r="E510" s="515"/>
      <c r="F510" s="515"/>
      <c r="G510" s="1483" t="s">
        <v>234</v>
      </c>
      <c r="H510" s="1484"/>
      <c r="I510" s="1481"/>
      <c r="J510" s="1481" t="s">
        <v>3777</v>
      </c>
      <c r="K510" s="515"/>
      <c r="L510" s="2424"/>
      <c r="M510" s="515"/>
      <c r="N510" s="516"/>
      <c r="O510" s="1475"/>
      <c r="P510" s="1475"/>
      <c r="Q510" s="1365"/>
    </row>
    <row r="511" spans="1:17" s="548" customFormat="1">
      <c r="C511" s="515"/>
      <c r="D511" s="1486"/>
      <c r="E511" s="515"/>
      <c r="F511" s="515"/>
      <c r="G511" s="1483" t="s">
        <v>1221</v>
      </c>
      <c r="H511" s="1484"/>
      <c r="I511" s="1481"/>
      <c r="J511" s="1481" t="s">
        <v>3977</v>
      </c>
      <c r="K511" s="515"/>
      <c r="L511" s="2424"/>
      <c r="M511" s="515"/>
      <c r="N511" s="516"/>
      <c r="O511" s="1475"/>
      <c r="P511" s="1475"/>
      <c r="Q511" s="1365"/>
    </row>
    <row r="512" spans="1:17" s="548" customFormat="1">
      <c r="C512" s="515"/>
      <c r="D512" s="1486"/>
      <c r="E512" s="1486"/>
      <c r="F512" s="515"/>
      <c r="G512" s="1483" t="s">
        <v>1223</v>
      </c>
      <c r="H512" s="1484"/>
      <c r="I512" s="1481"/>
      <c r="J512" s="1481" t="s">
        <v>3980</v>
      </c>
      <c r="K512" s="515"/>
      <c r="L512" s="2425"/>
      <c r="M512" s="515"/>
      <c r="N512" s="516"/>
      <c r="O512" s="1475"/>
      <c r="P512" s="1475"/>
      <c r="Q512" s="1365"/>
    </row>
    <row r="513" spans="3:17" s="548" customFormat="1">
      <c r="C513" s="515"/>
      <c r="D513" s="515"/>
      <c r="E513" s="515"/>
      <c r="F513" s="515"/>
      <c r="G513" s="1483" t="s">
        <v>1637</v>
      </c>
      <c r="H513" s="1484"/>
      <c r="I513" s="1481"/>
      <c r="J513" s="1481" t="s">
        <v>3981</v>
      </c>
      <c r="K513" s="515"/>
      <c r="L513" s="2424"/>
      <c r="M513" s="515"/>
      <c r="N513" s="516"/>
      <c r="O513" s="1475"/>
      <c r="P513" s="1475"/>
      <c r="Q513" s="1365"/>
    </row>
    <row r="514" spans="3:17" s="548" customFormat="1">
      <c r="C514" s="515"/>
      <c r="D514" s="515"/>
      <c r="E514" s="515"/>
      <c r="F514" s="515"/>
      <c r="G514" s="1483" t="s">
        <v>985</v>
      </c>
      <c r="H514" s="1484"/>
      <c r="I514" s="1481"/>
      <c r="J514" s="1481" t="s">
        <v>3778</v>
      </c>
      <c r="K514" s="515"/>
      <c r="L514" s="2424"/>
      <c r="M514" s="515"/>
      <c r="N514" s="516"/>
      <c r="O514" s="1475"/>
      <c r="P514" s="1475"/>
      <c r="Q514" s="1365"/>
    </row>
    <row r="515" spans="3:17" s="548" customFormat="1">
      <c r="C515" s="1485"/>
      <c r="D515" s="515"/>
      <c r="E515" s="515"/>
      <c r="F515" s="515"/>
      <c r="G515" s="1483" t="s">
        <v>574</v>
      </c>
      <c r="H515" s="1481"/>
      <c r="I515" s="1481"/>
      <c r="J515" s="1481" t="s">
        <v>3779</v>
      </c>
      <c r="K515" s="515"/>
      <c r="L515" s="2424"/>
      <c r="M515" s="515"/>
      <c r="N515" s="516"/>
      <c r="O515" s="1475"/>
      <c r="P515" s="1475"/>
      <c r="Q515" s="1365"/>
    </row>
    <row r="516" spans="3:17" s="548" customFormat="1">
      <c r="C516" s="1485"/>
      <c r="D516" s="515"/>
      <c r="E516" s="515"/>
      <c r="F516" s="515"/>
      <c r="G516" s="1483" t="s">
        <v>1638</v>
      </c>
      <c r="H516" s="1481"/>
      <c r="I516" s="1481"/>
      <c r="J516" s="1481"/>
      <c r="K516" s="515"/>
      <c r="L516" s="2424"/>
      <c r="M516" s="515"/>
      <c r="N516" s="516"/>
      <c r="O516" s="1475"/>
      <c r="P516" s="1475"/>
      <c r="Q516" s="1365"/>
    </row>
    <row r="517" spans="3:17" s="548" customFormat="1">
      <c r="C517" s="1485"/>
      <c r="D517" s="515"/>
      <c r="E517" s="515"/>
      <c r="F517" s="515"/>
      <c r="G517" s="1483" t="s">
        <v>1679</v>
      </c>
      <c r="H517" s="1481"/>
      <c r="I517" s="1481"/>
      <c r="J517" s="1481"/>
      <c r="K517" s="515"/>
      <c r="L517" s="2424"/>
      <c r="M517" s="515"/>
      <c r="N517" s="516"/>
      <c r="O517" s="1475"/>
      <c r="P517" s="1475"/>
      <c r="Q517" s="1365"/>
    </row>
    <row r="518" spans="3:17" s="548" customFormat="1">
      <c r="C518" s="1485"/>
      <c r="D518" s="515"/>
      <c r="E518" s="515"/>
      <c r="F518" s="515"/>
      <c r="G518" s="1483" t="s">
        <v>1740</v>
      </c>
      <c r="H518" s="1481"/>
      <c r="I518" s="1481"/>
      <c r="J518" s="1481"/>
      <c r="K518" s="515"/>
      <c r="L518" s="2424"/>
      <c r="M518" s="515"/>
      <c r="N518" s="516"/>
      <c r="O518" s="1475"/>
      <c r="P518" s="1475"/>
      <c r="Q518" s="1365"/>
    </row>
    <row r="519" spans="3:17" s="548" customFormat="1">
      <c r="C519" s="1485"/>
      <c r="D519" s="515"/>
      <c r="E519" s="515"/>
      <c r="F519" s="515"/>
      <c r="G519" s="1483" t="s">
        <v>3393</v>
      </c>
      <c r="H519" s="1481"/>
      <c r="I519" s="1481"/>
      <c r="J519" s="1481"/>
      <c r="K519" s="515"/>
      <c r="L519" s="2424"/>
      <c r="M519" s="515"/>
      <c r="N519" s="516"/>
      <c r="O519" s="1475"/>
      <c r="P519" s="1475"/>
      <c r="Q519" s="1365"/>
    </row>
    <row r="520" spans="3:17" s="548" customFormat="1">
      <c r="C520" s="1485"/>
      <c r="D520" s="515"/>
      <c r="E520" s="515"/>
      <c r="F520" s="515"/>
      <c r="G520" s="1483" t="s">
        <v>821</v>
      </c>
      <c r="H520" s="1481"/>
      <c r="I520" s="1481"/>
      <c r="J520" s="1481"/>
      <c r="K520" s="515"/>
      <c r="L520" s="2424"/>
      <c r="M520" s="515"/>
      <c r="N520" s="516"/>
      <c r="O520" s="1475"/>
      <c r="P520" s="1475"/>
      <c r="Q520" s="1365"/>
    </row>
    <row r="521" spans="3:17" s="548" customFormat="1">
      <c r="C521" s="1485"/>
      <c r="D521" s="515"/>
      <c r="E521" s="515"/>
      <c r="F521" s="515"/>
      <c r="G521" s="1483" t="s">
        <v>179</v>
      </c>
      <c r="H521" s="1481"/>
      <c r="I521" s="1481"/>
      <c r="J521" s="1481"/>
      <c r="K521" s="515"/>
      <c r="L521" s="2425"/>
      <c r="M521" s="515"/>
      <c r="N521" s="516"/>
      <c r="O521" s="1475"/>
      <c r="P521" s="1475"/>
      <c r="Q521" s="1365"/>
    </row>
    <row r="522" spans="3:17" s="548" customFormat="1">
      <c r="C522" s="1486"/>
      <c r="D522" s="515"/>
      <c r="E522" s="515"/>
      <c r="F522" s="515"/>
      <c r="G522" s="1483" t="s">
        <v>4064</v>
      </c>
      <c r="H522" s="1481"/>
      <c r="I522" s="1481"/>
      <c r="J522" s="1481"/>
      <c r="K522" s="515"/>
      <c r="L522" s="2425"/>
      <c r="M522" s="515"/>
      <c r="N522" s="516"/>
      <c r="O522" s="1475"/>
      <c r="P522" s="1475"/>
      <c r="Q522" s="1365"/>
    </row>
    <row r="523" spans="3:17" s="548" customFormat="1">
      <c r="C523" s="1486"/>
      <c r="D523" s="515"/>
      <c r="E523" s="515"/>
      <c r="F523" s="515"/>
      <c r="G523" s="1483" t="s">
        <v>521</v>
      </c>
      <c r="H523" s="1481"/>
      <c r="I523" s="1481"/>
      <c r="J523" s="1481"/>
      <c r="K523" s="515"/>
      <c r="L523" s="1481"/>
      <c r="M523" s="515"/>
      <c r="N523" s="516"/>
      <c r="O523" s="1475"/>
      <c r="P523" s="1475"/>
      <c r="Q523" s="1365"/>
    </row>
    <row r="524" spans="3:17" s="548" customFormat="1">
      <c r="C524" s="515"/>
      <c r="D524" s="515"/>
      <c r="E524" s="515"/>
      <c r="F524" s="515"/>
      <c r="G524" s="1483" t="s">
        <v>529</v>
      </c>
      <c r="H524" s="1481"/>
      <c r="I524" s="1481"/>
      <c r="J524" s="1481"/>
      <c r="K524" s="515"/>
      <c r="L524" s="1481"/>
      <c r="M524" s="515"/>
      <c r="N524" s="516"/>
      <c r="O524" s="1475"/>
      <c r="P524" s="1475"/>
      <c r="Q524" s="1365"/>
    </row>
    <row r="525" spans="3:17" s="548" customFormat="1">
      <c r="C525" s="515"/>
      <c r="D525" s="515"/>
      <c r="E525" s="515"/>
      <c r="F525" s="515"/>
      <c r="G525" s="1483" t="s">
        <v>542</v>
      </c>
      <c r="H525" s="1481"/>
      <c r="I525" s="1481"/>
      <c r="J525" s="1481"/>
      <c r="K525" s="1481"/>
      <c r="L525" s="515"/>
      <c r="M525" s="515"/>
      <c r="N525" s="516"/>
      <c r="O525" s="1475"/>
      <c r="P525" s="1475"/>
      <c r="Q525" s="1365"/>
    </row>
    <row r="526" spans="3:17" s="548" customFormat="1">
      <c r="C526" s="515"/>
      <c r="D526" s="515"/>
      <c r="E526" s="515"/>
      <c r="F526" s="515"/>
      <c r="G526" s="1483" t="s">
        <v>1635</v>
      </c>
      <c r="H526" s="1481"/>
      <c r="I526" s="1481"/>
      <c r="J526" s="1481"/>
      <c r="K526" s="1481"/>
      <c r="L526" s="515"/>
      <c r="M526" s="515"/>
      <c r="N526" s="516"/>
      <c r="O526" s="1475"/>
      <c r="P526" s="1475"/>
      <c r="Q526" s="1365"/>
    </row>
    <row r="527" spans="3:17" s="548" customFormat="1">
      <c r="C527" s="515"/>
      <c r="D527" s="515"/>
      <c r="E527" s="515"/>
      <c r="F527" s="515"/>
      <c r="G527" s="1483" t="s">
        <v>2095</v>
      </c>
      <c r="H527" s="1481"/>
      <c r="I527" s="1481"/>
      <c r="J527" s="1481"/>
      <c r="K527" s="1481"/>
      <c r="L527" s="515"/>
      <c r="M527" s="515"/>
      <c r="N527" s="516"/>
      <c r="O527" s="1475"/>
      <c r="P527" s="1475"/>
      <c r="Q527" s="1365"/>
    </row>
    <row r="528" spans="3:17" s="548" customFormat="1">
      <c r="C528" s="515"/>
      <c r="D528" s="515"/>
      <c r="E528" s="515"/>
      <c r="F528" s="515"/>
      <c r="G528" s="1483" t="s">
        <v>2248</v>
      </c>
      <c r="H528" s="1481"/>
      <c r="I528" s="1481"/>
      <c r="J528" s="1481"/>
      <c r="K528" s="1481"/>
      <c r="L528" s="515"/>
      <c r="M528" s="515"/>
      <c r="N528" s="516"/>
      <c r="O528" s="1475"/>
      <c r="P528" s="1475"/>
      <c r="Q528" s="1365"/>
    </row>
    <row r="529" spans="3:17" s="548" customFormat="1">
      <c r="C529" s="515"/>
      <c r="D529" s="515"/>
      <c r="E529" s="515"/>
      <c r="F529" s="515"/>
      <c r="G529" s="1483" t="s">
        <v>398</v>
      </c>
      <c r="H529" s="1481"/>
      <c r="I529" s="1481"/>
      <c r="J529" s="1481"/>
      <c r="K529" s="1481"/>
      <c r="L529" s="515"/>
      <c r="M529" s="515"/>
      <c r="N529" s="516"/>
      <c r="O529" s="1475"/>
      <c r="P529" s="1475"/>
      <c r="Q529" s="1365"/>
    </row>
    <row r="530" spans="3:17" s="548" customFormat="1">
      <c r="C530" s="515"/>
      <c r="D530" s="515"/>
      <c r="E530" s="515"/>
      <c r="F530" s="515"/>
      <c r="G530" s="1483" t="s">
        <v>1438</v>
      </c>
      <c r="H530" s="1481"/>
      <c r="I530" s="1481"/>
      <c r="J530" s="1481"/>
      <c r="K530" s="1481"/>
      <c r="L530" s="515"/>
      <c r="M530" s="515"/>
      <c r="N530" s="516"/>
      <c r="O530" s="1475"/>
      <c r="P530" s="1475"/>
      <c r="Q530" s="1365"/>
    </row>
    <row r="531" spans="3:17" s="548" customFormat="1">
      <c r="C531" s="515"/>
      <c r="D531" s="515"/>
      <c r="E531" s="515"/>
      <c r="F531" s="515"/>
      <c r="G531" s="1483" t="s">
        <v>2122</v>
      </c>
      <c r="H531" s="1481"/>
      <c r="I531" s="1481"/>
      <c r="J531" s="1481"/>
      <c r="K531" s="1481"/>
      <c r="L531" s="515"/>
      <c r="M531" s="515"/>
      <c r="N531" s="516"/>
      <c r="O531" s="1475"/>
      <c r="P531" s="1475"/>
      <c r="Q531" s="1365"/>
    </row>
    <row r="532" spans="3:17" s="548" customFormat="1">
      <c r="C532" s="515"/>
      <c r="D532" s="515"/>
      <c r="E532" s="515"/>
      <c r="F532" s="515"/>
      <c r="G532" s="1483" t="s">
        <v>1441</v>
      </c>
      <c r="H532" s="1481"/>
      <c r="I532" s="1481"/>
      <c r="J532" s="1481"/>
      <c r="K532" s="1481"/>
      <c r="L532" s="515"/>
      <c r="M532" s="515"/>
      <c r="N532" s="516"/>
      <c r="O532" s="1475"/>
      <c r="P532" s="1475"/>
      <c r="Q532" s="1365"/>
    </row>
    <row r="533" spans="3:17" s="548" customFormat="1">
      <c r="C533" s="515"/>
      <c r="D533" s="515"/>
      <c r="E533" s="515"/>
      <c r="F533" s="515"/>
      <c r="G533" s="1483" t="s">
        <v>1556</v>
      </c>
      <c r="H533" s="1481"/>
      <c r="I533" s="1481"/>
      <c r="J533" s="1481"/>
      <c r="K533" s="1481"/>
      <c r="L533" s="515"/>
      <c r="M533" s="515"/>
      <c r="N533" s="516"/>
      <c r="O533" s="1475"/>
      <c r="P533" s="1475"/>
      <c r="Q533" s="1365"/>
    </row>
    <row r="534" spans="3:17" s="548" customFormat="1">
      <c r="C534" s="515"/>
      <c r="D534" s="515"/>
      <c r="E534" s="515"/>
      <c r="F534" s="515"/>
      <c r="G534" s="1483" t="s">
        <v>245</v>
      </c>
      <c r="H534" s="1481"/>
      <c r="I534" s="1481"/>
      <c r="J534" s="1481"/>
      <c r="K534" s="1481"/>
      <c r="L534" s="515"/>
      <c r="M534" s="515"/>
      <c r="N534" s="516"/>
      <c r="O534" s="1475"/>
      <c r="P534" s="1475"/>
      <c r="Q534" s="1365"/>
    </row>
    <row r="535" spans="3:17" s="548" customFormat="1">
      <c r="C535" s="515"/>
      <c r="D535" s="515"/>
      <c r="E535" s="515"/>
      <c r="F535" s="515"/>
      <c r="G535" s="1483" t="s">
        <v>67</v>
      </c>
      <c r="H535" s="1481"/>
      <c r="I535" s="1481"/>
      <c r="J535" s="1481"/>
      <c r="K535" s="1481"/>
      <c r="L535" s="515"/>
      <c r="M535" s="515"/>
      <c r="N535" s="516"/>
      <c r="O535" s="1475"/>
      <c r="P535" s="1475"/>
      <c r="Q535" s="1365"/>
    </row>
    <row r="536" spans="3:17" s="548" customFormat="1">
      <c r="C536" s="515"/>
      <c r="D536" s="515"/>
      <c r="E536" s="515"/>
      <c r="F536" s="515"/>
      <c r="G536" s="1483" t="s">
        <v>1043</v>
      </c>
      <c r="H536" s="515"/>
      <c r="I536" s="515"/>
      <c r="J536" s="1481"/>
      <c r="K536" s="515"/>
      <c r="L536" s="91"/>
      <c r="M536" s="91"/>
      <c r="N536" s="2436"/>
      <c r="O536" s="2536"/>
      <c r="P536" s="2536"/>
      <c r="Q536" s="1365"/>
    </row>
    <row r="537" spans="3:17" s="548" customFormat="1">
      <c r="C537" s="515"/>
      <c r="D537" s="515"/>
      <c r="E537" s="515"/>
      <c r="F537" s="515"/>
      <c r="G537" s="1483" t="s">
        <v>2268</v>
      </c>
      <c r="H537" s="515"/>
      <c r="I537" s="515"/>
      <c r="J537" s="1481"/>
      <c r="K537" s="515"/>
      <c r="L537" s="91"/>
      <c r="M537" s="91"/>
      <c r="N537" s="2436"/>
      <c r="O537" s="2536"/>
      <c r="P537" s="2536"/>
      <c r="Q537" s="1365"/>
    </row>
    <row r="538" spans="3:17" s="548" customFormat="1">
      <c r="C538" s="515"/>
      <c r="D538" s="515"/>
      <c r="E538" s="515"/>
      <c r="F538" s="515"/>
      <c r="G538" s="1476" t="s">
        <v>2164</v>
      </c>
      <c r="H538" s="515"/>
      <c r="I538" s="515"/>
      <c r="J538" s="1481"/>
      <c r="K538" s="515"/>
      <c r="L538" s="91"/>
      <c r="M538" s="91"/>
      <c r="N538" s="2436"/>
      <c r="O538" s="2536"/>
      <c r="P538" s="2536"/>
      <c r="Q538" s="1365"/>
    </row>
    <row r="539" spans="3:17" s="548" customFormat="1">
      <c r="C539" s="515"/>
      <c r="D539" s="515"/>
      <c r="E539" s="515"/>
      <c r="F539" s="515"/>
      <c r="G539" s="1476" t="s">
        <v>1639</v>
      </c>
      <c r="H539" s="515"/>
      <c r="I539" s="515"/>
      <c r="J539" s="1481"/>
      <c r="K539" s="515"/>
      <c r="L539" s="91"/>
      <c r="M539" s="91"/>
      <c r="N539" s="2436"/>
      <c r="O539" s="2536"/>
      <c r="P539" s="2536"/>
      <c r="Q539" s="1365"/>
    </row>
    <row r="540" spans="3:17" s="548" customFormat="1">
      <c r="C540" s="515"/>
      <c r="D540" s="515"/>
      <c r="E540" s="515"/>
      <c r="F540" s="515"/>
      <c r="G540" s="1476" t="s">
        <v>1888</v>
      </c>
      <c r="H540" s="515"/>
      <c r="I540" s="515"/>
      <c r="J540" s="515"/>
      <c r="K540" s="515"/>
      <c r="L540" s="91"/>
      <c r="M540" s="91"/>
      <c r="N540" s="2436"/>
      <c r="O540" s="2536"/>
      <c r="P540" s="2536"/>
      <c r="Q540" s="1365"/>
    </row>
    <row r="541" spans="3:17" s="548" customFormat="1">
      <c r="C541" s="515"/>
      <c r="D541" s="515"/>
      <c r="E541" s="515"/>
      <c r="F541" s="515"/>
      <c r="G541" s="1476" t="s">
        <v>502</v>
      </c>
      <c r="H541" s="515"/>
      <c r="I541" s="515"/>
      <c r="J541" s="515"/>
      <c r="K541" s="515"/>
      <c r="L541" s="91"/>
      <c r="M541" s="91"/>
      <c r="N541" s="2436"/>
      <c r="O541" s="2536"/>
      <c r="P541" s="2536"/>
      <c r="Q541" s="1365"/>
    </row>
    <row r="542" spans="3:17" s="548" customFormat="1">
      <c r="C542" s="515"/>
      <c r="D542" s="515"/>
      <c r="E542" s="515"/>
      <c r="F542" s="515"/>
      <c r="G542" s="1476" t="s">
        <v>2260</v>
      </c>
      <c r="H542" s="515"/>
      <c r="I542" s="515"/>
      <c r="J542" s="515"/>
      <c r="K542" s="515"/>
      <c r="L542" s="91"/>
      <c r="M542" s="91"/>
      <c r="N542" s="2436"/>
      <c r="O542" s="2536"/>
      <c r="P542" s="2536"/>
      <c r="Q542" s="1365"/>
    </row>
    <row r="543" spans="3:17" s="548" customFormat="1">
      <c r="C543" s="515"/>
      <c r="D543" s="515"/>
      <c r="E543" s="515"/>
      <c r="F543" s="515"/>
      <c r="G543" s="1476" t="s">
        <v>2127</v>
      </c>
      <c r="H543" s="515"/>
      <c r="I543" s="515"/>
      <c r="J543" s="515"/>
      <c r="K543" s="515"/>
      <c r="L543" s="91"/>
      <c r="M543" s="91"/>
      <c r="N543" s="2436"/>
      <c r="O543" s="2536"/>
      <c r="P543" s="2536"/>
      <c r="Q543" s="1365"/>
    </row>
    <row r="544" spans="3:17" s="548" customFormat="1">
      <c r="C544" s="515"/>
      <c r="D544" s="515"/>
      <c r="E544" s="515"/>
      <c r="F544" s="515"/>
      <c r="G544" s="1476" t="s">
        <v>1640</v>
      </c>
      <c r="H544" s="515"/>
      <c r="I544" s="515"/>
      <c r="J544" s="515"/>
      <c r="K544" s="515"/>
      <c r="L544" s="91"/>
      <c r="M544" s="91"/>
      <c r="N544" s="2436"/>
      <c r="O544" s="2536"/>
      <c r="P544" s="2536"/>
      <c r="Q544" s="1365"/>
    </row>
    <row r="545" spans="3:17" s="548" customFormat="1">
      <c r="C545" s="515"/>
      <c r="D545" s="515"/>
      <c r="E545" s="515"/>
      <c r="F545" s="515"/>
      <c r="G545" s="1476" t="s">
        <v>2334</v>
      </c>
      <c r="H545" s="515"/>
      <c r="I545" s="515"/>
      <c r="J545" s="515"/>
      <c r="K545" s="515"/>
      <c r="L545" s="91"/>
      <c r="M545" s="91"/>
      <c r="N545" s="2436"/>
      <c r="O545" s="2536"/>
      <c r="P545" s="2536"/>
      <c r="Q545" s="1365"/>
    </row>
    <row r="546" spans="3:17" s="548" customFormat="1">
      <c r="G546" s="1476" t="s">
        <v>1686</v>
      </c>
      <c r="N546" s="1205"/>
      <c r="O546" s="1206"/>
      <c r="P546" s="1206"/>
    </row>
    <row r="547" spans="3:17" s="548" customFormat="1">
      <c r="G547" s="1476" t="s">
        <v>4610</v>
      </c>
      <c r="N547" s="1205"/>
      <c r="O547" s="1206"/>
      <c r="P547" s="1206"/>
    </row>
    <row r="548" spans="3:17" s="548" customFormat="1">
      <c r="G548" s="1481" t="s">
        <v>2261</v>
      </c>
      <c r="N548" s="1205"/>
      <c r="O548" s="1206"/>
      <c r="P548" s="1206"/>
    </row>
    <row r="549" spans="3:17" s="548" customFormat="1">
      <c r="G549" s="1481" t="s">
        <v>1693</v>
      </c>
      <c r="N549" s="1205"/>
      <c r="O549" s="1206"/>
      <c r="P549" s="1206"/>
    </row>
    <row r="550" spans="3:17" s="548" customFormat="1">
      <c r="G550" s="1481" t="s">
        <v>1696</v>
      </c>
      <c r="N550" s="1205"/>
      <c r="O550" s="1206"/>
      <c r="P550" s="1206"/>
    </row>
    <row r="551" spans="3:17" s="548" customFormat="1">
      <c r="G551" s="1365" t="s">
        <v>1701</v>
      </c>
      <c r="N551" s="1205"/>
      <c r="O551" s="1206"/>
      <c r="P551" s="1206"/>
    </row>
    <row r="552" spans="3:17" s="548" customFormat="1">
      <c r="G552" s="1365" t="s">
        <v>1704</v>
      </c>
      <c r="N552" s="1205"/>
      <c r="O552" s="1206"/>
      <c r="P552" s="1206"/>
    </row>
    <row r="553" spans="3:17" s="548" customFormat="1">
      <c r="G553" s="1365" t="s">
        <v>1709</v>
      </c>
      <c r="N553" s="1205"/>
      <c r="O553" s="1206"/>
      <c r="P553" s="1206"/>
    </row>
    <row r="554" spans="3:17">
      <c r="D554" s="163"/>
      <c r="E554" s="163"/>
      <c r="F554" s="163"/>
      <c r="G554" s="1365" t="s">
        <v>1710</v>
      </c>
      <c r="H554" s="548"/>
      <c r="I554" s="548"/>
      <c r="J554" s="548"/>
      <c r="K554" s="548"/>
    </row>
    <row r="555" spans="3:17">
      <c r="D555" s="163"/>
      <c r="E555" s="163"/>
      <c r="F555" s="163"/>
      <c r="G555" s="1365" t="s">
        <v>106</v>
      </c>
      <c r="H555" s="548"/>
      <c r="I555" s="548"/>
      <c r="J555" s="548"/>
      <c r="K555" s="548"/>
    </row>
    <row r="556" spans="3:17">
      <c r="D556" s="163"/>
      <c r="E556" s="163"/>
      <c r="F556" s="163"/>
      <c r="G556" s="1365" t="s">
        <v>296</v>
      </c>
      <c r="H556" s="548"/>
      <c r="I556" s="548"/>
      <c r="J556" s="548"/>
      <c r="K556" s="548"/>
    </row>
    <row r="557" spans="3:17">
      <c r="D557" s="163"/>
      <c r="E557" s="163"/>
      <c r="F557" s="163"/>
      <c r="G557" s="1365" t="s">
        <v>297</v>
      </c>
      <c r="H557" s="548"/>
      <c r="I557" s="548"/>
      <c r="J557" s="548"/>
      <c r="K557" s="548"/>
    </row>
    <row r="558" spans="3:17">
      <c r="D558" s="163"/>
      <c r="E558" s="163"/>
      <c r="F558" s="163"/>
      <c r="G558" s="1365" t="s">
        <v>1543</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formula1>"&lt;Select unrelated 3rd party type&gt;, Foundation, Trust, Business, Government, Other (describe in Justification Box)"</formula1>
    </dataValidation>
    <dataValidation type="list" allowBlank="1" showInputMessage="1" showErrorMessage="1" sqref="D422:I422">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formula1>"&lt; Select &gt;,5%, 10%, 15%, 20%"</formula1>
    </dataValidation>
    <dataValidation type="list" allowBlank="1" showInputMessage="1" showErrorMessage="1" sqref="O283:P283">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formula1>"Yes, No, N/a"</formula1>
    </dataValidation>
    <dataValidation type="list" allowBlank="1" showInputMessage="1" showErrorMessage="1" sqref="O138:P138 K202:L202">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dataValidation type="list" allowBlank="1" showInputMessage="1" showErrorMessage="1" sqref="P188 P447 P341 O156:P156 P368 P439 P227 P237 H166:H168 P152 P154 K193:L193 P419 K195:L200">
      <formula1>"Yes, No"</formula1>
    </dataValidation>
    <dataValidation type="whole" operator="equal" allowBlank="1" showInputMessage="1" showErrorMessage="1" sqref="P87:P89 P109 P95:P97 P115 P137">
      <formula1>$M87</formula1>
    </dataValidation>
    <dataValidation type="whole" operator="lessThanOrEqual" allowBlank="1" showInputMessage="1" showErrorMessage="1" sqref="O64:P64 O206 O87 O95 P52">
      <formula1>$M52</formula1>
    </dataValidation>
    <dataValidation type="list" allowBlank="1" showInputMessage="1" showErrorMessage="1" sqref="L121:N124">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formula1>"0,1"</formula1>
    </dataValidation>
    <dataValidation type="list" allowBlank="1" showInputMessage="1" showErrorMessage="1" sqref="I370:L370">
      <formula1>$G$483:$G$558</formula1>
    </dataValidation>
    <dataValidation type="whole" operator="equal" allowBlank="1" showErrorMessage="1" errorTitle="Incorrect Point Value Entered" error="Please re-check the point value for this criterion." sqref="O52:O53">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7" customWidth="1"/>
    <col min="2" max="16384" width="9.140625" style="27"/>
  </cols>
  <sheetData>
    <row r="1" spans="1:6" ht="15.75">
      <c r="A1" s="986" t="s">
        <v>4206</v>
      </c>
    </row>
    <row r="2" spans="1:6" s="33" customFormat="1" ht="13.5" customHeight="1">
      <c r="A2" s="985" t="str">
        <f>'Part I-Project Information'!$F$34</f>
        <v>Stone Terrace Phase II</v>
      </c>
    </row>
    <row r="3" spans="1:6" s="33" customFormat="1" ht="13.5" customHeight="1">
      <c r="A3" s="985" t="str">
        <f>CONCATENATE('Part I-Project Information'!$F$38,", ", 'Part I-Project Information'!$J$39," County")</f>
        <v>Stonecrest, DeKalb County</v>
      </c>
    </row>
    <row r="4" spans="1:6" ht="6.75" customHeight="1"/>
    <row r="5" spans="1:6" ht="113.25" customHeight="1">
      <c r="A5" s="2881" t="s">
        <v>4207</v>
      </c>
      <c r="B5" s="4173" t="s">
        <v>4208</v>
      </c>
      <c r="C5" s="4173"/>
      <c r="D5" s="4173"/>
      <c r="E5" s="4173"/>
      <c r="F5" s="4173"/>
    </row>
    <row r="6" spans="1:6" ht="6.6" customHeight="1">
      <c r="A6" s="2881"/>
      <c r="B6" s="4173"/>
      <c r="C6" s="4173"/>
      <c r="D6" s="4173"/>
      <c r="E6" s="4173"/>
      <c r="F6" s="4173"/>
    </row>
    <row r="7" spans="1:6" ht="134.25" customHeight="1">
      <c r="A7" s="2881"/>
      <c r="B7" s="4173"/>
      <c r="C7" s="4173"/>
      <c r="D7" s="4173"/>
      <c r="E7" s="4173"/>
      <c r="F7" s="4173"/>
    </row>
    <row r="8" spans="1:6" ht="6.6" customHeight="1">
      <c r="A8" s="2881"/>
    </row>
    <row r="9" spans="1:6" ht="111" customHeight="1">
      <c r="A9" s="2881"/>
    </row>
    <row r="10" spans="1:6" ht="6.6" customHeight="1">
      <c r="A10" s="2881"/>
    </row>
    <row r="11" spans="1:6" ht="111" customHeight="1">
      <c r="A11" s="2881"/>
    </row>
    <row r="12" spans="1:6" ht="6.6" customHeight="1">
      <c r="A12" s="2881"/>
    </row>
    <row r="13" spans="1:6" ht="111" customHeight="1">
      <c r="A13" s="2881"/>
    </row>
    <row r="14" spans="1:6" ht="6.6" customHeight="1">
      <c r="A14" s="2881"/>
    </row>
    <row r="15" spans="1:6" ht="111" customHeight="1">
      <c r="A15" s="2881"/>
    </row>
    <row r="16" spans="1:6" ht="6.6" customHeight="1">
      <c r="A16" s="2881"/>
    </row>
    <row r="17" spans="1:1" ht="111" customHeight="1">
      <c r="A17" s="2881"/>
    </row>
    <row r="18" spans="1:1" ht="6.6" customHeight="1">
      <c r="A18" s="2881"/>
    </row>
    <row r="19" spans="1:1" ht="105.75" customHeight="1">
      <c r="A19" s="2881"/>
    </row>
    <row r="20" spans="1:1" ht="6.6" customHeight="1">
      <c r="A20" s="2881"/>
    </row>
    <row r="21" spans="1:1" ht="105.75" customHeight="1">
      <c r="A21" s="2881"/>
    </row>
    <row r="22" spans="1:1" ht="6.6" customHeight="1">
      <c r="A22" s="2881"/>
    </row>
    <row r="23" spans="1:1" ht="105.75" customHeight="1">
      <c r="A23" s="2881"/>
    </row>
    <row r="24" spans="1:1" ht="6.6" customHeight="1">
      <c r="A24" s="98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539" customWidth="1"/>
    <col min="2" max="11" width="10.5703125" style="1539" customWidth="1"/>
    <col min="12" max="12" width="9.85546875" style="1539" customWidth="1"/>
    <col min="13" max="21" width="10.5703125" style="1539" customWidth="1"/>
    <col min="22" max="16384" width="9.140625" style="1539"/>
  </cols>
  <sheetData>
    <row r="1" spans="1:7" ht="3" customHeight="1"/>
    <row r="2" spans="1:7">
      <c r="A2" s="1538" t="s">
        <v>4209</v>
      </c>
    </row>
    <row r="3" spans="1:7" ht="3" customHeight="1"/>
    <row r="4" spans="1:7">
      <c r="A4" s="1539" t="s">
        <v>4210</v>
      </c>
      <c r="B4" s="1540">
        <f>+'Part IV-A-Uses of Funds'!$G$132</f>
        <v>18093801</v>
      </c>
    </row>
    <row r="5" spans="1:7">
      <c r="A5" s="1539" t="s">
        <v>4241</v>
      </c>
      <c r="B5" s="1540">
        <f>+B18+B26+B38</f>
        <v>7370817.8094190983</v>
      </c>
    </row>
    <row r="6" spans="1:7">
      <c r="A6" s="1539" t="s">
        <v>4211</v>
      </c>
      <c r="B6" s="1541">
        <f>+B5-B4</f>
        <v>-10722983.190580901</v>
      </c>
    </row>
    <row r="7" spans="1:7">
      <c r="A7" s="1539" t="s">
        <v>4212</v>
      </c>
      <c r="B7" s="1542">
        <f>+B6/B4</f>
        <v>-0.59263297913914825</v>
      </c>
    </row>
    <row r="8" spans="1:7" ht="9" customHeight="1"/>
    <row r="9" spans="1:7">
      <c r="A9" s="1539" t="s">
        <v>4213</v>
      </c>
      <c r="B9" s="1540">
        <f>+B18+B26+B33</f>
        <v>6934042.8094190983</v>
      </c>
    </row>
    <row r="10" spans="1:7">
      <c r="A10" s="1539" t="s">
        <v>4211</v>
      </c>
      <c r="B10" s="1541">
        <f>+B9-B4</f>
        <v>-11159758.190580901</v>
      </c>
    </row>
    <row r="11" spans="1:7">
      <c r="A11" s="1539" t="s">
        <v>4212</v>
      </c>
      <c r="B11" s="1542">
        <f>+B10/B4</f>
        <v>-0.61677246204823966</v>
      </c>
    </row>
    <row r="12" spans="1:7" ht="24" customHeight="1"/>
    <row r="13" spans="1:7">
      <c r="A13" s="1538" t="s">
        <v>4214</v>
      </c>
      <c r="D13" s="1617" t="s">
        <v>4475</v>
      </c>
      <c r="E13" s="1618"/>
    </row>
    <row r="14" spans="1:7">
      <c r="A14" s="1539" t="s">
        <v>4215</v>
      </c>
      <c r="B14" s="1543">
        <f>+SUM('Part III-Sources of Funds'!L49:M50)</f>
        <v>10329907.700000001</v>
      </c>
      <c r="D14" s="1618"/>
      <c r="E14" s="1618"/>
    </row>
    <row r="15" spans="1:7">
      <c r="A15" s="1539" t="s">
        <v>4216</v>
      </c>
      <c r="B15" s="1544">
        <f>+'Part IV-A-Uses of Funds'!J167</f>
        <v>1079202.6000000001</v>
      </c>
      <c r="D15" s="1618" t="s">
        <v>2045</v>
      </c>
      <c r="G15" s="1619">
        <f>'Part IV-A-Uses of Funds'!J155</f>
        <v>20756564.400000002</v>
      </c>
    </row>
    <row r="16" spans="1:7" ht="12.75" customHeight="1">
      <c r="D16" s="1618" t="s">
        <v>4476</v>
      </c>
      <c r="G16" s="1623">
        <v>3.2800000000000003E-2</v>
      </c>
    </row>
    <row r="17" spans="1:7" ht="12.75" customHeight="1">
      <c r="A17" s="1539" t="s">
        <v>4217</v>
      </c>
      <c r="B17" s="1622">
        <v>1.45</v>
      </c>
      <c r="D17" s="1618" t="s">
        <v>4477</v>
      </c>
      <c r="G17" s="1624">
        <v>1.45</v>
      </c>
    </row>
    <row r="18" spans="1:7" ht="12.75" customHeight="1">
      <c r="A18" s="1539" t="s">
        <v>4218</v>
      </c>
      <c r="B18" s="1545">
        <f>+'Part IV-A-Uses of Funds'!J174*B17*10</f>
        <v>0</v>
      </c>
      <c r="D18" s="1618" t="s">
        <v>4478</v>
      </c>
      <c r="G18" s="1624">
        <v>3.28</v>
      </c>
    </row>
    <row r="19" spans="1:7" ht="12.75" customHeight="1">
      <c r="D19" s="1618" t="s">
        <v>4479</v>
      </c>
      <c r="G19" s="1620">
        <f>+G15*G16*G17*10</f>
        <v>9871822.028640002</v>
      </c>
    </row>
    <row r="20" spans="1:7">
      <c r="A20" s="1539" t="s">
        <v>4219</v>
      </c>
      <c r="B20" s="1543">
        <f>+B18-B14</f>
        <v>-10329907.700000001</v>
      </c>
      <c r="D20" s="1618" t="s">
        <v>4480</v>
      </c>
      <c r="G20" s="1621">
        <f>+B14-G19</f>
        <v>458085.67135999911</v>
      </c>
    </row>
    <row r="21" spans="1:7">
      <c r="A21" s="1539" t="s">
        <v>4220</v>
      </c>
      <c r="B21" s="1542">
        <f>+B20/B14</f>
        <v>-1</v>
      </c>
      <c r="D21" s="1618" t="s">
        <v>4481</v>
      </c>
      <c r="G21" s="1618" t="str">
        <f>+IF(G20&gt;(B28+B35),"No","Yes")</f>
        <v>No</v>
      </c>
    </row>
    <row r="22" spans="1:7" ht="24" customHeight="1"/>
    <row r="23" spans="1:7">
      <c r="A23" s="1538" t="s">
        <v>4221</v>
      </c>
    </row>
    <row r="24" spans="1:7">
      <c r="A24" s="1539" t="s">
        <v>4222</v>
      </c>
      <c r="B24" s="1546">
        <f>+SUM('Part III-Sources of Funds'!I38:J41)</f>
        <v>6865000</v>
      </c>
    </row>
    <row r="25" spans="1:7">
      <c r="A25" s="1539" t="s">
        <v>4223</v>
      </c>
      <c r="B25" s="1547">
        <f>IF('Part III-Sources of Funds'!E5="Yes","N/A",MAX(B46:P46))</f>
        <v>-7149.9177962922258</v>
      </c>
    </row>
    <row r="26" spans="1:7">
      <c r="A26" s="1539" t="s">
        <v>4224</v>
      </c>
      <c r="B26" s="1537">
        <f>IFERROR(PV('Part III-Sources of Funds'!K38,'Part III-Sources of Funds'!L38,B25+B45),B24)</f>
        <v>6934042.8094190983</v>
      </c>
    </row>
    <row r="27" spans="1:7" ht="9" customHeight="1">
      <c r="B27" s="1537"/>
    </row>
    <row r="28" spans="1:7">
      <c r="A28" s="1539" t="s">
        <v>4225</v>
      </c>
      <c r="B28" s="1548">
        <f>+B26-B24</f>
        <v>69042.80941909831</v>
      </c>
      <c r="C28" s="1549"/>
    </row>
    <row r="29" spans="1:7">
      <c r="A29" s="1539" t="s">
        <v>4220</v>
      </c>
      <c r="B29" s="1550">
        <f>+B28/B24</f>
        <v>1.0057219143350081E-2</v>
      </c>
    </row>
    <row r="30" spans="1:7" ht="24" customHeight="1"/>
    <row r="31" spans="1:7">
      <c r="A31" s="1538" t="s">
        <v>4087</v>
      </c>
    </row>
    <row r="32" spans="1:7">
      <c r="A32" s="1539" t="s">
        <v>4226</v>
      </c>
      <c r="B32" s="1551">
        <f>+'Part III-Sources of Funds'!I43</f>
        <v>462119</v>
      </c>
    </row>
    <row r="33" spans="1:11">
      <c r="A33" s="1539" t="s">
        <v>4227</v>
      </c>
      <c r="B33" s="1537"/>
    </row>
    <row r="34" spans="1:11" ht="9" customHeight="1">
      <c r="B34" s="1537"/>
    </row>
    <row r="35" spans="1:11">
      <c r="A35" s="1539" t="s">
        <v>4228</v>
      </c>
      <c r="B35" s="1551">
        <f>+B33-B32</f>
        <v>-462119</v>
      </c>
    </row>
    <row r="36" spans="1:11">
      <c r="A36" s="1539" t="s">
        <v>4229</v>
      </c>
      <c r="B36" s="1536">
        <f>+B35/B32</f>
        <v>-1</v>
      </c>
    </row>
    <row r="37" spans="1:11" ht="24" customHeight="1">
      <c r="B37" s="1537"/>
    </row>
    <row r="38" spans="1:11">
      <c r="A38" s="1538" t="s">
        <v>4230</v>
      </c>
      <c r="B38" s="1537">
        <f>+SUM('Part III-Sources of Funds'!I42,'Part III-Sources of Funds'!I47,'Part III-Sources of Funds'!I48,'Part III-Sources of Funds'!I51:I57)</f>
        <v>436775</v>
      </c>
    </row>
    <row r="39" spans="1:11">
      <c r="B39" s="1537"/>
    </row>
    <row r="40" spans="1:11">
      <c r="B40" s="1537"/>
    </row>
    <row r="41" spans="1:11">
      <c r="B41" s="1537"/>
    </row>
    <row r="42" spans="1:11">
      <c r="A42" s="1538" t="s">
        <v>4231</v>
      </c>
      <c r="B42" s="1537"/>
    </row>
    <row r="43" spans="1:11">
      <c r="A43" s="1539" t="s">
        <v>2480</v>
      </c>
      <c r="B43" s="1625">
        <v>1</v>
      </c>
      <c r="C43" s="1625">
        <v>2</v>
      </c>
      <c r="D43" s="1625">
        <v>3</v>
      </c>
      <c r="E43" s="1625">
        <v>4</v>
      </c>
      <c r="F43" s="1625">
        <v>5</v>
      </c>
      <c r="G43" s="1625">
        <v>6</v>
      </c>
      <c r="H43" s="1625">
        <v>7</v>
      </c>
      <c r="I43" s="1625">
        <v>8</v>
      </c>
      <c r="J43" s="1625">
        <v>9</v>
      </c>
      <c r="K43" s="1625">
        <v>10</v>
      </c>
    </row>
    <row r="44" spans="1:11">
      <c r="A44" s="1539" t="s">
        <v>1203</v>
      </c>
      <c r="B44" s="1540">
        <f>+'Part VII-Pro Forma'!B24</f>
        <v>470319.28799999994</v>
      </c>
      <c r="C44" s="1540">
        <f>+'Part VII-Pro Forma'!C24</f>
        <v>475966.37375999987</v>
      </c>
      <c r="D44" s="1540">
        <f>+'Part VII-Pro Forma'!D24</f>
        <v>481614.59843519994</v>
      </c>
      <c r="E44" s="1540">
        <f>+'Part VII-Pro Forma'!E24</f>
        <v>487258.90191990393</v>
      </c>
      <c r="F44" s="1540">
        <f>+'Part VII-Pro Forma'!F24</f>
        <v>492897.061419782</v>
      </c>
      <c r="G44" s="1540">
        <f>+'Part VII-Pro Forma'!G24</f>
        <v>498524.68515350221</v>
      </c>
      <c r="H44" s="1540">
        <f>+'Part VII-Pro Forma'!H24</f>
        <v>504137.20583705645</v>
      </c>
      <c r="I44" s="1540">
        <f>+'Part VII-Pro Forma'!I24</f>
        <v>509731.87394369621</v>
      </c>
      <c r="J44" s="1540">
        <f>+'Part VII-Pro Forma'!J24</f>
        <v>515303.75073216576</v>
      </c>
      <c r="K44" s="1540">
        <f>+'Part VII-Pro Forma'!K24</f>
        <v>520848.70103569224</v>
      </c>
    </row>
    <row r="45" spans="1:11">
      <c r="A45" s="1539" t="s">
        <v>4232</v>
      </c>
      <c r="B45" s="1540">
        <f>SUM('Part VII-Pro Forma'!B25:B28)</f>
        <v>-384782.82220370776</v>
      </c>
      <c r="C45" s="1540">
        <f>SUM('Part VII-Pro Forma'!C25:C28)</f>
        <v>-384782.82220370776</v>
      </c>
      <c r="D45" s="1540">
        <f>SUM('Part VII-Pro Forma'!D25:D28)</f>
        <v>-384782.82220370776</v>
      </c>
      <c r="E45" s="1540">
        <f>SUM('Part VII-Pro Forma'!E25:E28)</f>
        <v>-384782.82220370776</v>
      </c>
      <c r="F45" s="1540">
        <f>SUM('Part VII-Pro Forma'!F25:F28)</f>
        <v>-384782.82220370776</v>
      </c>
      <c r="G45" s="1540">
        <f>SUM('Part VII-Pro Forma'!G25:G28)</f>
        <v>-384782.82220370776</v>
      </c>
      <c r="H45" s="1540">
        <f>SUM('Part VII-Pro Forma'!H25:H28)</f>
        <v>-384782.82220370776</v>
      </c>
      <c r="I45" s="1540">
        <f>SUM('Part VII-Pro Forma'!I25:I28)</f>
        <v>-384782.82220370776</v>
      </c>
      <c r="J45" s="1540">
        <f>SUM('Part VII-Pro Forma'!J25:J28)</f>
        <v>-384782.82220370776</v>
      </c>
      <c r="K45" s="1540">
        <f>SUM('Part VII-Pro Forma'!K25:K28)</f>
        <v>-384782.82220370776</v>
      </c>
    </row>
    <row r="46" spans="1:11">
      <c r="A46" s="1539" t="s">
        <v>4233</v>
      </c>
      <c r="B46" s="1541">
        <f t="shared" ref="B46:K46" si="0">-B44/B48-B45</f>
        <v>-7149.9177962922258</v>
      </c>
      <c r="C46" s="1541">
        <f t="shared" si="0"/>
        <v>-11855.822596292128</v>
      </c>
      <c r="D46" s="1541">
        <f t="shared" si="0"/>
        <v>-16562.676492292201</v>
      </c>
      <c r="E46" s="1541">
        <f t="shared" si="0"/>
        <v>-21266.262729545531</v>
      </c>
      <c r="F46" s="1541">
        <f t="shared" si="0"/>
        <v>-25964.728979443898</v>
      </c>
      <c r="G46" s="1541">
        <f t="shared" si="0"/>
        <v>-30654.415424210776</v>
      </c>
      <c r="H46" s="1541">
        <f t="shared" si="0"/>
        <v>-35331.515993839304</v>
      </c>
      <c r="I46" s="1541">
        <f t="shared" si="0"/>
        <v>-39993.739416039083</v>
      </c>
      <c r="J46" s="1541">
        <f t="shared" si="0"/>
        <v>-44636.970073097036</v>
      </c>
      <c r="K46" s="1541">
        <f t="shared" si="0"/>
        <v>-49257.761992702435</v>
      </c>
    </row>
    <row r="48" spans="1:11">
      <c r="A48" s="1539" t="s">
        <v>4234</v>
      </c>
      <c r="B48" s="1539">
        <f>IF(B82="NC",1.2,1.25)</f>
        <v>1.2</v>
      </c>
      <c r="C48" s="1539">
        <f>+B48</f>
        <v>1.2</v>
      </c>
      <c r="D48" s="1539">
        <f t="shared" ref="D48:K48" si="1">+C48</f>
        <v>1.2</v>
      </c>
      <c r="E48" s="1539">
        <f t="shared" si="1"/>
        <v>1.2</v>
      </c>
      <c r="F48" s="1539">
        <f t="shared" si="1"/>
        <v>1.2</v>
      </c>
      <c r="G48" s="1539">
        <f t="shared" si="1"/>
        <v>1.2</v>
      </c>
      <c r="H48" s="1539">
        <f t="shared" si="1"/>
        <v>1.2</v>
      </c>
      <c r="I48" s="1539">
        <f t="shared" si="1"/>
        <v>1.2</v>
      </c>
      <c r="J48" s="1539">
        <f t="shared" si="1"/>
        <v>1.2</v>
      </c>
      <c r="K48" s="1539">
        <f t="shared" si="1"/>
        <v>1.2</v>
      </c>
    </row>
    <row r="50" spans="1:17">
      <c r="A50" s="1538" t="s">
        <v>1164</v>
      </c>
    </row>
    <row r="51" spans="1:17">
      <c r="A51" s="1539" t="s">
        <v>1203</v>
      </c>
      <c r="B51" s="1541">
        <f>+B44</f>
        <v>470319.28799999994</v>
      </c>
      <c r="C51" s="1541">
        <f t="shared" ref="C51:K51" si="2">+C44</f>
        <v>475966.37375999987</v>
      </c>
      <c r="D51" s="1541">
        <f t="shared" si="2"/>
        <v>481614.59843519994</v>
      </c>
      <c r="E51" s="1541">
        <f t="shared" si="2"/>
        <v>487258.90191990393</v>
      </c>
      <c r="F51" s="1541">
        <f t="shared" si="2"/>
        <v>492897.061419782</v>
      </c>
      <c r="G51" s="1541">
        <f t="shared" si="2"/>
        <v>498524.68515350221</v>
      </c>
      <c r="H51" s="1541">
        <f t="shared" si="2"/>
        <v>504137.20583705645</v>
      </c>
      <c r="I51" s="1541">
        <f t="shared" si="2"/>
        <v>509731.87394369621</v>
      </c>
      <c r="J51" s="1541">
        <f t="shared" si="2"/>
        <v>515303.75073216576</v>
      </c>
      <c r="K51" s="1541">
        <f t="shared" si="2"/>
        <v>520848.70103569224</v>
      </c>
    </row>
    <row r="52" spans="1:17">
      <c r="A52" s="1539" t="s">
        <v>4235</v>
      </c>
      <c r="B52" s="1541">
        <f>IF($B$25="N/A",B45,B45+$B$25)</f>
        <v>-391932.74</v>
      </c>
      <c r="C52" s="1541">
        <f t="shared" ref="C52:K52" si="3">IF($B$25="N/A",C45,C45+$B$25)</f>
        <v>-391932.74</v>
      </c>
      <c r="D52" s="1541">
        <f t="shared" si="3"/>
        <v>-391932.74</v>
      </c>
      <c r="E52" s="1541">
        <f t="shared" si="3"/>
        <v>-391932.74</v>
      </c>
      <c r="F52" s="1541">
        <f t="shared" si="3"/>
        <v>-391932.74</v>
      </c>
      <c r="G52" s="1541">
        <f t="shared" si="3"/>
        <v>-391932.74</v>
      </c>
      <c r="H52" s="1541">
        <f t="shared" si="3"/>
        <v>-391932.74</v>
      </c>
      <c r="I52" s="1541">
        <f t="shared" si="3"/>
        <v>-391932.74</v>
      </c>
      <c r="J52" s="1541">
        <f t="shared" si="3"/>
        <v>-391932.74</v>
      </c>
      <c r="K52" s="1541">
        <f t="shared" si="3"/>
        <v>-391932.74</v>
      </c>
    </row>
    <row r="53" spans="1:17">
      <c r="A53" s="1539" t="s">
        <v>4236</v>
      </c>
      <c r="B53" s="1540">
        <f>+'Part VII-Pro Forma'!B30</f>
        <v>0</v>
      </c>
      <c r="C53" s="1540">
        <f>+'Part VII-Pro Forma'!C30</f>
        <v>0</v>
      </c>
      <c r="D53" s="1540">
        <f>+'Part VII-Pro Forma'!D30</f>
        <v>0</v>
      </c>
      <c r="E53" s="1540">
        <f>+'Part VII-Pro Forma'!E30</f>
        <v>0</v>
      </c>
      <c r="F53" s="1540">
        <f>+'Part VII-Pro Forma'!F30</f>
        <v>0</v>
      </c>
      <c r="G53" s="1540">
        <f>+'Part VII-Pro Forma'!G30</f>
        <v>0</v>
      </c>
      <c r="H53" s="1540">
        <f>+'Part VII-Pro Forma'!H30</f>
        <v>0</v>
      </c>
      <c r="I53" s="1540">
        <f>+'Part VII-Pro Forma'!I30</f>
        <v>0</v>
      </c>
      <c r="J53" s="1540">
        <f>+'Part VII-Pro Forma'!J30</f>
        <v>0</v>
      </c>
      <c r="K53" s="1540">
        <f>+'Part VII-Pro Forma'!K30</f>
        <v>0</v>
      </c>
    </row>
    <row r="54" spans="1:17">
      <c r="A54" s="1539" t="s">
        <v>4237</v>
      </c>
      <c r="B54" s="1541">
        <f>+SUM(B51:B53)</f>
        <v>78386.547999999952</v>
      </c>
      <c r="C54" s="1541">
        <f t="shared" ref="C54:K54" si="4">+SUM(C51:C53)</f>
        <v>84033.633759999881</v>
      </c>
      <c r="D54" s="1541">
        <f t="shared" si="4"/>
        <v>89681.858435199945</v>
      </c>
      <c r="E54" s="1541">
        <f t="shared" si="4"/>
        <v>95326.161919903941</v>
      </c>
      <c r="F54" s="1541">
        <f t="shared" si="4"/>
        <v>100964.32141978201</v>
      </c>
      <c r="G54" s="1541">
        <f t="shared" si="4"/>
        <v>106591.94515350222</v>
      </c>
      <c r="H54" s="1541">
        <f t="shared" si="4"/>
        <v>112204.46583705646</v>
      </c>
      <c r="I54" s="1541">
        <f t="shared" si="4"/>
        <v>117799.13394369622</v>
      </c>
      <c r="J54" s="1541">
        <f t="shared" si="4"/>
        <v>123371.01073216577</v>
      </c>
      <c r="K54" s="1541">
        <f t="shared" si="4"/>
        <v>128915.96103569225</v>
      </c>
    </row>
    <row r="55" spans="1:17">
      <c r="A55" s="1539" t="s">
        <v>4087</v>
      </c>
      <c r="B55" s="1541">
        <f>-B54</f>
        <v>-78386.547999999952</v>
      </c>
      <c r="C55" s="1541">
        <f t="shared" ref="C55:K55" si="5">-C54</f>
        <v>-84033.633759999881</v>
      </c>
      <c r="D55" s="1541">
        <f t="shared" si="5"/>
        <v>-89681.858435199945</v>
      </c>
      <c r="E55" s="1541">
        <f t="shared" si="5"/>
        <v>-95326.161919903941</v>
      </c>
      <c r="F55" s="1541">
        <f t="shared" si="5"/>
        <v>-100964.32141978201</v>
      </c>
      <c r="G55" s="1541">
        <f t="shared" si="5"/>
        <v>-106591.94515350222</v>
      </c>
      <c r="H55" s="1541">
        <f t="shared" si="5"/>
        <v>-112204.46583705646</v>
      </c>
      <c r="I55" s="1541">
        <f t="shared" si="5"/>
        <v>-117799.13394369622</v>
      </c>
      <c r="J55" s="1541">
        <f t="shared" si="5"/>
        <v>-123371.01073216577</v>
      </c>
      <c r="K55" s="1541">
        <f t="shared" si="5"/>
        <v>-128915.96103569225</v>
      </c>
    </row>
    <row r="56" spans="1:17">
      <c r="A56" s="1539" t="s">
        <v>4238</v>
      </c>
      <c r="B56" s="1541">
        <f>+B54+B55</f>
        <v>0</v>
      </c>
      <c r="C56" s="1541">
        <f t="shared" ref="C56:K56" si="6">+C54+C55</f>
        <v>0</v>
      </c>
      <c r="D56" s="1541">
        <f t="shared" si="6"/>
        <v>0</v>
      </c>
      <c r="E56" s="1541">
        <f t="shared" si="6"/>
        <v>0</v>
      </c>
      <c r="F56" s="1541">
        <f t="shared" si="6"/>
        <v>0</v>
      </c>
      <c r="G56" s="1541">
        <f t="shared" si="6"/>
        <v>0</v>
      </c>
      <c r="H56" s="1541">
        <f t="shared" si="6"/>
        <v>0</v>
      </c>
      <c r="I56" s="1541">
        <f t="shared" si="6"/>
        <v>0</v>
      </c>
      <c r="J56" s="1541">
        <f t="shared" si="6"/>
        <v>0</v>
      </c>
      <c r="K56" s="1541">
        <f t="shared" si="6"/>
        <v>0</v>
      </c>
    </row>
    <row r="58" spans="1:17">
      <c r="A58" s="1539" t="s">
        <v>4239</v>
      </c>
      <c r="B58" s="1540">
        <f>IF($B$26="","",-FV('Part III-Sources of Funds'!$K$38/12,12,B52/12,B26))</f>
        <v>6845435.2026290884</v>
      </c>
      <c r="C58" s="1540">
        <f>IF($B$26="","",-FV('Part III-Sources of Funds'!$K$38/12,12,C52/12,B58))</f>
        <v>6752849.2677166434</v>
      </c>
      <c r="D58" s="1540">
        <f>IF($B$26="","",-FV('Part III-Sources of Funds'!$K$38/12,12,D52/12,C58))</f>
        <v>6656106.3846374666</v>
      </c>
      <c r="E58" s="1540">
        <f>IF($B$26="","",-FV('Part III-Sources of Funds'!$K$38/12,12,E52/12,D58))</f>
        <v>6555019.9136165511</v>
      </c>
      <c r="F58" s="1540">
        <f>IF($B$26="","",-FV('Part III-Sources of Funds'!$K$38/12,12,F52/12,E58))</f>
        <v>6449394.8350761561</v>
      </c>
      <c r="G58" s="1540">
        <f>IF($B$26="","",-FV('Part III-Sources of Funds'!$K$38/12,12,G52/12,F58))</f>
        <v>6339027.3733971715</v>
      </c>
      <c r="H58" s="1540">
        <f>IF($B$26="","",-FV('Part III-Sources of Funds'!$K$38/12,12,H52/12,G58))</f>
        <v>6223704.6037880229</v>
      </c>
      <c r="I58" s="1540">
        <f>IF($B$26="","",-FV('Part III-Sources of Funds'!$K$38/12,12,I52/12,H58))</f>
        <v>6103204.0415026704</v>
      </c>
      <c r="J58" s="1540">
        <f>IF($B$26="","",-FV('Part III-Sources of Funds'!$K$38/12,12,J52/12,I58))</f>
        <v>5977293.2126152059</v>
      </c>
      <c r="K58" s="1540">
        <f>IF($B$26="","",-FV('Part III-Sources of Funds'!$K$38/12,12,K52/12,J58))</f>
        <v>5845729.2055229703</v>
      </c>
    </row>
    <row r="59" spans="1:17">
      <c r="A59" s="1539" t="s">
        <v>4088</v>
      </c>
      <c r="B59" s="1540" t="str">
        <f>IF(B33="","",-FV('Part III-Sources of Funds'!$K$43/12,12,B55/12,B33))</f>
        <v/>
      </c>
      <c r="C59" s="1540" t="str">
        <f>IF($B$33="","",-FV('Part III-Sources of Funds'!$K$43/12,12,C55/12,B59))</f>
        <v/>
      </c>
      <c r="D59" s="1540" t="str">
        <f>IF($B$33="","",-FV('Part III-Sources of Funds'!$K$43/12,12,D55/12,C59))</f>
        <v/>
      </c>
      <c r="E59" s="1540" t="str">
        <f>IF($B$33="","",-FV('Part III-Sources of Funds'!$K$43/12,12,E55/12,D59))</f>
        <v/>
      </c>
      <c r="F59" s="1540" t="str">
        <f>IF($B$33="","",-FV('Part III-Sources of Funds'!$K$43/12,12,F55/12,E59))</f>
        <v/>
      </c>
      <c r="G59" s="1540" t="str">
        <f>IF($B$33="","",-FV('Part III-Sources of Funds'!$K$43/12,12,G55/12,F59))</f>
        <v/>
      </c>
      <c r="H59" s="1540" t="str">
        <f>IF($B$33="","",-FV('Part III-Sources of Funds'!$K$43/12,12,H55/12,G59))</f>
        <v/>
      </c>
      <c r="I59" s="1540" t="str">
        <f>IF($B$33="","",-FV('Part III-Sources of Funds'!$K$43/12,12,I55/12,H59))</f>
        <v/>
      </c>
      <c r="J59" s="1540" t="str">
        <f>IF($B$33="","",-FV('Part III-Sources of Funds'!$K$43/12,12,J55/12,I59))</f>
        <v/>
      </c>
      <c r="K59" s="1540" t="str">
        <f>IF($B$33="","",-FV('Part III-Sources of Funds'!$K$43/12,12,K55/12,J59))</f>
        <v/>
      </c>
      <c r="L59" s="1540" t="str">
        <f>IF($B$33="","",-FV('Part III-Sources of Funds'!$K$43/12,12,B75/12,K59))</f>
        <v/>
      </c>
      <c r="M59" s="1540" t="str">
        <f>IF($B$33="","",-FV('Part III-Sources of Funds'!$K$43/12,12,C75/12,L59))</f>
        <v/>
      </c>
      <c r="N59" s="1540" t="str">
        <f>IF($B$33="","",-FV('Part III-Sources of Funds'!$K$43/12,12,D75/12,M59))</f>
        <v/>
      </c>
      <c r="O59" s="1540" t="str">
        <f>IF($B$33="","",-FV('Part III-Sources of Funds'!$K$43/12,12,E75/12,N59))</f>
        <v/>
      </c>
      <c r="P59" s="1540" t="str">
        <f>IF($B$33="","",-FV('Part III-Sources of Funds'!$K$43/12,12,F75/12,O59))</f>
        <v/>
      </c>
      <c r="Q59" s="1540"/>
    </row>
    <row r="60" spans="1:17" ht="18.75" customHeight="1"/>
    <row r="61" spans="1:17" ht="18.75" customHeight="1"/>
    <row r="62" spans="1:17">
      <c r="A62" s="1538" t="s">
        <v>4231</v>
      </c>
    </row>
    <row r="63" spans="1:17">
      <c r="A63" s="1539" t="s">
        <v>2480</v>
      </c>
      <c r="B63" s="1625">
        <v>11</v>
      </c>
      <c r="C63" s="1625">
        <v>12</v>
      </c>
      <c r="D63" s="1625">
        <v>13</v>
      </c>
      <c r="E63" s="1625">
        <v>14</v>
      </c>
      <c r="F63" s="1625">
        <v>15</v>
      </c>
      <c r="G63" s="1625">
        <v>16</v>
      </c>
      <c r="H63" s="1625">
        <v>17</v>
      </c>
      <c r="I63" s="1625">
        <v>18</v>
      </c>
      <c r="J63" s="1625">
        <v>19</v>
      </c>
      <c r="K63" s="1625">
        <v>20</v>
      </c>
    </row>
    <row r="64" spans="1:17">
      <c r="A64" s="1539" t="s">
        <v>1203</v>
      </c>
      <c r="B64" s="1540">
        <f>+'Part VII-Pro Forma'!B56</f>
        <v>526361.38580395619</v>
      </c>
      <c r="C64" s="1540">
        <f>+'Part VII-Pro Forma'!C56</f>
        <v>531837.25439001154</v>
      </c>
      <c r="D64" s="1540">
        <f>+'Part VII-Pro Forma'!D56</f>
        <v>537270.53657388804</v>
      </c>
      <c r="E64" s="1540">
        <f>+'Part VII-Pro Forma'!E56</f>
        <v>542657.23431432364</v>
      </c>
      <c r="F64" s="1540">
        <f>+'Part VII-Pro Forma'!F56</f>
        <v>547990.11321983708</v>
      </c>
      <c r="G64" s="1540">
        <f>+'Part VII-Pro Forma'!G56</f>
        <v>553264.69373003708</v>
      </c>
      <c r="H64" s="1540">
        <f>+'Part VII-Pro Forma'!H56</f>
        <v>558474.2419978159</v>
      </c>
      <c r="I64" s="1540">
        <f>+'Part VII-Pro Forma'!I56</f>
        <v>563611.76046274509</v>
      </c>
      <c r="J64" s="1540">
        <f>+'Part VII-Pro Forma'!J56</f>
        <v>568670.97810572234</v>
      </c>
      <c r="K64" s="1540">
        <f>+'Part VII-Pro Forma'!K56</f>
        <v>573645.34037457046</v>
      </c>
    </row>
    <row r="65" spans="1:11">
      <c r="A65" s="1539" t="s">
        <v>4232</v>
      </c>
      <c r="B65" s="1540">
        <f>SUM('Part VII-Pro Forma'!B57:B60)</f>
        <v>-384782.82220370776</v>
      </c>
      <c r="C65" s="1540">
        <f>SUM('Part VII-Pro Forma'!C57:C60)</f>
        <v>-384782.82220370776</v>
      </c>
      <c r="D65" s="1540">
        <f>SUM('Part VII-Pro Forma'!D57:D60)</f>
        <v>-384782.82220370776</v>
      </c>
      <c r="E65" s="1540">
        <f>SUM('Part VII-Pro Forma'!E57:E60)</f>
        <v>-384782.82220370776</v>
      </c>
      <c r="F65" s="1540">
        <f>SUM('Part VII-Pro Forma'!F57:F60)</f>
        <v>-384782.82220370776</v>
      </c>
      <c r="G65" s="1540">
        <f>SUM('Part VII-Pro Forma'!G57:G60)</f>
        <v>-384782.82220370776</v>
      </c>
      <c r="H65" s="1540">
        <f>SUM('Part VII-Pro Forma'!H57:H60)</f>
        <v>-384782.82220370776</v>
      </c>
      <c r="I65" s="1540">
        <f>SUM('Part VII-Pro Forma'!I57:I60)</f>
        <v>-384782.82220370776</v>
      </c>
      <c r="J65" s="1540">
        <f>SUM('Part VII-Pro Forma'!J57:J60)</f>
        <v>-384782.82220370776</v>
      </c>
      <c r="K65" s="1540">
        <f>SUM('Part VII-Pro Forma'!K57:K60)</f>
        <v>-384782.82220370776</v>
      </c>
    </row>
    <row r="66" spans="1:11">
      <c r="A66" s="1539" t="s">
        <v>4233</v>
      </c>
      <c r="B66" s="1541">
        <f t="shared" ref="B66:K66" si="7">-B64/B68-B65</f>
        <v>-53851.665966255765</v>
      </c>
      <c r="C66" s="1541">
        <f t="shared" si="7"/>
        <v>-58414.889787968539</v>
      </c>
      <c r="D66" s="1541">
        <f t="shared" si="7"/>
        <v>-62942.62494119897</v>
      </c>
      <c r="E66" s="1541">
        <f t="shared" si="7"/>
        <v>-67431.539724895265</v>
      </c>
      <c r="F66" s="1541">
        <f t="shared" si="7"/>
        <v>-71875.605479489837</v>
      </c>
      <c r="G66" s="1541">
        <f t="shared" si="7"/>
        <v>-76271.0892379898</v>
      </c>
      <c r="H66" s="1541">
        <f t="shared" si="7"/>
        <v>-80612.379461138858</v>
      </c>
      <c r="I66" s="1541">
        <f t="shared" si="7"/>
        <v>-84893.644848579832</v>
      </c>
      <c r="J66" s="1541">
        <f t="shared" si="7"/>
        <v>-89109.659551060875</v>
      </c>
      <c r="K66" s="1541">
        <f t="shared" si="7"/>
        <v>-93254.961441767635</v>
      </c>
    </row>
    <row r="68" spans="1:11">
      <c r="A68" s="1539" t="s">
        <v>4234</v>
      </c>
      <c r="B68" s="1539">
        <f>+K48</f>
        <v>1.2</v>
      </c>
      <c r="C68" s="1539">
        <f t="shared" ref="C68:K68" si="8">+B68</f>
        <v>1.2</v>
      </c>
      <c r="D68" s="1539">
        <f t="shared" si="8"/>
        <v>1.2</v>
      </c>
      <c r="E68" s="1539">
        <f t="shared" si="8"/>
        <v>1.2</v>
      </c>
      <c r="F68" s="1539">
        <f t="shared" si="8"/>
        <v>1.2</v>
      </c>
      <c r="G68" s="1539">
        <f t="shared" si="8"/>
        <v>1.2</v>
      </c>
      <c r="H68" s="1539">
        <f t="shared" si="8"/>
        <v>1.2</v>
      </c>
      <c r="I68" s="1539">
        <f t="shared" si="8"/>
        <v>1.2</v>
      </c>
      <c r="J68" s="1539">
        <f t="shared" si="8"/>
        <v>1.2</v>
      </c>
      <c r="K68" s="1539">
        <f t="shared" si="8"/>
        <v>1.2</v>
      </c>
    </row>
    <row r="70" spans="1:11">
      <c r="A70" s="1538" t="s">
        <v>1164</v>
      </c>
    </row>
    <row r="71" spans="1:11">
      <c r="A71" s="1539" t="s">
        <v>1203</v>
      </c>
      <c r="B71" s="1541">
        <f t="shared" ref="B71:G71" si="9">+B64</f>
        <v>526361.38580395619</v>
      </c>
      <c r="C71" s="1541">
        <f t="shared" si="9"/>
        <v>531837.25439001154</v>
      </c>
      <c r="D71" s="1541">
        <f t="shared" si="9"/>
        <v>537270.53657388804</v>
      </c>
      <c r="E71" s="1541">
        <f t="shared" si="9"/>
        <v>542657.23431432364</v>
      </c>
      <c r="F71" s="1541">
        <f t="shared" si="9"/>
        <v>547990.11321983708</v>
      </c>
      <c r="G71" s="1541">
        <f t="shared" si="9"/>
        <v>553264.69373003708</v>
      </c>
      <c r="H71" s="1541">
        <f>+H64</f>
        <v>558474.2419978159</v>
      </c>
      <c r="I71" s="1541">
        <f>+I64</f>
        <v>563611.76046274509</v>
      </c>
      <c r="J71" s="1541">
        <f>+J64</f>
        <v>568670.97810572234</v>
      </c>
      <c r="K71" s="1541">
        <f>+K64</f>
        <v>573645.34037457046</v>
      </c>
    </row>
    <row r="72" spans="1:11">
      <c r="A72" s="1539" t="s">
        <v>4235</v>
      </c>
      <c r="B72" s="1541">
        <f t="shared" ref="B72:G72" si="10">IF($B$25="N/A",B65,B65+$B$25)</f>
        <v>-391932.74</v>
      </c>
      <c r="C72" s="1541">
        <f t="shared" si="10"/>
        <v>-391932.74</v>
      </c>
      <c r="D72" s="1541">
        <f t="shared" si="10"/>
        <v>-391932.74</v>
      </c>
      <c r="E72" s="1541">
        <f t="shared" si="10"/>
        <v>-391932.74</v>
      </c>
      <c r="F72" s="1541">
        <f t="shared" si="10"/>
        <v>-391932.74</v>
      </c>
      <c r="G72" s="1541">
        <f t="shared" si="10"/>
        <v>-391932.74</v>
      </c>
      <c r="H72" s="1541">
        <f>IF($B$25="N/A",H65,H65+$B$25)</f>
        <v>-391932.74</v>
      </c>
      <c r="I72" s="1541">
        <f>IF($B$25="N/A",I65,I65+$B$25)</f>
        <v>-391932.74</v>
      </c>
      <c r="J72" s="1541">
        <f>IF($B$25="N/A",J65,J65+$B$25)</f>
        <v>-391932.74</v>
      </c>
      <c r="K72" s="1541">
        <f>IF($B$25="N/A",K65,K65+$B$25)</f>
        <v>-391932.74</v>
      </c>
    </row>
    <row r="73" spans="1:11">
      <c r="A73" s="1539" t="s">
        <v>4236</v>
      </c>
      <c r="B73" s="1540">
        <f>+'Part VII-Pro Forma'!B62</f>
        <v>0</v>
      </c>
      <c r="C73" s="1540">
        <f>+'Part VII-Pro Forma'!C62</f>
        <v>0</v>
      </c>
      <c r="D73" s="1540">
        <f>+'Part VII-Pro Forma'!D62</f>
        <v>0</v>
      </c>
      <c r="E73" s="1540">
        <f>+'Part VII-Pro Forma'!E62</f>
        <v>0</v>
      </c>
      <c r="F73" s="1540">
        <f>+'Part VII-Pro Forma'!F62</f>
        <v>0</v>
      </c>
      <c r="G73" s="1540">
        <f>+'Part VII-Pro Forma'!G62</f>
        <v>0</v>
      </c>
      <c r="H73" s="1540">
        <f>+'Part VII-Pro Forma'!H62</f>
        <v>0</v>
      </c>
      <c r="I73" s="1540">
        <f>+'Part VII-Pro Forma'!I62</f>
        <v>0</v>
      </c>
      <c r="J73" s="1540">
        <f>+'Part VII-Pro Forma'!J62</f>
        <v>0</v>
      </c>
      <c r="K73" s="1540">
        <f>+'Part VII-Pro Forma'!K62</f>
        <v>0</v>
      </c>
    </row>
    <row r="74" spans="1:11">
      <c r="A74" s="1539" t="s">
        <v>4237</v>
      </c>
      <c r="B74" s="1541">
        <f t="shared" ref="B74:G74" si="11">+SUM(B71:B73)</f>
        <v>134428.6458039562</v>
      </c>
      <c r="C74" s="1541">
        <f t="shared" si="11"/>
        <v>139904.51439001155</v>
      </c>
      <c r="D74" s="1541">
        <f t="shared" si="11"/>
        <v>145337.79657388804</v>
      </c>
      <c r="E74" s="1541">
        <f t="shared" si="11"/>
        <v>150724.49431432365</v>
      </c>
      <c r="F74" s="1541">
        <f t="shared" si="11"/>
        <v>156057.37321983709</v>
      </c>
      <c r="G74" s="1541">
        <f t="shared" si="11"/>
        <v>161331.95373003709</v>
      </c>
      <c r="H74" s="1541">
        <f>+SUM(H71:H73)</f>
        <v>166541.50199781591</v>
      </c>
      <c r="I74" s="1541">
        <f>+SUM(I71:I73)</f>
        <v>171679.0204627451</v>
      </c>
      <c r="J74" s="1541">
        <f>+SUM(J71:J73)</f>
        <v>176738.23810572235</v>
      </c>
      <c r="K74" s="1541">
        <f>+SUM(K71:K73)</f>
        <v>181712.60037457047</v>
      </c>
    </row>
    <row r="75" spans="1:11">
      <c r="A75" s="1539" t="s">
        <v>4087</v>
      </c>
      <c r="B75" s="1541">
        <f t="shared" ref="B75:G75" si="12">-B74</f>
        <v>-134428.6458039562</v>
      </c>
      <c r="C75" s="1541">
        <f t="shared" si="12"/>
        <v>-139904.51439001155</v>
      </c>
      <c r="D75" s="1541">
        <f t="shared" si="12"/>
        <v>-145337.79657388804</v>
      </c>
      <c r="E75" s="1541">
        <f t="shared" si="12"/>
        <v>-150724.49431432365</v>
      </c>
      <c r="F75" s="1541">
        <f t="shared" si="12"/>
        <v>-156057.37321983709</v>
      </c>
      <c r="G75" s="1541">
        <f t="shared" si="12"/>
        <v>-161331.95373003709</v>
      </c>
      <c r="H75" s="1541">
        <f>-H74</f>
        <v>-166541.50199781591</v>
      </c>
      <c r="I75" s="1541">
        <f>-I74</f>
        <v>-171679.0204627451</v>
      </c>
      <c r="J75" s="1541">
        <f>-J74</f>
        <v>-176738.23810572235</v>
      </c>
      <c r="K75" s="1541">
        <f>-K74</f>
        <v>-181712.60037457047</v>
      </c>
    </row>
    <row r="76" spans="1:11">
      <c r="A76" s="1539" t="s">
        <v>4238</v>
      </c>
      <c r="B76" s="1541">
        <f t="shared" ref="B76:G76" si="13">+B74+B75</f>
        <v>0</v>
      </c>
      <c r="C76" s="1541">
        <f t="shared" si="13"/>
        <v>0</v>
      </c>
      <c r="D76" s="1541">
        <f t="shared" si="13"/>
        <v>0</v>
      </c>
      <c r="E76" s="1541">
        <f t="shared" si="13"/>
        <v>0</v>
      </c>
      <c r="F76" s="1541">
        <f t="shared" si="13"/>
        <v>0</v>
      </c>
      <c r="G76" s="1541">
        <f t="shared" si="13"/>
        <v>0</v>
      </c>
      <c r="H76" s="1541">
        <f>+H74+H75</f>
        <v>0</v>
      </c>
      <c r="I76" s="1541">
        <f>+I74+I75</f>
        <v>0</v>
      </c>
      <c r="J76" s="1541">
        <f>+J74+J75</f>
        <v>0</v>
      </c>
      <c r="K76" s="1541">
        <f>+K74+K75</f>
        <v>0</v>
      </c>
    </row>
    <row r="78" spans="1:11">
      <c r="A78" s="1539" t="s">
        <v>4239</v>
      </c>
      <c r="B78" s="1540">
        <f>IF($B$26="","",-FV('Part III-Sources of Funds'!$K$38/12,12,B72/12,K58))</f>
        <v>5708258.2023129435</v>
      </c>
      <c r="C78" s="1540">
        <f>IF($B$26="","",-FV('Part III-Sources of Funds'!$K$38/12,12,C72/12,B78))</f>
        <v>5564614.9890872911</v>
      </c>
      <c r="D78" s="1540">
        <f>IF($B$26="","",-FV('Part III-Sources of Funds'!$K$38/12,12,D72/12,C78))</f>
        <v>5414522.4443033794</v>
      </c>
      <c r="E78" s="1540">
        <f>IF($B$26="","",-FV('Part III-Sources of Funds'!$K$38/12,12,E72/12,D78))</f>
        <v>5257691.0041411417</v>
      </c>
      <c r="F78" s="1540">
        <f>IF($B$26="","",-FV('Part III-Sources of Funds'!$K$38/12,12,F72/12,E78))</f>
        <v>5093818.1038663639</v>
      </c>
      <c r="G78" s="1540">
        <f>IF($B$26="","",-FV('Part III-Sources of Funds'!$K$38/12,12,G72/12,F78))</f>
        <v>4922587.5941121504</v>
      </c>
      <c r="H78" s="1540">
        <f>IF($B$26="","",-FV('Part III-Sources of Funds'!$K$38/12,12,H72/12,G78))</f>
        <v>4743669.1309524402</v>
      </c>
      <c r="I78" s="1540">
        <f>IF($B$26="","",-FV('Part III-Sources of Funds'!$K$38/12,12,I72/12,H78))</f>
        <v>4556717.5385908764</v>
      </c>
      <c r="J78" s="1540">
        <f>IF($B$26="","",-FV('Part III-Sources of Funds'!$K$38/12,12,J72/12,I78))</f>
        <v>4361372.1434355099</v>
      </c>
      <c r="K78" s="1540">
        <f>IF($B$26="","",-FV('Part III-Sources of Funds'!$K$38/12,12,K72/12,J78))</f>
        <v>4157256.0782746142</v>
      </c>
    </row>
    <row r="79" spans="1:11">
      <c r="A79" s="1539" t="s">
        <v>4088</v>
      </c>
    </row>
    <row r="82" spans="1:2">
      <c r="A82" s="1539" t="s">
        <v>4240</v>
      </c>
      <c r="B82" s="1622"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44" customWidth="1"/>
    <col min="4" max="4" width="15.42578125" style="744" customWidth="1"/>
    <col min="5" max="5" width="4.85546875" style="744" customWidth="1"/>
    <col min="6" max="9" width="12.85546875" style="744" customWidth="1"/>
    <col min="10" max="10" width="5.140625" style="744" customWidth="1"/>
    <col min="11" max="16384" width="9.140625" style="744"/>
  </cols>
  <sheetData>
    <row r="1" spans="1:16" ht="15.75">
      <c r="A1" s="4180" t="s">
        <v>2914</v>
      </c>
      <c r="B1" s="4180"/>
      <c r="C1" s="4180"/>
      <c r="D1" s="4180"/>
      <c r="E1" s="4180"/>
      <c r="F1" s="4180"/>
      <c r="G1" s="4180"/>
      <c r="H1" s="4180"/>
      <c r="I1" s="4180"/>
      <c r="J1" s="4180"/>
    </row>
    <row r="2" spans="1:16" ht="15.75">
      <c r="A2" s="4180" t="str">
        <f>Overview!C8</f>
        <v>Stone Terrace Phase II</v>
      </c>
      <c r="B2" s="4180"/>
      <c r="C2" s="4180"/>
      <c r="D2" s="4180"/>
      <c r="E2" s="4180"/>
      <c r="F2" s="4180"/>
      <c r="G2" s="4180"/>
      <c r="H2" s="4180"/>
      <c r="I2" s="4180"/>
      <c r="J2" s="4180"/>
    </row>
    <row r="3" spans="1:16" ht="15.75">
      <c r="A3" s="4180" t="str">
        <f>'Subsidy Layering Memo'!F14</f>
        <v>Stonecrest, DeKalb</v>
      </c>
      <c r="B3" s="4180"/>
      <c r="C3" s="4180"/>
      <c r="D3" s="4180"/>
      <c r="E3" s="4180"/>
      <c r="F3" s="4180"/>
      <c r="G3" s="4180"/>
      <c r="H3" s="4180"/>
      <c r="I3" s="4180"/>
      <c r="J3" s="4180"/>
    </row>
    <row r="4" spans="1:16" ht="15.75">
      <c r="A4" s="4181" t="s">
        <v>2915</v>
      </c>
      <c r="B4" s="4180"/>
      <c r="C4" s="4180"/>
      <c r="D4" s="4180"/>
      <c r="E4" s="4180"/>
      <c r="F4" s="4180"/>
      <c r="G4" s="4180"/>
      <c r="H4" s="4180"/>
      <c r="I4" s="4180"/>
      <c r="J4" s="4180"/>
    </row>
    <row r="5" spans="1:16" ht="5.25" customHeight="1"/>
    <row r="6" spans="1:16" ht="5.25" customHeight="1"/>
    <row r="7" spans="1:16" ht="15.75">
      <c r="A7" s="4182" t="s">
        <v>2916</v>
      </c>
      <c r="B7" s="4182"/>
      <c r="C7" s="4183"/>
      <c r="M7" s="4174"/>
      <c r="N7" s="4174"/>
      <c r="O7" s="4174"/>
      <c r="P7" s="4174"/>
    </row>
    <row r="8" spans="1:16" ht="57" customHeight="1">
      <c r="A8" s="4175" t="s">
        <v>5070</v>
      </c>
      <c r="B8" s="4175"/>
      <c r="C8" s="4175"/>
      <c r="D8" s="4175"/>
      <c r="E8" s="4175"/>
      <c r="F8" s="4175"/>
      <c r="G8" s="4175"/>
      <c r="H8" s="4175"/>
      <c r="I8" s="4175"/>
      <c r="J8" s="4175"/>
      <c r="K8" s="745"/>
    </row>
    <row r="9" spans="1:16" ht="45.75" customHeight="1">
      <c r="A9" s="4175" t="e">
        <f ca="1">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#NAME?</v>
      </c>
      <c r="B9" s="4175"/>
      <c r="C9" s="4175"/>
      <c r="D9" s="4175"/>
      <c r="E9" s="4175"/>
      <c r="F9" s="4175"/>
      <c r="G9" s="4175"/>
      <c r="H9" s="4175"/>
      <c r="I9" s="4175"/>
      <c r="J9" s="4175"/>
      <c r="K9" s="745"/>
    </row>
    <row r="10" spans="1:16" ht="15.75">
      <c r="A10" s="746" t="s">
        <v>2917</v>
      </c>
    </row>
    <row r="11" spans="1:16" ht="16.5" customHeight="1">
      <c r="A11" s="4175" t="str">
        <f>'Subsidy Layering Memo'!A44</f>
        <v xml:space="preserve">Ownership entity:  (NAME) LP, a Georgia Limited Partnership, will be the ownership entity for the proposed project. </v>
      </c>
      <c r="B11" s="4177"/>
      <c r="C11" s="4177"/>
      <c r="D11" s="4177"/>
      <c r="E11" s="4177"/>
      <c r="F11" s="4177"/>
      <c r="G11" s="4177"/>
      <c r="H11" s="4177"/>
      <c r="I11" s="4177"/>
      <c r="J11" s="4175"/>
    </row>
    <row r="12" spans="1:16" ht="63.75" customHeight="1">
      <c r="A12" s="4175" t="s">
        <v>2947</v>
      </c>
      <c r="B12" s="4175"/>
      <c r="C12" s="4175"/>
      <c r="D12" s="4175"/>
      <c r="E12" s="4175"/>
      <c r="F12" s="4175"/>
      <c r="G12" s="4175"/>
      <c r="H12" s="4175"/>
      <c r="I12" s="4175"/>
      <c r="J12" s="4175"/>
    </row>
    <row r="13" spans="1:16" ht="48.75" customHeight="1">
      <c r="A13" s="4175" t="s">
        <v>2948</v>
      </c>
      <c r="B13" s="4175"/>
      <c r="C13" s="4175"/>
      <c r="D13" s="4175"/>
      <c r="E13" s="4175"/>
      <c r="F13" s="4175"/>
      <c r="G13" s="4175"/>
      <c r="H13" s="4175"/>
      <c r="I13" s="4175"/>
      <c r="J13" s="4175"/>
    </row>
    <row r="14" spans="1:16" ht="15.75">
      <c r="A14" s="746" t="s">
        <v>2918</v>
      </c>
      <c r="B14" s="747"/>
    </row>
    <row r="15" spans="1:16">
      <c r="A15" s="744" t="s">
        <v>2919</v>
      </c>
      <c r="D15" s="2665" t="s">
        <v>2920</v>
      </c>
    </row>
    <row r="16" spans="1:16">
      <c r="A16" s="744" t="s">
        <v>2921</v>
      </c>
      <c r="D16" s="2663">
        <f>Overview!C25</f>
        <v>6865000</v>
      </c>
    </row>
    <row r="17" spans="1:11">
      <c r="A17" s="748" t="s">
        <v>2922</v>
      </c>
      <c r="D17" s="2664">
        <f>Overview!C13</f>
        <v>84</v>
      </c>
    </row>
    <row r="18" spans="1:11" ht="14.25" customHeight="1"/>
    <row r="19" spans="1:11" ht="15.75">
      <c r="A19" s="746" t="s">
        <v>2923</v>
      </c>
      <c r="B19" s="747"/>
      <c r="C19" s="747"/>
    </row>
    <row r="20" spans="1:11" ht="48.75" customHeight="1">
      <c r="A20" s="4178" t="s">
        <v>2950</v>
      </c>
      <c r="B20" s="4178"/>
      <c r="C20" s="4178"/>
      <c r="D20" s="4178"/>
      <c r="E20" s="4178"/>
      <c r="F20" s="4178"/>
      <c r="G20" s="4178"/>
      <c r="H20" s="4178"/>
      <c r="I20" s="4178"/>
      <c r="J20" s="4178"/>
    </row>
    <row r="21" spans="1:11" ht="72.75" customHeight="1">
      <c r="A21" s="4175" t="s">
        <v>5069</v>
      </c>
      <c r="B21" s="4175"/>
      <c r="C21" s="4175"/>
      <c r="D21" s="4175"/>
      <c r="E21" s="4175"/>
      <c r="F21" s="4175"/>
      <c r="G21" s="4175"/>
      <c r="H21" s="4175"/>
      <c r="I21" s="4175"/>
      <c r="J21" s="4175"/>
    </row>
    <row r="22" spans="1:11" ht="15.75">
      <c r="A22" s="746" t="s">
        <v>2924</v>
      </c>
      <c r="B22" s="747"/>
      <c r="C22" s="747"/>
      <c r="D22" s="747"/>
      <c r="E22" s="747"/>
      <c r="F22" s="747"/>
    </row>
    <row r="23" spans="1:11" ht="102.75" customHeight="1">
      <c r="A23" s="4179" t="s">
        <v>2943</v>
      </c>
      <c r="B23" s="4179"/>
      <c r="C23" s="4179"/>
      <c r="D23" s="4179"/>
      <c r="E23" s="4179"/>
      <c r="F23" s="4179"/>
      <c r="G23" s="4179"/>
      <c r="H23" s="4179"/>
      <c r="I23" s="4179"/>
      <c r="J23" s="4179"/>
      <c r="K23" s="2179"/>
    </row>
    <row r="24" spans="1:11" ht="15" customHeight="1">
      <c r="A24" s="4176"/>
      <c r="B24" s="4176"/>
      <c r="C24" s="4176"/>
      <c r="D24" s="4176"/>
      <c r="E24" s="4176"/>
      <c r="F24" s="4176"/>
      <c r="G24" s="4176"/>
      <c r="H24" s="4176"/>
      <c r="I24" s="4176"/>
      <c r="J24" s="4176"/>
      <c r="K24" s="744" t="s">
        <v>243</v>
      </c>
    </row>
    <row r="25" spans="1:11" ht="15" customHeight="1">
      <c r="B25" s="2178"/>
      <c r="C25" s="2178"/>
      <c r="D25" s="2178"/>
      <c r="E25" s="2178"/>
      <c r="F25" s="2178"/>
      <c r="G25" s="2178"/>
      <c r="H25" s="2178"/>
      <c r="I25" s="2178" t="s">
        <v>243</v>
      </c>
      <c r="J25" s="2178"/>
    </row>
    <row r="26" spans="1:11" ht="15.75">
      <c r="A26" s="747" t="s">
        <v>2925</v>
      </c>
    </row>
    <row r="28" spans="1:11" ht="15.75" thickBot="1">
      <c r="A28" s="749"/>
      <c r="B28" s="749"/>
      <c r="C28" s="749"/>
      <c r="D28" s="749"/>
      <c r="F28" s="749"/>
      <c r="G28" s="749"/>
      <c r="H28" s="749"/>
      <c r="I28" s="749"/>
    </row>
    <row r="29" spans="1:11">
      <c r="A29" s="744" t="s">
        <v>2926</v>
      </c>
      <c r="D29" s="744" t="s">
        <v>925</v>
      </c>
      <c r="F29" s="744" t="s">
        <v>2927</v>
      </c>
      <c r="I29" s="744" t="s">
        <v>925</v>
      </c>
      <c r="J29" s="744"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3" customFormat="1" ht="18">
      <c r="A1" s="1552" t="s">
        <v>2986</v>
      </c>
      <c r="B1" s="807"/>
      <c r="C1" s="807"/>
      <c r="D1" s="807"/>
      <c r="E1" s="807"/>
      <c r="F1" s="807"/>
      <c r="G1" s="807"/>
      <c r="H1" s="807"/>
      <c r="I1" s="807"/>
      <c r="J1" s="807"/>
      <c r="K1" s="807"/>
      <c r="L1" s="747"/>
      <c r="M1" s="747"/>
    </row>
    <row r="2" spans="1:14" s="273" customFormat="1" ht="18">
      <c r="A2" s="1552" t="str">
        <f>+"Financial Analysis for:  "&amp;E8&amp;"  "&amp;C8</f>
        <v>Financial Analysis for:  2019-5  Stone Terrace Phase II</v>
      </c>
      <c r="B2" s="807"/>
      <c r="C2" s="807"/>
      <c r="D2" s="807"/>
      <c r="E2" s="807"/>
      <c r="F2" s="807"/>
      <c r="G2" s="807"/>
      <c r="H2" s="807"/>
      <c r="I2" s="807"/>
      <c r="J2" s="807"/>
      <c r="K2" s="807"/>
      <c r="L2" s="747"/>
      <c r="M2" s="747"/>
    </row>
    <row r="5" spans="1:14" ht="15.75">
      <c r="A5" s="778"/>
      <c r="B5" s="779"/>
      <c r="C5" s="780"/>
      <c r="D5" s="779"/>
      <c r="E5" s="779"/>
      <c r="F5" s="778"/>
      <c r="G5" s="779"/>
      <c r="H5" s="780"/>
      <c r="I5" s="779"/>
      <c r="J5" s="779"/>
      <c r="K5" s="779"/>
      <c r="L5" s="779"/>
      <c r="M5" s="744"/>
    </row>
    <row r="7" spans="1:14" ht="15.75">
      <c r="A7" s="747" t="s">
        <v>2987</v>
      </c>
      <c r="B7" s="744"/>
      <c r="C7" s="781"/>
      <c r="D7" s="782"/>
      <c r="E7" s="782"/>
      <c r="F7" s="747" t="s">
        <v>3316</v>
      </c>
      <c r="G7" s="744"/>
      <c r="H7" s="4185"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185"/>
      <c r="J7" s="4185"/>
      <c r="K7" s="4185"/>
      <c r="L7" s="744"/>
      <c r="M7" s="744"/>
    </row>
    <row r="8" spans="1:14" ht="15.75">
      <c r="A8" s="747" t="s">
        <v>2988</v>
      </c>
      <c r="B8" s="747"/>
      <c r="C8" s="4185" t="str">
        <f>'Part I-Project Information'!F34</f>
        <v>Stone Terrace Phase II</v>
      </c>
      <c r="D8" s="4185"/>
      <c r="E8" s="2180" t="str">
        <f>'Part I-Project Information'!O6</f>
        <v>2019-5</v>
      </c>
      <c r="F8" s="783" t="s">
        <v>2989</v>
      </c>
      <c r="G8" s="782"/>
      <c r="H8" s="4185" t="str">
        <f>CONCATENATE('Part I-Project Information'!F38,", ",'Part I-Project Information'!J39)</f>
        <v>Stonecrest, DeKalb</v>
      </c>
      <c r="I8" s="4185"/>
      <c r="J8" s="4185"/>
      <c r="K8" s="4185"/>
      <c r="L8" s="744"/>
      <c r="M8" s="784"/>
    </row>
    <row r="9" spans="1:14" ht="15.75">
      <c r="A9" s="747" t="s">
        <v>2991</v>
      </c>
      <c r="B9" s="747"/>
      <c r="C9" s="4185" t="s">
        <v>1771</v>
      </c>
      <c r="D9" s="4185"/>
      <c r="E9" s="782"/>
      <c r="F9" s="783" t="s">
        <v>2992</v>
      </c>
      <c r="G9" s="782"/>
      <c r="H9" s="4185" t="str">
        <f>'Part II-Development Team'!H5</f>
        <v>Stone Terrace II GA LLC</v>
      </c>
      <c r="I9" s="4185"/>
      <c r="J9" s="4185"/>
      <c r="K9" s="4185"/>
      <c r="L9" s="4185"/>
      <c r="M9" s="784"/>
    </row>
    <row r="10" spans="1:14" ht="15.75">
      <c r="A10" s="747" t="s">
        <v>2994</v>
      </c>
      <c r="B10" s="744"/>
      <c r="C10" s="2180" t="str">
        <f>'Part II-Development Team'!H14</f>
        <v>Stone Terrace II GP LLC</v>
      </c>
      <c r="D10" s="782"/>
      <c r="E10" s="782"/>
      <c r="F10" s="783" t="s">
        <v>3561</v>
      </c>
      <c r="G10" s="782"/>
      <c r="H10" s="4185" t="str">
        <f>'Part II-Development Team'!H33</f>
        <v>Raymond James Tax Credit Funds, Inc.</v>
      </c>
      <c r="I10" s="4185"/>
      <c r="J10" s="4185"/>
      <c r="K10" s="4185" t="str">
        <f>'Part II-Development Team'!H39</f>
        <v>Raymond James Tax Credit Funds, Inc.</v>
      </c>
      <c r="L10" s="4185"/>
    </row>
    <row r="11" spans="1:14" ht="15.75">
      <c r="A11" s="747" t="s">
        <v>2995</v>
      </c>
      <c r="B11" s="744"/>
      <c r="C11" s="2180" t="str">
        <f>IF('Part II-Development Team'!H20="","",'Part II-Development Team'!H20)</f>
        <v/>
      </c>
      <c r="D11" s="782"/>
      <c r="E11" s="1556" t="str">
        <f>IF('Part II-Development Team'!H26="","",'Part II-Development Team'!H26)</f>
        <v/>
      </c>
      <c r="F11" s="783" t="s">
        <v>652</v>
      </c>
      <c r="G11" s="782"/>
      <c r="H11" s="4185" t="str">
        <f>'Part II-Development Team'!H54</f>
        <v>Flatiron Partners, LLC</v>
      </c>
      <c r="I11" s="4185"/>
      <c r="J11" s="4185"/>
      <c r="K11" s="4185" t="str">
        <f>'Part II-Development Team'!H60</f>
        <v>Classic Development Company, LLC</v>
      </c>
      <c r="L11" s="4185"/>
      <c r="M11" s="4185">
        <f>'Part II-Development Team'!H66</f>
        <v>0</v>
      </c>
      <c r="N11" s="4185"/>
    </row>
    <row r="12" spans="1:14" ht="15.75">
      <c r="A12" s="747" t="s">
        <v>2996</v>
      </c>
      <c r="B12" s="744"/>
      <c r="C12" s="2180" t="str">
        <f>'Part II-Development Team'!H86</f>
        <v>To Be Determined</v>
      </c>
      <c r="D12" s="782"/>
      <c r="E12" s="782"/>
      <c r="F12" s="783" t="s">
        <v>2997</v>
      </c>
      <c r="G12" s="782"/>
      <c r="H12" s="4185" t="str">
        <f>'Part II-Development Team'!H92</f>
        <v>GEM Management LLC</v>
      </c>
      <c r="I12" s="4185"/>
      <c r="J12" s="4185"/>
      <c r="K12" s="4185"/>
      <c r="L12" s="744"/>
      <c r="M12" s="744"/>
    </row>
    <row r="13" spans="1:14" ht="15.75">
      <c r="A13" s="747" t="s">
        <v>2998</v>
      </c>
      <c r="B13" s="783"/>
      <c r="C13" s="743">
        <f>'Part VI-Revenues &amp; Expenses'!$O$67</f>
        <v>84</v>
      </c>
      <c r="E13" s="1557">
        <f>'Part VI-Revenues &amp; Expenses'!$O$63</f>
        <v>84</v>
      </c>
      <c r="F13" s="783" t="s">
        <v>4247</v>
      </c>
      <c r="G13" s="782"/>
      <c r="H13" s="2181">
        <f>'Part I-Project Information'!H76</f>
        <v>9</v>
      </c>
      <c r="I13" s="1558"/>
      <c r="J13" s="1558"/>
      <c r="K13" s="2181">
        <f>'Part I-Project Information'!P75</f>
        <v>85704</v>
      </c>
      <c r="L13" s="744"/>
      <c r="M13" s="744"/>
    </row>
    <row r="14" spans="1:14" ht="15.75">
      <c r="A14" s="747" t="s">
        <v>3306</v>
      </c>
      <c r="B14" s="744"/>
      <c r="C14" s="2181" t="str">
        <f>'Part I-Project Information'!H82</f>
        <v>Family</v>
      </c>
      <c r="D14" s="4185" t="str">
        <f>IF('Part I-Project Information'!N74=0,"",'Part I-Project Information'!N74)</f>
        <v/>
      </c>
      <c r="E14" s="4185"/>
      <c r="F14" s="783" t="s">
        <v>2999</v>
      </c>
      <c r="G14" s="782"/>
      <c r="H14" s="4190" t="s">
        <v>3500</v>
      </c>
      <c r="I14" s="4190"/>
      <c r="J14" s="4190"/>
      <c r="K14" s="4190" t="s">
        <v>3500</v>
      </c>
      <c r="L14" s="4190"/>
      <c r="M14" s="744"/>
    </row>
    <row r="15" spans="1:14" ht="15.75">
      <c r="A15" s="747" t="s">
        <v>3000</v>
      </c>
      <c r="B15" s="744"/>
      <c r="C15" s="785" t="s">
        <v>1771</v>
      </c>
      <c r="D15" s="782"/>
      <c r="E15" s="782"/>
      <c r="F15" s="783" t="s">
        <v>3307</v>
      </c>
      <c r="G15" s="782"/>
      <c r="H15" s="2180" t="str">
        <f>'Part I-Project Information'!K40</f>
        <v>Urban</v>
      </c>
      <c r="I15" s="782"/>
      <c r="J15" s="782"/>
      <c r="K15" s="782"/>
      <c r="L15" s="744"/>
      <c r="M15" s="744"/>
    </row>
    <row r="16" spans="1:14" ht="15.75">
      <c r="A16" s="747" t="s">
        <v>3534</v>
      </c>
      <c r="B16" s="744"/>
      <c r="C16" s="2180" t="str">
        <f>'Part I-Project Information'!H100</f>
        <v>No</v>
      </c>
      <c r="D16" s="786" t="s">
        <v>2679</v>
      </c>
      <c r="E16" s="2180" t="str">
        <f>'Part I-Project Information'!H103</f>
        <v>No</v>
      </c>
      <c r="F16" s="783"/>
      <c r="G16" s="782"/>
      <c r="H16" s="782"/>
      <c r="I16" s="782"/>
      <c r="J16" s="782"/>
      <c r="K16" s="782"/>
      <c r="L16" s="744"/>
      <c r="M16" s="744"/>
    </row>
    <row r="17" spans="1:13" ht="15">
      <c r="A17" s="744"/>
      <c r="B17" s="744"/>
      <c r="C17" s="744"/>
      <c r="D17" s="782"/>
      <c r="E17" s="782"/>
      <c r="F17" s="782"/>
      <c r="G17" s="782"/>
      <c r="H17" s="782"/>
      <c r="I17" s="782"/>
      <c r="J17" s="744"/>
      <c r="K17" s="744"/>
      <c r="L17" s="744"/>
      <c r="M17" s="744"/>
    </row>
    <row r="18" spans="1:13" ht="15.75">
      <c r="A18" s="747" t="s">
        <v>3309</v>
      </c>
      <c r="B18" s="744"/>
      <c r="C18" s="2183">
        <f>'Part IV-A-Uses of Funds'!G132</f>
        <v>18093801</v>
      </c>
      <c r="D18" s="1609">
        <f>IF(C18=0,"",$C$29/C18)</f>
        <v>0.37941171122640288</v>
      </c>
      <c r="E18" s="782" t="s">
        <v>3310</v>
      </c>
      <c r="F18" s="783" t="s">
        <v>3311</v>
      </c>
      <c r="G18" s="782"/>
      <c r="H18" s="4184">
        <f>'Part IV-A-Uses of Funds'!B44</f>
        <v>11762688</v>
      </c>
      <c r="I18" s="4184"/>
      <c r="J18" s="1608">
        <f>IF(H18=0,"",$C$29/H18)</f>
        <v>0.58362510337773132</v>
      </c>
      <c r="K18" s="4185" t="s">
        <v>3312</v>
      </c>
      <c r="L18" s="4185"/>
      <c r="M18" s="744"/>
    </row>
    <row r="19" spans="1:13" ht="15.75">
      <c r="A19" s="747" t="s">
        <v>3001</v>
      </c>
      <c r="B19" s="744"/>
      <c r="C19" s="2182">
        <f>C18/C13</f>
        <v>215402.39285714287</v>
      </c>
      <c r="D19" s="782"/>
      <c r="E19" s="744"/>
      <c r="F19" s="747" t="s">
        <v>3001</v>
      </c>
      <c r="G19" s="744"/>
      <c r="H19" s="4186">
        <f>H18/C13</f>
        <v>140032</v>
      </c>
      <c r="I19" s="4186"/>
      <c r="J19" s="744"/>
      <c r="K19" s="744"/>
      <c r="L19" s="744"/>
      <c r="M19" s="744"/>
    </row>
    <row r="20" spans="1:13" ht="15.75">
      <c r="A20" s="747" t="s">
        <v>3002</v>
      </c>
      <c r="B20" s="744"/>
      <c r="C20" s="2184">
        <f>C18/K13</f>
        <v>211.1196793615234</v>
      </c>
      <c r="D20" s="787"/>
      <c r="E20" s="788"/>
      <c r="F20" s="747" t="s">
        <v>3002</v>
      </c>
      <c r="G20" s="744"/>
      <c r="H20" s="4187">
        <f>H18/K13</f>
        <v>137.24782973956874</v>
      </c>
      <c r="I20" s="4186"/>
      <c r="J20" s="744"/>
      <c r="K20" s="744"/>
      <c r="L20" s="744"/>
      <c r="M20" s="744"/>
    </row>
    <row r="21" spans="1:13" ht="15.75">
      <c r="A21" s="747"/>
      <c r="B21" s="744"/>
      <c r="C21" s="789"/>
      <c r="D21" s="744"/>
      <c r="E21" s="744"/>
      <c r="F21" s="747"/>
      <c r="G21" s="744"/>
      <c r="H21" s="789"/>
      <c r="I21" s="744"/>
      <c r="J21" s="744"/>
      <c r="K21" s="744"/>
      <c r="L21" s="744"/>
      <c r="M21" s="744"/>
    </row>
    <row r="22" spans="1:13" ht="15">
      <c r="A22" s="779"/>
      <c r="B22" s="779"/>
      <c r="C22" s="779"/>
      <c r="D22" s="779"/>
      <c r="E22" s="779"/>
      <c r="F22" s="779"/>
      <c r="G22" s="779"/>
      <c r="H22" s="779"/>
      <c r="I22" s="779"/>
      <c r="J22" s="779"/>
      <c r="K22" s="779"/>
      <c r="L22" s="779"/>
      <c r="M22" s="784"/>
    </row>
    <row r="23" spans="1:13" ht="15.75">
      <c r="A23" s="790" t="s">
        <v>3003</v>
      </c>
      <c r="B23" s="791"/>
      <c r="C23" s="791"/>
      <c r="D23" s="791"/>
      <c r="E23" s="782"/>
      <c r="F23" s="782"/>
      <c r="G23" s="782"/>
      <c r="H23" s="782"/>
      <c r="I23" s="782"/>
      <c r="J23" s="782"/>
      <c r="K23" s="782"/>
      <c r="L23" s="744"/>
      <c r="M23" s="784"/>
    </row>
    <row r="24" spans="1:13" ht="27" customHeight="1">
      <c r="A24" s="744"/>
      <c r="B24" s="744"/>
      <c r="C24" s="744"/>
      <c r="D24" s="792" t="s">
        <v>3004</v>
      </c>
      <c r="E24" s="744"/>
      <c r="F24" s="744"/>
      <c r="G24" s="744"/>
      <c r="H24" s="744"/>
      <c r="I24" s="744"/>
      <c r="J24" s="744"/>
      <c r="K24" s="744"/>
      <c r="L24" s="744"/>
      <c r="M24" s="784"/>
    </row>
    <row r="25" spans="1:13" ht="15.75">
      <c r="A25" s="747" t="s">
        <v>3005</v>
      </c>
      <c r="B25" s="793" t="str">
        <f>'Part III-Sources of Funds'!E38</f>
        <v>DeKalb County Housing Authority</v>
      </c>
      <c r="C25" s="794">
        <f>'Part III-Sources of Funds'!I38</f>
        <v>6865000</v>
      </c>
      <c r="D25" s="795" t="s">
        <v>3006</v>
      </c>
      <c r="E25" s="744"/>
      <c r="F25" s="782"/>
      <c r="G25" s="744" t="s">
        <v>3007</v>
      </c>
      <c r="H25" s="744"/>
      <c r="I25" s="744"/>
      <c r="K25" s="794"/>
      <c r="L25" s="782"/>
      <c r="M25" s="784"/>
    </row>
    <row r="26" spans="1:13" ht="15">
      <c r="A26" s="744"/>
      <c r="B26" s="793"/>
      <c r="C26" s="794"/>
      <c r="D26" s="795"/>
      <c r="E26" s="744"/>
      <c r="F26" s="782"/>
      <c r="G26" s="744" t="s">
        <v>3008</v>
      </c>
      <c r="H26" s="744"/>
      <c r="I26" s="744"/>
      <c r="K26" s="796" t="e">
        <f>C29/K25</f>
        <v>#DIV/0!</v>
      </c>
      <c r="L26" s="782"/>
      <c r="M26" s="744"/>
    </row>
    <row r="27" spans="1:13" ht="15">
      <c r="A27" s="744"/>
      <c r="B27" s="793"/>
      <c r="C27" s="794"/>
      <c r="D27" s="795"/>
      <c r="E27" s="744"/>
      <c r="F27" s="782"/>
      <c r="G27" s="744"/>
      <c r="H27" s="744"/>
      <c r="I27" s="744"/>
      <c r="K27" s="782"/>
      <c r="L27" s="782"/>
      <c r="M27" s="744"/>
    </row>
    <row r="28" spans="1:13" ht="15">
      <c r="A28" s="744"/>
      <c r="B28" s="744"/>
      <c r="C28" s="744"/>
      <c r="D28" s="744"/>
      <c r="E28" s="744"/>
      <c r="F28" s="782"/>
      <c r="G28" s="744" t="s">
        <v>3009</v>
      </c>
      <c r="H28" s="744"/>
      <c r="I28" s="744"/>
      <c r="K28" s="794"/>
      <c r="L28" s="782"/>
      <c r="M28" s="744"/>
    </row>
    <row r="29" spans="1:13" ht="16.5" thickBot="1">
      <c r="A29" s="744"/>
      <c r="B29" s="797" t="s">
        <v>3010</v>
      </c>
      <c r="C29" s="798">
        <f>SUM(C25:C27)</f>
        <v>6865000</v>
      </c>
      <c r="D29" s="744"/>
      <c r="E29" s="744"/>
      <c r="F29" s="782"/>
      <c r="G29" s="744" t="s">
        <v>3011</v>
      </c>
      <c r="H29" s="744"/>
      <c r="I29" s="744"/>
      <c r="K29" s="796" t="e">
        <f>C29/K28</f>
        <v>#DIV/0!</v>
      </c>
      <c r="L29" s="782"/>
      <c r="M29" s="744"/>
    </row>
    <row r="30" spans="1:13" ht="16.5" thickTop="1">
      <c r="A30" s="747" t="s">
        <v>3012</v>
      </c>
      <c r="B30" s="797"/>
      <c r="C30" s="799">
        <f>'Part III-Sources of Funds'!$I$49+'Part III-Sources of Funds'!$I$50</f>
        <v>10329907</v>
      </c>
      <c r="D30" s="744"/>
      <c r="E30" s="744"/>
      <c r="F30" s="782"/>
      <c r="G30" s="744"/>
      <c r="H30" s="744"/>
      <c r="I30" s="744"/>
      <c r="K30" s="800"/>
      <c r="L30" s="782"/>
      <c r="M30" s="744"/>
    </row>
    <row r="31" spans="1:13" ht="15">
      <c r="A31" s="801" t="s">
        <v>3013</v>
      </c>
      <c r="B31" s="793">
        <f>'Part III-Sources of Funds'!E39</f>
        <v>0</v>
      </c>
      <c r="C31" s="794">
        <f>'Part III-Sources of Funds'!I39</f>
        <v>0</v>
      </c>
      <c r="D31" s="795"/>
      <c r="E31" s="744"/>
      <c r="F31" s="782"/>
      <c r="G31" s="744"/>
      <c r="H31" s="744"/>
      <c r="I31" s="744"/>
      <c r="K31" s="744"/>
      <c r="L31" s="782"/>
      <c r="M31" s="744"/>
    </row>
    <row r="32" spans="1:13" ht="15">
      <c r="A32" s="801" t="s">
        <v>3013</v>
      </c>
      <c r="B32" s="793">
        <f>'Part III-Sources of Funds'!E40</f>
        <v>0</v>
      </c>
      <c r="C32" s="794">
        <f>'Part III-Sources of Funds'!I40</f>
        <v>0</v>
      </c>
      <c r="D32" s="795"/>
      <c r="E32" s="744" t="s">
        <v>243</v>
      </c>
      <c r="F32" s="782"/>
      <c r="G32" s="744" t="s">
        <v>3014</v>
      </c>
      <c r="H32" s="744"/>
      <c r="I32" s="744"/>
      <c r="K32" s="794"/>
      <c r="L32" s="782"/>
      <c r="M32" s="782"/>
    </row>
    <row r="33" spans="1:13" ht="15">
      <c r="A33" s="744"/>
      <c r="B33" s="782"/>
      <c r="C33" s="802"/>
      <c r="D33" s="744"/>
      <c r="E33" s="744"/>
      <c r="F33" s="782"/>
      <c r="G33" s="1561" t="s">
        <v>3015</v>
      </c>
      <c r="H33" s="1561"/>
      <c r="I33" s="1561"/>
      <c r="K33" s="796" t="e">
        <f>$C$29/K32</f>
        <v>#DIV/0!</v>
      </c>
      <c r="L33" s="782"/>
      <c r="M33" s="803"/>
    </row>
    <row r="34" spans="1:13" ht="15.75">
      <c r="A34" s="744"/>
      <c r="B34" s="797" t="s">
        <v>3016</v>
      </c>
      <c r="C34" s="802">
        <f>SUM(C31:C32)</f>
        <v>0</v>
      </c>
      <c r="D34" s="744"/>
      <c r="E34" s="744"/>
      <c r="F34" s="744"/>
      <c r="G34" s="744"/>
      <c r="H34" s="744"/>
      <c r="I34" s="744"/>
      <c r="K34" s="782"/>
      <c r="L34" s="744"/>
      <c r="M34" s="803"/>
    </row>
    <row r="35" spans="1:13" ht="15.75">
      <c r="A35" s="744"/>
      <c r="B35" s="797"/>
      <c r="C35" s="744"/>
      <c r="D35" s="744"/>
      <c r="E35" s="744"/>
      <c r="F35" s="744"/>
      <c r="G35" s="1561" t="s">
        <v>3017</v>
      </c>
      <c r="H35" s="1561"/>
      <c r="I35" s="1561"/>
      <c r="K35" s="804" t="e">
        <f>(C36)/K25</f>
        <v>#DIV/0!</v>
      </c>
      <c r="L35" s="744"/>
      <c r="M35" s="782"/>
    </row>
    <row r="36" spans="1:13" ht="15.75">
      <c r="A36" s="744"/>
      <c r="B36" s="797" t="s">
        <v>3018</v>
      </c>
      <c r="C36" s="802">
        <f>C29+C34</f>
        <v>6865000</v>
      </c>
      <c r="D36" s="744"/>
      <c r="E36" s="744"/>
      <c r="F36" s="744"/>
      <c r="G36" s="744"/>
      <c r="H36" s="744"/>
      <c r="I36" s="744"/>
      <c r="K36" s="782"/>
      <c r="L36" s="744"/>
      <c r="M36" s="782"/>
    </row>
    <row r="37" spans="1:13" ht="15.75">
      <c r="A37" s="744"/>
      <c r="B37" s="797"/>
      <c r="C37" s="805"/>
      <c r="D37" s="744"/>
      <c r="E37" s="744"/>
      <c r="F37" s="744"/>
      <c r="G37" s="1561" t="s">
        <v>3019</v>
      </c>
      <c r="H37" s="1561"/>
      <c r="I37" s="1561"/>
      <c r="K37" s="1562" t="e">
        <f>+(C36)/K32</f>
        <v>#DIV/0!</v>
      </c>
      <c r="L37" s="744"/>
      <c r="M37" s="803"/>
    </row>
    <row r="38" spans="1:13" ht="15.75">
      <c r="A38" s="744"/>
      <c r="B38" s="797" t="s">
        <v>3020</v>
      </c>
      <c r="C38" s="806">
        <f>C36/C18</f>
        <v>0.37941171122640288</v>
      </c>
      <c r="D38" s="744"/>
      <c r="E38" s="744"/>
      <c r="F38" s="744"/>
      <c r="G38" s="744"/>
      <c r="H38" s="744"/>
      <c r="I38" s="744"/>
      <c r="K38" s="782"/>
      <c r="L38" s="744"/>
      <c r="M38" s="803"/>
    </row>
    <row r="39" spans="1:13" ht="15.75">
      <c r="A39" s="744"/>
      <c r="B39" s="797"/>
      <c r="C39" s="805"/>
      <c r="D39" s="744"/>
      <c r="E39" s="744"/>
      <c r="F39" s="744"/>
      <c r="G39" s="744"/>
      <c r="H39" s="744"/>
      <c r="I39" s="744"/>
      <c r="K39" s="782"/>
      <c r="L39" s="744"/>
      <c r="M39" s="744"/>
    </row>
    <row r="40" spans="1:13" ht="15.75">
      <c r="A40" s="744"/>
      <c r="B40" s="797" t="s">
        <v>3021</v>
      </c>
      <c r="C40" s="806">
        <f>C36/H18</f>
        <v>0.58362510337773132</v>
      </c>
      <c r="D40" s="744"/>
      <c r="E40" s="744"/>
      <c r="F40" s="747"/>
      <c r="G40" s="747" t="s">
        <v>3022</v>
      </c>
      <c r="H40" s="744"/>
      <c r="I40" s="744"/>
      <c r="K40" s="796">
        <f>C30/C18</f>
        <v>0.57090862224029104</v>
      </c>
      <c r="L40" s="744"/>
      <c r="M40" s="744"/>
    </row>
    <row r="46" spans="1:13" ht="15.75">
      <c r="A46" s="807" t="s">
        <v>3023</v>
      </c>
      <c r="B46" s="777"/>
      <c r="C46" s="777"/>
      <c r="D46" s="777"/>
      <c r="E46" s="777"/>
      <c r="F46" s="777"/>
      <c r="G46" s="777"/>
      <c r="H46" s="777"/>
      <c r="I46" s="777"/>
      <c r="J46" s="777"/>
      <c r="K46" s="777"/>
      <c r="L46" s="777"/>
      <c r="M46" s="744"/>
    </row>
    <row r="47" spans="1:13" ht="15.75">
      <c r="A47" s="807" t="str">
        <f>C8</f>
        <v>Stone Terrace Phase II</v>
      </c>
      <c r="B47" s="777"/>
      <c r="C47" s="777"/>
      <c r="D47" s="777"/>
      <c r="E47" s="777"/>
      <c r="F47" s="777"/>
      <c r="G47" s="777"/>
      <c r="H47" s="777"/>
      <c r="I47" s="777"/>
      <c r="J47" s="777"/>
      <c r="K47" s="777"/>
      <c r="L47" s="777"/>
      <c r="M47" s="744"/>
    </row>
    <row r="50" spans="1:14" s="744" customFormat="1" ht="15.75">
      <c r="A50" s="747" t="s">
        <v>3024</v>
      </c>
      <c r="C50" s="808" t="s">
        <v>3025</v>
      </c>
      <c r="E50" s="809" t="s">
        <v>3501</v>
      </c>
      <c r="F50" s="810">
        <v>0.1</v>
      </c>
      <c r="G50" s="809" t="s">
        <v>3502</v>
      </c>
      <c r="H50" s="810">
        <v>0.05</v>
      </c>
      <c r="I50" s="809" t="s">
        <v>3503</v>
      </c>
      <c r="J50" s="810">
        <v>0.03</v>
      </c>
      <c r="K50" s="4188" t="s">
        <v>3026</v>
      </c>
      <c r="L50" s="4189"/>
      <c r="M50" s="27"/>
      <c r="N50" s="27"/>
    </row>
    <row r="51" spans="1:14" s="744" customFormat="1" ht="15.75">
      <c r="A51" s="747"/>
      <c r="C51" s="808"/>
      <c r="E51" s="808"/>
      <c r="F51" s="811"/>
      <c r="G51" s="808"/>
      <c r="H51" s="811"/>
      <c r="I51" s="808"/>
      <c r="J51" s="811"/>
      <c r="K51" s="808"/>
      <c r="M51" s="27"/>
      <c r="N51" s="27"/>
    </row>
    <row r="52" spans="1:14" s="744" customFormat="1" ht="18.75" customHeight="1">
      <c r="B52" s="812" t="s">
        <v>3027</v>
      </c>
      <c r="C52" s="813">
        <f>'Part VII-Pro Forma'!B14</f>
        <v>934080</v>
      </c>
      <c r="D52" s="813"/>
      <c r="E52" s="813">
        <f>$C$52</f>
        <v>934080</v>
      </c>
      <c r="F52" s="813"/>
      <c r="G52" s="813">
        <f>$C$52</f>
        <v>934080</v>
      </c>
      <c r="H52" s="813"/>
      <c r="I52" s="813">
        <f>$C$52</f>
        <v>934080</v>
      </c>
      <c r="J52" s="813"/>
      <c r="K52" s="813">
        <f>$C$52</f>
        <v>934080</v>
      </c>
      <c r="L52" s="814"/>
      <c r="M52" s="27"/>
      <c r="N52" s="27"/>
    </row>
    <row r="53" spans="1:14" s="744" customFormat="1" ht="18.75" customHeight="1">
      <c r="B53" s="812" t="s">
        <v>3030</v>
      </c>
      <c r="C53" s="813">
        <f>'Part VII-Pro Forma'!B15</f>
        <v>18681.600000000002</v>
      </c>
      <c r="D53" s="813"/>
      <c r="E53" s="813">
        <f>$C$53</f>
        <v>18681.600000000002</v>
      </c>
      <c r="F53" s="813"/>
      <c r="G53" s="813">
        <f>$C$53</f>
        <v>18681.600000000002</v>
      </c>
      <c r="H53" s="813"/>
      <c r="I53" s="813">
        <f>$C$53</f>
        <v>18681.600000000002</v>
      </c>
      <c r="J53" s="813"/>
      <c r="K53" s="813">
        <f>$C$53</f>
        <v>18681.600000000002</v>
      </c>
      <c r="L53" s="814"/>
      <c r="M53" s="27"/>
      <c r="N53" s="27"/>
    </row>
    <row r="54" spans="1:14" s="744" customFormat="1" ht="18.75" customHeight="1">
      <c r="B54" s="812" t="s">
        <v>3028</v>
      </c>
      <c r="C54" s="813">
        <f>'Part VII-Pro Forma'!B16</f>
        <v>-66693.312000000005</v>
      </c>
      <c r="D54" s="813"/>
      <c r="E54" s="813">
        <f>-($C$52+E53)*F50</f>
        <v>-95276.160000000003</v>
      </c>
      <c r="F54" s="815"/>
      <c r="G54" s="813">
        <f>-($C$52+G53)*0.07</f>
        <v>-66693.312000000005</v>
      </c>
      <c r="H54" s="813"/>
      <c r="I54" s="813">
        <f>-($C$52+I53)*0.07</f>
        <v>-66693.312000000005</v>
      </c>
      <c r="J54" s="813"/>
      <c r="K54" s="813">
        <f>-($C$52+K53)*L54</f>
        <v>-95276.160000000003</v>
      </c>
      <c r="L54" s="816">
        <v>0.1</v>
      </c>
      <c r="M54" s="27"/>
      <c r="N54" s="27"/>
    </row>
    <row r="55" spans="1:14" s="744" customFormat="1" ht="18.75" customHeight="1">
      <c r="B55" s="812" t="s">
        <v>3029</v>
      </c>
      <c r="C55" s="813">
        <f>'Part VII-Pro Forma'!B17</f>
        <v>0</v>
      </c>
      <c r="D55" s="813"/>
      <c r="E55" s="813">
        <f>$C$55</f>
        <v>0</v>
      </c>
      <c r="F55" s="815"/>
      <c r="G55" s="813">
        <f>$C$55</f>
        <v>0</v>
      </c>
      <c r="H55" s="813"/>
      <c r="I55" s="813">
        <f>$C$55</f>
        <v>0</v>
      </c>
      <c r="J55" s="813"/>
      <c r="K55" s="813">
        <f>$C$55</f>
        <v>0</v>
      </c>
      <c r="L55" s="817"/>
      <c r="M55" s="27"/>
      <c r="N55" s="27"/>
    </row>
    <row r="56" spans="1:14" s="744" customFormat="1" ht="18.75" customHeight="1">
      <c r="B56" s="818" t="s">
        <v>3031</v>
      </c>
      <c r="C56" s="819">
        <f>SUM(C52:C55)</f>
        <v>886068.28799999994</v>
      </c>
      <c r="D56" s="813"/>
      <c r="E56" s="819">
        <f>SUM(E52:E55)</f>
        <v>857485.44</v>
      </c>
      <c r="F56" s="813"/>
      <c r="G56" s="819">
        <f>SUM(G52:G55)</f>
        <v>886068.28799999994</v>
      </c>
      <c r="H56" s="813"/>
      <c r="I56" s="819">
        <f>SUM(I52:I55)</f>
        <v>886068.28799999994</v>
      </c>
      <c r="J56" s="813"/>
      <c r="K56" s="819">
        <f>SUM(K52:K55)</f>
        <v>857485.44</v>
      </c>
      <c r="L56" s="814"/>
      <c r="M56" s="27"/>
      <c r="N56" s="27"/>
    </row>
    <row r="57" spans="1:14" s="744" customFormat="1" ht="24" customHeight="1">
      <c r="B57" s="812"/>
      <c r="C57" s="820"/>
      <c r="D57" s="813"/>
      <c r="E57" s="820"/>
      <c r="F57" s="813"/>
      <c r="G57" s="820"/>
      <c r="H57" s="813"/>
      <c r="I57" s="820"/>
      <c r="J57" s="813"/>
      <c r="K57" s="820"/>
      <c r="L57" s="814"/>
      <c r="M57" s="27"/>
      <c r="N57" s="27"/>
    </row>
    <row r="58" spans="1:14" s="744" customFormat="1" ht="18.75" customHeight="1">
      <c r="B58" s="812" t="s">
        <v>3032</v>
      </c>
      <c r="C58" s="813">
        <f>+'Part VI-Revenues &amp; Expenses'!F219+'Part VI-Revenues &amp; Expenses'!F228+'Part VI-Revenues &amp; Expenses'!K217+'Part VI-Revenues &amp; Expenses'!K226</f>
        <v>102984</v>
      </c>
      <c r="D58" s="813"/>
      <c r="E58" s="813">
        <f>$C$58</f>
        <v>102984</v>
      </c>
      <c r="F58" s="813"/>
      <c r="G58" s="813">
        <f>$C$58</f>
        <v>102984</v>
      </c>
      <c r="H58" s="813"/>
      <c r="I58" s="813">
        <f>$C$58</f>
        <v>102984</v>
      </c>
      <c r="J58" s="813"/>
      <c r="K58" s="813">
        <f>$C$58</f>
        <v>102984</v>
      </c>
      <c r="L58" s="814"/>
      <c r="M58" s="27"/>
      <c r="N58" s="27"/>
    </row>
    <row r="59" spans="1:14" s="744" customFormat="1" ht="18.75" customHeight="1">
      <c r="B59" s="812" t="s">
        <v>3033</v>
      </c>
      <c r="C59" s="813">
        <f>+'Part VI-Revenues &amp; Expenses'!F239</f>
        <v>63252</v>
      </c>
      <c r="D59" s="813"/>
      <c r="E59" s="813">
        <f>$C$59</f>
        <v>63252</v>
      </c>
      <c r="F59" s="813"/>
      <c r="G59" s="813">
        <f>$C$59</f>
        <v>63252</v>
      </c>
      <c r="H59" s="813"/>
      <c r="I59" s="813">
        <f>$C$59</f>
        <v>63252</v>
      </c>
      <c r="J59" s="813"/>
      <c r="K59" s="813">
        <f>$C$59*(1+$L$59)</f>
        <v>65782.080000000002</v>
      </c>
      <c r="L59" s="821">
        <v>0.04</v>
      </c>
      <c r="M59" s="27"/>
      <c r="N59" s="27"/>
    </row>
    <row r="60" spans="1:14" s="744" customFormat="1" ht="18.75" customHeight="1">
      <c r="B60" s="812" t="s">
        <v>1375</v>
      </c>
      <c r="C60" s="813">
        <f>+'Part VI-Revenues &amp; Expenses'!K236</f>
        <v>78120</v>
      </c>
      <c r="D60" s="813"/>
      <c r="E60" s="813">
        <f>$C$60</f>
        <v>78120</v>
      </c>
      <c r="F60" s="813"/>
      <c r="G60" s="813">
        <f>$C$60</f>
        <v>78120</v>
      </c>
      <c r="H60" s="813"/>
      <c r="I60" s="813">
        <f>$C$60*(1+$J$50)</f>
        <v>80463.600000000006</v>
      </c>
      <c r="J60" s="815"/>
      <c r="K60" s="813">
        <f>$C$60*(1+$J$50)</f>
        <v>80463.600000000006</v>
      </c>
      <c r="L60" s="816">
        <v>0.03</v>
      </c>
      <c r="M60" s="27"/>
      <c r="N60" s="27"/>
    </row>
    <row r="61" spans="1:14" s="744" customFormat="1" ht="18.75" customHeight="1">
      <c r="B61" s="812" t="s">
        <v>1376</v>
      </c>
      <c r="C61" s="813">
        <f>+'Part VI-Revenues &amp; Expenses'!P218</f>
        <v>110520</v>
      </c>
      <c r="D61" s="813"/>
      <c r="E61" s="813">
        <f>$C$61</f>
        <v>110520</v>
      </c>
      <c r="F61" s="813"/>
      <c r="G61" s="813">
        <f>$C$61*(1+H50)</f>
        <v>116046</v>
      </c>
      <c r="H61" s="815"/>
      <c r="I61" s="813">
        <f>$C$61</f>
        <v>110520</v>
      </c>
      <c r="J61" s="813"/>
      <c r="K61" s="813">
        <f>$C$61*(1+$L$61)</f>
        <v>116046</v>
      </c>
      <c r="L61" s="816">
        <v>0.05</v>
      </c>
      <c r="M61" s="27"/>
      <c r="N61" s="27"/>
    </row>
    <row r="62" spans="1:14" s="744" customFormat="1" ht="18.75" customHeight="1">
      <c r="B62" s="818" t="s">
        <v>3034</v>
      </c>
      <c r="C62" s="819">
        <f>SUM(C58:C61)</f>
        <v>354876</v>
      </c>
      <c r="D62" s="813"/>
      <c r="E62" s="819">
        <f>SUM(E58:E61)</f>
        <v>354876</v>
      </c>
      <c r="F62" s="813"/>
      <c r="G62" s="819">
        <f>SUM(G58:G61)</f>
        <v>360402</v>
      </c>
      <c r="H62" s="813"/>
      <c r="I62" s="819">
        <f>SUM(I58:I61)</f>
        <v>357219.6</v>
      </c>
      <c r="J62" s="813"/>
      <c r="K62" s="819">
        <f>SUM(K58:K61)</f>
        <v>365275.68000000005</v>
      </c>
      <c r="L62" s="822"/>
      <c r="M62" s="27"/>
      <c r="N62" s="27"/>
    </row>
    <row r="63" spans="1:14" s="744" customFormat="1" ht="24" customHeight="1">
      <c r="B63" s="823"/>
      <c r="C63" s="820"/>
      <c r="D63" s="820"/>
      <c r="E63" s="820"/>
      <c r="F63" s="820"/>
      <c r="G63" s="820"/>
      <c r="H63" s="820"/>
      <c r="I63" s="820"/>
      <c r="J63" s="820"/>
      <c r="K63" s="820"/>
      <c r="L63" s="822"/>
      <c r="M63" s="27"/>
      <c r="N63" s="27"/>
    </row>
    <row r="64" spans="1:14" s="744" customFormat="1" ht="15.75">
      <c r="A64" s="27"/>
      <c r="B64" s="824" t="s">
        <v>3035</v>
      </c>
      <c r="C64" s="825">
        <f>C56-C62</f>
        <v>531192.28799999994</v>
      </c>
      <c r="D64" s="825"/>
      <c r="E64" s="825">
        <f>E56-E62</f>
        <v>502609.43999999994</v>
      </c>
      <c r="F64" s="825"/>
      <c r="G64" s="825">
        <f>G56-G62</f>
        <v>525666.28799999994</v>
      </c>
      <c r="H64" s="825"/>
      <c r="I64" s="825">
        <f>I56-I62</f>
        <v>528848.68799999997</v>
      </c>
      <c r="J64" s="825"/>
      <c r="K64" s="825">
        <f>K56-K62</f>
        <v>492209.75999999989</v>
      </c>
      <c r="L64" s="33"/>
      <c r="M64" s="27"/>
      <c r="N64" s="27"/>
    </row>
    <row r="65" spans="1:14" s="744" customFormat="1" ht="24" customHeight="1">
      <c r="A65" s="27"/>
      <c r="B65" s="823"/>
      <c r="C65" s="820"/>
      <c r="D65" s="820"/>
      <c r="E65" s="820"/>
      <c r="F65" s="820"/>
      <c r="G65" s="820"/>
      <c r="H65" s="820"/>
      <c r="I65" s="820"/>
      <c r="J65" s="820"/>
      <c r="K65" s="820"/>
      <c r="L65" s="33"/>
      <c r="M65" s="27"/>
      <c r="N65" s="27"/>
    </row>
    <row r="66" spans="1:14" s="744" customFormat="1" ht="15">
      <c r="A66" s="27"/>
      <c r="B66" s="823" t="s">
        <v>3036</v>
      </c>
      <c r="C66" s="820">
        <f>'Part VI-Revenues &amp; Expenses'!P230</f>
        <v>21000</v>
      </c>
      <c r="D66" s="820"/>
      <c r="E66" s="820">
        <f>$C$66</f>
        <v>21000</v>
      </c>
      <c r="F66" s="820"/>
      <c r="G66" s="820">
        <f>$C$66</f>
        <v>21000</v>
      </c>
      <c r="H66" s="820"/>
      <c r="I66" s="820">
        <f>$C$66</f>
        <v>21000</v>
      </c>
      <c r="J66" s="820"/>
      <c r="K66" s="820">
        <f>$C$66</f>
        <v>21000</v>
      </c>
      <c r="L66" s="33"/>
      <c r="M66" s="27"/>
      <c r="N66" s="27"/>
    </row>
    <row r="67" spans="1:14" s="744" customFormat="1" ht="6" customHeight="1">
      <c r="A67" s="27"/>
      <c r="B67" s="823"/>
      <c r="C67" s="820"/>
      <c r="D67" s="820"/>
      <c r="E67" s="820"/>
      <c r="F67" s="820"/>
      <c r="G67" s="820"/>
      <c r="H67" s="820"/>
      <c r="I67" s="820"/>
      <c r="J67" s="820"/>
      <c r="K67" s="820"/>
      <c r="L67" s="33"/>
      <c r="M67" s="27"/>
      <c r="N67" s="27"/>
    </row>
    <row r="68" spans="1:14" s="744" customFormat="1" ht="15">
      <c r="A68" s="27"/>
      <c r="B68" s="823" t="s">
        <v>3037</v>
      </c>
      <c r="C68" s="820">
        <f>'Part VI-Revenues &amp; Expenses'!P221</f>
        <v>39873</v>
      </c>
      <c r="D68" s="820"/>
      <c r="E68" s="820">
        <f>$C$68</f>
        <v>39873</v>
      </c>
      <c r="F68" s="820"/>
      <c r="G68" s="820">
        <f>$C$68</f>
        <v>39873</v>
      </c>
      <c r="H68" s="820"/>
      <c r="I68" s="820">
        <f>$C$68</f>
        <v>39873</v>
      </c>
      <c r="J68" s="820"/>
      <c r="K68" s="820">
        <f>$C$68</f>
        <v>39873</v>
      </c>
      <c r="L68" s="33"/>
      <c r="M68" s="27"/>
      <c r="N68" s="27"/>
    </row>
    <row r="69" spans="1:14" s="744" customFormat="1" ht="24" customHeight="1">
      <c r="A69" s="27"/>
      <c r="B69" s="826"/>
      <c r="C69" s="820"/>
      <c r="D69" s="813"/>
      <c r="E69" s="820"/>
      <c r="F69" s="813"/>
      <c r="G69" s="820"/>
      <c r="H69" s="813"/>
      <c r="I69" s="820"/>
      <c r="J69" s="813"/>
      <c r="K69" s="820"/>
      <c r="L69" s="33"/>
      <c r="M69" s="27"/>
      <c r="N69" s="27"/>
    </row>
    <row r="70" spans="1:14" s="744" customFormat="1" ht="15.75">
      <c r="A70" s="27"/>
      <c r="B70" s="827" t="s">
        <v>3038</v>
      </c>
      <c r="C70" s="828">
        <f>C64-C66-C68</f>
        <v>470319.28799999994</v>
      </c>
      <c r="D70" s="829"/>
      <c r="E70" s="828">
        <f>E64-E66-E68</f>
        <v>441736.43999999994</v>
      </c>
      <c r="F70" s="829"/>
      <c r="G70" s="828">
        <f>G64-G66-G68</f>
        <v>464793.28799999994</v>
      </c>
      <c r="H70" s="829"/>
      <c r="I70" s="828">
        <f>I64-I66-I68</f>
        <v>467975.68799999997</v>
      </c>
      <c r="J70" s="829"/>
      <c r="K70" s="828">
        <f>K64-K66-K68</f>
        <v>431336.75999999989</v>
      </c>
      <c r="L70" s="33"/>
      <c r="M70" s="27"/>
      <c r="N70" s="27"/>
    </row>
    <row r="71" spans="1:14" s="744" customFormat="1" ht="30" customHeight="1">
      <c r="A71" s="27"/>
      <c r="B71" s="812"/>
      <c r="C71" s="813"/>
      <c r="D71" s="813"/>
      <c r="E71" s="813"/>
      <c r="F71" s="813"/>
      <c r="G71" s="813"/>
      <c r="H71" s="813"/>
      <c r="I71" s="813"/>
      <c r="J71" s="813"/>
      <c r="K71" s="813"/>
      <c r="L71" s="33"/>
      <c r="M71" s="27"/>
      <c r="N71" s="27"/>
    </row>
    <row r="72" spans="1:14" s="747" customFormat="1" ht="18.75" customHeight="1">
      <c r="A72" s="273"/>
      <c r="B72" s="830" t="s">
        <v>3039</v>
      </c>
      <c r="C72" s="1610">
        <f>-C70/C75</f>
        <v>1.2222980363479126</v>
      </c>
      <c r="D72" s="831"/>
      <c r="E72" s="1610">
        <f>-E70/E75</f>
        <v>1.1480149697694675</v>
      </c>
      <c r="F72" s="831"/>
      <c r="G72" s="1610">
        <f>-G70/G75</f>
        <v>1.2079366883845295</v>
      </c>
      <c r="H72" s="831"/>
      <c r="I72" s="1610">
        <f>-I70/I75</f>
        <v>1.2162073278631162</v>
      </c>
      <c r="J72" s="831"/>
      <c r="K72" s="1610">
        <f>-K70/K75</f>
        <v>1.1209875678172714</v>
      </c>
      <c r="L72" s="832"/>
      <c r="M72" s="273"/>
      <c r="N72" s="273"/>
    </row>
    <row r="73" spans="1:14" s="744" customFormat="1" ht="18.75" customHeight="1">
      <c r="A73" s="27"/>
      <c r="B73" s="812" t="s">
        <v>3040</v>
      </c>
      <c r="C73" s="1611">
        <f>C76/C62</f>
        <v>0.2410319824284882</v>
      </c>
      <c r="D73" s="833"/>
      <c r="E73" s="1611">
        <f>E76/E62</f>
        <v>0.16048878424095228</v>
      </c>
      <c r="F73" s="833"/>
      <c r="G73" s="1611">
        <f>G76/G62</f>
        <v>0.22200339009298556</v>
      </c>
      <c r="H73" s="833"/>
      <c r="I73" s="1611">
        <f>I76/I62</f>
        <v>0.2328899808305373</v>
      </c>
      <c r="J73" s="833"/>
      <c r="K73" s="1611">
        <f>K76/K62</f>
        <v>0.12744877457018797</v>
      </c>
      <c r="L73" s="33"/>
      <c r="M73" s="27"/>
      <c r="N73" s="27"/>
    </row>
    <row r="74" spans="1:14" s="744" customFormat="1" ht="24" customHeight="1">
      <c r="A74" s="27"/>
      <c r="B74" s="812"/>
      <c r="C74" s="813"/>
      <c r="D74" s="813"/>
      <c r="E74" s="813"/>
      <c r="F74" s="813"/>
      <c r="G74" s="813"/>
      <c r="H74" s="813"/>
      <c r="I74" s="813"/>
      <c r="J74" s="813"/>
      <c r="K74" s="813"/>
      <c r="L74" s="33"/>
      <c r="M74" s="27"/>
      <c r="N74" s="27"/>
    </row>
    <row r="75" spans="1:14" s="744" customFormat="1" ht="18.75" customHeight="1">
      <c r="A75" s="27"/>
      <c r="B75" s="812" t="s">
        <v>3041</v>
      </c>
      <c r="C75" s="813">
        <f>+SUM('Part VII-Pro Forma'!B25:B28)</f>
        <v>-384782.82220370776</v>
      </c>
      <c r="D75" s="813"/>
      <c r="E75" s="813">
        <f>$C$75</f>
        <v>-384782.82220370776</v>
      </c>
      <c r="F75" s="813"/>
      <c r="G75" s="813">
        <f>$C$75</f>
        <v>-384782.82220370776</v>
      </c>
      <c r="H75" s="813"/>
      <c r="I75" s="813">
        <f>$C$75</f>
        <v>-384782.82220370776</v>
      </c>
      <c r="J75" s="813"/>
      <c r="K75" s="813">
        <f>$C$75</f>
        <v>-384782.82220370776</v>
      </c>
      <c r="L75" s="33"/>
      <c r="M75" s="27"/>
      <c r="N75" s="27"/>
    </row>
    <row r="76" spans="1:14" s="744" customFormat="1" ht="18.75" customHeight="1">
      <c r="A76" s="27"/>
      <c r="B76" s="812" t="s">
        <v>1164</v>
      </c>
      <c r="C76" s="813">
        <f>C70+C75</f>
        <v>85536.465796292177</v>
      </c>
      <c r="D76" s="813"/>
      <c r="E76" s="813">
        <f>E70+E75</f>
        <v>56953.617796292179</v>
      </c>
      <c r="F76" s="813"/>
      <c r="G76" s="813">
        <f>G70+G75</f>
        <v>80010.465796292177</v>
      </c>
      <c r="H76" s="813"/>
      <c r="I76" s="813">
        <f>I70+I75</f>
        <v>83192.865796292201</v>
      </c>
      <c r="J76" s="813"/>
      <c r="K76" s="813">
        <f>K70+K75</f>
        <v>46553.937796292128</v>
      </c>
      <c r="L76" s="33"/>
      <c r="M76" s="27"/>
      <c r="N76" s="27"/>
    </row>
    <row r="77" spans="1:14" s="744" customFormat="1" ht="15" hidden="1">
      <c r="A77" s="27"/>
      <c r="B77" s="812" t="s">
        <v>3042</v>
      </c>
      <c r="C77" s="834" t="e">
        <f>PV(intrate/12,30*12,C75/12,0)</f>
        <v>#NAME?</v>
      </c>
      <c r="D77" s="812"/>
      <c r="E77" s="834" t="e">
        <f>PV(intrate/12,30*12,E75/12,0)</f>
        <v>#NAME?</v>
      </c>
      <c r="F77" s="812"/>
      <c r="G77" s="834" t="e">
        <f>PV(intrate/12,30*12,G75/12,0)</f>
        <v>#NAME?</v>
      </c>
      <c r="H77" s="812"/>
      <c r="I77" s="834" t="e">
        <f>PV(intrate/12,30*12,I75/12,0)</f>
        <v>#NAME?</v>
      </c>
      <c r="J77" s="812"/>
      <c r="K77" s="834" t="e">
        <f>PV(intrate/12,30*12,K75/12,0)</f>
        <v>#NAME?</v>
      </c>
      <c r="L77" s="33"/>
      <c r="M77" s="27"/>
      <c r="N77" s="27"/>
    </row>
    <row r="78" spans="1:14" s="744" customFormat="1" ht="15" hidden="1">
      <c r="A78" s="27"/>
      <c r="B78" s="835" t="s">
        <v>3043</v>
      </c>
      <c r="C78" s="822"/>
      <c r="D78" s="822"/>
      <c r="E78" s="822"/>
      <c r="F78" s="822"/>
      <c r="G78" s="822"/>
      <c r="H78" s="822"/>
      <c r="I78" s="822"/>
      <c r="J78" s="822"/>
      <c r="K78" s="822"/>
      <c r="L78" s="33"/>
      <c r="M78" s="27"/>
      <c r="N78" s="27"/>
    </row>
    <row r="79" spans="1:14" s="744" customFormat="1" ht="15" hidden="1">
      <c r="A79" s="27"/>
      <c r="B79" s="822"/>
      <c r="C79" s="822"/>
      <c r="D79" s="822"/>
      <c r="E79" s="822"/>
      <c r="F79" s="822"/>
      <c r="G79" s="822"/>
      <c r="H79" s="822"/>
      <c r="I79" s="822"/>
      <c r="J79" s="822"/>
      <c r="K79" s="822"/>
      <c r="L79" s="33"/>
      <c r="M79" s="27"/>
      <c r="N79" s="27"/>
    </row>
    <row r="80" spans="1:14" s="744" customFormat="1" ht="15.75" hidden="1" thickBot="1">
      <c r="A80" s="27"/>
      <c r="B80" s="822" t="s">
        <v>3044</v>
      </c>
      <c r="C80" s="836" t="e">
        <f>MIN(C77,E77,G77,I77,K77)</f>
        <v>#NAME?</v>
      </c>
      <c r="D80" s="822"/>
      <c r="E80" s="822" t="s">
        <v>3045</v>
      </c>
      <c r="F80" s="837">
        <v>0.06</v>
      </c>
      <c r="G80" s="33"/>
      <c r="H80" s="33"/>
      <c r="I80" s="33"/>
      <c r="J80" s="33"/>
      <c r="K80" s="33"/>
      <c r="L80" s="33"/>
      <c r="M80" s="27"/>
      <c r="N80" s="27"/>
    </row>
    <row r="81" spans="1:14" s="744" customFormat="1" ht="15" hidden="1">
      <c r="A81" s="27"/>
      <c r="B81" s="822" t="s">
        <v>1730</v>
      </c>
      <c r="C81" s="836" t="e">
        <f>MAX(C77,E77,G77,I77,K77)</f>
        <v>#NAME?</v>
      </c>
      <c r="D81" s="822"/>
      <c r="E81" s="822"/>
      <c r="F81" s="822"/>
      <c r="G81" s="33"/>
      <c r="H81" s="33"/>
      <c r="I81" s="33"/>
      <c r="J81" s="33"/>
      <c r="K81" s="33"/>
      <c r="L81" s="33"/>
      <c r="M81" s="27"/>
      <c r="N81" s="27"/>
    </row>
    <row r="82" spans="1:14" s="744" customFormat="1" ht="15">
      <c r="A82" s="27"/>
      <c r="B82" s="822"/>
      <c r="C82" s="822"/>
      <c r="D82" s="822"/>
      <c r="E82" s="822" t="s">
        <v>243</v>
      </c>
      <c r="F82" s="822"/>
      <c r="G82" s="33"/>
      <c r="H82" s="33"/>
      <c r="I82" s="33"/>
      <c r="J82" s="33"/>
      <c r="K82" s="33"/>
      <c r="L82" s="33"/>
      <c r="M82" s="27"/>
      <c r="N82" s="27"/>
    </row>
    <row r="83" spans="1:14" s="744"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D33">
      <formula1>$M$29:$M$31</formula1>
    </dataValidation>
    <dataValidation type="list" allowBlank="1" showInputMessage="1" showErrorMessage="1" sqref="C9:D9">
      <formula1>"&lt;&lt;Select&gt;&gt;, HOME, HOME and 9% LIHTC, HOME and 4% LIHTC, NSP and 4% LIHTC"</formula1>
    </dataValidation>
    <dataValidation type="list" showInputMessage="1" showErrorMessage="1" sqref="D25:D27 D31:D32">
      <formula1>"First, Second, Third"</formula1>
    </dataValidation>
    <dataValidation type="list" allowBlank="1" showInputMessage="1" showErrorMessage="1" sqref="C15">
      <formula1>"&lt;&lt;Select&gt;&gt;,Gas, Electric"</formula1>
    </dataValidation>
    <dataValidation showDropDown="1" showInputMessage="1" showErrorMessage="1" sqref="C14 B25:B27"/>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753"/>
    <col min="2" max="2" width="7.85546875" style="753" customWidth="1"/>
    <col min="3" max="3" width="14.85546875" style="753" customWidth="1"/>
    <col min="4" max="4" width="20.140625" style="753" customWidth="1"/>
    <col min="5" max="5" width="8" style="753" customWidth="1"/>
    <col min="6" max="6" width="5.140625" style="753" customWidth="1"/>
    <col min="7" max="7" width="5.42578125" style="753" customWidth="1"/>
    <col min="8" max="8" width="8.5703125" style="753" customWidth="1"/>
    <col min="9" max="9" width="28.5703125" style="753" customWidth="1"/>
    <col min="10" max="10" width="4.140625" style="753" hidden="1" customWidth="1"/>
    <col min="11" max="11" width="9.140625" style="753"/>
    <col min="12" max="12" width="16.140625" style="753" customWidth="1"/>
    <col min="13" max="13" width="11.140625" style="753" customWidth="1"/>
    <col min="14" max="14" width="10.85546875" style="753" bestFit="1" customWidth="1"/>
    <col min="15" max="15" width="28.5703125" style="753" customWidth="1"/>
    <col min="16" max="16384" width="9.140625" style="753"/>
  </cols>
  <sheetData>
    <row r="2" spans="1:10" ht="15">
      <c r="A2" s="750" t="s">
        <v>2928</v>
      </c>
      <c r="B2" s="751"/>
      <c r="C2" s="751"/>
      <c r="D2" s="751"/>
      <c r="E2" s="752"/>
      <c r="F2" s="751"/>
      <c r="G2" s="751"/>
      <c r="H2" s="751"/>
      <c r="I2" s="751"/>
      <c r="J2" s="751"/>
    </row>
    <row r="3" spans="1:10" ht="15">
      <c r="A3" s="754"/>
    </row>
    <row r="4" spans="1:10" ht="15">
      <c r="A4" s="754" t="s">
        <v>2929</v>
      </c>
      <c r="D4" s="753" t="s">
        <v>2930</v>
      </c>
    </row>
    <row r="5" spans="1:10" ht="15">
      <c r="A5" s="754"/>
    </row>
    <row r="6" spans="1:10" ht="15">
      <c r="A6" s="754" t="s">
        <v>2931</v>
      </c>
      <c r="D6" s="753" t="s">
        <v>2932</v>
      </c>
    </row>
    <row r="7" spans="1:10" ht="15">
      <c r="A7" s="754"/>
    </row>
    <row r="8" spans="1:10" ht="15">
      <c r="A8" s="754" t="s">
        <v>2933</v>
      </c>
      <c r="D8" s="755" t="s">
        <v>2934</v>
      </c>
    </row>
    <row r="9" spans="1:10" ht="15">
      <c r="A9" s="754"/>
    </row>
    <row r="10" spans="1:10" ht="15">
      <c r="A10" s="754" t="s">
        <v>2935</v>
      </c>
      <c r="D10" s="755" t="s">
        <v>2936</v>
      </c>
    </row>
    <row r="11" spans="1:10" ht="15">
      <c r="A11" s="754"/>
      <c r="D11" s="2660"/>
    </row>
    <row r="12" spans="1:10" ht="15">
      <c r="A12" s="754" t="s">
        <v>2937</v>
      </c>
      <c r="D12" s="753" t="s">
        <v>617</v>
      </c>
      <c r="F12" s="2660" t="str">
        <f>Overview!$C$8</f>
        <v>Stone Terrace Phase II</v>
      </c>
    </row>
    <row r="13" spans="1:10" ht="15">
      <c r="A13" s="754"/>
      <c r="D13" s="753" t="s">
        <v>2938</v>
      </c>
      <c r="F13" s="2660" t="str">
        <f>Overview!E8</f>
        <v>2019-5</v>
      </c>
    </row>
    <row r="14" spans="1:10" ht="15">
      <c r="A14" s="754"/>
      <c r="D14" s="753" t="s">
        <v>2939</v>
      </c>
      <c r="F14" s="2660" t="str">
        <f>Overview!H8</f>
        <v>Stonecrest, DeKalb</v>
      </c>
    </row>
    <row r="15" spans="1:10" ht="15">
      <c r="A15" s="754"/>
      <c r="D15" s="753" t="s">
        <v>3303</v>
      </c>
      <c r="F15" s="4191">
        <f>Overview!$C$25</f>
        <v>6865000</v>
      </c>
      <c r="G15" s="4191"/>
      <c r="H15" s="4191"/>
    </row>
    <row r="16" spans="1:10" ht="15">
      <c r="A16" s="754"/>
      <c r="D16" s="756" t="s">
        <v>2940</v>
      </c>
      <c r="F16" s="757">
        <f>Overview!C13</f>
        <v>84</v>
      </c>
      <c r="G16" s="758" t="s">
        <v>3304</v>
      </c>
      <c r="H16" s="1559">
        <f>Overview!E13</f>
        <v>84</v>
      </c>
    </row>
    <row r="17" spans="1:18" ht="15">
      <c r="A17" s="754"/>
      <c r="D17" s="756" t="s">
        <v>2904</v>
      </c>
      <c r="F17" s="757" t="str">
        <f>Overview!C14</f>
        <v>Family</v>
      </c>
    </row>
    <row r="18" spans="1:18" ht="15">
      <c r="A18" s="754"/>
      <c r="D18" s="756" t="s">
        <v>3308</v>
      </c>
      <c r="F18" s="2660" t="str">
        <f>Overview!H15</f>
        <v>Urban</v>
      </c>
    </row>
    <row r="19" spans="1:18" ht="15">
      <c r="A19" s="754"/>
      <c r="D19" s="756" t="s">
        <v>3305</v>
      </c>
      <c r="F19" s="2660" t="str">
        <f>Overview!E16</f>
        <v>No</v>
      </c>
    </row>
    <row r="20" spans="1:18" ht="15">
      <c r="A20" s="754"/>
      <c r="D20" s="756"/>
    </row>
    <row r="21" spans="1:18" ht="15">
      <c r="A21" s="759" t="s">
        <v>2941</v>
      </c>
    </row>
    <row r="22" spans="1:18" ht="111.75" customHeight="1">
      <c r="A22" s="4198" t="s">
        <v>3499</v>
      </c>
      <c r="B22" s="4198"/>
      <c r="C22" s="4198"/>
      <c r="D22" s="4198"/>
      <c r="E22" s="4198"/>
      <c r="F22" s="4198"/>
      <c r="G22" s="4198"/>
      <c r="H22" s="4198"/>
      <c r="I22" s="4198"/>
      <c r="J22" s="4198"/>
      <c r="K22" s="4205" t="s">
        <v>5071</v>
      </c>
      <c r="L22" s="4205"/>
      <c r="M22" s="4205"/>
      <c r="N22" s="4205"/>
      <c r="O22" s="2666"/>
      <c r="P22" s="2666"/>
      <c r="Q22" s="2666"/>
      <c r="R22" s="2666"/>
    </row>
    <row r="23" spans="1:18" ht="0.75" hidden="1" customHeight="1">
      <c r="A23" s="2654"/>
      <c r="B23" s="2654"/>
      <c r="C23" s="2654"/>
      <c r="D23" s="2654"/>
      <c r="E23" s="2654"/>
      <c r="F23" s="2654"/>
      <c r="G23" s="2654"/>
      <c r="H23" s="2654"/>
      <c r="I23" s="2654"/>
      <c r="J23" s="2654"/>
    </row>
    <row r="24" spans="1:18" ht="9.75" hidden="1" customHeight="1">
      <c r="A24" s="4206"/>
      <c r="B24" s="4206"/>
      <c r="C24" s="4206"/>
      <c r="D24" s="4206"/>
      <c r="E24" s="4206"/>
      <c r="F24" s="4206"/>
      <c r="G24" s="4206"/>
      <c r="H24" s="4206"/>
      <c r="I24" s="4206"/>
      <c r="J24" s="4206"/>
    </row>
    <row r="25" spans="1:18" ht="10.5" hidden="1" customHeight="1">
      <c r="A25" s="4207"/>
      <c r="B25" s="4207"/>
      <c r="C25" s="4207"/>
      <c r="D25" s="4207"/>
      <c r="E25" s="4207"/>
      <c r="F25" s="4207"/>
      <c r="G25" s="4207"/>
      <c r="H25" s="4207"/>
      <c r="I25" s="4207"/>
      <c r="J25" s="4207"/>
    </row>
    <row r="26" spans="1:18" ht="15">
      <c r="A26" s="759" t="s">
        <v>2942</v>
      </c>
    </row>
    <row r="27" spans="1:18" ht="14.25" customHeight="1">
      <c r="A27" s="4208" t="s">
        <v>2943</v>
      </c>
      <c r="B27" s="4208"/>
      <c r="C27" s="4208"/>
      <c r="D27" s="4208"/>
      <c r="E27" s="4208"/>
      <c r="F27" s="4208"/>
      <c r="G27" s="4208"/>
      <c r="H27" s="4208"/>
      <c r="I27" s="4208"/>
      <c r="J27" s="4208"/>
    </row>
    <row r="28" spans="1:18" ht="14.25" customHeight="1">
      <c r="A28" s="4208"/>
      <c r="B28" s="4208"/>
      <c r="C28" s="4208"/>
      <c r="D28" s="4208"/>
      <c r="E28" s="4208"/>
      <c r="F28" s="4208"/>
      <c r="G28" s="4208"/>
      <c r="H28" s="4208"/>
      <c r="I28" s="4208"/>
      <c r="J28" s="4208"/>
    </row>
    <row r="29" spans="1:18" ht="6.75" customHeight="1">
      <c r="A29" s="4208"/>
      <c r="B29" s="4208"/>
      <c r="C29" s="4208"/>
      <c r="D29" s="4208"/>
      <c r="E29" s="4208"/>
      <c r="F29" s="4208"/>
      <c r="G29" s="4208"/>
      <c r="H29" s="4208"/>
      <c r="I29" s="4208"/>
      <c r="J29" s="4208"/>
    </row>
    <row r="30" spans="1:18" ht="14.25" customHeight="1">
      <c r="A30" s="4208"/>
      <c r="B30" s="4208"/>
      <c r="C30" s="4208"/>
      <c r="D30" s="4208"/>
      <c r="E30" s="4208"/>
      <c r="F30" s="4208"/>
      <c r="G30" s="4208"/>
      <c r="H30" s="4208"/>
      <c r="I30" s="4208"/>
      <c r="J30" s="4208"/>
    </row>
    <row r="31" spans="1:18" ht="14.25" customHeight="1">
      <c r="A31" s="4208"/>
      <c r="B31" s="4208"/>
      <c r="C31" s="4208"/>
      <c r="D31" s="4208"/>
      <c r="E31" s="4208"/>
      <c r="F31" s="4208"/>
      <c r="G31" s="4208"/>
      <c r="H31" s="4208"/>
      <c r="I31" s="4208"/>
      <c r="J31" s="4208"/>
    </row>
    <row r="32" spans="1:18" ht="54.75" customHeight="1">
      <c r="A32" s="4208"/>
      <c r="B32" s="4208"/>
      <c r="C32" s="4208"/>
      <c r="D32" s="4208"/>
      <c r="E32" s="4208"/>
      <c r="F32" s="4208"/>
      <c r="G32" s="4208"/>
      <c r="H32" s="4208"/>
      <c r="I32" s="4208"/>
      <c r="J32" s="4208"/>
    </row>
    <row r="33" spans="1:10" ht="0.75" hidden="1" customHeight="1">
      <c r="A33" s="4208"/>
      <c r="B33" s="4208"/>
      <c r="C33" s="4208"/>
      <c r="D33" s="4208"/>
      <c r="E33" s="4208"/>
      <c r="F33" s="4208"/>
      <c r="G33" s="4208"/>
      <c r="H33" s="4208"/>
      <c r="I33" s="4208"/>
      <c r="J33" s="4208"/>
    </row>
    <row r="34" spans="1:10" ht="3.75" hidden="1" customHeight="1">
      <c r="A34" s="4208"/>
      <c r="B34" s="4208"/>
      <c r="C34" s="4208"/>
      <c r="D34" s="4208"/>
      <c r="E34" s="4208"/>
      <c r="F34" s="4208"/>
      <c r="G34" s="4208"/>
      <c r="H34" s="4208"/>
      <c r="I34" s="4208"/>
      <c r="J34" s="4208"/>
    </row>
    <row r="35" spans="1:10" ht="5.25" customHeight="1">
      <c r="A35" s="2656"/>
      <c r="B35" s="2656"/>
      <c r="C35" s="2656"/>
      <c r="D35" s="2656"/>
      <c r="E35" s="2656"/>
      <c r="F35" s="2656"/>
      <c r="G35" s="2656"/>
      <c r="H35" s="2656"/>
      <c r="I35" s="2656"/>
      <c r="J35" s="2656"/>
    </row>
    <row r="36" spans="1:10" ht="19.5" customHeight="1">
      <c r="A36" s="4206" t="s">
        <v>2944</v>
      </c>
      <c r="B36" s="4206"/>
      <c r="C36" s="4206"/>
      <c r="D36" s="2654"/>
      <c r="E36" s="2654"/>
      <c r="F36" s="2654"/>
      <c r="G36" s="2654"/>
      <c r="H36" s="2654"/>
      <c r="I36" s="2654"/>
      <c r="J36" s="2654"/>
    </row>
    <row r="37" spans="1:10" ht="15" customHeight="1">
      <c r="A37" s="4175"/>
      <c r="B37" s="4175"/>
      <c r="C37" s="4175"/>
      <c r="D37" s="4175"/>
      <c r="E37" s="4175"/>
      <c r="F37" s="4175"/>
      <c r="G37" s="4175"/>
      <c r="H37" s="4175"/>
      <c r="I37" s="4175"/>
      <c r="J37" s="4175"/>
    </row>
    <row r="38" spans="1:10" ht="33.75" customHeight="1">
      <c r="A38" s="4175"/>
      <c r="B38" s="4175"/>
      <c r="C38" s="4175"/>
      <c r="D38" s="4175"/>
      <c r="E38" s="4175"/>
      <c r="F38" s="4175"/>
      <c r="G38" s="4175"/>
      <c r="H38" s="4175"/>
      <c r="I38" s="4175"/>
      <c r="J38" s="4175"/>
    </row>
    <row r="39" spans="1:10" ht="2.25" customHeight="1">
      <c r="A39" s="2654"/>
      <c r="B39" s="2654"/>
      <c r="C39" s="2654"/>
      <c r="D39" s="2654"/>
      <c r="E39" s="2654"/>
      <c r="F39" s="2654"/>
      <c r="G39" s="2654"/>
      <c r="H39" s="2654"/>
      <c r="I39" s="2654"/>
      <c r="J39" s="2654"/>
    </row>
    <row r="40" spans="1:10" ht="15">
      <c r="A40" s="759" t="s">
        <v>2945</v>
      </c>
    </row>
    <row r="41" spans="1:10" ht="135" customHeight="1">
      <c r="A41" s="4207" t="s">
        <v>5068</v>
      </c>
      <c r="B41" s="4207"/>
      <c r="C41" s="4207"/>
      <c r="D41" s="4207"/>
      <c r="E41" s="4207"/>
      <c r="F41" s="4207"/>
      <c r="G41" s="4207"/>
      <c r="H41" s="4207"/>
      <c r="I41" s="4207"/>
      <c r="J41" s="4207"/>
    </row>
    <row r="42" spans="1:10" ht="6" customHeight="1">
      <c r="A42" s="2655"/>
      <c r="B42" s="2655"/>
      <c r="C42" s="2655"/>
      <c r="D42" s="2655"/>
      <c r="E42" s="2655"/>
      <c r="F42" s="2655"/>
      <c r="G42" s="2655"/>
      <c r="H42" s="2655"/>
      <c r="I42" s="2655"/>
      <c r="J42" s="2655"/>
    </row>
    <row r="43" spans="1:10" ht="15">
      <c r="A43" s="759" t="s">
        <v>2946</v>
      </c>
    </row>
    <row r="44" spans="1:10" ht="33" customHeight="1">
      <c r="A44" s="4175" t="s">
        <v>4248</v>
      </c>
      <c r="B44" s="4177"/>
      <c r="C44" s="4177"/>
      <c r="D44" s="4177"/>
      <c r="E44" s="4177"/>
      <c r="F44" s="4177"/>
      <c r="G44" s="4177"/>
      <c r="H44" s="4177"/>
      <c r="I44" s="4177"/>
      <c r="J44" s="4175"/>
    </row>
    <row r="45" spans="1:10" ht="3" customHeight="1"/>
    <row r="46" spans="1:10" ht="72.75" customHeight="1">
      <c r="A46" s="4175" t="s">
        <v>4249</v>
      </c>
      <c r="B46" s="4175"/>
      <c r="C46" s="4175"/>
      <c r="D46" s="4175"/>
      <c r="E46" s="4175"/>
      <c r="F46" s="4175"/>
      <c r="G46" s="4175"/>
      <c r="H46" s="4175"/>
      <c r="I46" s="4175"/>
      <c r="J46" s="4175"/>
    </row>
    <row r="47" spans="1:10" ht="3" customHeight="1">
      <c r="A47" s="2654"/>
      <c r="B47" s="2654"/>
      <c r="C47" s="2654"/>
      <c r="D47" s="2654"/>
      <c r="E47" s="2654"/>
      <c r="F47" s="2654"/>
      <c r="G47" s="2654"/>
      <c r="H47" s="2654"/>
      <c r="I47" s="2654"/>
      <c r="J47" s="2654"/>
    </row>
    <row r="48" spans="1:10" ht="56.25" customHeight="1">
      <c r="A48" s="4175" t="s">
        <v>4250</v>
      </c>
      <c r="B48" s="4175"/>
      <c r="C48" s="4175"/>
      <c r="D48" s="4175"/>
      <c r="E48" s="4175"/>
      <c r="F48" s="4175"/>
      <c r="G48" s="4175"/>
      <c r="H48" s="4175"/>
      <c r="I48" s="4175"/>
      <c r="J48" s="4175"/>
    </row>
    <row r="49" spans="1:17" ht="3" customHeight="1">
      <c r="A49" s="2654"/>
      <c r="B49" s="2654"/>
      <c r="C49" s="2654"/>
      <c r="D49" s="2654"/>
      <c r="E49" s="2654"/>
      <c r="F49" s="2654"/>
      <c r="G49" s="2654"/>
      <c r="H49" s="2654"/>
      <c r="I49" s="2654"/>
      <c r="J49" s="2654"/>
    </row>
    <row r="50" spans="1:17" ht="49.5" customHeight="1">
      <c r="A50" s="4175" t="s">
        <v>4251</v>
      </c>
      <c r="B50" s="4175"/>
      <c r="C50" s="4175"/>
      <c r="D50" s="4175"/>
      <c r="E50" s="4175"/>
      <c r="F50" s="4175"/>
      <c r="G50" s="4175"/>
      <c r="H50" s="4175"/>
      <c r="I50" s="4175"/>
      <c r="J50" s="2654"/>
    </row>
    <row r="51" spans="1:17" ht="3" customHeight="1">
      <c r="A51" s="2654"/>
      <c r="B51" s="2654"/>
      <c r="C51" s="2654"/>
      <c r="D51" s="2654"/>
      <c r="E51" s="2654"/>
      <c r="F51" s="2654"/>
      <c r="G51" s="2654"/>
      <c r="H51" s="2654"/>
      <c r="I51" s="2654"/>
      <c r="J51" s="2654"/>
    </row>
    <row r="52" spans="1:17" ht="54.75" customHeight="1">
      <c r="A52" s="4197" t="s">
        <v>3313</v>
      </c>
      <c r="B52" s="4195"/>
      <c r="C52" s="4195"/>
      <c r="D52" s="4195"/>
      <c r="E52" s="4195"/>
      <c r="F52" s="4195"/>
      <c r="G52" s="4195"/>
      <c r="H52" s="4195"/>
      <c r="I52" s="4195"/>
      <c r="J52" s="2654"/>
    </row>
    <row r="53" spans="1:17" ht="3" customHeight="1">
      <c r="A53" s="2654"/>
      <c r="B53" s="2654"/>
      <c r="C53" s="2654"/>
      <c r="D53" s="2654"/>
      <c r="E53" s="2654"/>
      <c r="F53" s="2654"/>
      <c r="G53" s="2654"/>
      <c r="H53" s="2654"/>
      <c r="I53" s="2654"/>
      <c r="J53" s="2654"/>
    </row>
    <row r="54" spans="1:17" ht="62.25" customHeight="1">
      <c r="A54" s="4195" t="s">
        <v>4252</v>
      </c>
      <c r="B54" s="4195"/>
      <c r="C54" s="4195"/>
      <c r="D54" s="4195"/>
      <c r="E54" s="4195"/>
      <c r="F54" s="4195"/>
      <c r="G54" s="4195"/>
      <c r="H54" s="4195"/>
      <c r="I54" s="4195"/>
      <c r="J54" s="4195"/>
    </row>
    <row r="55" spans="1:17" ht="3" customHeight="1"/>
    <row r="56" spans="1:17" ht="73.5" customHeight="1">
      <c r="A56" s="4175" t="s">
        <v>4253</v>
      </c>
      <c r="B56" s="4175"/>
      <c r="C56" s="4175"/>
      <c r="D56" s="4175"/>
      <c r="E56" s="4175"/>
      <c r="F56" s="4175"/>
      <c r="G56" s="4175"/>
      <c r="H56" s="4175"/>
      <c r="I56" s="4175"/>
      <c r="J56" s="4175"/>
    </row>
    <row r="57" spans="1:17" ht="6" customHeight="1">
      <c r="A57" s="2654" t="s">
        <v>243</v>
      </c>
      <c r="B57" s="2654"/>
      <c r="C57" s="2654"/>
      <c r="D57" s="2654"/>
      <c r="E57" s="2654"/>
      <c r="F57" s="2654"/>
      <c r="G57" s="2654"/>
      <c r="H57" s="2654"/>
      <c r="I57" s="2654"/>
      <c r="J57" s="2654"/>
    </row>
    <row r="58" spans="1:17" ht="15">
      <c r="A58" s="759" t="s">
        <v>2949</v>
      </c>
      <c r="L58" s="760" t="s">
        <v>3491</v>
      </c>
    </row>
    <row r="59" spans="1:17" ht="73.5" customHeight="1">
      <c r="A59" s="4198" t="s">
        <v>2950</v>
      </c>
      <c r="B59" s="4198"/>
      <c r="C59" s="4198"/>
      <c r="D59" s="4198"/>
      <c r="E59" s="4198"/>
      <c r="F59" s="4198"/>
      <c r="G59" s="4198"/>
      <c r="H59" s="4198"/>
      <c r="I59" s="4198"/>
      <c r="J59" s="4198"/>
      <c r="L59" s="761">
        <f>'Closing term sheet'!C133</f>
        <v>977940.5</v>
      </c>
      <c r="M59" s="762"/>
      <c r="N59" s="762"/>
      <c r="O59" s="762"/>
    </row>
    <row r="60" spans="1:17" ht="7.5" customHeight="1">
      <c r="A60" s="2654"/>
      <c r="B60" s="2654"/>
      <c r="C60" s="2654"/>
      <c r="D60" s="2654"/>
      <c r="E60" s="2654"/>
      <c r="F60" s="2654"/>
      <c r="G60" s="2654"/>
      <c r="H60" s="2654"/>
      <c r="I60" s="2654"/>
      <c r="J60" s="2654"/>
      <c r="L60" s="763" t="s">
        <v>3492</v>
      </c>
      <c r="M60" s="764" t="s">
        <v>3497</v>
      </c>
      <c r="N60" s="765" t="s">
        <v>3494</v>
      </c>
      <c r="O60" s="763" t="s">
        <v>3493</v>
      </c>
      <c r="P60" s="764" t="s">
        <v>3496</v>
      </c>
      <c r="Q60" s="765" t="s">
        <v>3495</v>
      </c>
    </row>
    <row r="61" spans="1:17" ht="78.75" customHeight="1">
      <c r="A61" s="4195" t="s">
        <v>3390</v>
      </c>
      <c r="B61" s="4195"/>
      <c r="C61" s="4195"/>
      <c r="D61" s="4195"/>
      <c r="E61" s="4195"/>
      <c r="F61" s="4195"/>
      <c r="G61" s="4195"/>
      <c r="H61" s="4195"/>
      <c r="I61" s="4195"/>
      <c r="J61" s="766"/>
      <c r="L61" s="767">
        <f>'Part III-Sources of Funds'!I49</f>
        <v>6138539</v>
      </c>
      <c r="M61" s="768">
        <f>'Part IV-A-Uses of Funds'!$J$175</f>
        <v>660058</v>
      </c>
      <c r="N61" s="769">
        <f>'Part IV-A-Uses of Funds'!N168</f>
        <v>0.93</v>
      </c>
      <c r="O61" s="767">
        <f>'Part III-Sources of Funds'!I50</f>
        <v>4191368</v>
      </c>
      <c r="P61" s="768">
        <f>M61</f>
        <v>660058</v>
      </c>
      <c r="Q61" s="769">
        <f>'Part IV-A-Uses of Funds'!Q168</f>
        <v>0.63500000000000001</v>
      </c>
    </row>
    <row r="62" spans="1:17" ht="18.75" customHeight="1">
      <c r="A62" s="770" t="s">
        <v>2951</v>
      </c>
    </row>
    <row r="63" spans="1:17" ht="159.75" customHeight="1">
      <c r="A63" s="4195" t="s">
        <v>4254</v>
      </c>
      <c r="B63" s="4195"/>
      <c r="C63" s="4195"/>
      <c r="D63" s="4195"/>
      <c r="E63" s="4195"/>
      <c r="F63" s="4195"/>
      <c r="G63" s="4195"/>
      <c r="H63" s="4195"/>
      <c r="I63" s="4195"/>
      <c r="J63" s="4195"/>
      <c r="L63" s="771">
        <f>'Part VII-Pro Forma'!K71</f>
        <v>4219707.03103186</v>
      </c>
      <c r="M63" s="4199" t="s">
        <v>3498</v>
      </c>
      <c r="N63" s="4200"/>
    </row>
    <row r="64" spans="1:17" ht="6" customHeight="1">
      <c r="A64" s="759"/>
    </row>
    <row r="65" spans="1:10" ht="15">
      <c r="A65" s="759" t="s">
        <v>2952</v>
      </c>
    </row>
    <row r="66" spans="1:10" ht="66.75" customHeight="1">
      <c r="A66" s="4195" t="s">
        <v>2953</v>
      </c>
      <c r="B66" s="4195"/>
      <c r="C66" s="4195"/>
      <c r="D66" s="4195"/>
      <c r="E66" s="4195"/>
      <c r="F66" s="4195"/>
      <c r="G66" s="4195"/>
      <c r="H66" s="4195"/>
      <c r="I66" s="4195"/>
      <c r="J66" s="4195"/>
    </row>
    <row r="67" spans="1:10" ht="36" customHeight="1">
      <c r="A67" s="4195" t="s">
        <v>2954</v>
      </c>
      <c r="B67" s="4195"/>
      <c r="C67" s="4195"/>
      <c r="D67" s="4195"/>
      <c r="E67" s="4195"/>
      <c r="F67" s="4195"/>
      <c r="G67" s="4195"/>
      <c r="H67" s="4195"/>
      <c r="I67" s="4195"/>
      <c r="J67" s="4195"/>
    </row>
    <row r="68" spans="1:10" ht="6" customHeight="1">
      <c r="A68" s="759"/>
    </row>
    <row r="69" spans="1:10" ht="15">
      <c r="A69" s="759" t="s">
        <v>2955</v>
      </c>
    </row>
    <row r="70" spans="1:10" ht="105.75" customHeight="1">
      <c r="A70" s="4175" t="s">
        <v>2956</v>
      </c>
      <c r="B70" s="4175"/>
      <c r="C70" s="4175"/>
      <c r="D70" s="4175"/>
      <c r="E70" s="4175"/>
      <c r="F70" s="4175"/>
      <c r="G70" s="4175"/>
      <c r="H70" s="4175"/>
      <c r="I70" s="4175"/>
      <c r="J70" s="4175"/>
    </row>
    <row r="71" spans="1:10" ht="6" customHeight="1">
      <c r="A71" s="759"/>
    </row>
    <row r="72" spans="1:10" ht="15">
      <c r="A72" s="759" t="s">
        <v>2957</v>
      </c>
    </row>
    <row r="73" spans="1:10" ht="66" customHeight="1">
      <c r="A73" s="4175" t="s">
        <v>2958</v>
      </c>
      <c r="B73" s="4175"/>
      <c r="C73" s="4175"/>
      <c r="D73" s="4175"/>
      <c r="E73" s="4175"/>
      <c r="F73" s="4175"/>
      <c r="G73" s="4175"/>
      <c r="H73" s="4175"/>
      <c r="I73" s="4175"/>
      <c r="J73" s="4175"/>
    </row>
    <row r="74" spans="1:10" s="2656" customFormat="1" ht="6" customHeight="1">
      <c r="A74" s="4175"/>
      <c r="B74" s="4175"/>
      <c r="C74" s="4175"/>
      <c r="D74" s="4175"/>
      <c r="E74" s="4175"/>
      <c r="F74" s="4175"/>
      <c r="G74" s="4175"/>
      <c r="H74" s="4175"/>
      <c r="I74" s="4175"/>
      <c r="J74" s="4175"/>
    </row>
    <row r="75" spans="1:10" ht="16.5" customHeight="1">
      <c r="A75" s="2658" t="s">
        <v>2959</v>
      </c>
      <c r="B75" s="758"/>
      <c r="C75" s="758"/>
      <c r="D75" s="2660"/>
      <c r="E75" s="758"/>
      <c r="F75" s="758"/>
      <c r="G75" s="758"/>
      <c r="H75" s="758"/>
      <c r="I75" s="758"/>
      <c r="J75" s="772"/>
    </row>
    <row r="76" spans="1:10" s="2656" customFormat="1" ht="63" customHeight="1">
      <c r="A76" s="4175" t="s">
        <v>4465</v>
      </c>
      <c r="B76" s="4175"/>
      <c r="C76" s="4175"/>
      <c r="D76" s="4175"/>
      <c r="E76" s="4175"/>
      <c r="F76" s="4175"/>
      <c r="G76" s="4175"/>
      <c r="H76" s="4175"/>
      <c r="I76" s="4175"/>
      <c r="J76" s="4175"/>
    </row>
    <row r="77" spans="1:10" s="2656" customFormat="1" ht="6" customHeight="1">
      <c r="A77" s="2654"/>
      <c r="B77" s="2654"/>
      <c r="C77" s="2654"/>
      <c r="D77" s="2654"/>
      <c r="E77" s="2654"/>
      <c r="F77" s="2654"/>
      <c r="G77" s="2654"/>
      <c r="H77" s="2654"/>
      <c r="I77" s="2654"/>
      <c r="J77" s="2654"/>
    </row>
    <row r="78" spans="1:10" ht="16.5" customHeight="1">
      <c r="A78" s="4202" t="s">
        <v>2960</v>
      </c>
      <c r="B78" s="4203"/>
      <c r="C78" s="4203"/>
      <c r="D78" s="758"/>
      <c r="E78" s="758"/>
      <c r="F78" s="758"/>
      <c r="G78" s="758"/>
      <c r="H78" s="758"/>
      <c r="I78" s="758"/>
      <c r="J78" s="772"/>
    </row>
    <row r="79" spans="1:10" ht="41.25" customHeight="1">
      <c r="A79" s="4195" t="s">
        <v>4255</v>
      </c>
      <c r="B79" s="4204"/>
      <c r="C79" s="4204"/>
      <c r="D79" s="4204"/>
      <c r="E79" s="4204"/>
      <c r="F79" s="4204"/>
      <c r="G79" s="4204"/>
      <c r="H79" s="4204"/>
      <c r="I79" s="4204"/>
      <c r="J79" s="4204"/>
    </row>
    <row r="80" spans="1:10" ht="6" customHeight="1">
      <c r="A80" s="773"/>
      <c r="B80" s="758"/>
      <c r="C80" s="758"/>
      <c r="D80" s="758"/>
      <c r="E80" s="758"/>
      <c r="F80" s="758"/>
      <c r="G80" s="758"/>
      <c r="H80" s="758"/>
      <c r="I80" s="758"/>
      <c r="J80" s="772"/>
    </row>
    <row r="81" spans="1:15" ht="15">
      <c r="A81" s="759" t="s">
        <v>2961</v>
      </c>
    </row>
    <row r="82" spans="1:15" ht="139.5" customHeight="1">
      <c r="A82" s="4195" t="s">
        <v>2962</v>
      </c>
      <c r="B82" s="4195"/>
      <c r="C82" s="4195"/>
      <c r="D82" s="4195"/>
      <c r="E82" s="4195"/>
      <c r="F82" s="4195"/>
      <c r="G82" s="4195"/>
      <c r="H82" s="4195"/>
      <c r="I82" s="4195"/>
      <c r="J82" s="4195"/>
      <c r="L82" s="4205" t="s">
        <v>2963</v>
      </c>
      <c r="M82" s="4205"/>
      <c r="N82" s="4205"/>
    </row>
    <row r="83" spans="1:15" ht="6" customHeight="1">
      <c r="A83" s="2657"/>
      <c r="B83" s="2657"/>
      <c r="C83" s="2657"/>
      <c r="D83" s="2657"/>
      <c r="E83" s="2657"/>
      <c r="F83" s="2657"/>
      <c r="G83" s="2657"/>
      <c r="H83" s="2657"/>
      <c r="I83" s="2657"/>
      <c r="J83" s="2657"/>
      <c r="L83" s="2659"/>
      <c r="M83" s="2659"/>
      <c r="N83" s="2659"/>
    </row>
    <row r="84" spans="1:15" ht="17.25" customHeight="1">
      <c r="A84" s="759" t="s">
        <v>2964</v>
      </c>
    </row>
    <row r="85" spans="1:15" ht="111" customHeight="1">
      <c r="A85" s="4195" t="s">
        <v>2965</v>
      </c>
      <c r="B85" s="4195"/>
      <c r="C85" s="4195"/>
      <c r="D85" s="4195"/>
      <c r="E85" s="4195"/>
      <c r="F85" s="4195"/>
      <c r="G85" s="4195"/>
      <c r="H85" s="4195"/>
      <c r="I85" s="4195"/>
      <c r="J85" s="4195"/>
      <c r="L85" s="4205" t="s">
        <v>2966</v>
      </c>
      <c r="M85" s="4205"/>
      <c r="N85" s="774" t="e">
        <f>'After-Tax Analysis'!G66</f>
        <v>#VALUE!</v>
      </c>
      <c r="O85" s="775" t="s">
        <v>2967</v>
      </c>
    </row>
    <row r="86" spans="1:15" ht="6" customHeight="1">
      <c r="A86" s="759"/>
    </row>
    <row r="87" spans="1:15" ht="15">
      <c r="A87" s="759" t="s">
        <v>2968</v>
      </c>
    </row>
    <row r="88" spans="1:15" ht="118.5" customHeight="1">
      <c r="A88" s="4175" t="s">
        <v>2969</v>
      </c>
      <c r="B88" s="4175"/>
      <c r="C88" s="4175"/>
      <c r="D88" s="4175"/>
      <c r="E88" s="4175"/>
      <c r="F88" s="4175"/>
      <c r="G88" s="4175"/>
      <c r="H88" s="4175"/>
      <c r="I88" s="4175"/>
      <c r="J88" s="4175"/>
    </row>
    <row r="89" spans="1:15" ht="20.25" customHeight="1">
      <c r="A89" s="4177" t="s">
        <v>2970</v>
      </c>
      <c r="B89" s="4177"/>
      <c r="C89" s="4177"/>
      <c r="D89" s="4175"/>
      <c r="E89" s="2654"/>
      <c r="F89" s="2654"/>
      <c r="G89" s="2654"/>
      <c r="H89" s="2654"/>
      <c r="I89" s="2654"/>
      <c r="J89" s="2654"/>
    </row>
    <row r="90" spans="1:15" ht="109.5" customHeight="1">
      <c r="A90" s="4193" t="s">
        <v>2971</v>
      </c>
      <c r="B90" s="4194"/>
      <c r="C90" s="4194"/>
      <c r="D90" s="4194"/>
      <c r="E90" s="4194"/>
      <c r="F90" s="4194"/>
      <c r="G90" s="4194"/>
      <c r="H90" s="4194"/>
      <c r="I90" s="4194"/>
      <c r="J90" s="4194"/>
    </row>
    <row r="91" spans="1:15" ht="11.25" customHeight="1">
      <c r="A91" s="759"/>
    </row>
    <row r="92" spans="1:15" ht="15">
      <c r="A92" s="759" t="s">
        <v>2972</v>
      </c>
    </row>
    <row r="93" spans="1:15" ht="122.25" customHeight="1">
      <c r="A93" s="4198" t="s">
        <v>2973</v>
      </c>
      <c r="B93" s="4198"/>
      <c r="C93" s="4198"/>
      <c r="D93" s="4198"/>
      <c r="E93" s="4198"/>
      <c r="F93" s="4198"/>
      <c r="G93" s="4198"/>
      <c r="H93" s="4198"/>
      <c r="I93" s="4198"/>
      <c r="J93" s="4198"/>
      <c r="L93" s="1564">
        <f>'Part VII-Pro Forma'!K71</f>
        <v>4219707.03103186</v>
      </c>
      <c r="M93" s="4201" t="s">
        <v>2974</v>
      </c>
      <c r="N93" s="4201"/>
    </row>
    <row r="94" spans="1:15" ht="11.25" hidden="1" customHeight="1">
      <c r="A94" s="2654"/>
      <c r="B94" s="2654"/>
      <c r="C94" s="2654"/>
      <c r="D94" s="2654"/>
      <c r="E94" s="2654"/>
      <c r="F94" s="2654"/>
      <c r="G94" s="2654"/>
      <c r="H94" s="2654"/>
      <c r="I94" s="2654"/>
      <c r="J94" s="2654"/>
    </row>
    <row r="95" spans="1:15" ht="12" hidden="1" customHeight="1">
      <c r="A95" s="2654"/>
      <c r="B95" s="2654"/>
      <c r="C95" s="2654"/>
      <c r="D95" s="2654"/>
      <c r="E95" s="2654"/>
      <c r="F95" s="2654"/>
      <c r="G95" s="2654"/>
      <c r="H95" s="2654"/>
      <c r="I95" s="2654"/>
      <c r="J95" s="772"/>
    </row>
    <row r="96" spans="1:15" ht="6" customHeight="1">
      <c r="A96" s="2654"/>
      <c r="B96" s="2654"/>
      <c r="C96" s="2654"/>
      <c r="D96" s="2654"/>
      <c r="E96" s="2654"/>
      <c r="F96" s="2654"/>
      <c r="G96" s="2654"/>
      <c r="H96" s="2654"/>
      <c r="I96" s="2654"/>
      <c r="J96" s="772"/>
    </row>
    <row r="97" spans="1:10" ht="17.25" customHeight="1">
      <c r="A97" s="4177" t="s">
        <v>2975</v>
      </c>
      <c r="B97" s="4177"/>
      <c r="C97" s="4177"/>
      <c r="D97" s="2654"/>
      <c r="E97" s="2654"/>
      <c r="F97" s="2654"/>
      <c r="G97" s="2654"/>
      <c r="H97" s="2654"/>
      <c r="I97" s="2654"/>
      <c r="J97" s="772"/>
    </row>
    <row r="98" spans="1:10" ht="37.5" customHeight="1">
      <c r="A98" s="4195" t="s">
        <v>2976</v>
      </c>
      <c r="B98" s="4195"/>
      <c r="C98" s="4195"/>
      <c r="D98" s="4195"/>
      <c r="E98" s="4195"/>
      <c r="F98" s="4195"/>
      <c r="G98" s="4195"/>
      <c r="H98" s="4195"/>
      <c r="I98" s="4195"/>
      <c r="J98" s="4195"/>
    </row>
    <row r="99" spans="1:10" ht="6" customHeight="1">
      <c r="A99" s="759"/>
    </row>
    <row r="100" spans="1:10" ht="15">
      <c r="A100" s="759" t="s">
        <v>2977</v>
      </c>
    </row>
    <row r="101" spans="1:10" ht="43.5" customHeight="1">
      <c r="A101" s="4175" t="s">
        <v>2978</v>
      </c>
      <c r="B101" s="4175"/>
      <c r="C101" s="4175"/>
      <c r="D101" s="4175"/>
      <c r="E101" s="4175"/>
      <c r="F101" s="4175"/>
      <c r="G101" s="4175"/>
      <c r="H101" s="4175"/>
      <c r="I101" s="4175"/>
      <c r="J101" s="4175"/>
    </row>
    <row r="102" spans="1:10" ht="6" customHeight="1">
      <c r="A102" s="2654"/>
      <c r="B102" s="2654"/>
      <c r="C102" s="2654"/>
      <c r="D102" s="2654"/>
      <c r="E102" s="2654"/>
      <c r="F102" s="2654"/>
      <c r="G102" s="2654"/>
      <c r="H102" s="2654"/>
      <c r="I102" s="2654"/>
      <c r="J102" s="2654"/>
    </row>
    <row r="103" spans="1:10" ht="15">
      <c r="A103" s="759" t="s">
        <v>2979</v>
      </c>
    </row>
    <row r="105" spans="1:10">
      <c r="A105" s="4196" t="s">
        <v>2980</v>
      </c>
      <c r="B105" s="4196"/>
      <c r="C105" s="4196"/>
      <c r="D105" s="4196"/>
      <c r="E105" s="4196"/>
      <c r="F105" s="4196"/>
      <c r="G105" s="4196"/>
      <c r="H105" s="4196"/>
      <c r="I105" s="4196"/>
      <c r="J105" s="4196"/>
    </row>
    <row r="107" spans="1:10" ht="15" thickBot="1">
      <c r="A107" s="776"/>
      <c r="B107" s="753" t="s">
        <v>2981</v>
      </c>
    </row>
    <row r="110" spans="1:10" ht="15" thickBot="1">
      <c r="A110" s="776"/>
      <c r="B110" s="753" t="s">
        <v>2982</v>
      </c>
    </row>
    <row r="112" spans="1:10">
      <c r="A112" s="753" t="s">
        <v>2983</v>
      </c>
    </row>
    <row r="115" spans="1:10" ht="15" thickBot="1">
      <c r="A115" s="776"/>
      <c r="B115" s="776"/>
      <c r="C115" s="776"/>
      <c r="D115" s="776"/>
      <c r="E115" s="776"/>
      <c r="H115" s="776"/>
      <c r="I115" s="776"/>
      <c r="J115" s="776"/>
    </row>
    <row r="116" spans="1:10">
      <c r="A116" s="4192" t="s">
        <v>5072</v>
      </c>
      <c r="B116" s="4192"/>
      <c r="C116" s="4192"/>
      <c r="D116" s="4192"/>
      <c r="E116" s="4192"/>
      <c r="H116" s="4192" t="s">
        <v>2984</v>
      </c>
      <c r="I116" s="4192"/>
      <c r="J116" s="4192"/>
    </row>
    <row r="118" spans="1:10" ht="15" thickBot="1">
      <c r="A118" s="753" t="s">
        <v>2985</v>
      </c>
      <c r="B118" s="776"/>
      <c r="C118" s="776"/>
      <c r="H118" s="753" t="s">
        <v>2985</v>
      </c>
      <c r="I118" s="776"/>
    </row>
    <row r="206" spans="1:1">
      <c r="A206" s="753"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53" customWidth="1"/>
    <col min="2" max="2" width="1.85546875" style="753" customWidth="1"/>
    <col min="3" max="3" width="13" style="753" customWidth="1"/>
    <col min="4" max="4" width="11.140625" style="753" customWidth="1"/>
    <col min="5" max="5" width="14.85546875" style="753" customWidth="1"/>
    <col min="6" max="6" width="15.140625" style="753" customWidth="1"/>
    <col min="7" max="7" width="11.85546875" style="753" customWidth="1"/>
    <col min="8" max="8" width="11.42578125" style="753" customWidth="1"/>
    <col min="9" max="9" width="10.5703125" style="753" customWidth="1"/>
    <col min="10" max="10" width="6" style="753" customWidth="1"/>
    <col min="11" max="11" width="12.85546875" style="753" customWidth="1"/>
    <col min="12" max="12" width="10.85546875" style="753" customWidth="1"/>
    <col min="13" max="13" width="26.140625" style="753" customWidth="1"/>
    <col min="14" max="14" width="9.140625" style="753"/>
    <col min="15" max="15" width="12.42578125" style="753" customWidth="1"/>
    <col min="16" max="16" width="9.140625" style="753"/>
    <col min="17" max="17" width="11.85546875" style="753" bestFit="1" customWidth="1"/>
    <col min="18" max="16384" width="9.140625" style="753"/>
  </cols>
  <sheetData>
    <row r="1" spans="1:15" ht="13.5" customHeight="1">
      <c r="A1" s="754" t="s">
        <v>3046</v>
      </c>
      <c r="B1" s="838"/>
      <c r="C1" s="753" t="str">
        <f>Overview!C8</f>
        <v>Stone Terrace Phase II</v>
      </c>
    </row>
    <row r="2" spans="1:15" ht="13.5" customHeight="1"/>
    <row r="3" spans="1:15" ht="13.5" customHeight="1">
      <c r="A3" s="754" t="s">
        <v>3047</v>
      </c>
      <c r="C3" s="753" t="s">
        <v>3048</v>
      </c>
      <c r="E3" s="839">
        <f>SUM('Part IV-A-Uses of Funds'!J149,'Part IV-A-Uses of Funds'!M149,'Part IV-A-Uses of Funds'!P149)</f>
        <v>15966588</v>
      </c>
      <c r="F3" s="2185" t="s">
        <v>3049</v>
      </c>
      <c r="H3" s="1612">
        <v>27.5</v>
      </c>
      <c r="I3" s="753" t="s">
        <v>2469</v>
      </c>
      <c r="K3" s="758" t="s">
        <v>3070</v>
      </c>
      <c r="M3" s="2185"/>
      <c r="O3" s="840"/>
    </row>
    <row r="4" spans="1:15" ht="13.5" customHeight="1">
      <c r="C4" s="753" t="s">
        <v>3556</v>
      </c>
      <c r="E4" s="839">
        <f>SUM('Part IV-A-Uses of Funds'!G85:H89)</f>
        <v>725708</v>
      </c>
      <c r="F4" s="2185" t="s">
        <v>4467</v>
      </c>
      <c r="H4" s="754">
        <f>'Part III-Sources of Funds'!M38</f>
        <v>35</v>
      </c>
      <c r="I4" s="753" t="s">
        <v>2469</v>
      </c>
      <c r="K4" s="841" t="s">
        <v>3314</v>
      </c>
      <c r="M4" s="2185"/>
    </row>
    <row r="5" spans="1:15" ht="13.5" customHeight="1">
      <c r="C5" s="753" t="s">
        <v>3557</v>
      </c>
      <c r="E5" s="839">
        <f>SUM('Part IV-A-Uses of Funds'!G96:H102)</f>
        <v>126505</v>
      </c>
      <c r="F5" s="2185" t="s">
        <v>4466</v>
      </c>
      <c r="H5" s="1612">
        <v>15</v>
      </c>
      <c r="I5" s="753" t="s">
        <v>2469</v>
      </c>
      <c r="K5" s="840">
        <f>-E6</f>
        <v>-10329907</v>
      </c>
    </row>
    <row r="6" spans="1:15" ht="13.5" customHeight="1">
      <c r="C6" s="753" t="s">
        <v>3050</v>
      </c>
      <c r="E6" s="842">
        <f>'Part III-Sources of Funds'!$I$49+'Part III-Sources of Funds'!$I$50</f>
        <v>10329907</v>
      </c>
      <c r="F6" s="2185" t="s">
        <v>3051</v>
      </c>
      <c r="H6" s="843">
        <v>0.35</v>
      </c>
      <c r="K6" s="840" t="e">
        <f>C24</f>
        <v>#VALUE!</v>
      </c>
      <c r="M6" s="753" t="s">
        <v>3052</v>
      </c>
      <c r="O6" s="844">
        <f>Overview!K32</f>
        <v>0</v>
      </c>
    </row>
    <row r="7" spans="1:15" ht="13.5" customHeight="1">
      <c r="K7" s="840" t="e">
        <f>D24</f>
        <v>#VALUE!</v>
      </c>
      <c r="O7" s="845"/>
    </row>
    <row r="8" spans="1:15" ht="13.5" customHeight="1">
      <c r="A8" s="754" t="s">
        <v>2480</v>
      </c>
      <c r="C8" s="846">
        <v>1</v>
      </c>
      <c r="D8" s="846">
        <v>2</v>
      </c>
      <c r="E8" s="846">
        <v>3</v>
      </c>
      <c r="F8" s="846">
        <v>4</v>
      </c>
      <c r="G8" s="846">
        <v>5</v>
      </c>
      <c r="H8" s="846">
        <v>6</v>
      </c>
      <c r="I8" s="846">
        <v>7</v>
      </c>
      <c r="K8" s="840" t="e">
        <f>E24</f>
        <v>#VALUE!</v>
      </c>
      <c r="M8" s="753" t="s">
        <v>3053</v>
      </c>
      <c r="O8" s="1570" t="e">
        <f>'Part VII-Pro Forma'!$K$71+'Part VII-Pro Forma'!$K$72+'Part VII-Pro Forma'!$K$73</f>
        <v>#VALUE!</v>
      </c>
    </row>
    <row r="9" spans="1:15" ht="13.5" customHeight="1">
      <c r="A9" s="753" t="s">
        <v>3054</v>
      </c>
      <c r="C9" s="847">
        <f>'Part VII-Pro Forma'!B32</f>
        <v>39324.565796292176</v>
      </c>
      <c r="D9" s="847">
        <f>'Part VII-Pro Forma'!C32</f>
        <v>44971.651556292105</v>
      </c>
      <c r="E9" s="847">
        <f>'Part VII-Pro Forma'!D32</f>
        <v>50619.87623149217</v>
      </c>
      <c r="F9" s="847">
        <f>'Part VII-Pro Forma'!E32</f>
        <v>56264.179716196166</v>
      </c>
      <c r="G9" s="847">
        <f>'Part VII-Pro Forma'!F32</f>
        <v>61902.33921607423</v>
      </c>
      <c r="H9" s="847">
        <f>'Part VII-Pro Forma'!G32</f>
        <v>67529.962949794455</v>
      </c>
      <c r="I9" s="847">
        <f>'Part VII-Pro Forma'!H32</f>
        <v>73142.483633348689</v>
      </c>
      <c r="K9" s="840" t="e">
        <f>F24</f>
        <v>#VALUE!</v>
      </c>
      <c r="N9" s="848" t="s">
        <v>3056</v>
      </c>
    </row>
    <row r="10" spans="1:15" ht="13.5" customHeight="1">
      <c r="A10" s="753" t="s">
        <v>3055</v>
      </c>
      <c r="C10" s="1567">
        <f>'Part III-Sources of Funds'!I38-'Part VII-Pro Forma'!B39</f>
        <v>84411.624634239823</v>
      </c>
      <c r="D10" s="849">
        <f>'Part VII-Pro Forma'!B39-'Part VII-Pro Forma'!C39</f>
        <v>88201.560423146933</v>
      </c>
      <c r="E10" s="849">
        <f>'Part VII-Pro Forma'!C39-'Part VII-Pro Forma'!D39</f>
        <v>92161.657766772434</v>
      </c>
      <c r="F10" s="849">
        <f>'Part VII-Pro Forma'!D39-'Part VII-Pro Forma'!E39</f>
        <v>96299.556624291465</v>
      </c>
      <c r="G10" s="849">
        <f>'Part VII-Pro Forma'!E39-'Part VII-Pro Forma'!F39</f>
        <v>100623.23997581657</v>
      </c>
      <c r="H10" s="849">
        <f>'Part VII-Pro Forma'!F39-'Part VII-Pro Forma'!G39</f>
        <v>105141.04922344815</v>
      </c>
      <c r="I10" s="849">
        <f>'Part VII-Pro Forma'!G39-'Part VII-Pro Forma'!H39</f>
        <v>109861.70028379466</v>
      </c>
      <c r="K10" s="840" t="e">
        <f>G24</f>
        <v>#VALUE!</v>
      </c>
      <c r="N10" s="848" t="s">
        <v>3057</v>
      </c>
      <c r="O10" s="845"/>
    </row>
    <row r="11" spans="1:15" ht="13.5" customHeight="1">
      <c r="A11" s="753" t="s">
        <v>3055</v>
      </c>
      <c r="C11" s="1567" t="e">
        <f>'Part III-Sources of Funds'!I39-'Part VII-Pro Forma'!B40</f>
        <v>#VALUE!</v>
      </c>
      <c r="D11" s="849" t="e">
        <f>'Part VII-Pro Forma'!B40-'Part VII-Pro Forma'!C40</f>
        <v>#VALUE!</v>
      </c>
      <c r="E11" s="849" t="e">
        <f>'Part VII-Pro Forma'!C40-'Part VII-Pro Forma'!D40</f>
        <v>#VALUE!</v>
      </c>
      <c r="F11" s="849" t="e">
        <f>'Part VII-Pro Forma'!D40-'Part VII-Pro Forma'!E40</f>
        <v>#VALUE!</v>
      </c>
      <c r="G11" s="849" t="e">
        <f>'Part VII-Pro Forma'!E40-'Part VII-Pro Forma'!F40</f>
        <v>#VALUE!</v>
      </c>
      <c r="H11" s="849" t="e">
        <f>'Part VII-Pro Forma'!F40-'Part VII-Pro Forma'!G40</f>
        <v>#VALUE!</v>
      </c>
      <c r="I11" s="849" t="e">
        <f>'Part VII-Pro Forma'!G40-'Part VII-Pro Forma'!H40</f>
        <v>#VALUE!</v>
      </c>
      <c r="K11" s="840" t="e">
        <f>H24</f>
        <v>#VALUE!</v>
      </c>
      <c r="O11" s="845"/>
    </row>
    <row r="12" spans="1:15" ht="13.5" customHeight="1">
      <c r="A12" s="753" t="s">
        <v>3055</v>
      </c>
      <c r="C12" s="1567" t="e">
        <f>'Part III-Sources of Funds'!I40-'Part VII-Pro Forma'!B41</f>
        <v>#VALUE!</v>
      </c>
      <c r="D12" s="849" t="e">
        <f>'Part VII-Pro Forma'!B41-'Part VII-Pro Forma'!C41</f>
        <v>#VALUE!</v>
      </c>
      <c r="E12" s="849" t="e">
        <f>'Part VII-Pro Forma'!C41-'Part VII-Pro Forma'!D41</f>
        <v>#VALUE!</v>
      </c>
      <c r="F12" s="849" t="e">
        <f>'Part VII-Pro Forma'!D41-'Part VII-Pro Forma'!E41</f>
        <v>#VALUE!</v>
      </c>
      <c r="G12" s="849" t="e">
        <f>'Part VII-Pro Forma'!E41-'Part VII-Pro Forma'!F41</f>
        <v>#VALUE!</v>
      </c>
      <c r="H12" s="849" t="e">
        <f>'Part VII-Pro Forma'!F41-'Part VII-Pro Forma'!G41</f>
        <v>#VALUE!</v>
      </c>
      <c r="I12" s="849" t="e">
        <f>'Part VII-Pro Forma'!G41-'Part VII-Pro Forma'!H41</f>
        <v>#VALUE!</v>
      </c>
      <c r="K12" s="840" t="e">
        <f>I24</f>
        <v>#VALUE!</v>
      </c>
      <c r="M12" s="753" t="s">
        <v>3059</v>
      </c>
      <c r="N12" s="850">
        <v>0.06</v>
      </c>
      <c r="O12" s="845">
        <f>N12*O6</f>
        <v>0</v>
      </c>
    </row>
    <row r="13" spans="1:15" ht="13.5" customHeight="1">
      <c r="A13" s="851" t="s">
        <v>3559</v>
      </c>
      <c r="B13" s="852"/>
      <c r="C13" s="1568">
        <f>'Part VII-Pro Forma'!B22</f>
        <v>-21000</v>
      </c>
      <c r="D13" s="1568">
        <f>'Part VII-Pro Forma'!C22</f>
        <v>-21630</v>
      </c>
      <c r="E13" s="1568">
        <f>'Part VII-Pro Forma'!D22</f>
        <v>-22278.899999999998</v>
      </c>
      <c r="F13" s="1568">
        <f>'Part VII-Pro Forma'!E22</f>
        <v>-22947.267</v>
      </c>
      <c r="G13" s="1568">
        <f>'Part VII-Pro Forma'!F22</f>
        <v>-23635.685009999997</v>
      </c>
      <c r="H13" s="1568">
        <f>'Part VII-Pro Forma'!G22</f>
        <v>-24344.755560299996</v>
      </c>
      <c r="I13" s="1568">
        <f>'Part VII-Pro Forma'!H22</f>
        <v>-25075.098227109</v>
      </c>
      <c r="K13" s="840" t="e">
        <f>C44</f>
        <v>#VALUE!</v>
      </c>
      <c r="O13" s="845"/>
    </row>
    <row r="14" spans="1:15" ht="13.5" customHeight="1">
      <c r="A14" s="851" t="s">
        <v>3560</v>
      </c>
      <c r="B14" s="852"/>
      <c r="C14" s="1568">
        <f>'Part VII-Pro Forma'!B31</f>
        <v>-46211.9</v>
      </c>
      <c r="D14" s="1568">
        <f>'Part VII-Pro Forma'!C31</f>
        <v>-46211.9</v>
      </c>
      <c r="E14" s="1568">
        <f>'Part VII-Pro Forma'!D31</f>
        <v>-46211.9</v>
      </c>
      <c r="F14" s="1568">
        <f>'Part VII-Pro Forma'!E31</f>
        <v>-46211.9</v>
      </c>
      <c r="G14" s="1568">
        <f>'Part VII-Pro Forma'!F31</f>
        <v>-46211.9</v>
      </c>
      <c r="H14" s="1568">
        <f>'Part VII-Pro Forma'!G31</f>
        <v>-46211.9</v>
      </c>
      <c r="I14" s="1568">
        <f>'Part VII-Pro Forma'!H31</f>
        <v>-46211.9</v>
      </c>
      <c r="K14" s="840" t="e">
        <f>D44</f>
        <v>#VALUE!</v>
      </c>
      <c r="M14" s="753" t="s">
        <v>3062</v>
      </c>
      <c r="O14" s="845" t="e">
        <f>O6-O8-O12</f>
        <v>#VALUE!</v>
      </c>
    </row>
    <row r="15" spans="1:15" ht="13.5" customHeight="1">
      <c r="A15" s="853" t="s">
        <v>3058</v>
      </c>
      <c r="C15" s="854">
        <f t="shared" ref="C15:I15" si="0">$E$3/$H$3</f>
        <v>580603.19999999995</v>
      </c>
      <c r="D15" s="854">
        <f t="shared" si="0"/>
        <v>580603.19999999995</v>
      </c>
      <c r="E15" s="854">
        <f t="shared" si="0"/>
        <v>580603.19999999995</v>
      </c>
      <c r="F15" s="854">
        <f t="shared" si="0"/>
        <v>580603.19999999995</v>
      </c>
      <c r="G15" s="854">
        <f t="shared" si="0"/>
        <v>580603.19999999995</v>
      </c>
      <c r="H15" s="854">
        <f t="shared" si="0"/>
        <v>580603.19999999995</v>
      </c>
      <c r="I15" s="854">
        <f t="shared" si="0"/>
        <v>580603.19999999995</v>
      </c>
      <c r="K15" s="840" t="e">
        <f>E44</f>
        <v>#VALUE!</v>
      </c>
      <c r="O15" s="845"/>
    </row>
    <row r="16" spans="1:15" ht="13.5" customHeight="1">
      <c r="A16" s="853" t="s">
        <v>3060</v>
      </c>
      <c r="C16" s="854">
        <f>IF(C$8&lt;=$H$4,($E$4/$H$4),0)+IF(C$8&lt;=$H$5,($E$5/$H$5),0)</f>
        <v>29168.18095238095</v>
      </c>
      <c r="D16" s="854">
        <f t="shared" ref="D16:I16" si="1">IF(D$8&lt;=$H$4,($E$4/$H$4),0)+IF(D$8&lt;=$H$5,($E$5/$H$5),0)</f>
        <v>29168.18095238095</v>
      </c>
      <c r="E16" s="854">
        <f t="shared" si="1"/>
        <v>29168.18095238095</v>
      </c>
      <c r="F16" s="854">
        <f t="shared" si="1"/>
        <v>29168.18095238095</v>
      </c>
      <c r="G16" s="854">
        <f t="shared" si="1"/>
        <v>29168.18095238095</v>
      </c>
      <c r="H16" s="854">
        <f t="shared" si="1"/>
        <v>29168.18095238095</v>
      </c>
      <c r="I16" s="854">
        <f t="shared" si="1"/>
        <v>29168.18095238095</v>
      </c>
      <c r="K16" s="840" t="e">
        <f>F44</f>
        <v>#VALUE!</v>
      </c>
      <c r="M16" s="753" t="s">
        <v>3064</v>
      </c>
      <c r="O16" s="845">
        <f>E3</f>
        <v>15966588</v>
      </c>
    </row>
    <row r="17" spans="1:17" ht="13.5" customHeight="1">
      <c r="A17" s="853" t="s">
        <v>3061</v>
      </c>
      <c r="C17" s="849" t="e">
        <f t="shared" ref="C17:I17" si="2">C9+C10+C11+C12+C13+C14-C15-C16</f>
        <v>#VALUE!</v>
      </c>
      <c r="D17" s="849" t="e">
        <f t="shared" si="2"/>
        <v>#VALUE!</v>
      </c>
      <c r="E17" s="849" t="e">
        <f t="shared" si="2"/>
        <v>#VALUE!</v>
      </c>
      <c r="F17" s="849" t="e">
        <f t="shared" si="2"/>
        <v>#VALUE!</v>
      </c>
      <c r="G17" s="849" t="e">
        <f t="shared" si="2"/>
        <v>#VALUE!</v>
      </c>
      <c r="H17" s="849" t="e">
        <f t="shared" si="2"/>
        <v>#VALUE!</v>
      </c>
      <c r="I17" s="849" t="e">
        <f t="shared" si="2"/>
        <v>#VALUE!</v>
      </c>
      <c r="K17" s="840" t="e">
        <f>G44</f>
        <v>#VALUE!</v>
      </c>
      <c r="M17" s="753" t="s">
        <v>3058</v>
      </c>
      <c r="O17" s="845">
        <f>20*(E3/H3)</f>
        <v>11612064</v>
      </c>
    </row>
    <row r="18" spans="1:17" ht="13.5" customHeight="1">
      <c r="A18" s="853" t="s">
        <v>3063</v>
      </c>
      <c r="C18" s="855" t="e">
        <f t="shared" ref="C18:I18" si="3">C17*$H$6</f>
        <v>#VALUE!</v>
      </c>
      <c r="D18" s="855" t="e">
        <f t="shared" si="3"/>
        <v>#VALUE!</v>
      </c>
      <c r="E18" s="855" t="e">
        <f t="shared" si="3"/>
        <v>#VALUE!</v>
      </c>
      <c r="F18" s="855" t="e">
        <f t="shared" si="3"/>
        <v>#VALUE!</v>
      </c>
      <c r="G18" s="855" t="e">
        <f t="shared" si="3"/>
        <v>#VALUE!</v>
      </c>
      <c r="H18" s="855" t="e">
        <f t="shared" si="3"/>
        <v>#VALUE!</v>
      </c>
      <c r="I18" s="855" t="e">
        <f t="shared" si="3"/>
        <v>#VALUE!</v>
      </c>
      <c r="K18" s="840" t="e">
        <f>H44</f>
        <v>#VALUE!</v>
      </c>
      <c r="O18" s="845"/>
    </row>
    <row r="19" spans="1:17" ht="13.5" customHeight="1">
      <c r="A19" s="853"/>
      <c r="C19" s="847"/>
      <c r="D19" s="847"/>
      <c r="E19" s="847"/>
      <c r="F19" s="847"/>
      <c r="G19" s="847"/>
      <c r="H19" s="847"/>
      <c r="I19" s="847"/>
      <c r="K19" s="840" t="e">
        <f>I44</f>
        <v>#VALUE!</v>
      </c>
      <c r="M19" s="753" t="s">
        <v>3068</v>
      </c>
      <c r="O19" s="845">
        <f>O16-O17</f>
        <v>4354524</v>
      </c>
    </row>
    <row r="20" spans="1:17" ht="13.5" customHeight="1">
      <c r="A20" s="753" t="s">
        <v>3065</v>
      </c>
      <c r="C20" s="849" t="e">
        <f t="shared" ref="C20:I20" si="4">C9-C18</f>
        <v>#VALUE!</v>
      </c>
      <c r="D20" s="849" t="e">
        <f t="shared" si="4"/>
        <v>#VALUE!</v>
      </c>
      <c r="E20" s="849" t="e">
        <f t="shared" si="4"/>
        <v>#VALUE!</v>
      </c>
      <c r="F20" s="849" t="e">
        <f t="shared" si="4"/>
        <v>#VALUE!</v>
      </c>
      <c r="G20" s="849" t="e">
        <f t="shared" si="4"/>
        <v>#VALUE!</v>
      </c>
      <c r="H20" s="849" t="e">
        <f t="shared" si="4"/>
        <v>#VALUE!</v>
      </c>
      <c r="I20" s="849" t="e">
        <f t="shared" si="4"/>
        <v>#VALUE!</v>
      </c>
      <c r="K20" s="840" t="e">
        <f>C64</f>
        <v>#VALUE!</v>
      </c>
      <c r="O20" s="845"/>
    </row>
    <row r="21" spans="1:17" ht="13.5" customHeight="1">
      <c r="A21" s="753" t="s">
        <v>3066</v>
      </c>
      <c r="C21" s="855">
        <f>'Part IV-A-Uses of Funds'!$J$175</f>
        <v>660058</v>
      </c>
      <c r="D21" s="855">
        <f t="shared" ref="D21:I21" si="5">C21</f>
        <v>660058</v>
      </c>
      <c r="E21" s="855">
        <f t="shared" si="5"/>
        <v>660058</v>
      </c>
      <c r="F21" s="855">
        <f t="shared" si="5"/>
        <v>660058</v>
      </c>
      <c r="G21" s="855">
        <f t="shared" si="5"/>
        <v>660058</v>
      </c>
      <c r="H21" s="855">
        <f t="shared" si="5"/>
        <v>660058</v>
      </c>
      <c r="I21" s="855">
        <f t="shared" si="5"/>
        <v>660058</v>
      </c>
      <c r="J21" s="753" t="s">
        <v>243</v>
      </c>
      <c r="K21" s="840" t="e">
        <f>D64</f>
        <v>#VALUE!</v>
      </c>
      <c r="O21" s="845"/>
    </row>
    <row r="22" spans="1:17" ht="13.5" customHeight="1">
      <c r="A22" s="753" t="s">
        <v>3067</v>
      </c>
      <c r="C22" s="855">
        <f>C21</f>
        <v>660058</v>
      </c>
      <c r="D22" s="855">
        <f t="shared" ref="D22:I22" si="6">D21</f>
        <v>660058</v>
      </c>
      <c r="E22" s="855">
        <f t="shared" si="6"/>
        <v>660058</v>
      </c>
      <c r="F22" s="855">
        <f t="shared" si="6"/>
        <v>660058</v>
      </c>
      <c r="G22" s="855">
        <f t="shared" si="6"/>
        <v>660058</v>
      </c>
      <c r="H22" s="855">
        <f t="shared" si="6"/>
        <v>660058</v>
      </c>
      <c r="I22" s="855">
        <f t="shared" si="6"/>
        <v>660058</v>
      </c>
      <c r="K22" s="840" t="e">
        <f>E64</f>
        <v>#VALUE!</v>
      </c>
      <c r="M22" s="753" t="s">
        <v>3052</v>
      </c>
      <c r="O22" s="845">
        <f>O6</f>
        <v>0</v>
      </c>
    </row>
    <row r="23" spans="1:17" ht="13.5" customHeight="1">
      <c r="A23" s="753" t="s">
        <v>3069</v>
      </c>
      <c r="C23" s="847">
        <v>0</v>
      </c>
      <c r="D23" s="847">
        <v>0</v>
      </c>
      <c r="E23" s="847">
        <v>0</v>
      </c>
      <c r="F23" s="847">
        <v>0</v>
      </c>
      <c r="G23" s="847">
        <v>0</v>
      </c>
      <c r="H23" s="847">
        <v>0</v>
      </c>
      <c r="I23" s="847">
        <v>0</v>
      </c>
      <c r="K23" s="840" t="e">
        <f>F64</f>
        <v>#VALUE!</v>
      </c>
      <c r="M23" s="753" t="s">
        <v>3071</v>
      </c>
      <c r="O23" s="845">
        <f>O19</f>
        <v>4354524</v>
      </c>
    </row>
    <row r="24" spans="1:17" ht="13.5" customHeight="1">
      <c r="A24" s="753" t="s">
        <v>3070</v>
      </c>
      <c r="C24" s="849" t="e">
        <f t="shared" ref="C24:I24" si="7">SUM(C20:C23)</f>
        <v>#VALUE!</v>
      </c>
      <c r="D24" s="849" t="e">
        <f t="shared" si="7"/>
        <v>#VALUE!</v>
      </c>
      <c r="E24" s="849" t="e">
        <f t="shared" si="7"/>
        <v>#VALUE!</v>
      </c>
      <c r="F24" s="849" t="e">
        <f t="shared" si="7"/>
        <v>#VALUE!</v>
      </c>
      <c r="G24" s="849" t="e">
        <f t="shared" si="7"/>
        <v>#VALUE!</v>
      </c>
      <c r="H24" s="849" t="e">
        <f t="shared" si="7"/>
        <v>#VALUE!</v>
      </c>
      <c r="I24" s="849" t="e">
        <f t="shared" si="7"/>
        <v>#VALUE!</v>
      </c>
      <c r="K24" s="840" t="e">
        <f>G64</f>
        <v>#VALUE!</v>
      </c>
      <c r="O24" s="845"/>
    </row>
    <row r="25" spans="1:17" ht="13.5" customHeight="1">
      <c r="K25" s="840" t="e">
        <f>H64</f>
        <v>#VALUE!</v>
      </c>
      <c r="M25" s="753" t="s">
        <v>3072</v>
      </c>
      <c r="O25" s="845">
        <f>O22-O23</f>
        <v>-4354524</v>
      </c>
      <c r="Q25" s="856"/>
    </row>
    <row r="26" spans="1:17" ht="13.5" customHeight="1">
      <c r="A26" s="857"/>
      <c r="B26" s="857"/>
      <c r="C26" s="857"/>
      <c r="D26" s="857"/>
      <c r="E26" s="857"/>
      <c r="F26" s="857"/>
      <c r="G26" s="857"/>
      <c r="H26" s="857"/>
      <c r="I26" s="857"/>
      <c r="K26" s="840"/>
      <c r="O26" s="845"/>
    </row>
    <row r="27" spans="1:17" ht="13.5" customHeight="1">
      <c r="K27" s="840"/>
      <c r="M27" s="753" t="s">
        <v>3073</v>
      </c>
      <c r="N27" s="858"/>
      <c r="O27" s="850">
        <v>0.2</v>
      </c>
    </row>
    <row r="28" spans="1:17" ht="13.5" customHeight="1">
      <c r="A28" s="754" t="s">
        <v>2480</v>
      </c>
      <c r="B28" s="754"/>
      <c r="C28" s="846">
        <v>8</v>
      </c>
      <c r="D28" s="846">
        <v>9</v>
      </c>
      <c r="E28" s="846">
        <v>10</v>
      </c>
      <c r="F28" s="846">
        <v>11</v>
      </c>
      <c r="G28" s="846">
        <v>12</v>
      </c>
      <c r="H28" s="846">
        <v>13</v>
      </c>
      <c r="I28" s="846">
        <v>14</v>
      </c>
      <c r="N28" s="858"/>
      <c r="O28" s="858"/>
    </row>
    <row r="29" spans="1:17" ht="13.5" customHeight="1">
      <c r="A29" s="753" t="s">
        <v>3054</v>
      </c>
      <c r="C29" s="847">
        <f>'Part VII-Pro Forma'!I32</f>
        <v>78737.151739988447</v>
      </c>
      <c r="D29" s="847">
        <f>'Part VII-Pro Forma'!J32</f>
        <v>84309.028528458002</v>
      </c>
      <c r="E29" s="847">
        <f>'Part VII-Pro Forma'!K32</f>
        <v>89853.978831984481</v>
      </c>
      <c r="F29" s="847">
        <f>'Part VII-Pro Forma'!B64</f>
        <v>95366.66360024843</v>
      </c>
      <c r="G29" s="847">
        <f>'Part VII-Pro Forma'!C64</f>
        <v>100842.53218630378</v>
      </c>
      <c r="H29" s="847">
        <f>'Part VII-Pro Forma'!D64</f>
        <v>106275.81437018028</v>
      </c>
      <c r="I29" s="847">
        <f>'Part VII-Pro Forma'!E64</f>
        <v>111662.51211061588</v>
      </c>
      <c r="N29" s="858"/>
      <c r="O29" s="858"/>
    </row>
    <row r="30" spans="1:17" ht="13.5" customHeight="1">
      <c r="A30" s="753" t="s">
        <v>3055</v>
      </c>
      <c r="C30" s="849">
        <f>'Part VII-Pro Forma'!H39-'Part VII-Pro Forma'!I39</f>
        <v>114794.30040303059</v>
      </c>
      <c r="D30" s="849">
        <f>'Part VII-Pro Forma'!I39-'Part VII-Pro Forma'!J39</f>
        <v>119948.36572691426</v>
      </c>
      <c r="E30" s="849">
        <f>'Part VII-Pro Forma'!J39-'Part VII-Pro Forma'!K39</f>
        <v>125333.8396596713</v>
      </c>
      <c r="F30" s="1565">
        <f>'Part VII-Pro Forma'!K39-'Part VII-Pro Forma'!B71</f>
        <v>130961.11204716004</v>
      </c>
      <c r="G30" s="1565">
        <f>'Part VII-Pro Forma'!B71-'Part VII-Pro Forma'!C71</f>
        <v>136841.03922132961</v>
      </c>
      <c r="H30" s="1565">
        <f>'Part VII-Pro Forma'!C71-'Part VII-Pro Forma'!D71</f>
        <v>142984.96494463272</v>
      </c>
      <c r="I30" s="1565">
        <f>'Part VII-Pro Forma'!D71-'Part VII-Pro Forma'!E71</f>
        <v>149404.74229481909</v>
      </c>
    </row>
    <row r="31" spans="1:17" ht="13.5" customHeight="1">
      <c r="A31" s="753" t="s">
        <v>3055</v>
      </c>
      <c r="C31" s="849" t="e">
        <f>'Part VII-Pro Forma'!H40-'Part VII-Pro Forma'!I40</f>
        <v>#VALUE!</v>
      </c>
      <c r="D31" s="849" t="e">
        <f>'Part VII-Pro Forma'!I40-'Part VII-Pro Forma'!J40</f>
        <v>#VALUE!</v>
      </c>
      <c r="E31" s="849" t="e">
        <f>'Part VII-Pro Forma'!J40-'Part VII-Pro Forma'!K40</f>
        <v>#VALUE!</v>
      </c>
      <c r="F31" s="1565" t="e">
        <f>'Part VII-Pro Forma'!K40-'Part VII-Pro Forma'!B72</f>
        <v>#VALUE!</v>
      </c>
      <c r="G31" s="1565" t="e">
        <f>'Part VII-Pro Forma'!B72-'Part VII-Pro Forma'!C72</f>
        <v>#VALUE!</v>
      </c>
      <c r="H31" s="1565" t="e">
        <f>'Part VII-Pro Forma'!C72-'Part VII-Pro Forma'!D72</f>
        <v>#VALUE!</v>
      </c>
      <c r="I31" s="1565" t="e">
        <f>'Part VII-Pro Forma'!D72-'Part VII-Pro Forma'!E72</f>
        <v>#VALUE!</v>
      </c>
      <c r="K31" s="753" t="s">
        <v>243</v>
      </c>
      <c r="M31" s="753" t="s">
        <v>3074</v>
      </c>
      <c r="O31" s="847">
        <f>O25*O27</f>
        <v>-870904.8</v>
      </c>
    </row>
    <row r="32" spans="1:17" ht="13.5" customHeight="1">
      <c r="A32" s="753" t="s">
        <v>3055</v>
      </c>
      <c r="C32" s="849" t="e">
        <f>'Part VII-Pro Forma'!H41-'Part VII-Pro Forma'!I41</f>
        <v>#VALUE!</v>
      </c>
      <c r="D32" s="849" t="e">
        <f>'Part VII-Pro Forma'!I41-'Part VII-Pro Forma'!J41</f>
        <v>#VALUE!</v>
      </c>
      <c r="E32" s="849" t="e">
        <f>'Part VII-Pro Forma'!J41-'Part VII-Pro Forma'!K41</f>
        <v>#VALUE!</v>
      </c>
      <c r="F32" s="1565" t="e">
        <f>'Part VII-Pro Forma'!K41-'Part VII-Pro Forma'!B73</f>
        <v>#VALUE!</v>
      </c>
      <c r="G32" s="1565" t="e">
        <f>'Part VII-Pro Forma'!B73-'Part VII-Pro Forma'!C73</f>
        <v>#VALUE!</v>
      </c>
      <c r="H32" s="1565" t="e">
        <f>'Part VII-Pro Forma'!C73-'Part VII-Pro Forma'!D73</f>
        <v>#VALUE!</v>
      </c>
      <c r="I32" s="1565" t="e">
        <f>'Part VII-Pro Forma'!D73-'Part VII-Pro Forma'!E73</f>
        <v>#VALUE!</v>
      </c>
    </row>
    <row r="33" spans="1:15" ht="13.5" customHeight="1">
      <c r="A33" s="851" t="s">
        <v>3559</v>
      </c>
      <c r="B33" s="852"/>
      <c r="C33" s="1568">
        <f>'Part VII-Pro Forma'!I22</f>
        <v>-25827.35117392227</v>
      </c>
      <c r="D33" s="1568">
        <f>'Part VII-Pro Forma'!J22</f>
        <v>-26602.171709139933</v>
      </c>
      <c r="E33" s="1568">
        <f>'Part VII-Pro Forma'!K22</f>
        <v>-27400.236860414134</v>
      </c>
      <c r="F33" s="1568">
        <f>'Part VII-Pro Forma'!B54</f>
        <v>-28222.243966226557</v>
      </c>
      <c r="G33" s="1568">
        <f>'Part VII-Pro Forma'!C54</f>
        <v>-29068.911285213355</v>
      </c>
      <c r="H33" s="1568">
        <f>'Part VII-Pro Forma'!D54</f>
        <v>-29940.978623769752</v>
      </c>
      <c r="I33" s="1568">
        <f>'Part VII-Pro Forma'!E54</f>
        <v>-30839.207982482843</v>
      </c>
      <c r="K33" s="753" t="s">
        <v>243</v>
      </c>
      <c r="M33" s="753" t="s">
        <v>3075</v>
      </c>
      <c r="O33" s="847" t="e">
        <f>O14-O31</f>
        <v>#VALUE!</v>
      </c>
    </row>
    <row r="34" spans="1:15" ht="13.5" customHeight="1">
      <c r="A34" s="851" t="s">
        <v>3560</v>
      </c>
      <c r="B34" s="852"/>
      <c r="C34" s="1568">
        <f>'Part VII-Pro Forma'!I31</f>
        <v>-46211.9</v>
      </c>
      <c r="D34" s="1568">
        <f>'Part VII-Pro Forma'!J31</f>
        <v>-46211.9</v>
      </c>
      <c r="E34" s="1568">
        <f>'Part VII-Pro Forma'!K31</f>
        <v>-46211.9</v>
      </c>
      <c r="F34" s="1568">
        <f>'Part VII-Pro Forma'!B63</f>
        <v>-46211.9</v>
      </c>
      <c r="G34" s="1568">
        <f>'Part VII-Pro Forma'!C63</f>
        <v>-46211.9</v>
      </c>
      <c r="H34" s="1568">
        <f>'Part VII-Pro Forma'!D63</f>
        <v>-46211.9</v>
      </c>
      <c r="I34" s="1568">
        <f>'Part VII-Pro Forma'!E63</f>
        <v>-46211.9</v>
      </c>
    </row>
    <row r="35" spans="1:15" ht="13.5" customHeight="1">
      <c r="A35" s="853" t="s">
        <v>3058</v>
      </c>
      <c r="C35" s="854">
        <f t="shared" ref="C35:I35" si="8">$E$3/$H$3</f>
        <v>580603.19999999995</v>
      </c>
      <c r="D35" s="854">
        <f t="shared" si="8"/>
        <v>580603.19999999995</v>
      </c>
      <c r="E35" s="854">
        <f t="shared" si="8"/>
        <v>580603.19999999995</v>
      </c>
      <c r="F35" s="854">
        <f t="shared" si="8"/>
        <v>580603.19999999995</v>
      </c>
      <c r="G35" s="854">
        <f t="shared" si="8"/>
        <v>580603.19999999995</v>
      </c>
      <c r="H35" s="854">
        <f t="shared" si="8"/>
        <v>580603.19999999995</v>
      </c>
      <c r="I35" s="854">
        <f t="shared" si="8"/>
        <v>580603.19999999995</v>
      </c>
    </row>
    <row r="36" spans="1:15" ht="13.5" customHeight="1">
      <c r="A36" s="853" t="s">
        <v>3060</v>
      </c>
      <c r="C36" s="847">
        <f>IF(C$28&lt;=$H$4,($E$4/$H$4),0)+IF(C$28&lt;=$H$5,($E$5/$H$5),0)</f>
        <v>29168.18095238095</v>
      </c>
      <c r="D36" s="847">
        <f t="shared" ref="D36:I36" si="9">IF(D$28&lt;=$H$4,($E$4/$H$4),0)+IF(D$28&lt;=$H$5,($E$5/$H$5),0)</f>
        <v>29168.18095238095</v>
      </c>
      <c r="E36" s="847">
        <f t="shared" si="9"/>
        <v>29168.18095238095</v>
      </c>
      <c r="F36" s="847">
        <f t="shared" si="9"/>
        <v>29168.18095238095</v>
      </c>
      <c r="G36" s="847">
        <f t="shared" si="9"/>
        <v>29168.18095238095</v>
      </c>
      <c r="H36" s="847">
        <f t="shared" si="9"/>
        <v>29168.18095238095</v>
      </c>
      <c r="I36" s="847">
        <f t="shared" si="9"/>
        <v>29168.18095238095</v>
      </c>
    </row>
    <row r="37" spans="1:15" ht="13.5" customHeight="1">
      <c r="A37" s="853" t="s">
        <v>3061</v>
      </c>
      <c r="C37" s="849" t="e">
        <f t="shared" ref="C37:I37" si="10">C29+C30+C31+C32+C33+C34-C35-C36</f>
        <v>#VALUE!</v>
      </c>
      <c r="D37" s="849" t="e">
        <f t="shared" si="10"/>
        <v>#VALUE!</v>
      </c>
      <c r="E37" s="849" t="e">
        <f t="shared" si="10"/>
        <v>#VALUE!</v>
      </c>
      <c r="F37" s="849" t="e">
        <f t="shared" si="10"/>
        <v>#VALUE!</v>
      </c>
      <c r="G37" s="849" t="e">
        <f t="shared" si="10"/>
        <v>#VALUE!</v>
      </c>
      <c r="H37" s="849" t="e">
        <f t="shared" si="10"/>
        <v>#VALUE!</v>
      </c>
      <c r="I37" s="849" t="e">
        <f t="shared" si="10"/>
        <v>#VALUE!</v>
      </c>
    </row>
    <row r="38" spans="1:15" ht="13.5" customHeight="1">
      <c r="A38" s="753" t="s">
        <v>3063</v>
      </c>
      <c r="C38" s="855" t="e">
        <f t="shared" ref="C38:I38" si="11">C37*$H$6</f>
        <v>#VALUE!</v>
      </c>
      <c r="D38" s="855" t="e">
        <f t="shared" si="11"/>
        <v>#VALUE!</v>
      </c>
      <c r="E38" s="855" t="e">
        <f t="shared" si="11"/>
        <v>#VALUE!</v>
      </c>
      <c r="F38" s="855" t="e">
        <f t="shared" si="11"/>
        <v>#VALUE!</v>
      </c>
      <c r="G38" s="855" t="e">
        <f t="shared" si="11"/>
        <v>#VALUE!</v>
      </c>
      <c r="H38" s="855" t="e">
        <f t="shared" si="11"/>
        <v>#VALUE!</v>
      </c>
      <c r="I38" s="855" t="e">
        <f t="shared" si="11"/>
        <v>#VALUE!</v>
      </c>
    </row>
    <row r="39" spans="1:15" ht="13.5" customHeight="1">
      <c r="C39" s="849"/>
      <c r="D39" s="849"/>
      <c r="E39" s="849"/>
      <c r="F39" s="849"/>
      <c r="G39" s="849"/>
      <c r="H39" s="849"/>
      <c r="I39" s="849"/>
    </row>
    <row r="40" spans="1:15" ht="13.5" customHeight="1">
      <c r="A40" s="753" t="s">
        <v>3065</v>
      </c>
      <c r="C40" s="849" t="e">
        <f t="shared" ref="C40:I40" si="12">C29-C38</f>
        <v>#VALUE!</v>
      </c>
      <c r="D40" s="849" t="e">
        <f t="shared" si="12"/>
        <v>#VALUE!</v>
      </c>
      <c r="E40" s="849" t="e">
        <f t="shared" si="12"/>
        <v>#VALUE!</v>
      </c>
      <c r="F40" s="849" t="e">
        <f t="shared" si="12"/>
        <v>#VALUE!</v>
      </c>
      <c r="G40" s="849" t="e">
        <f t="shared" si="12"/>
        <v>#VALUE!</v>
      </c>
      <c r="H40" s="849" t="e">
        <f t="shared" si="12"/>
        <v>#VALUE!</v>
      </c>
      <c r="I40" s="849" t="e">
        <f t="shared" si="12"/>
        <v>#VALUE!</v>
      </c>
    </row>
    <row r="41" spans="1:15" ht="13.5" customHeight="1">
      <c r="A41" s="753" t="s">
        <v>3066</v>
      </c>
      <c r="C41" s="855">
        <f>C21</f>
        <v>660058</v>
      </c>
      <c r="D41" s="855">
        <f>C41</f>
        <v>660058</v>
      </c>
      <c r="E41" s="855">
        <f>D41</f>
        <v>660058</v>
      </c>
      <c r="F41" s="855">
        <v>0</v>
      </c>
      <c r="G41" s="855">
        <v>0</v>
      </c>
      <c r="H41" s="855">
        <v>0</v>
      </c>
      <c r="I41" s="855">
        <v>0</v>
      </c>
    </row>
    <row r="42" spans="1:15" ht="13.5" customHeight="1">
      <c r="A42" s="753" t="s">
        <v>3067</v>
      </c>
      <c r="C42" s="855">
        <f>C22</f>
        <v>660058</v>
      </c>
      <c r="D42" s="855">
        <f>C42</f>
        <v>660058</v>
      </c>
      <c r="E42" s="855">
        <f>D42</f>
        <v>660058</v>
      </c>
      <c r="F42" s="855">
        <v>0</v>
      </c>
      <c r="G42" s="855">
        <v>0</v>
      </c>
      <c r="H42" s="855">
        <v>0</v>
      </c>
      <c r="I42" s="855">
        <v>0</v>
      </c>
    </row>
    <row r="43" spans="1:15" ht="13.5" customHeight="1">
      <c r="A43" s="753" t="s">
        <v>3069</v>
      </c>
      <c r="C43" s="849">
        <v>0</v>
      </c>
      <c r="D43" s="849">
        <v>0</v>
      </c>
      <c r="E43" s="849">
        <v>0</v>
      </c>
      <c r="F43" s="849">
        <v>0</v>
      </c>
      <c r="G43" s="849">
        <v>0</v>
      </c>
      <c r="H43" s="849">
        <v>0</v>
      </c>
      <c r="I43" s="849">
        <v>0</v>
      </c>
    </row>
    <row r="44" spans="1:15" ht="13.5" customHeight="1">
      <c r="A44" s="753" t="s">
        <v>3070</v>
      </c>
      <c r="C44" s="849" t="e">
        <f t="shared" ref="C44:I44" si="13">SUM(C40:C43)</f>
        <v>#VALUE!</v>
      </c>
      <c r="D44" s="849" t="e">
        <f t="shared" si="13"/>
        <v>#VALUE!</v>
      </c>
      <c r="E44" s="849" t="e">
        <f t="shared" si="13"/>
        <v>#VALUE!</v>
      </c>
      <c r="F44" s="849" t="e">
        <f t="shared" si="13"/>
        <v>#VALUE!</v>
      </c>
      <c r="G44" s="849" t="e">
        <f t="shared" si="13"/>
        <v>#VALUE!</v>
      </c>
      <c r="H44" s="849" t="e">
        <f t="shared" si="13"/>
        <v>#VALUE!</v>
      </c>
      <c r="I44" s="849" t="e">
        <f t="shared" si="13"/>
        <v>#VALUE!</v>
      </c>
    </row>
    <row r="45" spans="1:15" ht="13.5" customHeight="1"/>
    <row r="46" spans="1:15" ht="13.5" customHeight="1">
      <c r="A46" s="857"/>
      <c r="B46" s="857"/>
      <c r="C46" s="857"/>
      <c r="D46" s="857"/>
      <c r="E46" s="857"/>
      <c r="F46" s="857"/>
      <c r="G46" s="857"/>
      <c r="H46" s="857"/>
      <c r="I46" s="857"/>
    </row>
    <row r="47" spans="1:15" ht="13.5" customHeight="1">
      <c r="I47" s="758"/>
    </row>
    <row r="48" spans="1:15" ht="13.5" customHeight="1">
      <c r="A48" s="754" t="s">
        <v>2480</v>
      </c>
      <c r="B48" s="754"/>
      <c r="C48" s="846">
        <v>15</v>
      </c>
      <c r="D48" s="754">
        <v>16</v>
      </c>
      <c r="E48" s="754">
        <v>17</v>
      </c>
      <c r="F48" s="754">
        <v>18</v>
      </c>
      <c r="G48" s="754">
        <v>19</v>
      </c>
      <c r="H48" s="754">
        <v>20</v>
      </c>
    </row>
    <row r="49" spans="1:10" ht="13.5" customHeight="1">
      <c r="A49" s="753" t="s">
        <v>3054</v>
      </c>
      <c r="C49" s="847">
        <f>'Part VII-Pro Forma'!F64</f>
        <v>116995.39101612932</v>
      </c>
      <c r="D49" s="847">
        <f>'Part VII-Pro Forma'!G61</f>
        <v>0</v>
      </c>
      <c r="E49" s="847">
        <f>'Part VII-Pro Forma'!H61</f>
        <v>0</v>
      </c>
      <c r="F49" s="847">
        <f>'Part VII-Pro Forma'!I61</f>
        <v>0</v>
      </c>
      <c r="G49" s="847">
        <f>'Part VII-Pro Forma'!J61</f>
        <v>0</v>
      </c>
      <c r="H49" s="847">
        <f>'Part VII-Pro Forma'!K61</f>
        <v>0</v>
      </c>
    </row>
    <row r="50" spans="1:10" ht="13.5" customHeight="1">
      <c r="A50" s="753" t="s">
        <v>3055</v>
      </c>
      <c r="C50" s="1566">
        <f>'Part VII-Pro Forma'!E71-'Part VII-Pro Forma'!F71</f>
        <v>156112.75653230306</v>
      </c>
      <c r="D50" s="1566">
        <f>'Part VII-Pro Forma'!F71-'Part VII-Pro Forma'!G71</f>
        <v>163121.94899424631</v>
      </c>
      <c r="E50" s="1566">
        <f>'Part VII-Pro Forma'!G71-'Part VII-Pro Forma'!H71</f>
        <v>170445.84206144419</v>
      </c>
      <c r="F50" s="1566">
        <f>'Part VII-Pro Forma'!H71-'Part VII-Pro Forma'!I71</f>
        <v>178098.56524617318</v>
      </c>
      <c r="G50" s="1566">
        <f>'Part VII-Pro Forma'!I71-'Part VII-Pro Forma'!J71</f>
        <v>186094.88245134708</v>
      </c>
      <c r="H50" s="1566">
        <f>'Part VII-Pro Forma'!J71-'Part VII-Pro Forma'!K71</f>
        <v>194450.22045355849</v>
      </c>
    </row>
    <row r="51" spans="1:10" ht="13.5" customHeight="1">
      <c r="A51" s="753" t="s">
        <v>3055</v>
      </c>
      <c r="C51" s="1566" t="e">
        <f>'Part VII-Pro Forma'!E72-'Part VII-Pro Forma'!F72</f>
        <v>#VALUE!</v>
      </c>
      <c r="D51" s="1566" t="e">
        <f>'Part VII-Pro Forma'!F72-'Part VII-Pro Forma'!G72</f>
        <v>#VALUE!</v>
      </c>
      <c r="E51" s="1566" t="e">
        <f>'Part VII-Pro Forma'!G72-'Part VII-Pro Forma'!H72</f>
        <v>#VALUE!</v>
      </c>
      <c r="F51" s="1566" t="e">
        <f>'Part VII-Pro Forma'!H72-'Part VII-Pro Forma'!I72</f>
        <v>#VALUE!</v>
      </c>
      <c r="G51" s="1566" t="e">
        <f>'Part VII-Pro Forma'!I72-'Part VII-Pro Forma'!J72</f>
        <v>#VALUE!</v>
      </c>
      <c r="H51" s="1566" t="e">
        <f>'Part VII-Pro Forma'!J72-'Part VII-Pro Forma'!K72</f>
        <v>#VALUE!</v>
      </c>
    </row>
    <row r="52" spans="1:10" ht="13.5" customHeight="1">
      <c r="A52" s="753" t="s">
        <v>3055</v>
      </c>
      <c r="C52" s="859" t="e">
        <f>'Part VII-Pro Forma'!E73-'Part VII-Pro Forma'!F73</f>
        <v>#VALUE!</v>
      </c>
      <c r="D52" s="859" t="e">
        <f>'Part VII-Pro Forma'!F73-'Part VII-Pro Forma'!G73</f>
        <v>#VALUE!</v>
      </c>
      <c r="E52" s="859" t="e">
        <f>'Part VII-Pro Forma'!G73-'Part VII-Pro Forma'!H73</f>
        <v>#VALUE!</v>
      </c>
      <c r="F52" s="859" t="e">
        <f>'Part VII-Pro Forma'!H73-'Part VII-Pro Forma'!I73</f>
        <v>#VALUE!</v>
      </c>
      <c r="G52" s="859" t="e">
        <f>'Part VII-Pro Forma'!I73-'Part VII-Pro Forma'!J73</f>
        <v>#VALUE!</v>
      </c>
      <c r="H52" s="859" t="e">
        <f>'Part VII-Pro Forma'!J73-'Part VII-Pro Forma'!K73</f>
        <v>#VALUE!</v>
      </c>
    </row>
    <row r="53" spans="1:10" ht="13.5" customHeight="1">
      <c r="A53" s="851" t="s">
        <v>3559</v>
      </c>
      <c r="B53" s="852"/>
      <c r="C53" s="1568">
        <f>'Part VII-Pro Forma'!F54</f>
        <v>-31764.384221957331</v>
      </c>
      <c r="D53" s="1568">
        <f>'Part VII-Pro Forma'!G54</f>
        <v>-32717.315748616053</v>
      </c>
      <c r="E53" s="1568">
        <f>'Part VII-Pro Forma'!H54</f>
        <v>-33698.835221074529</v>
      </c>
      <c r="F53" s="1568">
        <f>'Part VII-Pro Forma'!I54</f>
        <v>-34709.800277706767</v>
      </c>
      <c r="G53" s="1568">
        <f>'Part VII-Pro Forma'!J54</f>
        <v>-35751.094286037966</v>
      </c>
      <c r="H53" s="1568">
        <f>'Part VII-Pro Forma'!K54</f>
        <v>-36823.627114619107</v>
      </c>
    </row>
    <row r="54" spans="1:10" ht="13.5" customHeight="1">
      <c r="A54" s="851" t="s">
        <v>3560</v>
      </c>
      <c r="C54" s="1569">
        <f>'Part VII-Pro Forma'!F63</f>
        <v>-46211.9</v>
      </c>
      <c r="D54" s="1569">
        <f>'Part VII-Pro Forma'!G63</f>
        <v>0</v>
      </c>
      <c r="E54" s="1569">
        <f>'Part VII-Pro Forma'!H63</f>
        <v>0</v>
      </c>
      <c r="F54" s="1569">
        <f>'Part VII-Pro Forma'!I63</f>
        <v>0</v>
      </c>
      <c r="G54" s="1569">
        <f>'Part VII-Pro Forma'!J63</f>
        <v>0</v>
      </c>
      <c r="H54" s="1569">
        <f>'Part VII-Pro Forma'!K63</f>
        <v>0</v>
      </c>
    </row>
    <row r="55" spans="1:10" ht="13.5" customHeight="1">
      <c r="A55" s="853" t="s">
        <v>3058</v>
      </c>
      <c r="C55" s="854">
        <f t="shared" ref="C55:H55" si="14">$E$3/$H$3</f>
        <v>580603.19999999995</v>
      </c>
      <c r="D55" s="854">
        <f t="shared" si="14"/>
        <v>580603.19999999995</v>
      </c>
      <c r="E55" s="854">
        <f t="shared" si="14"/>
        <v>580603.19999999995</v>
      </c>
      <c r="F55" s="854">
        <f t="shared" si="14"/>
        <v>580603.19999999995</v>
      </c>
      <c r="G55" s="854">
        <f t="shared" si="14"/>
        <v>580603.19999999995</v>
      </c>
      <c r="H55" s="854">
        <f t="shared" si="14"/>
        <v>580603.19999999995</v>
      </c>
    </row>
    <row r="56" spans="1:10" ht="13.5" customHeight="1">
      <c r="A56" s="853" t="s">
        <v>3060</v>
      </c>
      <c r="C56" s="847">
        <f t="shared" ref="C56:H56" si="15">IF(C$48&lt;=$H$4,($E$4/$H$4),0)+IF(C$48&lt;=$H$5,($E$5/$H$5),0)</f>
        <v>29168.18095238095</v>
      </c>
      <c r="D56" s="847">
        <f t="shared" si="15"/>
        <v>20734.514285714286</v>
      </c>
      <c r="E56" s="847">
        <f t="shared" si="15"/>
        <v>20734.514285714286</v>
      </c>
      <c r="F56" s="847">
        <f t="shared" si="15"/>
        <v>20734.514285714286</v>
      </c>
      <c r="G56" s="847">
        <f t="shared" si="15"/>
        <v>20734.514285714286</v>
      </c>
      <c r="H56" s="847">
        <f t="shared" si="15"/>
        <v>20734.514285714286</v>
      </c>
    </row>
    <row r="57" spans="1:10" ht="13.5" customHeight="1">
      <c r="A57" s="853" t="s">
        <v>3061</v>
      </c>
      <c r="C57" s="847" t="e">
        <f t="shared" ref="C57:H57" si="16">C49+C50+C51+C52+C53+C54-C55-C56</f>
        <v>#VALUE!</v>
      </c>
      <c r="D57" s="847" t="e">
        <f t="shared" si="16"/>
        <v>#VALUE!</v>
      </c>
      <c r="E57" s="847" t="e">
        <f t="shared" si="16"/>
        <v>#VALUE!</v>
      </c>
      <c r="F57" s="847" t="e">
        <f t="shared" si="16"/>
        <v>#VALUE!</v>
      </c>
      <c r="G57" s="847" t="e">
        <f t="shared" si="16"/>
        <v>#VALUE!</v>
      </c>
      <c r="H57" s="847" t="e">
        <f t="shared" si="16"/>
        <v>#VALUE!</v>
      </c>
    </row>
    <row r="58" spans="1:10" ht="13.5" customHeight="1">
      <c r="A58" s="753" t="s">
        <v>3063</v>
      </c>
      <c r="C58" s="854" t="e">
        <f t="shared" ref="C58:H58" si="17">C57*$H$6</f>
        <v>#VALUE!</v>
      </c>
      <c r="D58" s="854" t="e">
        <f t="shared" si="17"/>
        <v>#VALUE!</v>
      </c>
      <c r="E58" s="854" t="e">
        <f t="shared" si="17"/>
        <v>#VALUE!</v>
      </c>
      <c r="F58" s="854" t="e">
        <f t="shared" si="17"/>
        <v>#VALUE!</v>
      </c>
      <c r="G58" s="854" t="e">
        <f t="shared" si="17"/>
        <v>#VALUE!</v>
      </c>
      <c r="H58" s="854" t="e">
        <f t="shared" si="17"/>
        <v>#VALUE!</v>
      </c>
      <c r="J58" s="753" t="s">
        <v>243</v>
      </c>
    </row>
    <row r="59" spans="1:10" s="860" customFormat="1" ht="16.5" customHeight="1">
      <c r="A59" s="753"/>
      <c r="B59" s="753"/>
      <c r="C59" s="847"/>
      <c r="D59" s="847"/>
      <c r="E59" s="847"/>
      <c r="F59" s="847"/>
      <c r="G59" s="847"/>
      <c r="H59" s="847"/>
      <c r="I59" s="753"/>
      <c r="J59" s="753"/>
    </row>
    <row r="60" spans="1:10">
      <c r="A60" s="753" t="s">
        <v>3065</v>
      </c>
      <c r="C60" s="847" t="e">
        <f t="shared" ref="C60:H60" si="18">C49-C58</f>
        <v>#VALUE!</v>
      </c>
      <c r="D60" s="847" t="e">
        <f t="shared" si="18"/>
        <v>#VALUE!</v>
      </c>
      <c r="E60" s="847" t="e">
        <f t="shared" si="18"/>
        <v>#VALUE!</v>
      </c>
      <c r="F60" s="847" t="e">
        <f t="shared" si="18"/>
        <v>#VALUE!</v>
      </c>
      <c r="G60" s="847" t="e">
        <f t="shared" si="18"/>
        <v>#VALUE!</v>
      </c>
      <c r="H60" s="847" t="e">
        <f t="shared" si="18"/>
        <v>#VALUE!</v>
      </c>
    </row>
    <row r="61" spans="1:10">
      <c r="A61" s="753" t="s">
        <v>3066</v>
      </c>
      <c r="C61" s="854">
        <v>0</v>
      </c>
      <c r="D61" s="854">
        <v>0</v>
      </c>
      <c r="E61" s="854">
        <v>0</v>
      </c>
      <c r="F61" s="854">
        <v>0</v>
      </c>
      <c r="G61" s="854">
        <v>0</v>
      </c>
      <c r="H61" s="847">
        <v>0</v>
      </c>
    </row>
    <row r="62" spans="1:10">
      <c r="A62" s="753" t="s">
        <v>3067</v>
      </c>
      <c r="C62" s="854">
        <v>0</v>
      </c>
      <c r="D62" s="847">
        <v>0</v>
      </c>
      <c r="E62" s="847">
        <v>0</v>
      </c>
      <c r="F62" s="847">
        <v>0</v>
      </c>
      <c r="G62" s="847">
        <v>0</v>
      </c>
      <c r="H62" s="847">
        <v>0</v>
      </c>
    </row>
    <row r="63" spans="1:10">
      <c r="A63" s="753" t="s">
        <v>3069</v>
      </c>
      <c r="C63" s="847">
        <v>0</v>
      </c>
      <c r="D63" s="847">
        <v>0</v>
      </c>
      <c r="E63" s="847">
        <v>0</v>
      </c>
      <c r="F63" s="847">
        <v>0</v>
      </c>
      <c r="G63" s="847">
        <v>0</v>
      </c>
      <c r="H63" s="847" t="e">
        <f>O33</f>
        <v>#VALUE!</v>
      </c>
    </row>
    <row r="64" spans="1:10">
      <c r="A64" s="753" t="s">
        <v>3070</v>
      </c>
      <c r="C64" s="847" t="e">
        <f t="shared" ref="C64:H64" si="19">SUM(C60:C63)</f>
        <v>#VALUE!</v>
      </c>
      <c r="D64" s="847" t="e">
        <f t="shared" si="19"/>
        <v>#VALUE!</v>
      </c>
      <c r="E64" s="847" t="e">
        <f t="shared" si="19"/>
        <v>#VALUE!</v>
      </c>
      <c r="F64" s="847" t="e">
        <f t="shared" si="19"/>
        <v>#VALUE!</v>
      </c>
      <c r="G64" s="847" t="e">
        <f t="shared" si="19"/>
        <v>#VALUE!</v>
      </c>
      <c r="H64" s="847" t="e">
        <f t="shared" si="19"/>
        <v>#VALUE!</v>
      </c>
    </row>
    <row r="66" spans="1:10" ht="15">
      <c r="A66" s="861"/>
      <c r="B66" s="862"/>
      <c r="C66" s="862"/>
      <c r="D66" s="862"/>
      <c r="E66" s="862"/>
      <c r="F66" s="863" t="s">
        <v>3076</v>
      </c>
      <c r="G66" s="4209" t="e">
        <f>IRR(K5:K25)</f>
        <v>#VALUE!</v>
      </c>
      <c r="H66" s="4210"/>
      <c r="I66" s="860"/>
      <c r="J66" s="86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R866"/>
  <sheetViews>
    <sheetView showGridLines="0" topLeftCell="A3" zoomScaleNormal="100" workbookViewId="0">
      <selection activeCell="R14" sqref="R14"/>
    </sheetView>
  </sheetViews>
  <sheetFormatPr defaultColWidth="9.140625" defaultRowHeight="12.75"/>
  <cols>
    <col min="1" max="1" width="3.140625" style="346" customWidth="1"/>
    <col min="2" max="2" width="2.140625" style="371" customWidth="1"/>
    <col min="3" max="16" width="8.85546875" style="346" customWidth="1"/>
    <col min="17" max="16384" width="9.140625" style="346"/>
  </cols>
  <sheetData>
    <row r="1" spans="1:16" s="325" customFormat="1" ht="14.1" customHeight="1">
      <c r="A1" s="3032" t="str">
        <f>CONCATENATE("PART ONE - PROJECT INFORMATION"," - ",$O$6," ",$F$34,", ",'Part I-Project Information'!F38,", ",'Part I-Project Information'!J39," County")</f>
        <v>PART ONE - PROJECT INFORMATION - 2019-5 Stone Terrace Phase II, Stonecrest, DeKalb County</v>
      </c>
      <c r="B1" s="3033"/>
      <c r="C1" s="3033"/>
      <c r="D1" s="3033"/>
      <c r="E1" s="3033"/>
      <c r="F1" s="3033"/>
      <c r="G1" s="3033"/>
      <c r="H1" s="3033"/>
      <c r="I1" s="3033"/>
      <c r="J1" s="3033"/>
      <c r="K1" s="3033"/>
      <c r="L1" s="3033"/>
      <c r="M1" s="3033"/>
      <c r="N1" s="3033"/>
      <c r="O1" s="3033"/>
      <c r="P1" s="3034"/>
    </row>
    <row r="2" spans="1:16" s="325" customFormat="1" ht="6" customHeight="1">
      <c r="A2" s="1001"/>
      <c r="B2" s="1001"/>
      <c r="C2" s="1001"/>
      <c r="D2" s="1001"/>
      <c r="E2" s="1001"/>
      <c r="F2" s="1001"/>
      <c r="G2" s="1001"/>
      <c r="H2" s="1001"/>
      <c r="I2" s="1001"/>
      <c r="J2" s="1001"/>
      <c r="K2" s="1001"/>
      <c r="L2" s="1001"/>
      <c r="M2" s="1001"/>
      <c r="N2" s="1001"/>
      <c r="O2" s="1001"/>
      <c r="P2" s="1001"/>
    </row>
    <row r="3" spans="1:16" s="325" customFormat="1" ht="37.5" customHeight="1">
      <c r="A3" s="3046" t="s">
        <v>4463</v>
      </c>
      <c r="B3" s="3046"/>
      <c r="C3" s="3046"/>
      <c r="D3" s="3046"/>
      <c r="E3" s="3046"/>
      <c r="F3" s="3046"/>
      <c r="G3" s="3046"/>
      <c r="H3" s="3046"/>
      <c r="I3" s="3046"/>
      <c r="J3" s="3046"/>
      <c r="K3" s="3046"/>
      <c r="L3" s="3046"/>
      <c r="M3" s="3046"/>
      <c r="N3" s="3046"/>
      <c r="O3" s="3046"/>
      <c r="P3" s="3046"/>
    </row>
    <row r="4" spans="1:16" s="325" customFormat="1" ht="6" customHeight="1">
      <c r="A4" s="1001"/>
      <c r="B4" s="1001"/>
      <c r="C4" s="1001"/>
      <c r="D4" s="1001"/>
      <c r="E4" s="1001"/>
      <c r="F4" s="1001"/>
      <c r="G4" s="1001"/>
      <c r="H4" s="1001"/>
      <c r="I4" s="1001"/>
      <c r="J4" s="1001"/>
      <c r="K4" s="1001"/>
      <c r="L4" s="1001"/>
      <c r="M4" s="1001"/>
      <c r="N4" s="1001"/>
      <c r="O4" s="1001"/>
      <c r="P4" s="1001"/>
    </row>
    <row r="5" spans="1:16" s="325" customFormat="1" ht="12" customHeight="1" thickBot="1">
      <c r="B5" s="299" t="s">
        <v>2364</v>
      </c>
      <c r="F5" s="326"/>
      <c r="G5" s="301" t="s">
        <v>4872</v>
      </c>
      <c r="L5" s="1001"/>
      <c r="P5" s="1306" t="s">
        <v>5210</v>
      </c>
    </row>
    <row r="6" spans="1:16" s="325" customFormat="1" ht="12" customHeight="1" thickBot="1">
      <c r="B6" s="3047" t="s">
        <v>5211</v>
      </c>
      <c r="C6" s="3047"/>
      <c r="D6" s="3047"/>
      <c r="E6" s="1601"/>
      <c r="F6" s="328"/>
      <c r="G6" s="301" t="s">
        <v>4871</v>
      </c>
      <c r="H6" s="1243"/>
      <c r="I6" s="1243"/>
      <c r="J6" s="1243"/>
      <c r="O6" s="3035" t="s">
        <v>5214</v>
      </c>
      <c r="P6" s="3036"/>
    </row>
    <row r="7" spans="1:16" s="325" customFormat="1" ht="12" customHeight="1">
      <c r="B7" s="3047"/>
      <c r="C7" s="3047"/>
      <c r="D7" s="3047"/>
      <c r="E7" s="1601"/>
      <c r="F7" s="602"/>
      <c r="G7" s="192" t="s">
        <v>3318</v>
      </c>
      <c r="H7" s="1243"/>
      <c r="I7" s="1243"/>
      <c r="J7" s="1243"/>
    </row>
    <row r="8" spans="1:16" s="325" customFormat="1" ht="6" customHeight="1">
      <c r="A8" s="545"/>
      <c r="B8" s="3047"/>
      <c r="C8" s="3047"/>
      <c r="D8" s="3047"/>
      <c r="E8" s="1243"/>
      <c r="H8" s="1243"/>
      <c r="I8" s="1243"/>
      <c r="M8" s="1243"/>
    </row>
    <row r="9" spans="1:16" s="325" customFormat="1" ht="13.35" customHeight="1">
      <c r="A9" s="327" t="s">
        <v>616</v>
      </c>
      <c r="B9" s="327" t="s">
        <v>2375</v>
      </c>
      <c r="D9" s="302"/>
      <c r="E9" s="329"/>
      <c r="F9" s="330" t="s">
        <v>3800</v>
      </c>
      <c r="I9" s="3037">
        <f>'Part IV-A-Uses of Funds'!$J$175</f>
        <v>660058</v>
      </c>
      <c r="J9" s="3038"/>
      <c r="L9" s="325" t="s">
        <v>3801</v>
      </c>
      <c r="O9" s="3039">
        <f>'Part III-Sources of Funds'!$H$5</f>
        <v>0</v>
      </c>
      <c r="P9" s="3040"/>
    </row>
    <row r="10" spans="1:16" s="325" customFormat="1" ht="6" customHeight="1">
      <c r="A10" s="327"/>
      <c r="B10" s="327"/>
      <c r="D10" s="302"/>
      <c r="E10" s="329"/>
      <c r="F10" s="329"/>
      <c r="I10" s="331"/>
      <c r="N10" s="332"/>
    </row>
    <row r="11" spans="1:16" s="325" customFormat="1" ht="13.35" customHeight="1">
      <c r="A11" s="331" t="s">
        <v>740</v>
      </c>
      <c r="B11" s="327" t="s">
        <v>2040</v>
      </c>
      <c r="F11" s="2983" t="s">
        <v>5216</v>
      </c>
      <c r="G11" s="2984"/>
      <c r="H11" s="2985"/>
      <c r="I11" s="1108" t="s">
        <v>3715</v>
      </c>
      <c r="J11" s="573" t="s">
        <v>5075</v>
      </c>
      <c r="K11" s="337"/>
      <c r="L11" s="1243"/>
      <c r="O11" s="3041" t="s">
        <v>5326</v>
      </c>
      <c r="P11" s="3042"/>
    </row>
    <row r="12" spans="1:16" s="325" customFormat="1" ht="12.75" customHeight="1">
      <c r="A12" s="545"/>
      <c r="B12" s="2650"/>
      <c r="C12" s="2650"/>
      <c r="D12" s="2650"/>
      <c r="E12" s="2650"/>
      <c r="H12" s="1243"/>
      <c r="J12" s="1527" t="s">
        <v>5054</v>
      </c>
      <c r="K12" s="299"/>
      <c r="M12" s="1243"/>
      <c r="O12" s="3048" t="s">
        <v>2993</v>
      </c>
      <c r="P12" s="3049"/>
    </row>
    <row r="13" spans="1:16" s="325" customFormat="1" ht="3" customHeight="1">
      <c r="A13" s="545"/>
      <c r="B13" s="2650"/>
      <c r="C13" s="2650"/>
      <c r="D13" s="2650"/>
      <c r="E13" s="2650"/>
      <c r="H13" s="1243"/>
      <c r="J13" s="574"/>
      <c r="K13" s="299"/>
      <c r="M13" s="1243"/>
    </row>
    <row r="14" spans="1:16" s="325" customFormat="1" ht="12.75" customHeight="1">
      <c r="A14" s="545"/>
      <c r="B14" s="2650" t="s">
        <v>5055</v>
      </c>
      <c r="C14" s="2650"/>
      <c r="D14" s="2650"/>
      <c r="E14" s="2650"/>
      <c r="F14" s="342" t="s">
        <v>2993</v>
      </c>
      <c r="G14" s="2619" t="s">
        <v>5056</v>
      </c>
      <c r="N14" s="2983" t="s">
        <v>5057</v>
      </c>
      <c r="O14" s="2984"/>
      <c r="P14" s="2985"/>
    </row>
    <row r="15" spans="1:16" s="325" customFormat="1" ht="12.75" customHeight="1">
      <c r="A15" s="545"/>
      <c r="B15" s="325" t="s">
        <v>3873</v>
      </c>
      <c r="D15" s="337"/>
      <c r="F15" s="2969"/>
      <c r="G15" s="2986"/>
      <c r="H15" s="2986"/>
      <c r="I15" s="2986"/>
      <c r="J15" s="2986"/>
      <c r="K15" s="2987"/>
      <c r="L15" s="325" t="s">
        <v>5042</v>
      </c>
      <c r="O15" s="2988"/>
      <c r="P15" s="2989"/>
    </row>
    <row r="16" spans="1:16" s="325" customFormat="1" ht="12.75" customHeight="1">
      <c r="A16" s="545"/>
      <c r="B16" s="325" t="s">
        <v>3799</v>
      </c>
      <c r="F16" s="342"/>
      <c r="G16" s="325" t="s">
        <v>5043</v>
      </c>
      <c r="H16" s="1243"/>
      <c r="I16" s="192"/>
      <c r="J16" s="574"/>
      <c r="N16" s="2991" t="s">
        <v>2885</v>
      </c>
      <c r="O16" s="2992"/>
      <c r="P16" s="2993"/>
    </row>
    <row r="17" spans="1:16" s="325" customFormat="1" ht="6" customHeight="1">
      <c r="I17" s="188"/>
      <c r="J17" s="188"/>
      <c r="K17" s="188"/>
      <c r="L17" s="188"/>
      <c r="M17" s="188"/>
      <c r="N17" s="188"/>
      <c r="O17" s="188"/>
      <c r="P17" s="188"/>
    </row>
    <row r="18" spans="1:16" s="325" customFormat="1" ht="13.35" customHeight="1">
      <c r="A18" s="331" t="s">
        <v>742</v>
      </c>
      <c r="B18" s="327" t="s">
        <v>4483</v>
      </c>
      <c r="D18" s="330"/>
      <c r="E18" s="329"/>
      <c r="G18" s="333"/>
      <c r="H18" s="333"/>
      <c r="I18" s="333"/>
      <c r="L18" s="332"/>
    </row>
    <row r="19" spans="1:16" s="325" customFormat="1" ht="1.5" customHeight="1">
      <c r="A19" s="331"/>
      <c r="B19" s="329"/>
      <c r="C19" s="327"/>
      <c r="D19" s="330"/>
      <c r="E19" s="329"/>
      <c r="G19" s="333"/>
      <c r="H19" s="333"/>
      <c r="I19" s="333"/>
      <c r="K19" s="332"/>
      <c r="L19" s="332"/>
      <c r="O19" s="1001"/>
    </row>
    <row r="20" spans="1:16" s="325" customFormat="1" ht="13.35" customHeight="1">
      <c r="B20" s="325" t="s">
        <v>3882</v>
      </c>
      <c r="F20" s="2903" t="s">
        <v>5296</v>
      </c>
      <c r="G20" s="2904"/>
      <c r="H20" s="2905"/>
      <c r="I20" s="325" t="s">
        <v>1797</v>
      </c>
      <c r="J20" s="2903" t="s">
        <v>5249</v>
      </c>
      <c r="K20" s="2904"/>
      <c r="L20" s="2905"/>
      <c r="M20" s="365" t="s">
        <v>1980</v>
      </c>
      <c r="N20" s="2988" t="s">
        <v>2474</v>
      </c>
      <c r="O20" s="3000"/>
      <c r="P20" s="2989"/>
    </row>
    <row r="21" spans="1:16" s="325" customFormat="1" ht="13.35" customHeight="1">
      <c r="B21" s="330" t="s">
        <v>1981</v>
      </c>
      <c r="F21" s="2971" t="s">
        <v>5234</v>
      </c>
      <c r="G21" s="2911"/>
      <c r="H21" s="2911"/>
      <c r="I21" s="2972"/>
      <c r="J21" s="2911"/>
      <c r="K21" s="2972"/>
      <c r="L21" s="2940"/>
      <c r="M21" s="3043" t="s">
        <v>3881</v>
      </c>
      <c r="N21" s="3044"/>
      <c r="O21" s="3044"/>
      <c r="P21" s="3044"/>
    </row>
    <row r="22" spans="1:16" s="325" customFormat="1" ht="13.35" customHeight="1">
      <c r="B22" s="330" t="s">
        <v>618</v>
      </c>
      <c r="F22" s="2971" t="s">
        <v>5235</v>
      </c>
      <c r="G22" s="2911"/>
      <c r="H22" s="2973"/>
      <c r="I22" s="330" t="s">
        <v>1799</v>
      </c>
      <c r="J22" s="1315" t="s">
        <v>1349</v>
      </c>
      <c r="M22" s="3043"/>
      <c r="N22" s="3043"/>
      <c r="O22" s="3043"/>
      <c r="P22" s="3043"/>
    </row>
    <row r="23" spans="1:16" s="325" customFormat="1" ht="13.35" customHeight="1">
      <c r="B23" s="1331" t="s">
        <v>2229</v>
      </c>
      <c r="F23" s="3021">
        <v>282035824</v>
      </c>
      <c r="G23" s="3045"/>
      <c r="H23" s="3022"/>
      <c r="I23" s="330" t="s">
        <v>1720</v>
      </c>
      <c r="J23" s="2990">
        <v>7043359112</v>
      </c>
      <c r="K23" s="2902"/>
      <c r="L23" s="1231" t="s">
        <v>1719</v>
      </c>
      <c r="M23" s="963"/>
      <c r="N23" s="1228" t="s">
        <v>1721</v>
      </c>
      <c r="O23" s="2900">
        <v>7043359112</v>
      </c>
      <c r="P23" s="2902"/>
    </row>
    <row r="24" spans="1:16" s="325" customFormat="1" ht="13.35" customHeight="1">
      <c r="B24" s="1331" t="s">
        <v>1984</v>
      </c>
      <c r="F24" s="2908" t="s">
        <v>5236</v>
      </c>
      <c r="G24" s="2909"/>
      <c r="H24" s="2909"/>
      <c r="I24" s="3000"/>
      <c r="J24" s="2909"/>
      <c r="K24" s="2910"/>
      <c r="N24" s="1228" t="s">
        <v>1979</v>
      </c>
      <c r="O24" s="2965">
        <v>8032694235</v>
      </c>
      <c r="P24" s="2967"/>
    </row>
    <row r="25" spans="1:16" s="325" customFormat="1" ht="13.5" customHeight="1">
      <c r="A25" s="545"/>
      <c r="B25" s="327" t="s">
        <v>4482</v>
      </c>
      <c r="C25" s="335"/>
      <c r="D25" s="1238"/>
      <c r="E25" s="1238"/>
      <c r="F25" s="1238"/>
      <c r="H25" s="1243"/>
      <c r="I25" s="1238"/>
      <c r="J25" s="335"/>
      <c r="K25" s="1238"/>
      <c r="P25" s="336"/>
    </row>
    <row r="26" spans="1:16" s="325" customFormat="1" ht="13.35" customHeight="1">
      <c r="B26" s="325" t="s">
        <v>3882</v>
      </c>
      <c r="F26" s="2903"/>
      <c r="G26" s="2904"/>
      <c r="H26" s="2905"/>
      <c r="I26" s="325" t="s">
        <v>1797</v>
      </c>
      <c r="J26" s="2903"/>
      <c r="K26" s="2904"/>
      <c r="L26" s="2905"/>
      <c r="M26" s="365" t="s">
        <v>1980</v>
      </c>
      <c r="N26" s="2988"/>
      <c r="O26" s="3000"/>
      <c r="P26" s="2989"/>
    </row>
    <row r="27" spans="1:16" s="325" customFormat="1" ht="13.35" customHeight="1">
      <c r="B27" s="330" t="s">
        <v>1981</v>
      </c>
      <c r="F27" s="2971"/>
      <c r="G27" s="2911"/>
      <c r="H27" s="2911"/>
      <c r="I27" s="2972"/>
      <c r="J27" s="2911"/>
      <c r="K27" s="2972"/>
      <c r="L27" s="2940"/>
      <c r="M27" s="3043" t="s">
        <v>3881</v>
      </c>
      <c r="N27" s="3044"/>
      <c r="O27" s="3044"/>
      <c r="P27" s="3044"/>
    </row>
    <row r="28" spans="1:16" s="325" customFormat="1" ht="13.35" customHeight="1">
      <c r="B28" s="330" t="s">
        <v>618</v>
      </c>
      <c r="F28" s="2971"/>
      <c r="G28" s="2911"/>
      <c r="H28" s="2973"/>
      <c r="I28" s="330" t="s">
        <v>1799</v>
      </c>
      <c r="J28" s="1315"/>
      <c r="M28" s="3043"/>
      <c r="N28" s="3043"/>
      <c r="O28" s="3043"/>
      <c r="P28" s="3043"/>
    </row>
    <row r="29" spans="1:16" s="325" customFormat="1" ht="13.35" customHeight="1">
      <c r="B29" s="1414" t="s">
        <v>2229</v>
      </c>
      <c r="F29" s="3021"/>
      <c r="G29" s="3045"/>
      <c r="H29" s="3022"/>
      <c r="I29" s="330" t="s">
        <v>1720</v>
      </c>
      <c r="J29" s="2990"/>
      <c r="K29" s="2902"/>
      <c r="L29" s="1415" t="s">
        <v>1719</v>
      </c>
      <c r="M29" s="963"/>
      <c r="N29" s="1414" t="s">
        <v>1721</v>
      </c>
      <c r="O29" s="2900"/>
      <c r="P29" s="2902"/>
    </row>
    <row r="30" spans="1:16" s="325" customFormat="1" ht="13.35" customHeight="1">
      <c r="B30" s="1414" t="s">
        <v>1984</v>
      </c>
      <c r="F30" s="2908"/>
      <c r="G30" s="2909"/>
      <c r="H30" s="2909"/>
      <c r="I30" s="3000"/>
      <c r="J30" s="2909"/>
      <c r="K30" s="2910"/>
      <c r="N30" s="1414" t="s">
        <v>1979</v>
      </c>
      <c r="O30" s="2965"/>
      <c r="P30" s="2967"/>
    </row>
    <row r="31" spans="1:16" s="325" customFormat="1" ht="6" customHeight="1">
      <c r="A31" s="545"/>
      <c r="B31" s="545"/>
      <c r="C31" s="335"/>
      <c r="D31" s="1417"/>
      <c r="E31" s="1417"/>
      <c r="F31" s="1417"/>
      <c r="H31" s="1418"/>
      <c r="I31" s="1417"/>
      <c r="J31" s="335"/>
      <c r="K31" s="1417"/>
      <c r="P31" s="336"/>
    </row>
    <row r="32" spans="1:16" s="325" customFormat="1" ht="13.35"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617</v>
      </c>
      <c r="D34" s="337"/>
      <c r="F34" s="3025" t="s">
        <v>5327</v>
      </c>
      <c r="G34" s="3026"/>
      <c r="H34" s="3026"/>
      <c r="I34" s="3026"/>
      <c r="J34" s="3026"/>
      <c r="K34" s="3027"/>
      <c r="L34" s="1228" t="s">
        <v>2192</v>
      </c>
      <c r="O34" s="2903" t="s">
        <v>5225</v>
      </c>
      <c r="P34" s="2905"/>
    </row>
    <row r="35" spans="1:16" s="325" customFormat="1" ht="13.35" customHeight="1">
      <c r="A35" s="338"/>
      <c r="B35" s="325" t="s">
        <v>2699</v>
      </c>
      <c r="D35" s="339"/>
      <c r="F35" s="2897" t="s">
        <v>5224</v>
      </c>
      <c r="G35" s="2898"/>
      <c r="H35" s="2898"/>
      <c r="I35" s="2898"/>
      <c r="J35" s="2898"/>
      <c r="K35" s="2899"/>
      <c r="L35" s="325" t="s">
        <v>3683</v>
      </c>
      <c r="O35" s="2939"/>
      <c r="P35" s="2973"/>
    </row>
    <row r="36" spans="1:16" s="325" customFormat="1" ht="13.35" customHeight="1">
      <c r="A36" s="338"/>
      <c r="B36" s="325" t="s">
        <v>2734</v>
      </c>
      <c r="D36" s="339"/>
      <c r="F36" s="2939"/>
      <c r="G36" s="2911"/>
      <c r="H36" s="2911"/>
      <c r="I36" s="2972"/>
      <c r="J36" s="2911"/>
      <c r="K36" s="2973"/>
      <c r="L36" s="1228" t="s">
        <v>2050</v>
      </c>
      <c r="N36" s="963" t="s">
        <v>2993</v>
      </c>
      <c r="O36" s="1243" t="s">
        <v>3682</v>
      </c>
      <c r="P36" s="1352"/>
    </row>
    <row r="37" spans="1:16" s="325" customFormat="1" ht="13.35" customHeight="1">
      <c r="A37" s="338"/>
      <c r="B37" s="325" t="s">
        <v>3738</v>
      </c>
      <c r="D37" s="339"/>
      <c r="F37" s="325" t="s">
        <v>3717</v>
      </c>
      <c r="G37" s="3019">
        <v>33.704946999999997</v>
      </c>
      <c r="H37" s="3020"/>
      <c r="I37" s="1231" t="s">
        <v>3718</v>
      </c>
      <c r="J37" s="3019">
        <v>-84.122478999999998</v>
      </c>
      <c r="K37" s="3020"/>
      <c r="L37" s="1228" t="s">
        <v>2283</v>
      </c>
      <c r="O37" s="3028"/>
      <c r="P37" s="3029"/>
    </row>
    <row r="38" spans="1:16" s="325" customFormat="1" ht="13.35" customHeight="1">
      <c r="A38" s="545"/>
      <c r="B38" s="325" t="s">
        <v>618</v>
      </c>
      <c r="F38" s="2903" t="s">
        <v>4747</v>
      </c>
      <c r="G38" s="3030"/>
      <c r="H38" s="3031"/>
      <c r="I38" s="344" t="s">
        <v>2700</v>
      </c>
      <c r="J38" s="3021">
        <v>300587633</v>
      </c>
      <c r="K38" s="3022"/>
      <c r="L38" s="421" t="str">
        <f>IF(AND(NOT(F34=""),NOT(F38="Select from list"),J38=""),"Enter Zip!","")</f>
        <v/>
      </c>
      <c r="M38" s="341" t="s">
        <v>2906</v>
      </c>
      <c r="O38" s="3023" t="s">
        <v>5226</v>
      </c>
      <c r="P38" s="3024"/>
    </row>
    <row r="39" spans="1:16" s="325" customFormat="1" ht="13.35" customHeight="1">
      <c r="A39" s="545"/>
      <c r="B39" s="1238" t="s">
        <v>3569</v>
      </c>
      <c r="D39" s="1238"/>
      <c r="F39" s="2939" t="s">
        <v>5227</v>
      </c>
      <c r="G39" s="2972"/>
      <c r="H39" s="2940"/>
      <c r="I39" s="340" t="s">
        <v>619</v>
      </c>
      <c r="J39" s="3056" t="str">
        <f>IF(F38="","",VLOOKUP(F38,'DCA Underwriting Assumptions'!$T$158:$U$786,2,FALSE))</f>
        <v>DeKalb</v>
      </c>
      <c r="K39" s="3057"/>
      <c r="M39" s="1228" t="s">
        <v>451</v>
      </c>
      <c r="N39" s="1607" t="s">
        <v>2990</v>
      </c>
      <c r="O39" s="1243" t="s">
        <v>452</v>
      </c>
      <c r="P39" s="1353"/>
    </row>
    <row r="40" spans="1:16" s="325" customFormat="1" ht="13.35" customHeight="1">
      <c r="A40" s="545"/>
      <c r="B40" s="327"/>
      <c r="C40" s="325" t="s">
        <v>1558</v>
      </c>
      <c r="F40" s="575"/>
      <c r="G40" s="3058" t="s">
        <v>2781</v>
      </c>
      <c r="H40" s="3059"/>
      <c r="I40" s="582" t="str">
        <f>IF($J$39="","",IF(VLOOKUP($J$39,'DCA Underwriting Assumptions'!G158:M317,7,FALSE)="Rural","Yes",IF(VLOOKUP($J$39,'DCA Underwriting Assumptions'!G158:M317,7,FALSE)="Urban","No","")))</f>
        <v>No</v>
      </c>
      <c r="J40" s="1231" t="s">
        <v>2801</v>
      </c>
      <c r="K40" s="1231" t="str">
        <f>IF(OR(F40="Yes",I40="Yes"),"Rural","Urban")</f>
        <v>Urban</v>
      </c>
      <c r="M40" s="1228" t="s">
        <v>2611</v>
      </c>
      <c r="N40" s="484" t="str">
        <f>VLOOKUP($J$39,'DCA Underwriting Assumptions'!$G$158:$J$317,4)</f>
        <v>MSA</v>
      </c>
      <c r="O40" s="3060" t="str">
        <f>IF($F$38="","",VLOOKUP($J$39,'DCA Underwriting Assumptions'!$G$158:$L$317,3,FALSE))</f>
        <v>Atlanta-Sandy Springs-Marietta</v>
      </c>
      <c r="P40" s="3061"/>
    </row>
    <row r="41" spans="1:16" s="325" customFormat="1" ht="6" customHeight="1">
      <c r="A41" s="545"/>
      <c r="B41" s="327"/>
      <c r="C41" s="327"/>
      <c r="I41" s="330"/>
      <c r="J41" s="1238"/>
      <c r="L41" s="1247"/>
      <c r="M41" s="1247"/>
      <c r="N41" s="1247"/>
      <c r="O41" s="1247"/>
      <c r="P41" s="1247"/>
    </row>
    <row r="42" spans="1:16" s="325" customFormat="1" ht="13.35" customHeight="1">
      <c r="A42" s="545"/>
      <c r="C42" s="325" t="s">
        <v>2743</v>
      </c>
      <c r="F42" s="3062" t="s">
        <v>2762</v>
      </c>
      <c r="G42" s="3062"/>
      <c r="H42" s="3063" t="s">
        <v>736</v>
      </c>
      <c r="I42" s="3063"/>
      <c r="J42" s="3063" t="s">
        <v>737</v>
      </c>
      <c r="K42" s="3063"/>
      <c r="L42" s="566" t="s">
        <v>4947</v>
      </c>
    </row>
    <row r="43" spans="1:16" s="325" customFormat="1" ht="13.35" customHeight="1">
      <c r="A43" s="545"/>
      <c r="B43" s="325" t="s">
        <v>2761</v>
      </c>
      <c r="D43" s="327"/>
      <c r="F43" s="3050">
        <v>4</v>
      </c>
      <c r="G43" s="3051"/>
      <c r="H43" s="3050">
        <v>92</v>
      </c>
      <c r="I43" s="3051"/>
      <c r="J43" s="3050">
        <v>43</v>
      </c>
      <c r="K43" s="3051"/>
      <c r="L43" s="562" t="s">
        <v>1283</v>
      </c>
      <c r="N43" s="3052" t="s">
        <v>1284</v>
      </c>
      <c r="O43" s="3052"/>
      <c r="P43" s="3052"/>
    </row>
    <row r="44" spans="1:16" s="325" customFormat="1" ht="12.75" customHeight="1">
      <c r="A44" s="545"/>
      <c r="B44" s="330" t="s">
        <v>738</v>
      </c>
      <c r="F44" s="3053"/>
      <c r="G44" s="3054"/>
      <c r="H44" s="3053"/>
      <c r="I44" s="3054"/>
      <c r="J44" s="3053"/>
      <c r="K44" s="3054"/>
      <c r="L44" s="562" t="s">
        <v>2760</v>
      </c>
      <c r="N44" s="3055" t="s">
        <v>2759</v>
      </c>
      <c r="O44" s="3055"/>
    </row>
    <row r="45" spans="1:16" s="325" customFormat="1" ht="3" customHeight="1">
      <c r="A45" s="545"/>
      <c r="I45" s="1247"/>
      <c r="J45" s="1247"/>
      <c r="K45" s="1247"/>
      <c r="L45" s="1238"/>
      <c r="M45" s="1238"/>
      <c r="N45" s="1238"/>
      <c r="O45" s="1238"/>
      <c r="P45" s="1238"/>
    </row>
    <row r="46" spans="1:16" s="325" customFormat="1" ht="13.35" customHeight="1">
      <c r="A46" s="545"/>
      <c r="B46" s="327" t="s">
        <v>637</v>
      </c>
      <c r="F46" s="2996" t="s">
        <v>5229</v>
      </c>
      <c r="G46" s="2997"/>
      <c r="H46" s="2997"/>
      <c r="I46" s="2998"/>
      <c r="J46" s="2997"/>
      <c r="K46" s="2999"/>
      <c r="L46" s="997" t="s">
        <v>2704</v>
      </c>
      <c r="M46" s="2988" t="s">
        <v>5228</v>
      </c>
      <c r="N46" s="3000"/>
      <c r="O46" s="3000"/>
      <c r="P46" s="2989"/>
    </row>
    <row r="47" spans="1:16" s="325" customFormat="1" ht="13.35" customHeight="1">
      <c r="A47" s="545"/>
      <c r="B47" s="325" t="s">
        <v>638</v>
      </c>
      <c r="F47" s="3001" t="s">
        <v>5230</v>
      </c>
      <c r="G47" s="3002"/>
      <c r="H47" s="3003"/>
      <c r="I47" s="1232" t="s">
        <v>1980</v>
      </c>
      <c r="J47" s="2897" t="s">
        <v>5231</v>
      </c>
      <c r="K47" s="2899"/>
      <c r="L47" s="997"/>
    </row>
    <row r="48" spans="1:16" s="325" customFormat="1" ht="13.35" customHeight="1">
      <c r="A48" s="545"/>
      <c r="B48" s="325" t="s">
        <v>1981</v>
      </c>
      <c r="F48" s="3004" t="s">
        <v>5233</v>
      </c>
      <c r="G48" s="3005"/>
      <c r="H48" s="3006"/>
      <c r="I48" s="2997"/>
      <c r="J48" s="3005"/>
      <c r="K48" s="3007"/>
      <c r="L48" s="366" t="s">
        <v>618</v>
      </c>
      <c r="M48" s="3008" t="s">
        <v>4747</v>
      </c>
      <c r="N48" s="3009"/>
      <c r="O48" s="3009"/>
      <c r="P48" s="3010"/>
    </row>
    <row r="49" spans="1:19" s="325" customFormat="1" ht="13.35" customHeight="1">
      <c r="A49" s="545"/>
      <c r="B49" s="1228" t="s">
        <v>2229</v>
      </c>
      <c r="F49" s="3011">
        <v>300382693</v>
      </c>
      <c r="G49" s="3012"/>
      <c r="H49" s="1231" t="s">
        <v>1982</v>
      </c>
      <c r="I49" s="3013">
        <v>7702240200</v>
      </c>
      <c r="J49" s="3014"/>
      <c r="K49" s="3015"/>
      <c r="L49" s="330" t="s">
        <v>1800</v>
      </c>
      <c r="M49" s="3016" t="s">
        <v>5232</v>
      </c>
      <c r="N49" s="3017"/>
      <c r="O49" s="3017"/>
      <c r="P49" s="3018"/>
    </row>
    <row r="50" spans="1:19" s="325" customFormat="1" ht="6" customHeight="1">
      <c r="A50" s="545"/>
      <c r="B50" s="545"/>
      <c r="C50" s="343"/>
      <c r="D50" s="344"/>
      <c r="E50" s="344"/>
      <c r="F50" s="1243"/>
      <c r="G50" s="1243"/>
      <c r="H50" s="1243"/>
      <c r="I50" s="1243"/>
      <c r="J50" s="344"/>
      <c r="K50" s="1243"/>
      <c r="L50" s="1243"/>
      <c r="N50" s="1238"/>
      <c r="O50" s="1238"/>
      <c r="P50" s="336"/>
    </row>
    <row r="51" spans="1:19" s="325" customFormat="1" ht="12" customHeight="1">
      <c r="A51" s="331" t="s">
        <v>1794</v>
      </c>
      <c r="B51" s="327" t="s">
        <v>1475</v>
      </c>
      <c r="F51" s="345"/>
      <c r="I51" s="1228"/>
      <c r="J51" s="1238"/>
      <c r="K51" s="1238"/>
      <c r="L51" s="1238"/>
      <c r="M51" s="1238"/>
    </row>
    <row r="52" spans="1:19" s="325" customFormat="1" ht="1.5" customHeight="1">
      <c r="A52" s="545"/>
      <c r="B52" s="327"/>
      <c r="C52" s="327"/>
      <c r="I52" s="1228"/>
      <c r="J52" s="1238"/>
      <c r="K52" s="1238"/>
      <c r="L52" s="1238"/>
      <c r="M52" s="1238"/>
      <c r="N52" s="1238"/>
      <c r="O52" s="1238"/>
      <c r="P52" s="1238"/>
      <c r="Q52" s="1238"/>
    </row>
    <row r="53" spans="1:19" s="325" customFormat="1">
      <c r="A53" s="545"/>
      <c r="B53" s="545" t="s">
        <v>1983</v>
      </c>
      <c r="C53" s="327" t="s">
        <v>718</v>
      </c>
      <c r="I53" s="1238"/>
      <c r="J53" s="1238"/>
      <c r="K53" s="563"/>
      <c r="L53" s="1238"/>
      <c r="M53" s="565"/>
      <c r="N53" s="565"/>
      <c r="O53" s="565"/>
      <c r="P53" s="565"/>
      <c r="Q53" s="1243"/>
    </row>
    <row r="54" spans="1:19" ht="13.35" customHeight="1">
      <c r="B54" s="545"/>
      <c r="C54" s="325" t="s">
        <v>2295</v>
      </c>
      <c r="D54" s="325"/>
      <c r="E54" s="325"/>
      <c r="H54" s="1288">
        <f>'Part VI-Revenues &amp; Expenses'!$O$103</f>
        <v>84</v>
      </c>
      <c r="K54" s="330" t="s">
        <v>3674</v>
      </c>
      <c r="L54" s="325"/>
      <c r="M54" s="1065" t="s">
        <v>3673</v>
      </c>
      <c r="N54" s="347">
        <f>'Part VI-Revenues &amp; Expenses'!$O$110</f>
        <v>0</v>
      </c>
      <c r="O54" s="1066" t="s">
        <v>3357</v>
      </c>
      <c r="P54" s="347">
        <f>'Part VI-Revenues &amp; Expenses'!$O$111</f>
        <v>0</v>
      </c>
      <c r="Q54" s="1243"/>
    </row>
    <row r="55" spans="1:19" s="325" customFormat="1">
      <c r="A55" s="545"/>
      <c r="B55" s="545"/>
      <c r="C55" s="348" t="s">
        <v>347</v>
      </c>
      <c r="H55" s="1289">
        <f>'Part VI-Revenues &amp; Expenses'!$O$109</f>
        <v>0</v>
      </c>
      <c r="K55" s="348" t="s">
        <v>366</v>
      </c>
      <c r="P55" s="347">
        <f>'Part VI-Revenues &amp; Expenses'!$O$113</f>
        <v>0</v>
      </c>
    </row>
    <row r="56" spans="1:19" s="325" customFormat="1" ht="13.35" customHeight="1">
      <c r="B56" s="545"/>
      <c r="C56" s="330" t="s">
        <v>346</v>
      </c>
      <c r="D56" s="1238"/>
      <c r="H56" s="1290">
        <f>'Part VI-Revenues &amp; Expenses'!$O$106</f>
        <v>0</v>
      </c>
      <c r="I56" s="547" t="s">
        <v>2910</v>
      </c>
      <c r="K56" s="325" t="s">
        <v>348</v>
      </c>
      <c r="P56" s="445"/>
      <c r="Q56" s="1243"/>
    </row>
    <row r="57" spans="1:19" s="325" customFormat="1" ht="3.6" customHeight="1">
      <c r="A57" s="545"/>
      <c r="P57" s="1238"/>
    </row>
    <row r="58" spans="1:19" s="325" customFormat="1">
      <c r="A58" s="545"/>
      <c r="B58" s="545" t="s">
        <v>1985</v>
      </c>
      <c r="C58" s="327" t="s">
        <v>2296</v>
      </c>
      <c r="H58" s="334"/>
      <c r="K58" s="1238"/>
      <c r="L58" s="1238"/>
      <c r="M58" s="1238"/>
      <c r="N58" s="1238"/>
      <c r="O58" s="565"/>
      <c r="P58" s="563"/>
      <c r="Q58" s="1238"/>
    </row>
    <row r="59" spans="1:19" s="325" customFormat="1" ht="3" customHeight="1">
      <c r="A59" s="545"/>
      <c r="I59" s="1238"/>
      <c r="J59" s="563"/>
      <c r="K59" s="564"/>
      <c r="L59" s="563"/>
      <c r="M59" s="564"/>
      <c r="N59" s="564"/>
      <c r="O59" s="564"/>
      <c r="P59" s="564"/>
      <c r="Q59" s="1238"/>
    </row>
    <row r="60" spans="1:19" s="325" customFormat="1" ht="13.35" customHeight="1">
      <c r="A60" s="545"/>
      <c r="B60" s="338" t="s">
        <v>749</v>
      </c>
      <c r="C60" s="337" t="s">
        <v>2276</v>
      </c>
      <c r="D60" s="1238"/>
      <c r="I60" s="1235" t="s">
        <v>3565</v>
      </c>
      <c r="J60" s="338" t="s">
        <v>2115</v>
      </c>
      <c r="K60" s="349" t="s">
        <v>2302</v>
      </c>
      <c r="M60" s="1238"/>
      <c r="N60" s="1238"/>
      <c r="O60" s="1238"/>
      <c r="P60" s="1243"/>
      <c r="Q60" s="1243"/>
      <c r="R60" s="1243"/>
      <c r="S60" s="1238"/>
    </row>
    <row r="61" spans="1:19" s="325" customFormat="1" ht="13.35" customHeight="1">
      <c r="A61" s="545"/>
      <c r="B61" s="1233"/>
      <c r="C61" s="335" t="s">
        <v>2277</v>
      </c>
      <c r="D61" s="1238"/>
      <c r="E61" s="1238"/>
      <c r="H61" s="738">
        <f>SUM(H62:H68)</f>
        <v>84</v>
      </c>
      <c r="I61" s="738">
        <f>SUM(I62:I68)</f>
        <v>0</v>
      </c>
      <c r="J61" s="545"/>
      <c r="K61" s="335" t="s">
        <v>2773</v>
      </c>
      <c r="M61" s="1238"/>
      <c r="N61" s="1238"/>
      <c r="O61" s="1238"/>
      <c r="P61" s="2326">
        <f>SUM(P62:P68)</f>
        <v>85704</v>
      </c>
    </row>
    <row r="62" spans="1:19" s="325" customFormat="1" ht="13.35" customHeight="1">
      <c r="A62" s="545"/>
      <c r="B62" s="2321"/>
      <c r="C62" s="335"/>
      <c r="D62" s="351" t="s">
        <v>4717</v>
      </c>
      <c r="E62" s="2322"/>
      <c r="H62" s="955">
        <f>'Part VI-Revenues &amp; Expenses'!$O$56</f>
        <v>0</v>
      </c>
      <c r="I62" s="955">
        <f>'Part VI-Revenues &amp; Expenses'!$O$81</f>
        <v>0</v>
      </c>
      <c r="J62" s="545"/>
      <c r="K62" s="335"/>
      <c r="L62" s="351" t="s">
        <v>4717</v>
      </c>
      <c r="M62" s="2322"/>
      <c r="N62" s="2322"/>
      <c r="O62" s="2322"/>
      <c r="P62" s="955">
        <f>'Part VI-Revenues &amp; Expenses'!$O$145</f>
        <v>0</v>
      </c>
    </row>
    <row r="63" spans="1:19" s="325" customFormat="1" ht="13.35" customHeight="1">
      <c r="A63" s="545"/>
      <c r="B63" s="2321"/>
      <c r="C63" s="335"/>
      <c r="D63" s="351" t="s">
        <v>4718</v>
      </c>
      <c r="E63" s="2322"/>
      <c r="H63" s="2328">
        <f>'Part VI-Revenues &amp; Expenses'!$O$57</f>
        <v>0</v>
      </c>
      <c r="I63" s="2328">
        <f>'Part VI-Revenues &amp; Expenses'!$O$82</f>
        <v>0</v>
      </c>
      <c r="J63" s="545"/>
      <c r="K63" s="335"/>
      <c r="L63" s="351" t="s">
        <v>4718</v>
      </c>
      <c r="M63" s="2322"/>
      <c r="N63" s="2322"/>
      <c r="O63" s="2322"/>
      <c r="P63" s="2328">
        <f>'Part VI-Revenues &amp; Expenses'!$O$146</f>
        <v>0</v>
      </c>
    </row>
    <row r="64" spans="1:19" s="325" customFormat="1" ht="13.35" customHeight="1">
      <c r="A64" s="545"/>
      <c r="B64" s="346"/>
      <c r="D64" s="351" t="s">
        <v>4715</v>
      </c>
      <c r="E64" s="351"/>
      <c r="H64" s="2328">
        <f>'Part VI-Revenues &amp; Expenses'!$O$58</f>
        <v>84</v>
      </c>
      <c r="I64" s="2328">
        <f>'Part VI-Revenues &amp; Expenses'!$O$83</f>
        <v>0</v>
      </c>
      <c r="L64" s="351" t="s">
        <v>4715</v>
      </c>
      <c r="O64" s="2322"/>
      <c r="P64" s="2328">
        <f>'Part VI-Revenues &amp; Expenses'!$O$147</f>
        <v>85704</v>
      </c>
    </row>
    <row r="65" spans="1:16" s="325" customFormat="1" ht="13.35" customHeight="1">
      <c r="A65" s="545"/>
      <c r="D65" s="351" t="s">
        <v>4716</v>
      </c>
      <c r="E65" s="1238"/>
      <c r="H65" s="2328">
        <f>'Part VI-Revenues &amp; Expenses'!$O$59</f>
        <v>0</v>
      </c>
      <c r="I65" s="2328">
        <f>'Part VI-Revenues &amp; Expenses'!$O$84</f>
        <v>0</v>
      </c>
      <c r="L65" s="351" t="s">
        <v>4716</v>
      </c>
      <c r="O65" s="2322"/>
      <c r="P65" s="2328">
        <f>'Part VI-Revenues &amp; Expenses'!$O$148</f>
        <v>0</v>
      </c>
    </row>
    <row r="66" spans="1:16" s="325" customFormat="1" ht="13.35" customHeight="1">
      <c r="A66" s="545"/>
      <c r="D66" s="351" t="s">
        <v>4719</v>
      </c>
      <c r="E66" s="351"/>
      <c r="H66" s="2328">
        <f>'Part VI-Revenues &amp; Expenses'!$O$60</f>
        <v>0</v>
      </c>
      <c r="I66" s="2328">
        <f>'Part VI-Revenues &amp; Expenses'!$O$85</f>
        <v>0</v>
      </c>
      <c r="L66" s="351" t="s">
        <v>4719</v>
      </c>
      <c r="O66" s="2322"/>
      <c r="P66" s="2328">
        <f>'Part VI-Revenues &amp; Expenses'!$O$149</f>
        <v>0</v>
      </c>
    </row>
    <row r="67" spans="1:16" s="325" customFormat="1" ht="13.35" customHeight="1">
      <c r="A67" s="545"/>
      <c r="D67" s="351" t="s">
        <v>4720</v>
      </c>
      <c r="E67" s="351"/>
      <c r="H67" s="2328">
        <f>'Part VI-Revenues &amp; Expenses'!$O$61</f>
        <v>0</v>
      </c>
      <c r="I67" s="2328">
        <f>'Part VI-Revenues &amp; Expenses'!$O$86</f>
        <v>0</v>
      </c>
      <c r="L67" s="351" t="s">
        <v>4720</v>
      </c>
      <c r="O67" s="2322"/>
      <c r="P67" s="2328">
        <f>'Part VI-Revenues &amp; Expenses'!$O$150</f>
        <v>0</v>
      </c>
    </row>
    <row r="68" spans="1:16" s="325" customFormat="1" ht="13.35" customHeight="1">
      <c r="A68" s="545"/>
      <c r="D68" s="351" t="s">
        <v>4721</v>
      </c>
      <c r="E68" s="351"/>
      <c r="H68" s="956">
        <f>'Part VI-Revenues &amp; Expenses'!$O$62</f>
        <v>0</v>
      </c>
      <c r="I68" s="956">
        <f>'Part VI-Revenues &amp; Expenses'!$O$87</f>
        <v>0</v>
      </c>
      <c r="L68" s="351" t="s">
        <v>4721</v>
      </c>
      <c r="O68" s="2322"/>
      <c r="P68" s="956">
        <f>'Part VI-Revenues &amp; Expenses'!$O$151</f>
        <v>0</v>
      </c>
    </row>
    <row r="69" spans="1:16" s="325" customFormat="1" ht="13.35" customHeight="1">
      <c r="A69" s="545"/>
      <c r="C69" s="335" t="s">
        <v>253</v>
      </c>
      <c r="D69" s="1238"/>
      <c r="E69" s="1238"/>
      <c r="H69" s="2327">
        <f>'Part VI-Revenues &amp; Expenses'!$O$64</f>
        <v>0</v>
      </c>
      <c r="J69" s="545"/>
      <c r="K69" s="335" t="s">
        <v>2774</v>
      </c>
      <c r="M69" s="1238"/>
      <c r="N69" s="1238"/>
      <c r="O69" s="1238"/>
      <c r="P69" s="2329">
        <f>'Part VI-Revenues &amp; Expenses'!$O$153</f>
        <v>0</v>
      </c>
    </row>
    <row r="70" spans="1:16" s="325" customFormat="1" ht="13.35" customHeight="1">
      <c r="A70" s="545"/>
      <c r="C70" s="335" t="s">
        <v>2407</v>
      </c>
      <c r="D70" s="1238"/>
      <c r="E70" s="1238"/>
      <c r="H70" s="955">
        <f>H61+H69</f>
        <v>84</v>
      </c>
      <c r="J70" s="545"/>
      <c r="K70" s="335" t="s">
        <v>2775</v>
      </c>
      <c r="M70" s="1238"/>
      <c r="N70" s="1238"/>
      <c r="O70" s="1238"/>
      <c r="P70" s="955">
        <f>P61+P69</f>
        <v>85704</v>
      </c>
    </row>
    <row r="71" spans="1:16" s="325" customFormat="1" ht="13.35" customHeight="1">
      <c r="A71" s="545"/>
      <c r="C71" s="335" t="s">
        <v>2408</v>
      </c>
      <c r="D71" s="1238"/>
      <c r="E71" s="1238"/>
      <c r="H71" s="956">
        <f>'Part VI-Revenues &amp; Expenses'!$O$66</f>
        <v>0</v>
      </c>
      <c r="J71" s="545"/>
      <c r="K71" s="335" t="s">
        <v>2776</v>
      </c>
      <c r="M71" s="1238"/>
      <c r="N71" s="1238"/>
      <c r="O71" s="1238"/>
      <c r="P71" s="956">
        <f>'Part VI-Revenues &amp; Expenses'!$O$155</f>
        <v>0</v>
      </c>
    </row>
    <row r="72" spans="1:16" s="325" customFormat="1" ht="13.35" customHeight="1">
      <c r="A72" s="545"/>
      <c r="C72" s="335" t="s">
        <v>1793</v>
      </c>
      <c r="D72" s="1238"/>
      <c r="E72" s="1238"/>
      <c r="H72" s="350">
        <f>+H70+H71</f>
        <v>84</v>
      </c>
      <c r="J72" s="1238"/>
      <c r="K72" s="335" t="s">
        <v>1420</v>
      </c>
      <c r="M72" s="1238"/>
      <c r="N72" s="1238"/>
      <c r="O72" s="1238"/>
      <c r="P72" s="350">
        <f>+P70+P71</f>
        <v>85704</v>
      </c>
    </row>
    <row r="73" spans="1:16" s="325" customFormat="1" ht="3" customHeight="1">
      <c r="A73" s="545"/>
      <c r="I73" s="1243"/>
      <c r="L73" s="1243"/>
      <c r="M73" s="1243"/>
      <c r="N73" s="1238"/>
      <c r="P73" s="336"/>
    </row>
    <row r="74" spans="1:16" s="325" customFormat="1" ht="13.35" customHeight="1">
      <c r="A74" s="545"/>
      <c r="B74" s="545" t="s">
        <v>1735</v>
      </c>
      <c r="C74" s="337" t="s">
        <v>2297</v>
      </c>
      <c r="D74" s="351" t="s">
        <v>1996</v>
      </c>
      <c r="G74" s="1238"/>
      <c r="H74" s="1286">
        <v>8</v>
      </c>
      <c r="K74" s="335" t="s">
        <v>5034</v>
      </c>
      <c r="O74" s="1238"/>
      <c r="P74" s="352"/>
    </row>
    <row r="75" spans="1:16" s="325" customFormat="1" ht="13.35" customHeight="1">
      <c r="A75" s="545"/>
      <c r="B75" s="545"/>
      <c r="D75" s="1233" t="s">
        <v>1997</v>
      </c>
      <c r="H75" s="1287">
        <v>1</v>
      </c>
      <c r="I75" s="1238"/>
      <c r="K75" s="335" t="s">
        <v>252</v>
      </c>
      <c r="O75" s="1238"/>
      <c r="P75" s="350">
        <f>+P72+P74</f>
        <v>85704</v>
      </c>
    </row>
    <row r="76" spans="1:16" s="325" customFormat="1" ht="13.35" customHeight="1">
      <c r="A76" s="545"/>
      <c r="B76" s="545"/>
      <c r="D76" s="1233" t="s">
        <v>1998</v>
      </c>
      <c r="H76" s="350">
        <f>+H74+H75</f>
        <v>9</v>
      </c>
      <c r="I76" s="1238"/>
    </row>
    <row r="77" spans="1:16" s="325" customFormat="1" ht="3" customHeight="1">
      <c r="A77" s="545"/>
      <c r="B77" s="545"/>
      <c r="C77" s="1238"/>
      <c r="D77" s="1238"/>
      <c r="E77" s="1238"/>
      <c r="F77" s="1238"/>
      <c r="G77" s="1243"/>
      <c r="I77" s="335"/>
      <c r="J77" s="1238"/>
      <c r="P77" s="336"/>
    </row>
    <row r="78" spans="1:16" s="325" customFormat="1" ht="13.35" customHeight="1">
      <c r="A78" s="545"/>
      <c r="B78" s="545" t="s">
        <v>1736</v>
      </c>
      <c r="C78" s="337" t="s">
        <v>2843</v>
      </c>
      <c r="D78" s="1238"/>
      <c r="E78" s="1238"/>
      <c r="F78" s="1238"/>
      <c r="G78" s="1238"/>
      <c r="H78" s="352"/>
      <c r="K78" s="2912" t="s">
        <v>3856</v>
      </c>
      <c r="L78" s="2912"/>
      <c r="M78" s="2912"/>
      <c r="N78" s="2912"/>
      <c r="O78" s="2912"/>
      <c r="P78" s="2912"/>
    </row>
    <row r="79" spans="1:16" s="325" customFormat="1" ht="6" customHeight="1">
      <c r="A79" s="545"/>
      <c r="B79" s="545"/>
      <c r="C79" s="335"/>
      <c r="D79" s="1238"/>
      <c r="E79" s="1238"/>
      <c r="F79" s="1238"/>
      <c r="G79" s="1243"/>
      <c r="H79" s="1238"/>
      <c r="I79" s="335"/>
      <c r="J79" s="335"/>
      <c r="K79" s="2912"/>
      <c r="L79" s="2912"/>
      <c r="M79" s="2912"/>
      <c r="N79" s="2912"/>
      <c r="O79" s="2912"/>
      <c r="P79" s="2912"/>
    </row>
    <row r="80" spans="1:16" s="325" customFormat="1" ht="13.35" customHeight="1">
      <c r="A80" s="545" t="s">
        <v>530</v>
      </c>
      <c r="B80" s="353" t="s">
        <v>1191</v>
      </c>
      <c r="D80" s="353"/>
      <c r="E80" s="353"/>
      <c r="F80" s="1238"/>
      <c r="G80" s="1243"/>
      <c r="H80" s="580"/>
      <c r="K80" s="2912"/>
      <c r="L80" s="2912"/>
      <c r="M80" s="2912"/>
      <c r="N80" s="2912"/>
      <c r="O80" s="2912"/>
      <c r="P80" s="2912"/>
    </row>
    <row r="81" spans="1:16" s="325" customFormat="1" ht="3" customHeight="1">
      <c r="A81" s="545"/>
      <c r="C81" s="1229"/>
      <c r="D81" s="1229"/>
      <c r="E81" s="1229"/>
      <c r="F81" s="1238"/>
      <c r="G81" s="1243"/>
      <c r="K81" s="1238"/>
      <c r="P81" s="336"/>
    </row>
    <row r="82" spans="1:16" s="325" customFormat="1" ht="13.35" customHeight="1">
      <c r="A82" s="545"/>
      <c r="B82" s="545" t="s">
        <v>1983</v>
      </c>
      <c r="C82" s="299" t="s">
        <v>2692</v>
      </c>
      <c r="D82" s="1229"/>
      <c r="E82" s="1229"/>
      <c r="F82" s="1238"/>
      <c r="G82" s="1243"/>
      <c r="H82" s="2994" t="s">
        <v>2911</v>
      </c>
      <c r="I82" s="2995"/>
      <c r="K82" s="2920" t="s">
        <v>1772</v>
      </c>
      <c r="L82" s="2920"/>
      <c r="M82" s="2988"/>
      <c r="N82" s="3000"/>
      <c r="O82" s="3000"/>
      <c r="P82" s="2989"/>
    </row>
    <row r="83" spans="1:16" s="325" customFormat="1" ht="3" customHeight="1">
      <c r="A83" s="545"/>
      <c r="B83" s="545"/>
      <c r="D83" s="1233"/>
      <c r="E83" s="1233"/>
      <c r="F83" s="1233"/>
      <c r="G83" s="1233"/>
      <c r="I83" s="1243"/>
      <c r="K83" s="1228"/>
      <c r="L83" s="1228"/>
      <c r="M83" s="1243"/>
      <c r="N83" s="1238"/>
      <c r="P83" s="336"/>
    </row>
    <row r="84" spans="1:16" s="325" customFormat="1" ht="13.35" customHeight="1">
      <c r="A84" s="545"/>
      <c r="B84" s="545"/>
      <c r="E84" s="1229"/>
      <c r="K84" s="2883" t="s">
        <v>4967</v>
      </c>
      <c r="L84" s="354" t="s">
        <v>2911</v>
      </c>
      <c r="M84" s="1286">
        <v>240</v>
      </c>
      <c r="N84" s="354" t="s">
        <v>2912</v>
      </c>
      <c r="O84" s="1286"/>
      <c r="P84" s="2557" t="s">
        <v>4966</v>
      </c>
    </row>
    <row r="85" spans="1:16" s="325" customFormat="1" ht="13.35" customHeight="1">
      <c r="A85" s="545"/>
      <c r="B85" s="545"/>
      <c r="D85" s="1228"/>
      <c r="E85" s="1229"/>
      <c r="J85" s="2559"/>
      <c r="K85" s="2883"/>
      <c r="L85" s="339" t="s">
        <v>2913</v>
      </c>
      <c r="M85" s="1287"/>
      <c r="N85" s="339" t="s">
        <v>3877</v>
      </c>
      <c r="O85" s="1287"/>
      <c r="P85" s="1330"/>
    </row>
    <row r="86" spans="1:16" s="325" customFormat="1" ht="3" customHeight="1">
      <c r="A86" s="545"/>
      <c r="B86" s="545"/>
      <c r="D86" s="1233"/>
      <c r="E86" s="1233"/>
      <c r="F86" s="1233"/>
      <c r="G86" s="1233"/>
      <c r="I86" s="1243"/>
      <c r="K86" s="1228"/>
      <c r="L86" s="1228"/>
      <c r="M86" s="1243"/>
      <c r="N86" s="1238"/>
      <c r="P86" s="336"/>
    </row>
    <row r="87" spans="1:16" s="325" customFormat="1" ht="13.35" customHeight="1">
      <c r="A87" s="545"/>
      <c r="B87" s="545" t="s">
        <v>1985</v>
      </c>
      <c r="C87" s="337" t="s">
        <v>1411</v>
      </c>
      <c r="D87" s="1238"/>
      <c r="E87" s="351"/>
      <c r="F87" s="1233" t="s">
        <v>796</v>
      </c>
      <c r="H87" s="350">
        <f>'Part VIII-Threshold Criteria'!K306</f>
        <v>12</v>
      </c>
      <c r="K87" s="2920" t="s">
        <v>520</v>
      </c>
      <c r="L87" s="2920"/>
      <c r="N87" s="355">
        <f>IF('Part VI-Revenues &amp; Expenses'!$O$67=0,0,H87/'Part VI-Revenues &amp; Expenses'!$O$67)</f>
        <v>0.14285714285714285</v>
      </c>
      <c r="O87" s="339" t="s">
        <v>3696</v>
      </c>
      <c r="P87" s="1078">
        <f>'DCA Underwriting Assumptions'!$Q$139</f>
        <v>0.05</v>
      </c>
    </row>
    <row r="88" spans="1:16" s="325" customFormat="1" ht="12.75" customHeight="1">
      <c r="A88" s="545"/>
      <c r="B88" s="545"/>
      <c r="D88" s="1233" t="s">
        <v>2841</v>
      </c>
      <c r="E88" s="1233"/>
      <c r="F88" s="1233" t="s">
        <v>796</v>
      </c>
      <c r="H88" s="350">
        <f>'Part VIII-Threshold Criteria'!K307</f>
        <v>5</v>
      </c>
      <c r="K88" s="1238" t="s">
        <v>2842</v>
      </c>
      <c r="L88" s="1238"/>
      <c r="N88" s="355">
        <f>IF(H87=0,0,H88/H87)</f>
        <v>0.41666666666666669</v>
      </c>
      <c r="O88" s="339" t="s">
        <v>3696</v>
      </c>
      <c r="P88" s="1078">
        <f>'DCA Underwriting Assumptions'!$Q$140</f>
        <v>0.4</v>
      </c>
    </row>
    <row r="89" spans="1:16" s="325" customFormat="1" ht="3" customHeight="1">
      <c r="A89" s="545"/>
      <c r="B89" s="545"/>
      <c r="D89" s="1233"/>
      <c r="E89" s="1233"/>
      <c r="F89" s="1233"/>
      <c r="I89" s="1243"/>
      <c r="K89" s="1228"/>
      <c r="L89" s="1228"/>
      <c r="M89" s="1243"/>
      <c r="N89" s="1243"/>
      <c r="P89" s="1231"/>
    </row>
    <row r="90" spans="1:16" s="325" customFormat="1" ht="13.35" customHeight="1">
      <c r="A90" s="545"/>
      <c r="B90" s="545" t="s">
        <v>749</v>
      </c>
      <c r="C90" s="337" t="s">
        <v>1844</v>
      </c>
      <c r="D90" s="351"/>
      <c r="E90" s="351"/>
      <c r="F90" s="1233" t="s">
        <v>796</v>
      </c>
      <c r="H90" s="350">
        <f>'Part VIII-Threshold Criteria'!K309</f>
        <v>5</v>
      </c>
      <c r="K90" s="2920" t="s">
        <v>520</v>
      </c>
      <c r="L90" s="2920"/>
      <c r="N90" s="355">
        <f>IF('Part VI-Revenues &amp; Expenses'!$O$67=0,0,H90/'Part VI-Revenues &amp; Expenses'!$O$67)</f>
        <v>5.9523809523809521E-2</v>
      </c>
      <c r="O90" s="339" t="s">
        <v>3696</v>
      </c>
      <c r="P90" s="1078">
        <f>'DCA Underwriting Assumptions'!$Q$141</f>
        <v>0.02</v>
      </c>
    </row>
    <row r="91" spans="1:16" s="325" customFormat="1" ht="4.5" customHeight="1">
      <c r="A91" s="545"/>
      <c r="B91" s="545"/>
      <c r="D91" s="1233"/>
      <c r="E91" s="1233"/>
      <c r="F91" s="1233"/>
      <c r="G91" s="1233"/>
      <c r="I91" s="1243"/>
      <c r="J91" s="1243"/>
      <c r="K91" s="1243"/>
      <c r="L91" s="1243"/>
      <c r="M91" s="1243"/>
      <c r="N91" s="1238"/>
      <c r="P91" s="336"/>
    </row>
    <row r="92" spans="1:16" s="325" customFormat="1" ht="13.35" customHeight="1">
      <c r="A92" s="356" t="s">
        <v>772</v>
      </c>
      <c r="B92" s="1229" t="s">
        <v>4873</v>
      </c>
      <c r="D92" s="1233"/>
      <c r="E92" s="1233"/>
      <c r="F92" s="1233"/>
      <c r="G92" s="1233"/>
      <c r="H92" s="1233"/>
      <c r="I92" s="1243"/>
      <c r="M92" s="1243"/>
      <c r="N92" s="1238"/>
      <c r="P92" s="336"/>
    </row>
    <row r="93" spans="1:16" s="325" customFormat="1" ht="1.5" customHeight="1">
      <c r="A93" s="545"/>
      <c r="B93" s="545"/>
      <c r="C93" s="1229"/>
      <c r="D93" s="1233"/>
      <c r="E93" s="1233"/>
      <c r="F93" s="1233"/>
      <c r="L93" s="1243"/>
      <c r="M93" s="1243"/>
      <c r="N93" s="2556"/>
    </row>
    <row r="94" spans="1:16" s="325" customFormat="1" ht="13.35" customHeight="1">
      <c r="A94" s="545"/>
      <c r="B94" s="545" t="s">
        <v>1983</v>
      </c>
      <c r="C94" s="299" t="s">
        <v>2376</v>
      </c>
      <c r="D94" s="1233"/>
      <c r="F94" s="2459"/>
      <c r="K94" s="2980" t="s">
        <v>5237</v>
      </c>
      <c r="L94" s="2982"/>
      <c r="M94" s="2981"/>
      <c r="N94" s="2556"/>
    </row>
    <row r="95" spans="1:16" s="325" customFormat="1" ht="1.5" customHeight="1">
      <c r="A95" s="545"/>
      <c r="B95" s="545"/>
      <c r="D95" s="1233"/>
      <c r="F95" s="1233"/>
      <c r="G95" s="1233"/>
      <c r="H95" s="547" t="s">
        <v>5139</v>
      </c>
      <c r="L95" s="2616"/>
      <c r="M95" s="2616"/>
    </row>
    <row r="96" spans="1:16" s="325" customFormat="1" ht="13.35" customHeight="1">
      <c r="B96" s="545" t="s">
        <v>1985</v>
      </c>
      <c r="C96" s="327" t="s">
        <v>1534</v>
      </c>
      <c r="K96" s="330" t="s">
        <v>4942</v>
      </c>
      <c r="N96" s="358"/>
      <c r="P96" s="2547" t="s">
        <v>5238</v>
      </c>
    </row>
    <row r="97" spans="1:16" s="325" customFormat="1" ht="4.5" customHeight="1">
      <c r="A97" s="545"/>
      <c r="B97" s="545"/>
      <c r="C97" s="327"/>
      <c r="D97" s="1233"/>
      <c r="E97" s="1233"/>
      <c r="F97" s="1233"/>
      <c r="G97" s="1233"/>
      <c r="I97" s="1243"/>
      <c r="J97" s="1243"/>
      <c r="K97" s="1243"/>
      <c r="L97" s="1243"/>
      <c r="M97" s="1243"/>
      <c r="N97" s="1238"/>
      <c r="P97" s="336"/>
    </row>
    <row r="98" spans="1:16" s="325" customFormat="1" ht="13.35" customHeight="1">
      <c r="A98" s="356" t="s">
        <v>292</v>
      </c>
      <c r="B98" s="1229" t="s">
        <v>2041</v>
      </c>
      <c r="D98" s="1233"/>
    </row>
    <row r="99" spans="1:16" s="325" customFormat="1" ht="1.5" customHeight="1">
      <c r="A99" s="545"/>
      <c r="B99" s="545"/>
      <c r="D99" s="1233"/>
      <c r="N99" s="1238"/>
      <c r="P99" s="336"/>
    </row>
    <row r="100" spans="1:16" s="325" customFormat="1" ht="13.35" customHeight="1">
      <c r="A100" s="356"/>
      <c r="B100" s="545" t="s">
        <v>1983</v>
      </c>
      <c r="C100" s="327" t="s">
        <v>2708</v>
      </c>
      <c r="F100" s="351" t="s">
        <v>2600</v>
      </c>
      <c r="H100" s="2492" t="s">
        <v>2993</v>
      </c>
      <c r="K100" s="2491" t="s">
        <v>3895</v>
      </c>
      <c r="P100" s="2492" t="s">
        <v>2993</v>
      </c>
    </row>
    <row r="101" spans="1:16" s="325" customFormat="1" ht="13.35" customHeight="1">
      <c r="A101" s="356"/>
      <c r="B101" s="545"/>
      <c r="C101" s="327"/>
      <c r="F101" s="2398" t="s">
        <v>3901</v>
      </c>
      <c r="H101" s="2493" t="s">
        <v>2993</v>
      </c>
      <c r="K101" s="2491" t="s">
        <v>4733</v>
      </c>
      <c r="P101" s="2493" t="s">
        <v>2993</v>
      </c>
    </row>
    <row r="102" spans="1:16" s="325" customFormat="1" ht="1.5" customHeight="1">
      <c r="A102" s="545"/>
      <c r="B102" s="545"/>
      <c r="C102" s="1229"/>
      <c r="F102" s="1233"/>
      <c r="H102" s="1233"/>
      <c r="J102" s="1243"/>
      <c r="K102" s="1243"/>
      <c r="L102" s="1243"/>
      <c r="M102" s="1243"/>
      <c r="N102" s="1243"/>
      <c r="P102" s="336"/>
    </row>
    <row r="103" spans="1:16" s="325" customFormat="1" ht="13.35" customHeight="1">
      <c r="A103" s="356"/>
      <c r="B103" s="545" t="s">
        <v>1985</v>
      </c>
      <c r="C103" s="327" t="s">
        <v>2709</v>
      </c>
      <c r="F103" s="1228" t="s">
        <v>2679</v>
      </c>
      <c r="H103" s="334" t="s">
        <v>2993</v>
      </c>
      <c r="I103" s="539" t="s">
        <v>2710</v>
      </c>
      <c r="J103" s="1243"/>
      <c r="L103" s="1243"/>
    </row>
    <row r="104" spans="1:16" s="325" customFormat="1" ht="4.5" customHeight="1">
      <c r="A104" s="545"/>
      <c r="B104" s="545"/>
      <c r="C104" s="327"/>
      <c r="D104" s="1233"/>
      <c r="E104" s="1233"/>
      <c r="F104" s="1233"/>
      <c r="G104" s="1233"/>
      <c r="I104" s="1243"/>
      <c r="J104" s="1243"/>
      <c r="K104" s="1243"/>
      <c r="L104" s="1243"/>
      <c r="M104" s="1243"/>
      <c r="N104" s="1238"/>
      <c r="P104" s="336"/>
    </row>
    <row r="105" spans="1:16" s="325" customFormat="1" ht="13.35" customHeight="1">
      <c r="A105" s="356" t="s">
        <v>426</v>
      </c>
      <c r="B105" s="1229" t="s">
        <v>2783</v>
      </c>
      <c r="D105" s="1233"/>
      <c r="H105" s="2980" t="s">
        <v>5239</v>
      </c>
      <c r="I105" s="2981"/>
      <c r="J105" s="1243"/>
    </row>
    <row r="106" spans="1:16" s="325" customFormat="1" ht="4.5" customHeight="1">
      <c r="A106" s="545"/>
      <c r="D106" s="344"/>
      <c r="E106" s="1238"/>
      <c r="I106" s="344"/>
      <c r="J106" s="335"/>
      <c r="K106" s="1238"/>
      <c r="P106" s="336"/>
    </row>
    <row r="107" spans="1:16" s="325" customFormat="1" ht="13.35" customHeight="1">
      <c r="A107" s="356" t="s">
        <v>362</v>
      </c>
      <c r="B107" s="349" t="s">
        <v>1189</v>
      </c>
      <c r="D107" s="1238"/>
      <c r="E107" s="1238"/>
      <c r="F107" s="1238"/>
      <c r="G107" s="1238"/>
      <c r="H107" s="1238"/>
      <c r="I107" s="344"/>
      <c r="J107" s="335"/>
      <c r="K107" s="1238"/>
      <c r="P107" s="336"/>
    </row>
    <row r="108" spans="1:16" s="325" customFormat="1" ht="3" customHeight="1">
      <c r="A108" s="356"/>
      <c r="B108" s="545"/>
      <c r="C108" s="349"/>
      <c r="D108" s="1238"/>
      <c r="E108" s="1238"/>
      <c r="F108" s="1238"/>
      <c r="G108" s="1238"/>
      <c r="H108" s="1238"/>
      <c r="I108" s="344"/>
      <c r="J108" s="335"/>
      <c r="K108" s="1238"/>
    </row>
    <row r="109" spans="1:16" s="325" customFormat="1" ht="13.35" customHeight="1">
      <c r="A109" s="545"/>
      <c r="B109" s="545"/>
      <c r="C109" s="335" t="s">
        <v>552</v>
      </c>
      <c r="D109" s="1238"/>
      <c r="E109" s="2903" t="s">
        <v>1449</v>
      </c>
      <c r="F109" s="2904"/>
      <c r="G109" s="2904"/>
      <c r="H109" s="2904"/>
      <c r="I109" s="2904"/>
      <c r="J109" s="2904"/>
      <c r="K109" s="2904"/>
      <c r="L109" s="2905"/>
      <c r="M109" s="2970" t="s">
        <v>553</v>
      </c>
      <c r="N109" s="2970"/>
      <c r="O109" s="2927">
        <v>42636</v>
      </c>
      <c r="P109" s="2928"/>
    </row>
    <row r="110" spans="1:16" s="325" customFormat="1" ht="13.35" customHeight="1">
      <c r="C110" s="330" t="s">
        <v>1021</v>
      </c>
      <c r="D110" s="339"/>
      <c r="E110" s="2971" t="s">
        <v>5240</v>
      </c>
      <c r="F110" s="2911"/>
      <c r="G110" s="2911"/>
      <c r="H110" s="2972"/>
      <c r="I110" s="2911"/>
      <c r="J110" s="2972"/>
      <c r="K110" s="2911"/>
      <c r="L110" s="2973"/>
      <c r="M110" s="2970" t="s">
        <v>808</v>
      </c>
      <c r="N110" s="2970"/>
      <c r="O110" s="2974">
        <v>2019</v>
      </c>
      <c r="P110" s="2975"/>
    </row>
    <row r="111" spans="1:16" s="325" customFormat="1" ht="13.35" customHeight="1">
      <c r="C111" s="330" t="s">
        <v>618</v>
      </c>
      <c r="E111" s="2897" t="s">
        <v>196</v>
      </c>
      <c r="F111" s="2957"/>
      <c r="G111" s="2958"/>
      <c r="H111" s="1231" t="s">
        <v>1799</v>
      </c>
      <c r="I111" s="1599" t="s">
        <v>848</v>
      </c>
      <c r="J111" s="359" t="s">
        <v>2229</v>
      </c>
      <c r="K111" s="2976">
        <v>300302628</v>
      </c>
      <c r="L111" s="2977"/>
      <c r="M111" s="302" t="s">
        <v>3664</v>
      </c>
      <c r="N111" s="302"/>
      <c r="O111" s="2978">
        <v>23500000</v>
      </c>
      <c r="P111" s="2979"/>
    </row>
    <row r="112" spans="1:16" s="325" customFormat="1" ht="13.35" customHeight="1">
      <c r="C112" s="325" t="s">
        <v>2194</v>
      </c>
      <c r="E112" s="2897" t="s">
        <v>5241</v>
      </c>
      <c r="F112" s="2957"/>
      <c r="G112" s="2958"/>
      <c r="H112" s="1124" t="s">
        <v>1980</v>
      </c>
      <c r="I112" s="2959" t="s">
        <v>5242</v>
      </c>
      <c r="J112" s="2960"/>
      <c r="K112" s="2961"/>
      <c r="L112" s="1251" t="s">
        <v>1984</v>
      </c>
      <c r="M112" s="2903" t="s">
        <v>5243</v>
      </c>
      <c r="N112" s="2962"/>
      <c r="O112" s="2963"/>
      <c r="P112" s="2964"/>
    </row>
    <row r="113" spans="1:16" s="325" customFormat="1" ht="13.35" customHeight="1">
      <c r="C113" s="330" t="s">
        <v>2193</v>
      </c>
      <c r="E113" s="2965">
        <v>4042702545</v>
      </c>
      <c r="F113" s="2966"/>
      <c r="G113" s="2967"/>
      <c r="H113" s="1124" t="s">
        <v>1802</v>
      </c>
      <c r="I113" s="2965">
        <v>6788529841</v>
      </c>
      <c r="J113" s="2968"/>
      <c r="K113" s="1231" t="s">
        <v>2704</v>
      </c>
      <c r="L113" s="2969" t="s">
        <v>5244</v>
      </c>
      <c r="M113" s="2892"/>
      <c r="N113" s="2892"/>
      <c r="O113" s="2892"/>
      <c r="P113" s="2893"/>
    </row>
    <row r="114" spans="1:16" s="325" customFormat="1" ht="3" customHeight="1">
      <c r="A114" s="545"/>
      <c r="B114" s="545"/>
      <c r="G114" s="344"/>
      <c r="H114" s="1243"/>
      <c r="I114" s="1243"/>
      <c r="M114" s="336"/>
    </row>
    <row r="115" spans="1:16" s="325" customFormat="1" ht="13.35" customHeight="1">
      <c r="A115" s="356" t="s">
        <v>363</v>
      </c>
      <c r="B115" s="1229" t="s">
        <v>1669</v>
      </c>
      <c r="D115" s="344"/>
      <c r="E115" s="344"/>
      <c r="F115" s="1243"/>
      <c r="G115" s="1243"/>
      <c r="H115" s="1243"/>
      <c r="N115" s="1238"/>
      <c r="O115" s="1238"/>
      <c r="P115" s="336"/>
    </row>
    <row r="116" spans="1:16" s="325" customFormat="1" ht="1.5" customHeight="1">
      <c r="A116" s="356"/>
      <c r="B116" s="1229"/>
      <c r="D116" s="344"/>
      <c r="E116" s="344"/>
      <c r="F116" s="1243"/>
      <c r="G116" s="1243"/>
      <c r="H116" s="1243"/>
      <c r="I116" s="1243"/>
      <c r="J116" s="344"/>
      <c r="K116" s="1243"/>
      <c r="L116" s="1243"/>
      <c r="N116" s="1238"/>
      <c r="O116" s="1238"/>
      <c r="P116" s="336"/>
    </row>
    <row r="117" spans="1:16" s="325" customFormat="1" ht="13.35" customHeight="1">
      <c r="B117" s="351" t="s">
        <v>2153</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1983</v>
      </c>
      <c r="C119" s="1229" t="s">
        <v>1412</v>
      </c>
      <c r="D119" s="1233"/>
      <c r="E119" s="1233"/>
      <c r="F119" s="1243"/>
      <c r="G119" s="1243"/>
      <c r="H119" s="362"/>
      <c r="N119" s="1238"/>
      <c r="O119" s="1238"/>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1985</v>
      </c>
      <c r="C121" s="1229" t="s">
        <v>416</v>
      </c>
      <c r="D121" s="1233"/>
      <c r="E121" s="1233"/>
      <c r="F121" s="1243"/>
      <c r="G121" s="1243"/>
      <c r="H121" s="363"/>
      <c r="J121" s="344"/>
      <c r="K121" s="1228"/>
      <c r="N121" s="1238"/>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749</v>
      </c>
      <c r="C123" s="1229" t="s">
        <v>302</v>
      </c>
      <c r="D123" s="1233"/>
      <c r="E123" s="1233"/>
      <c r="F123" s="1243"/>
      <c r="G123" s="1243"/>
      <c r="H123" s="1243"/>
      <c r="I123" s="1243"/>
      <c r="J123" s="344"/>
      <c r="K123" s="1243"/>
      <c r="L123" s="1243"/>
      <c r="N123" s="1238"/>
      <c r="O123" s="1238"/>
    </row>
    <row r="124" spans="1:16" s="325" customFormat="1" ht="13.35" customHeight="1">
      <c r="B124" s="545"/>
      <c r="C124" s="1233" t="s">
        <v>2135</v>
      </c>
      <c r="D124" s="1233"/>
      <c r="F124" s="1233" t="s">
        <v>1134</v>
      </c>
      <c r="G124" s="1243"/>
      <c r="H124" s="1243"/>
      <c r="I124" s="1243" t="s">
        <v>1294</v>
      </c>
      <c r="J124" s="1233" t="s">
        <v>2135</v>
      </c>
      <c r="K124" s="1233"/>
      <c r="M124" s="1233" t="s">
        <v>1134</v>
      </c>
      <c r="N124" s="1243"/>
      <c r="O124" s="1243"/>
      <c r="P124" s="1243" t="s">
        <v>1294</v>
      </c>
    </row>
    <row r="125" spans="1:16" s="325" customFormat="1" ht="13.35" customHeight="1">
      <c r="A125" s="545"/>
      <c r="B125" s="545"/>
      <c r="C125" s="2949">
        <v>1</v>
      </c>
      <c r="D125" s="2950"/>
      <c r="E125" s="2950"/>
      <c r="F125" s="2951"/>
      <c r="G125" s="2952"/>
      <c r="H125" s="2956"/>
      <c r="I125" s="1606"/>
      <c r="J125" s="2949">
        <v>7</v>
      </c>
      <c r="K125" s="2950"/>
      <c r="L125" s="2950"/>
      <c r="M125" s="2951"/>
      <c r="N125" s="2952"/>
      <c r="O125" s="2956"/>
      <c r="P125" s="1606"/>
    </row>
    <row r="126" spans="1:16" s="325" customFormat="1" ht="13.35" customHeight="1">
      <c r="A126" s="545"/>
      <c r="B126" s="545"/>
      <c r="C126" s="2915">
        <v>2</v>
      </c>
      <c r="D126" s="2916"/>
      <c r="E126" s="2916"/>
      <c r="F126" s="2917"/>
      <c r="G126" s="2918"/>
      <c r="H126" s="2954"/>
      <c r="I126" s="1605"/>
      <c r="J126" s="2915">
        <v>8</v>
      </c>
      <c r="K126" s="2916"/>
      <c r="L126" s="2916"/>
      <c r="M126" s="2917"/>
      <c r="N126" s="2918"/>
      <c r="O126" s="2954"/>
      <c r="P126" s="1605"/>
    </row>
    <row r="127" spans="1:16" s="325" customFormat="1" ht="13.35" customHeight="1">
      <c r="A127" s="545"/>
      <c r="B127" s="545"/>
      <c r="C127" s="2915">
        <v>3</v>
      </c>
      <c r="D127" s="2916"/>
      <c r="E127" s="2916"/>
      <c r="F127" s="2917"/>
      <c r="G127" s="2918"/>
      <c r="H127" s="2954"/>
      <c r="I127" s="1605"/>
      <c r="J127" s="2915">
        <v>9</v>
      </c>
      <c r="K127" s="2916"/>
      <c r="L127" s="2916"/>
      <c r="M127" s="2917"/>
      <c r="N127" s="2918"/>
      <c r="O127" s="2954"/>
      <c r="P127" s="1605"/>
    </row>
    <row r="128" spans="1:16" s="325" customFormat="1" ht="13.35" customHeight="1">
      <c r="A128" s="545"/>
      <c r="B128" s="545"/>
      <c r="C128" s="2915">
        <v>4</v>
      </c>
      <c r="D128" s="2916"/>
      <c r="E128" s="2916"/>
      <c r="F128" s="2917"/>
      <c r="G128" s="2918"/>
      <c r="H128" s="2954"/>
      <c r="I128" s="1605"/>
      <c r="J128" s="2915">
        <v>10</v>
      </c>
      <c r="K128" s="2916"/>
      <c r="L128" s="2916"/>
      <c r="M128" s="2917"/>
      <c r="N128" s="2918"/>
      <c r="O128" s="2954"/>
      <c r="P128" s="1605"/>
    </row>
    <row r="129" spans="1:16" s="325" customFormat="1" ht="13.35" customHeight="1">
      <c r="A129" s="545"/>
      <c r="B129" s="545"/>
      <c r="C129" s="2915">
        <v>5</v>
      </c>
      <c r="D129" s="2916"/>
      <c r="E129" s="2916"/>
      <c r="F129" s="2917"/>
      <c r="G129" s="2918"/>
      <c r="H129" s="2954"/>
      <c r="I129" s="1605"/>
      <c r="J129" s="2915">
        <v>11</v>
      </c>
      <c r="K129" s="2916"/>
      <c r="L129" s="2916"/>
      <c r="M129" s="2917"/>
      <c r="N129" s="2918"/>
      <c r="O129" s="2954"/>
      <c r="P129" s="1605"/>
    </row>
    <row r="130" spans="1:16" s="325" customFormat="1" ht="13.35" customHeight="1">
      <c r="A130" s="545"/>
      <c r="B130" s="545"/>
      <c r="C130" s="2943">
        <v>6</v>
      </c>
      <c r="D130" s="2944"/>
      <c r="E130" s="2944"/>
      <c r="F130" s="2945"/>
      <c r="G130" s="2946"/>
      <c r="H130" s="2955"/>
      <c r="I130" s="1604"/>
      <c r="J130" s="2943">
        <v>12</v>
      </c>
      <c r="K130" s="2944"/>
      <c r="L130" s="2944"/>
      <c r="M130" s="2945"/>
      <c r="N130" s="2946"/>
      <c r="O130" s="2955"/>
      <c r="P130" s="1604"/>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2115</v>
      </c>
      <c r="C132" s="2948" t="s">
        <v>1847</v>
      </c>
      <c r="D132" s="2948"/>
      <c r="E132" s="2948"/>
      <c r="F132" s="2948"/>
      <c r="G132" s="2948"/>
      <c r="H132" s="2948"/>
      <c r="I132" s="2948"/>
      <c r="J132" s="2948"/>
      <c r="K132" s="2948"/>
      <c r="L132" s="2948"/>
      <c r="M132" s="2948"/>
      <c r="N132" s="2948"/>
      <c r="O132" s="2948"/>
      <c r="P132" s="2948"/>
    </row>
    <row r="133" spans="1:16" s="325" customFormat="1" ht="13.35" customHeight="1">
      <c r="A133" s="545"/>
      <c r="B133" s="545"/>
      <c r="C133" s="2948"/>
      <c r="D133" s="2948"/>
      <c r="E133" s="2948"/>
      <c r="F133" s="2948"/>
      <c r="G133" s="2948"/>
      <c r="H133" s="2948"/>
      <c r="I133" s="2948"/>
      <c r="J133" s="2948"/>
      <c r="K133" s="2948"/>
      <c r="L133" s="2948"/>
      <c r="M133" s="2948"/>
      <c r="N133" s="2948"/>
      <c r="O133" s="2948"/>
      <c r="P133" s="2948"/>
    </row>
    <row r="134" spans="1:16" s="325" customFormat="1" ht="13.35" customHeight="1">
      <c r="B134" s="545"/>
      <c r="C134" s="1233" t="s">
        <v>2135</v>
      </c>
      <c r="D134" s="1233"/>
      <c r="F134" s="1233" t="s">
        <v>1134</v>
      </c>
      <c r="G134" s="1243"/>
      <c r="H134" s="1243"/>
      <c r="I134" s="1243"/>
      <c r="J134" s="1233" t="s">
        <v>2135</v>
      </c>
      <c r="K134" s="1233"/>
      <c r="M134" s="1233" t="s">
        <v>1134</v>
      </c>
      <c r="N134" s="1243"/>
      <c r="O134" s="1243"/>
      <c r="P134" s="1243"/>
    </row>
    <row r="135" spans="1:16" s="325" customFormat="1" ht="13.35" customHeight="1">
      <c r="A135" s="545"/>
      <c r="B135" s="545"/>
      <c r="C135" s="2949">
        <v>1</v>
      </c>
      <c r="D135" s="2950"/>
      <c r="E135" s="2950"/>
      <c r="F135" s="2951"/>
      <c r="G135" s="2952"/>
      <c r="H135" s="2952"/>
      <c r="I135" s="2953"/>
      <c r="J135" s="2949">
        <v>7</v>
      </c>
      <c r="K135" s="2950"/>
      <c r="L135" s="2950"/>
      <c r="M135" s="2951"/>
      <c r="N135" s="2952"/>
      <c r="O135" s="2952"/>
      <c r="P135" s="2953"/>
    </row>
    <row r="136" spans="1:16" s="325" customFormat="1" ht="13.35" customHeight="1">
      <c r="A136" s="545"/>
      <c r="B136" s="545"/>
      <c r="C136" s="2915">
        <v>2</v>
      </c>
      <c r="D136" s="2916"/>
      <c r="E136" s="2916"/>
      <c r="F136" s="2917"/>
      <c r="G136" s="2918"/>
      <c r="H136" s="2918"/>
      <c r="I136" s="2919"/>
      <c r="J136" s="2915">
        <v>8</v>
      </c>
      <c r="K136" s="2916"/>
      <c r="L136" s="2916"/>
      <c r="M136" s="2917"/>
      <c r="N136" s="2918"/>
      <c r="O136" s="2918"/>
      <c r="P136" s="2919"/>
    </row>
    <row r="137" spans="1:16" s="325" customFormat="1" ht="13.35" customHeight="1">
      <c r="A137" s="545"/>
      <c r="B137" s="545"/>
      <c r="C137" s="2915">
        <v>3</v>
      </c>
      <c r="D137" s="2916"/>
      <c r="E137" s="2916"/>
      <c r="F137" s="2917"/>
      <c r="G137" s="2918"/>
      <c r="H137" s="2918"/>
      <c r="I137" s="2919"/>
      <c r="J137" s="2915">
        <v>9</v>
      </c>
      <c r="K137" s="2916"/>
      <c r="L137" s="2916"/>
      <c r="M137" s="2917"/>
      <c r="N137" s="2918"/>
      <c r="O137" s="2918"/>
      <c r="P137" s="2919"/>
    </row>
    <row r="138" spans="1:16" s="325" customFormat="1" ht="13.35" customHeight="1">
      <c r="A138" s="545"/>
      <c r="B138" s="545"/>
      <c r="C138" s="2915">
        <v>4</v>
      </c>
      <c r="D138" s="2916"/>
      <c r="E138" s="2916"/>
      <c r="F138" s="2917"/>
      <c r="G138" s="2918"/>
      <c r="H138" s="2918"/>
      <c r="I138" s="2919"/>
      <c r="J138" s="2915">
        <v>10</v>
      </c>
      <c r="K138" s="2916"/>
      <c r="L138" s="2916"/>
      <c r="M138" s="2917"/>
      <c r="N138" s="2918"/>
      <c r="O138" s="2918"/>
      <c r="P138" s="2919"/>
    </row>
    <row r="139" spans="1:16" s="325" customFormat="1" ht="13.35" customHeight="1">
      <c r="A139" s="545"/>
      <c r="B139" s="545"/>
      <c r="C139" s="2915">
        <v>5</v>
      </c>
      <c r="D139" s="2916"/>
      <c r="E139" s="2916"/>
      <c r="F139" s="2917"/>
      <c r="G139" s="2918"/>
      <c r="H139" s="2918"/>
      <c r="I139" s="2919"/>
      <c r="J139" s="2915">
        <v>11</v>
      </c>
      <c r="K139" s="2916"/>
      <c r="L139" s="2916"/>
      <c r="M139" s="2917"/>
      <c r="N139" s="2918"/>
      <c r="O139" s="2918"/>
      <c r="P139" s="2919"/>
    </row>
    <row r="140" spans="1:16" s="325" customFormat="1" ht="13.35" customHeight="1">
      <c r="A140" s="545"/>
      <c r="B140" s="545"/>
      <c r="C140" s="2943">
        <v>6</v>
      </c>
      <c r="D140" s="2944"/>
      <c r="E140" s="2944"/>
      <c r="F140" s="2945"/>
      <c r="G140" s="2946"/>
      <c r="H140" s="2946"/>
      <c r="I140" s="2947"/>
      <c r="J140" s="2943">
        <v>12</v>
      </c>
      <c r="K140" s="2944"/>
      <c r="L140" s="2944"/>
      <c r="M140" s="2945"/>
      <c r="N140" s="2946"/>
      <c r="O140" s="2946"/>
      <c r="P140" s="2947"/>
    </row>
    <row r="141" spans="1:16" s="325" customFormat="1" ht="1.5" customHeight="1">
      <c r="A141" s="545"/>
      <c r="B141" s="545"/>
      <c r="C141" s="1233"/>
      <c r="D141" s="1233"/>
      <c r="E141" s="1233"/>
      <c r="F141" s="1243"/>
      <c r="G141" s="1243"/>
      <c r="H141" s="1243"/>
      <c r="I141" s="1243"/>
      <c r="J141" s="344"/>
      <c r="K141" s="1243"/>
      <c r="L141" s="1243"/>
      <c r="N141" s="1238"/>
      <c r="O141" s="1238"/>
      <c r="P141" s="336"/>
    </row>
    <row r="142" spans="1:16" s="325" customFormat="1" ht="3" customHeight="1" thickBot="1">
      <c r="A142" s="545"/>
      <c r="B142" s="545"/>
      <c r="C142" s="1416"/>
      <c r="D142" s="1416"/>
      <c r="E142" s="1416"/>
      <c r="F142" s="1418"/>
      <c r="G142" s="1418"/>
      <c r="H142" s="1418"/>
      <c r="I142" s="1418"/>
      <c r="J142" s="344"/>
      <c r="K142" s="1418"/>
      <c r="L142" s="1418"/>
      <c r="N142" s="1417"/>
      <c r="O142" s="1417"/>
      <c r="P142" s="336"/>
    </row>
    <row r="143" spans="1:16" s="325" customFormat="1" ht="14.45" customHeight="1" thickBot="1">
      <c r="A143" s="327" t="s">
        <v>364</v>
      </c>
      <c r="B143" s="337" t="s">
        <v>4975</v>
      </c>
      <c r="D143" s="337"/>
      <c r="E143" s="337"/>
      <c r="F143" s="337"/>
      <c r="I143" s="2576" t="s">
        <v>2993</v>
      </c>
      <c r="M143" s="2649"/>
      <c r="N143" s="2648"/>
      <c r="O143" s="2648"/>
      <c r="P143" s="336"/>
    </row>
    <row r="144" spans="1:16" s="325" customFormat="1" ht="1.5" customHeight="1">
      <c r="A144" s="356"/>
      <c r="B144" s="545"/>
      <c r="C144" s="1229"/>
      <c r="D144" s="1229"/>
      <c r="E144" s="1229"/>
      <c r="F144" s="1229"/>
      <c r="G144" s="1243"/>
      <c r="M144" s="1243"/>
      <c r="N144" s="1238"/>
      <c r="O144" s="1238"/>
    </row>
    <row r="145" spans="1:16" s="325" customFormat="1" ht="13.35" customHeight="1">
      <c r="A145" s="545"/>
      <c r="B145" s="545" t="s">
        <v>1983</v>
      </c>
      <c r="C145" s="331" t="s">
        <v>1713</v>
      </c>
      <c r="I145" s="1305"/>
      <c r="M145" s="1243"/>
      <c r="N145" s="1238"/>
      <c r="O145" s="1238"/>
      <c r="P145" s="336"/>
    </row>
    <row r="146" spans="1:16" s="325" customFormat="1" ht="13.35" customHeight="1">
      <c r="A146" s="545"/>
      <c r="B146" s="545"/>
      <c r="C146" s="1233" t="s">
        <v>2420</v>
      </c>
      <c r="D146" s="1233"/>
      <c r="E146" s="1233"/>
      <c r="F146" s="1243"/>
      <c r="I146" s="1316"/>
      <c r="N146" s="1238"/>
      <c r="O146" s="1238"/>
      <c r="P146" s="336"/>
    </row>
    <row r="147" spans="1:16" s="325" customFormat="1" ht="13.35" customHeight="1">
      <c r="A147" s="545"/>
      <c r="B147" s="545"/>
      <c r="C147" s="364" t="s">
        <v>1712</v>
      </c>
      <c r="D147" s="330"/>
      <c r="I147" s="1352"/>
      <c r="P147" s="336"/>
    </row>
    <row r="148" spans="1:16" s="325" customFormat="1" ht="13.35" customHeight="1">
      <c r="A148" s="545"/>
      <c r="B148" s="545"/>
      <c r="C148" s="1233" t="s">
        <v>2421</v>
      </c>
      <c r="D148" s="1233"/>
      <c r="E148" s="2562"/>
      <c r="F148" s="1243"/>
      <c r="I148" s="1316"/>
      <c r="K148" s="302" t="s">
        <v>2245</v>
      </c>
      <c r="O148" s="2903" t="s">
        <v>484</v>
      </c>
      <c r="P148" s="2905"/>
    </row>
    <row r="149" spans="1:16" s="325" customFormat="1" ht="13.35" customHeight="1">
      <c r="A149" s="545"/>
      <c r="B149" s="545"/>
      <c r="C149" s="1233" t="s">
        <v>2419</v>
      </c>
      <c r="F149" s="1243"/>
      <c r="I149" s="1319"/>
      <c r="K149" s="302" t="s">
        <v>2246</v>
      </c>
      <c r="O149" s="2939" t="s">
        <v>484</v>
      </c>
      <c r="P149" s="2940"/>
    </row>
    <row r="150" spans="1:16" s="325" customFormat="1" ht="13.35" customHeight="1">
      <c r="A150" s="545"/>
      <c r="B150" s="545"/>
      <c r="C150" s="1233" t="s">
        <v>2166</v>
      </c>
      <c r="D150" s="1233"/>
      <c r="E150" s="1233"/>
      <c r="F150" s="1243"/>
      <c r="I150" s="2941"/>
      <c r="J150" s="2942"/>
      <c r="N150" s="1238"/>
      <c r="O150" s="1238"/>
      <c r="P150" s="336"/>
    </row>
    <row r="151" spans="1:16" s="325" customFormat="1" ht="1.5" customHeight="1">
      <c r="A151" s="545"/>
      <c r="B151" s="545"/>
      <c r="C151" s="1233"/>
      <c r="D151" s="1233"/>
      <c r="E151" s="1233"/>
      <c r="F151" s="1243"/>
      <c r="G151" s="1243"/>
      <c r="M151" s="1243"/>
      <c r="N151" s="1238"/>
      <c r="O151" s="1238"/>
      <c r="P151" s="336"/>
    </row>
    <row r="152" spans="1:16" s="325" customFormat="1" ht="13.35" customHeight="1">
      <c r="A152" s="545"/>
      <c r="B152" s="545" t="s">
        <v>1985</v>
      </c>
      <c r="C152" s="2652" t="s">
        <v>2701</v>
      </c>
      <c r="D152" s="1233"/>
      <c r="E152" s="351" t="s">
        <v>5059</v>
      </c>
      <c r="F152" s="351"/>
      <c r="G152" s="351"/>
      <c r="I152" s="2651"/>
      <c r="K152" s="351" t="s">
        <v>5061</v>
      </c>
      <c r="L152" s="351"/>
      <c r="M152" s="351"/>
      <c r="O152" s="2432"/>
      <c r="P152" s="336"/>
    </row>
    <row r="153" spans="1:16" s="325" customFormat="1" ht="13.35" customHeight="1">
      <c r="A153" s="545"/>
      <c r="C153" s="2562"/>
      <c r="D153" s="2647"/>
      <c r="E153" s="351" t="s">
        <v>5060</v>
      </c>
      <c r="F153" s="351"/>
      <c r="G153" s="351"/>
      <c r="I153" s="1320"/>
      <c r="K153" s="351"/>
      <c r="L153" s="351"/>
      <c r="M153" s="351"/>
      <c r="P153" s="336"/>
    </row>
    <row r="154" spans="1:16" s="325" customFormat="1" ht="1.5" customHeight="1">
      <c r="A154" s="545"/>
      <c r="B154" s="545"/>
      <c r="C154" s="1233"/>
      <c r="D154" s="1233"/>
      <c r="E154" s="1233"/>
      <c r="F154" s="1243"/>
      <c r="N154" s="1238"/>
      <c r="O154" s="1238"/>
      <c r="P154" s="336"/>
    </row>
    <row r="155" spans="1:16" s="325" customFormat="1" ht="13.35" customHeight="1">
      <c r="A155" s="545"/>
      <c r="B155" s="545" t="s">
        <v>749</v>
      </c>
      <c r="C155" s="2562" t="s">
        <v>5058</v>
      </c>
      <c r="D155" s="1233"/>
      <c r="E155" s="1233"/>
      <c r="F155" s="1243"/>
      <c r="I155" s="362"/>
      <c r="N155" s="1238"/>
      <c r="O155" s="1238"/>
      <c r="P155" s="336"/>
    </row>
    <row r="156" spans="1:16" s="325" customFormat="1" ht="3" customHeight="1">
      <c r="A156" s="545"/>
      <c r="B156" s="545"/>
      <c r="C156" s="1233"/>
      <c r="D156" s="1233"/>
      <c r="E156" s="1233"/>
      <c r="F156" s="1243"/>
      <c r="G156" s="1243"/>
      <c r="H156" s="1243"/>
      <c r="I156" s="1243"/>
      <c r="J156" s="344"/>
      <c r="K156" s="1243"/>
      <c r="L156" s="1243"/>
      <c r="N156" s="1238"/>
      <c r="O156" s="1238"/>
      <c r="P156" s="336"/>
    </row>
    <row r="157" spans="1:16" s="325" customFormat="1" ht="13.35" customHeight="1">
      <c r="A157" s="356" t="s">
        <v>1726</v>
      </c>
      <c r="B157" s="353" t="s">
        <v>1190</v>
      </c>
      <c r="D157" s="353"/>
      <c r="E157" s="353"/>
      <c r="F157" s="353"/>
      <c r="G157" s="1243"/>
      <c r="H157" s="1243"/>
      <c r="I157" s="1243"/>
      <c r="J157" s="344"/>
      <c r="K157" s="1243"/>
      <c r="L157" s="1243"/>
      <c r="N157" s="1238"/>
      <c r="O157" s="1238"/>
      <c r="P157" s="336"/>
    </row>
    <row r="158" spans="1:16" s="325" customFormat="1" ht="2.1" customHeight="1">
      <c r="A158" s="356"/>
      <c r="B158" s="545"/>
      <c r="C158" s="1229"/>
      <c r="D158" s="1229"/>
      <c r="E158" s="1229"/>
      <c r="F158" s="1229"/>
      <c r="G158" s="1243"/>
      <c r="H158" s="1243"/>
      <c r="I158" s="1243"/>
      <c r="J158" s="344"/>
      <c r="K158" s="1243"/>
      <c r="L158" s="1243"/>
      <c r="N158" s="1238"/>
      <c r="O158" s="1238"/>
    </row>
    <row r="159" spans="1:16" s="325" customFormat="1" ht="13.35" customHeight="1">
      <c r="A159" s="545"/>
      <c r="B159" s="545" t="s">
        <v>1983</v>
      </c>
      <c r="C159" s="343" t="s">
        <v>1822</v>
      </c>
      <c r="F159" s="1243"/>
      <c r="G159" s="1243"/>
      <c r="H159" s="1243"/>
      <c r="I159" s="1243"/>
      <c r="J159" s="344"/>
      <c r="K159" s="1243"/>
      <c r="L159" s="1243"/>
      <c r="N159" s="1238"/>
      <c r="O159" s="1238"/>
      <c r="P159" s="336"/>
    </row>
    <row r="160" spans="1:16" s="325" customFormat="1" ht="12.6" customHeight="1">
      <c r="A160" s="545"/>
      <c r="B160" s="545"/>
      <c r="C160" s="351" t="s">
        <v>1527</v>
      </c>
      <c r="D160" s="344"/>
      <c r="E160" s="344"/>
      <c r="F160" s="1243"/>
      <c r="G160" s="1243"/>
      <c r="H160" s="1243"/>
      <c r="I160" s="1317" t="s">
        <v>2993</v>
      </c>
      <c r="N160" s="1238"/>
      <c r="O160" s="1238"/>
      <c r="P160" s="336"/>
    </row>
    <row r="161" spans="1:16" s="325" customFormat="1" ht="12.6" customHeight="1">
      <c r="A161" s="545"/>
      <c r="B161" s="545"/>
      <c r="C161" s="2912" t="s">
        <v>4977</v>
      </c>
      <c r="D161" s="2912"/>
      <c r="E161" s="2912"/>
      <c r="F161" s="2912"/>
      <c r="G161" s="325" t="s">
        <v>4786</v>
      </c>
      <c r="I161" s="1318"/>
      <c r="K161" s="2417" t="s">
        <v>1795</v>
      </c>
      <c r="P161" s="2429">
        <f>IF('Part VI-Revenues &amp; Expenses'!$O$65=0,0,I161/'Part VI-Revenues &amp; Expenses'!$O$65)</f>
        <v>0</v>
      </c>
    </row>
    <row r="162" spans="1:16" s="325" customFormat="1" ht="12.6" customHeight="1">
      <c r="A162" s="545"/>
      <c r="B162" s="545"/>
      <c r="C162" s="2912"/>
      <c r="D162" s="2912"/>
      <c r="E162" s="2912"/>
      <c r="F162" s="2912"/>
      <c r="G162" s="325" t="s">
        <v>4785</v>
      </c>
      <c r="I162" s="1318"/>
      <c r="K162" s="2417" t="s">
        <v>1795</v>
      </c>
      <c r="O162" s="2418"/>
      <c r="P162" s="2430">
        <f>IF('Part VI-Revenues &amp; Expenses'!$O$65=0,0,I162/'Part VI-Revenues &amp; Expenses'!$O$65)</f>
        <v>0</v>
      </c>
    </row>
    <row r="163" spans="1:16" s="325" customFormat="1" ht="12" customHeight="1">
      <c r="A163" s="545"/>
      <c r="B163" s="545"/>
      <c r="C163" s="2417" t="s">
        <v>4787</v>
      </c>
      <c r="I163" s="1287"/>
      <c r="K163" s="330" t="s">
        <v>1795</v>
      </c>
      <c r="O163" s="2428"/>
      <c r="P163" s="2431">
        <f>IF('Part VI-Revenues &amp; Expenses'!$O$65=0,0,I163/'Part VI-Revenues &amp; Expenses'!$O$65)</f>
        <v>0</v>
      </c>
    </row>
    <row r="164" spans="1:16" s="325" customFormat="1" ht="3" customHeight="1">
      <c r="A164" s="545"/>
      <c r="B164" s="545"/>
    </row>
    <row r="165" spans="1:16" s="325" customFormat="1" ht="12.6" customHeight="1">
      <c r="A165" s="545"/>
      <c r="B165" s="545"/>
      <c r="C165" s="325" t="s">
        <v>1796</v>
      </c>
      <c r="D165" s="2903"/>
      <c r="E165" s="2904"/>
      <c r="F165" s="2904"/>
      <c r="G165" s="2904"/>
      <c r="H165" s="2905"/>
      <c r="I165" s="330" t="s">
        <v>4731</v>
      </c>
      <c r="N165" s="2900"/>
      <c r="O165" s="2901"/>
      <c r="P165" s="2902"/>
    </row>
    <row r="166" spans="1:16" s="325" customFormat="1" ht="12.6" customHeight="1">
      <c r="A166" s="545"/>
      <c r="B166" s="545"/>
      <c r="C166" s="330" t="s">
        <v>4732</v>
      </c>
      <c r="D166" s="2897"/>
      <c r="E166" s="2898"/>
      <c r="F166" s="2911"/>
      <c r="G166" s="2898"/>
      <c r="H166" s="2899"/>
      <c r="I166" s="2394" t="s">
        <v>1797</v>
      </c>
      <c r="J166" s="2903"/>
      <c r="K166" s="2904"/>
      <c r="L166" s="2905"/>
      <c r="M166" s="2397" t="s">
        <v>1980</v>
      </c>
      <c r="N166" s="2897"/>
      <c r="O166" s="2898"/>
      <c r="P166" s="2899"/>
    </row>
    <row r="167" spans="1:16" s="325" customFormat="1" ht="12.6" customHeight="1">
      <c r="A167" s="545"/>
      <c r="B167" s="545"/>
      <c r="C167" s="330" t="s">
        <v>618</v>
      </c>
      <c r="D167" s="2897"/>
      <c r="E167" s="2899"/>
      <c r="F167" s="2395" t="s">
        <v>2229</v>
      </c>
      <c r="G167" s="2906"/>
      <c r="H167" s="2907"/>
      <c r="I167" s="365" t="s">
        <v>1802</v>
      </c>
      <c r="J167" s="2894"/>
      <c r="K167" s="2895"/>
      <c r="L167" s="2896"/>
      <c r="M167" s="2396" t="s">
        <v>1979</v>
      </c>
      <c r="N167" s="2894"/>
      <c r="O167" s="2895"/>
      <c r="P167" s="2896"/>
    </row>
    <row r="168" spans="1:16" s="325" customFormat="1" ht="12.6" customHeight="1">
      <c r="A168" s="545"/>
      <c r="B168" s="545"/>
      <c r="C168" s="325" t="s">
        <v>2704</v>
      </c>
      <c r="D168" s="2908"/>
      <c r="E168" s="2909"/>
      <c r="F168" s="2909"/>
      <c r="G168" s="2909"/>
      <c r="H168" s="2910"/>
      <c r="I168" s="365" t="s">
        <v>1800</v>
      </c>
      <c r="J168" s="2891"/>
      <c r="K168" s="2892"/>
      <c r="L168" s="2892"/>
      <c r="M168" s="2892"/>
      <c r="N168" s="2892"/>
      <c r="O168" s="2892"/>
      <c r="P168" s="2893"/>
    </row>
    <row r="169" spans="1:16" s="325" customFormat="1" ht="12" customHeight="1">
      <c r="A169" s="545"/>
      <c r="B169" s="545"/>
      <c r="C169" s="325" t="s">
        <v>4788</v>
      </c>
      <c r="E169" s="367"/>
      <c r="F169" s="367"/>
      <c r="G169" s="367"/>
      <c r="H169" s="1243"/>
      <c r="I169" s="2432"/>
      <c r="J169" s="2913" t="s">
        <v>761</v>
      </c>
      <c r="K169" s="2914"/>
      <c r="L169" s="362"/>
      <c r="M169" s="367"/>
      <c r="N169" s="1243"/>
      <c r="O169" s="367"/>
      <c r="P169" s="367"/>
    </row>
    <row r="170" spans="1:16" s="325" customFormat="1" ht="3" customHeight="1">
      <c r="A170" s="545"/>
      <c r="B170" s="545"/>
    </row>
    <row r="171" spans="1:16" s="325" customFormat="1" ht="12.6" customHeight="1">
      <c r="A171" s="545"/>
      <c r="B171" s="545" t="s">
        <v>1985</v>
      </c>
      <c r="C171" s="299" t="s">
        <v>2702</v>
      </c>
      <c r="D171" s="299"/>
      <c r="E171" s="299"/>
      <c r="F171" s="299"/>
      <c r="G171" s="299"/>
      <c r="I171" s="2598"/>
      <c r="J171" s="2884" t="s">
        <v>761</v>
      </c>
      <c r="K171" s="2885"/>
      <c r="L171" s="2598"/>
      <c r="M171" s="2886" t="s">
        <v>2326</v>
      </c>
      <c r="N171" s="2887"/>
      <c r="O171" s="2888"/>
      <c r="P171" s="2671"/>
    </row>
    <row r="172" spans="1:16" s="325" customFormat="1" ht="12.6" customHeight="1">
      <c r="A172" s="545"/>
      <c r="B172" s="545"/>
      <c r="C172" s="299" t="s">
        <v>2703</v>
      </c>
      <c r="D172" s="299"/>
      <c r="E172" s="299"/>
      <c r="F172" s="299"/>
      <c r="G172" s="299"/>
      <c r="I172" s="2653" t="s">
        <v>2990</v>
      </c>
      <c r="J172" s="2884" t="s">
        <v>761</v>
      </c>
      <c r="K172" s="2885"/>
      <c r="L172" s="2653">
        <v>2037</v>
      </c>
      <c r="M172" s="2886" t="s">
        <v>2326</v>
      </c>
      <c r="N172" s="2887"/>
      <c r="O172" s="2888"/>
      <c r="P172" s="2672">
        <v>5</v>
      </c>
    </row>
    <row r="173" spans="1:16" s="325" customFormat="1" ht="1.5" customHeight="1">
      <c r="A173" s="545"/>
      <c r="B173" s="545"/>
      <c r="C173" s="299"/>
      <c r="D173" s="299"/>
      <c r="E173" s="327"/>
      <c r="F173" s="299"/>
      <c r="G173" s="299"/>
      <c r="J173" s="2563"/>
      <c r="K173" s="427"/>
      <c r="M173" s="2563"/>
      <c r="O173" s="2564"/>
      <c r="P173" s="336"/>
    </row>
    <row r="174" spans="1:16" s="325" customFormat="1" ht="12.6" customHeight="1">
      <c r="A174" s="545"/>
      <c r="B174" s="545" t="s">
        <v>749</v>
      </c>
      <c r="C174" s="299" t="s">
        <v>1757</v>
      </c>
      <c r="D174" s="299"/>
      <c r="E174" s="299"/>
      <c r="F174" s="299"/>
      <c r="G174" s="299"/>
      <c r="I174" s="334" t="s">
        <v>2993</v>
      </c>
      <c r="L174" s="187"/>
      <c r="M174" s="187"/>
      <c r="P174" s="336"/>
    </row>
    <row r="175" spans="1:16" s="325" customFormat="1" ht="1.5" customHeight="1">
      <c r="A175" s="545"/>
      <c r="B175" s="545"/>
      <c r="C175" s="2561"/>
      <c r="E175" s="367"/>
      <c r="F175" s="367"/>
      <c r="G175" s="367"/>
      <c r="I175" s="367"/>
      <c r="J175" s="367"/>
      <c r="K175" s="2564"/>
      <c r="L175" s="367"/>
      <c r="M175" s="367"/>
      <c r="N175" s="2564"/>
      <c r="O175" s="367"/>
      <c r="P175" s="367"/>
    </row>
    <row r="176" spans="1:16" s="325" customFormat="1" ht="12.6" customHeight="1">
      <c r="A176" s="545"/>
      <c r="B176" s="545" t="s">
        <v>2115</v>
      </c>
      <c r="C176" s="2889" t="s">
        <v>1978</v>
      </c>
      <c r="D176" s="2889"/>
      <c r="E176" s="2889"/>
      <c r="F176" s="2889"/>
      <c r="G176" s="299"/>
      <c r="I176" s="334" t="s">
        <v>2993</v>
      </c>
      <c r="J176" s="369" t="s">
        <v>2753</v>
      </c>
      <c r="L176" s="2890" t="s">
        <v>3702</v>
      </c>
      <c r="M176" s="2890"/>
      <c r="N176" s="299"/>
      <c r="O176" s="299"/>
      <c r="P176" s="1286"/>
    </row>
    <row r="177" spans="1:16" s="325" customFormat="1" ht="12.6" customHeight="1">
      <c r="B177" s="545"/>
      <c r="L177" s="2920" t="s">
        <v>797</v>
      </c>
      <c r="M177" s="2920"/>
      <c r="N177" s="1229"/>
      <c r="O177" s="1229"/>
      <c r="P177" s="1287"/>
    </row>
    <row r="178" spans="1:16" s="325" customFormat="1" ht="12.6" customHeight="1">
      <c r="A178" s="545"/>
      <c r="B178" s="545"/>
      <c r="L178" s="2920" t="s">
        <v>1791</v>
      </c>
      <c r="M178" s="2920"/>
      <c r="N178" s="1229"/>
      <c r="O178" s="1229"/>
      <c r="P178" s="368" t="str">
        <f>IF(P176="","",P177/P176)</f>
        <v/>
      </c>
    </row>
    <row r="179" spans="1:16" s="325" customFormat="1" ht="13.35" customHeight="1">
      <c r="A179" s="545"/>
      <c r="B179" s="545" t="s">
        <v>1735</v>
      </c>
      <c r="C179" s="299" t="s">
        <v>1609</v>
      </c>
      <c r="D179" s="1233"/>
      <c r="E179" s="1233"/>
      <c r="F179" s="1233"/>
      <c r="G179" s="1233"/>
      <c r="H179" s="1243"/>
      <c r="J179" s="335"/>
      <c r="K179" s="344"/>
      <c r="M179" s="1238"/>
      <c r="O179" s="1243"/>
      <c r="P179" s="336"/>
    </row>
    <row r="180" spans="1:16" s="325" customFormat="1" ht="12.6" customHeight="1">
      <c r="A180" s="545"/>
      <c r="B180" s="545"/>
      <c r="C180" s="1238" t="s">
        <v>2212</v>
      </c>
      <c r="D180" s="337"/>
      <c r="E180" s="1238"/>
      <c r="F180" s="1238"/>
      <c r="I180" s="1317" t="s">
        <v>2993</v>
      </c>
      <c r="L180" s="1238" t="s">
        <v>1610</v>
      </c>
      <c r="M180" s="1238"/>
      <c r="N180" s="1238"/>
      <c r="P180" s="1317" t="s">
        <v>2990</v>
      </c>
    </row>
    <row r="181" spans="1:16" s="325" customFormat="1" ht="12.6" customHeight="1">
      <c r="A181" s="545"/>
      <c r="B181" s="545"/>
      <c r="C181" s="1238" t="s">
        <v>2213</v>
      </c>
      <c r="I181" s="1319" t="s">
        <v>2993</v>
      </c>
      <c r="L181" s="1238" t="s">
        <v>2846</v>
      </c>
      <c r="M181" s="1238"/>
      <c r="N181" s="1238"/>
      <c r="P181" s="1319" t="s">
        <v>2993</v>
      </c>
    </row>
    <row r="182" spans="1:16" s="325" customFormat="1" ht="12.6" customHeight="1">
      <c r="A182" s="545"/>
      <c r="C182" s="1238" t="s">
        <v>2722</v>
      </c>
      <c r="I182" s="1319" t="s">
        <v>2993</v>
      </c>
      <c r="L182" s="1238" t="s">
        <v>2690</v>
      </c>
      <c r="N182" s="2921"/>
      <c r="O182" s="2922"/>
      <c r="P182" s="1319" t="s">
        <v>2993</v>
      </c>
    </row>
    <row r="183" spans="1:16" s="325" customFormat="1" ht="12.6" customHeight="1">
      <c r="A183" s="545"/>
      <c r="B183" s="545"/>
      <c r="C183" s="1238" t="s">
        <v>1285</v>
      </c>
      <c r="D183" s="370"/>
      <c r="I183" s="1319" t="s">
        <v>2993</v>
      </c>
      <c r="K183" s="337"/>
      <c r="L183" s="1238" t="s">
        <v>3482</v>
      </c>
      <c r="M183" s="1238"/>
      <c r="N183" s="1238"/>
      <c r="P183" s="1319" t="s">
        <v>2993</v>
      </c>
    </row>
    <row r="184" spans="1:16" s="325" customFormat="1" ht="12.6" customHeight="1">
      <c r="A184" s="545"/>
      <c r="B184" s="327"/>
      <c r="C184" s="1238" t="s">
        <v>1807</v>
      </c>
      <c r="I184" s="1319" t="s">
        <v>2993</v>
      </c>
      <c r="J184" s="369" t="s">
        <v>2754</v>
      </c>
      <c r="O184" s="2923"/>
      <c r="P184" s="2924"/>
    </row>
    <row r="185" spans="1:16" s="325" customFormat="1" ht="12.6" customHeight="1">
      <c r="A185" s="545"/>
      <c r="B185" s="545"/>
      <c r="C185" s="1238" t="s">
        <v>2903</v>
      </c>
      <c r="I185" s="1320" t="s">
        <v>2993</v>
      </c>
      <c r="J185" s="369" t="s">
        <v>2754</v>
      </c>
      <c r="O185" s="2925"/>
      <c r="P185" s="2926"/>
    </row>
    <row r="186" spans="1:16" s="325" customFormat="1" ht="1.5" customHeight="1">
      <c r="A186" s="545"/>
      <c r="B186" s="545"/>
      <c r="P186" s="335"/>
    </row>
    <row r="187" spans="1:16" s="325" customFormat="1" ht="13.35" customHeight="1">
      <c r="B187" s="545" t="s">
        <v>1736</v>
      </c>
      <c r="C187" s="331" t="s">
        <v>739</v>
      </c>
    </row>
    <row r="188" spans="1:16" s="325" customFormat="1" ht="12.6" customHeight="1">
      <c r="A188" s="545"/>
      <c r="B188" s="545"/>
      <c r="C188" s="330" t="s">
        <v>639</v>
      </c>
      <c r="D188" s="1233"/>
      <c r="E188" s="1233"/>
      <c r="F188" s="1243"/>
      <c r="G188" s="1243"/>
      <c r="H188" s="2927"/>
      <c r="I188" s="2928"/>
      <c r="N188" s="1238"/>
      <c r="O188" s="1238"/>
      <c r="P188" s="336"/>
    </row>
    <row r="189" spans="1:16" s="325" customFormat="1" ht="12.6" customHeight="1">
      <c r="A189" s="545"/>
      <c r="B189" s="545"/>
      <c r="C189" s="330" t="s">
        <v>276</v>
      </c>
      <c r="D189" s="1233"/>
      <c r="E189" s="1233"/>
      <c r="F189" s="1243"/>
      <c r="G189" s="1243"/>
      <c r="H189" s="2935"/>
      <c r="I189" s="2936"/>
      <c r="N189" s="1238"/>
      <c r="O189" s="1238"/>
      <c r="P189" s="336"/>
    </row>
    <row r="190" spans="1:16" s="325" customFormat="1" ht="12.6" customHeight="1">
      <c r="A190" s="545"/>
      <c r="B190" s="545"/>
      <c r="C190" s="330" t="s">
        <v>2295</v>
      </c>
      <c r="D190" s="1233"/>
      <c r="E190" s="1233"/>
      <c r="F190" s="1243"/>
      <c r="G190" s="1243"/>
      <c r="H190" s="2937">
        <v>44926</v>
      </c>
      <c r="I190" s="2938"/>
      <c r="N190" s="1238"/>
      <c r="O190" s="1238"/>
      <c r="P190" s="336"/>
    </row>
    <row r="191" spans="1:16" s="325" customFormat="1" ht="2.25" customHeight="1">
      <c r="B191" s="327"/>
      <c r="C191" s="1238"/>
      <c r="H191" s="1238"/>
      <c r="L191" s="346"/>
      <c r="M191" s="346"/>
      <c r="N191" s="346"/>
      <c r="O191" s="346"/>
      <c r="P191" s="332"/>
    </row>
    <row r="192" spans="1:16" ht="12" customHeight="1">
      <c r="A192" s="356" t="s">
        <v>2782</v>
      </c>
      <c r="C192" s="356" t="s">
        <v>572</v>
      </c>
      <c r="M192" s="356" t="s">
        <v>2251</v>
      </c>
      <c r="N192" s="356" t="s">
        <v>79</v>
      </c>
    </row>
    <row r="193" spans="1:44" ht="409.5" customHeight="1">
      <c r="A193" s="2929"/>
      <c r="B193" s="2930"/>
      <c r="C193" s="2930"/>
      <c r="D193" s="2930"/>
      <c r="E193" s="2930"/>
      <c r="F193" s="2930"/>
      <c r="G193" s="2930"/>
      <c r="H193" s="2930"/>
      <c r="I193" s="2930"/>
      <c r="J193" s="2930"/>
      <c r="K193" s="2930"/>
      <c r="L193" s="2931"/>
      <c r="M193" s="2932"/>
      <c r="N193" s="2933"/>
      <c r="O193" s="2933"/>
      <c r="P193" s="2934"/>
      <c r="Q193" s="2882" t="s">
        <v>2693</v>
      </c>
      <c r="R193" s="2882"/>
      <c r="S193" s="2882"/>
      <c r="T193" s="2882"/>
      <c r="U193" s="2882"/>
    </row>
    <row r="194" spans="1:44" ht="12" customHeight="1">
      <c r="Q194" s="2882"/>
      <c r="R194" s="2882"/>
      <c r="S194" s="2882"/>
      <c r="T194" s="2882"/>
      <c r="U194" s="2882"/>
    </row>
    <row r="197" spans="1:44">
      <c r="P197" s="1307"/>
      <c r="Q197" s="1307"/>
      <c r="R197" s="1307"/>
    </row>
    <row r="198" spans="1:44">
      <c r="P198" s="1307"/>
      <c r="Q198" s="1307"/>
      <c r="R198" s="1307"/>
    </row>
    <row r="199" spans="1:44">
      <c r="P199" s="1307"/>
      <c r="Q199" s="1307"/>
      <c r="R199" s="1307"/>
    </row>
    <row r="200" spans="1:44">
      <c r="P200" s="1307"/>
      <c r="Q200" s="1307"/>
      <c r="R200" s="1307"/>
    </row>
    <row r="201" spans="1:44" s="552" customFormat="1" ht="12" customHeight="1">
      <c r="A201" s="346"/>
      <c r="B201" s="371"/>
      <c r="C201" s="346"/>
      <c r="D201" s="346"/>
      <c r="E201" s="346"/>
      <c r="F201" s="346"/>
      <c r="G201" s="346"/>
      <c r="H201" s="346"/>
      <c r="I201" s="346"/>
      <c r="J201" s="346"/>
      <c r="K201" s="346"/>
      <c r="L201" s="346"/>
      <c r="M201" s="346"/>
      <c r="N201" s="346"/>
      <c r="O201" s="346"/>
      <c r="P201" s="1307"/>
      <c r="Q201" s="1307"/>
      <c r="R201" s="1307"/>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8"/>
      <c r="Q202" s="1307"/>
      <c r="R202" s="1307"/>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9"/>
      <c r="Q203" s="1307"/>
      <c r="R203" s="1307"/>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9"/>
      <c r="Q204" s="1307"/>
      <c r="R204" s="1307"/>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9"/>
      <c r="Q205" s="1307"/>
      <c r="R205" s="1307"/>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9"/>
      <c r="Q206" s="1307"/>
      <c r="R206" s="1307"/>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9"/>
      <c r="Q207" s="1307"/>
      <c r="R207" s="1307"/>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9"/>
      <c r="Q208" s="1307"/>
      <c r="R208" s="1307"/>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9"/>
      <c r="Q209" s="1307"/>
      <c r="R209" s="1307"/>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9"/>
      <c r="Q210" s="1310"/>
      <c r="R210" s="1307"/>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9"/>
      <c r="Q211" s="1310"/>
      <c r="R211" s="1307"/>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9"/>
      <c r="Q212" s="1310"/>
      <c r="R212" s="1307"/>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9"/>
      <c r="Q213" s="1310"/>
      <c r="R213" s="1307"/>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8" t="s">
        <v>2885</v>
      </c>
      <c r="K214" s="346"/>
      <c r="L214" s="346"/>
      <c r="M214" s="346"/>
      <c r="N214" s="346"/>
      <c r="O214" s="346"/>
      <c r="P214" s="1309"/>
      <c r="Q214" s="1310"/>
      <c r="R214" s="1307"/>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8" t="s">
        <v>2886</v>
      </c>
      <c r="K215" s="346"/>
      <c r="L215" s="346"/>
      <c r="M215" s="346"/>
      <c r="N215" s="346"/>
      <c r="O215" s="346"/>
      <c r="P215" s="1309"/>
      <c r="Q215" s="1310"/>
      <c r="R215" s="1307"/>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8" t="s">
        <v>2887</v>
      </c>
      <c r="K216" s="346"/>
      <c r="L216" s="346"/>
      <c r="M216" s="346"/>
      <c r="N216" s="346"/>
      <c r="O216" s="346"/>
      <c r="P216" s="1309"/>
      <c r="Q216" s="1310"/>
      <c r="R216" s="1307"/>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8" t="s">
        <v>2888</v>
      </c>
      <c r="K217" s="346"/>
      <c r="L217" s="346"/>
      <c r="M217" s="346"/>
      <c r="N217" s="346"/>
      <c r="O217" s="346"/>
      <c r="P217" s="1309"/>
      <c r="Q217" s="1310"/>
      <c r="R217" s="1307"/>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8" t="s">
        <v>2889</v>
      </c>
      <c r="K218" s="346"/>
      <c r="L218" s="346"/>
      <c r="M218" s="346"/>
      <c r="N218" s="346"/>
      <c r="O218" s="346"/>
      <c r="P218" s="1309"/>
      <c r="Q218" s="1310"/>
      <c r="R218" s="1307"/>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8" t="s">
        <v>2890</v>
      </c>
      <c r="K219" s="346"/>
      <c r="L219" s="346"/>
      <c r="M219" s="346"/>
      <c r="N219" s="346"/>
      <c r="O219" s="346"/>
      <c r="P219" s="1309"/>
      <c r="Q219" s="1310"/>
      <c r="R219" s="1307"/>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8" t="s">
        <v>2891</v>
      </c>
      <c r="K220" s="346"/>
      <c r="L220" s="346"/>
      <c r="M220" s="346"/>
      <c r="N220" s="346"/>
      <c r="O220" s="346"/>
      <c r="P220" s="1309"/>
      <c r="Q220" s="1310"/>
      <c r="R220" s="1307"/>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8" t="s">
        <v>2892</v>
      </c>
      <c r="K221" s="346"/>
      <c r="L221" s="346"/>
      <c r="M221" s="346"/>
      <c r="N221" s="346"/>
      <c r="O221" s="346"/>
      <c r="P221" s="1309"/>
      <c r="Q221" s="1310"/>
      <c r="R221" s="1307"/>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8" t="s">
        <v>2893</v>
      </c>
      <c r="K222" s="346"/>
      <c r="L222" s="346"/>
      <c r="M222" s="346"/>
      <c r="N222" s="346"/>
      <c r="O222" s="346"/>
      <c r="P222" s="1309"/>
      <c r="Q222" s="1310"/>
      <c r="R222" s="1307"/>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8" t="s">
        <v>3874</v>
      </c>
      <c r="K223" s="346"/>
      <c r="L223" s="346"/>
      <c r="M223" s="346"/>
      <c r="N223" s="346"/>
      <c r="O223" s="346"/>
      <c r="P223" s="1309"/>
      <c r="Q223" s="1310"/>
      <c r="R223" s="1307"/>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9"/>
      <c r="Q224" s="1310"/>
      <c r="R224" s="1307"/>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9"/>
      <c r="Q225" s="1310"/>
      <c r="R225" s="1307"/>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9"/>
      <c r="Q226" s="1310"/>
      <c r="R226" s="1307"/>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9"/>
      <c r="Q227" s="1310"/>
      <c r="R227" s="1307"/>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9"/>
      <c r="Q228" s="1310"/>
      <c r="R228" s="1307"/>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11"/>
      <c r="Q229" s="1307"/>
      <c r="R229" s="1307"/>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9"/>
      <c r="Q230" s="1310"/>
      <c r="R230" s="1307"/>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9"/>
      <c r="Q231" s="1310"/>
      <c r="R231" s="1307"/>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9"/>
      <c r="Q232" s="1310"/>
      <c r="R232" s="1307"/>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11"/>
      <c r="Q233" s="1307"/>
      <c r="R233" s="1307"/>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9"/>
      <c r="Q234" s="1310"/>
      <c r="R234" s="1307"/>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9"/>
      <c r="Q235" s="1310"/>
      <c r="R235" s="1307"/>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9"/>
      <c r="Q236" s="1310"/>
      <c r="R236" s="1307"/>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9"/>
      <c r="Q237" s="1310"/>
      <c r="R237" s="1307"/>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9"/>
      <c r="Q238" s="1310"/>
      <c r="R238" s="1307"/>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9"/>
      <c r="Q239" s="1310"/>
      <c r="R239" s="1307"/>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9"/>
      <c r="Q240" s="1310"/>
      <c r="R240" s="1307"/>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9"/>
      <c r="Q241" s="1310"/>
      <c r="R241" s="1307"/>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9"/>
      <c r="Q242" s="1310"/>
      <c r="R242" s="1307"/>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9"/>
      <c r="Q243" s="1310"/>
      <c r="R243" s="1307"/>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9"/>
      <c r="Q244" s="1310"/>
      <c r="R244" s="1307"/>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9"/>
      <c r="Q245" s="1310"/>
      <c r="R245" s="1307"/>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9"/>
      <c r="Q246" s="1310"/>
      <c r="R246" s="1307"/>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12"/>
      <c r="Q247" s="1310"/>
      <c r="R247" s="1313"/>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9"/>
      <c r="Q248" s="1310"/>
      <c r="R248" s="1313"/>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9"/>
      <c r="Q249" s="1310"/>
      <c r="R249" s="1313"/>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9"/>
      <c r="Q250" s="1310"/>
      <c r="R250" s="1313"/>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9"/>
      <c r="Q251" s="1307"/>
      <c r="R251" s="1307"/>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11"/>
      <c r="Q252" s="1307"/>
      <c r="R252" s="1307"/>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9"/>
      <c r="Q253" s="1310"/>
      <c r="R253" s="1307"/>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9"/>
      <c r="Q254" s="1310"/>
      <c r="R254" s="1307"/>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12"/>
      <c r="Q255" s="1310"/>
      <c r="R255" s="1307"/>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9"/>
      <c r="Q256" s="1310"/>
      <c r="R256" s="1307"/>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9"/>
      <c r="Q257" s="1310"/>
      <c r="R257" s="1307"/>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9"/>
      <c r="Q258" s="1310"/>
      <c r="R258" s="1307"/>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9"/>
      <c r="Q259" s="1310"/>
      <c r="R259" s="1307"/>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9"/>
      <c r="Q260" s="1310"/>
      <c r="R260" s="1307"/>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9"/>
      <c r="Q261" s="1310"/>
      <c r="R261" s="1307"/>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9"/>
      <c r="Q262" s="1310"/>
      <c r="R262" s="1307"/>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12"/>
      <c r="Q263" s="1310"/>
      <c r="R263" s="1307"/>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9"/>
      <c r="Q264" s="1310"/>
      <c r="R264" s="1307"/>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9"/>
      <c r="Q265" s="1310"/>
      <c r="R265" s="1307"/>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9"/>
      <c r="Q266" s="1310"/>
      <c r="R266" s="1307"/>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9"/>
      <c r="Q267" s="1310"/>
      <c r="R267" s="1307"/>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9"/>
      <c r="Q268" s="1310"/>
      <c r="R268" s="1307"/>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9"/>
      <c r="Q269" s="1310"/>
      <c r="R269" s="1307"/>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9"/>
      <c r="Q270" s="1310"/>
      <c r="R270" s="1307"/>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9"/>
      <c r="Q271" s="1310"/>
      <c r="R271" s="1307"/>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9"/>
      <c r="Q272" s="1310"/>
      <c r="R272" s="1307"/>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9"/>
      <c r="Q273" s="1310"/>
      <c r="R273" s="1307"/>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9"/>
      <c r="Q274" s="1310"/>
      <c r="R274" s="1307"/>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9"/>
      <c r="Q275" s="1310"/>
      <c r="R275" s="1307"/>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9"/>
      <c r="Q276" s="1310"/>
      <c r="R276" s="1307"/>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9"/>
      <c r="Q277" s="1310"/>
      <c r="R277" s="1307"/>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14"/>
      <c r="Q278" s="1310"/>
      <c r="R278" s="1307"/>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9"/>
      <c r="Q279" s="1310"/>
      <c r="R279" s="1307"/>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9"/>
      <c r="Q280" s="1310"/>
      <c r="R280" s="1307"/>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9"/>
      <c r="Q281" s="1310"/>
      <c r="R281" s="1307"/>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9"/>
      <c r="Q282" s="1310"/>
      <c r="R282" s="1307"/>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9"/>
      <c r="Q283" s="1310"/>
      <c r="R283" s="1307"/>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9"/>
      <c r="Q284" s="1310"/>
      <c r="R284" s="1307"/>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9"/>
      <c r="Q285" s="1310"/>
      <c r="R285" s="1307"/>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9"/>
      <c r="Q286" s="1310"/>
      <c r="R286" s="1307"/>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9"/>
      <c r="Q287" s="1310"/>
      <c r="R287" s="1307"/>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9"/>
      <c r="Q288" s="1310"/>
      <c r="R288" s="1307"/>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9"/>
      <c r="Q289" s="1310"/>
      <c r="R289" s="1307"/>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9"/>
      <c r="Q290" s="1310"/>
      <c r="R290" s="1307"/>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9"/>
      <c r="Q291" s="1310"/>
      <c r="R291" s="1307"/>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9"/>
      <c r="Q292" s="1310"/>
      <c r="R292" s="1307"/>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9"/>
      <c r="Q293" s="1310"/>
      <c r="R293" s="1307"/>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9"/>
      <c r="Q294" s="1310"/>
      <c r="R294" s="1307"/>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9"/>
      <c r="Q295" s="1310"/>
      <c r="R295" s="1307"/>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9"/>
      <c r="Q296" s="1310"/>
      <c r="R296" s="1307"/>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9"/>
      <c r="Q297" s="1310"/>
      <c r="R297" s="1307"/>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9"/>
      <c r="Q298" s="1310"/>
      <c r="R298" s="1307"/>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9"/>
      <c r="Q299" s="1310"/>
      <c r="R299" s="1307"/>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9"/>
      <c r="Q300" s="1310"/>
      <c r="R300" s="1307"/>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9"/>
      <c r="Q301" s="1310"/>
      <c r="R301" s="1307"/>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9"/>
      <c r="Q302" s="1310"/>
      <c r="R302" s="1307"/>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9"/>
      <c r="Q303" s="1310"/>
      <c r="R303" s="1307"/>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9"/>
      <c r="Q304" s="1310"/>
      <c r="R304" s="1307"/>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12"/>
      <c r="Q305" s="1310"/>
      <c r="R305" s="1307"/>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9"/>
      <c r="Q306" s="1310"/>
      <c r="R306" s="1307"/>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9"/>
      <c r="Q307" s="1310"/>
      <c r="R307" s="1307"/>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9"/>
      <c r="Q308" s="1310"/>
      <c r="R308" s="1307"/>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9"/>
      <c r="Q309" s="1310"/>
      <c r="R309" s="1307"/>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9"/>
      <c r="Q310" s="1310"/>
      <c r="R310" s="1307"/>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9"/>
      <c r="Q311" s="1310"/>
      <c r="R311" s="1307"/>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9"/>
      <c r="Q312" s="1310"/>
      <c r="R312" s="1307"/>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9"/>
      <c r="Q313" s="1310"/>
      <c r="R313" s="1307"/>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9"/>
      <c r="Q314" s="1310"/>
      <c r="R314" s="1307"/>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9"/>
      <c r="Q315" s="1310"/>
      <c r="R315" s="1307"/>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9"/>
      <c r="Q316" s="1307"/>
      <c r="R316" s="1307"/>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9"/>
      <c r="Q317" s="1310"/>
      <c r="R317" s="1307"/>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9"/>
      <c r="Q318" s="1310"/>
      <c r="R318" s="1307"/>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9"/>
      <c r="Q319" s="1310"/>
      <c r="R319" s="1307"/>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11"/>
      <c r="Q320" s="1307"/>
      <c r="R320" s="1307"/>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9"/>
      <c r="Q321" s="1310"/>
      <c r="R321" s="1307"/>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9"/>
      <c r="Q322" s="1310"/>
      <c r="R322" s="1307"/>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9"/>
      <c r="Q323" s="1310"/>
      <c r="R323" s="1307"/>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11"/>
      <c r="Q324" s="1307"/>
      <c r="R324" s="1307"/>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9"/>
      <c r="Q325" s="1310"/>
      <c r="R325" s="1307"/>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9"/>
      <c r="Q326" s="1310"/>
      <c r="R326" s="1307"/>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9"/>
      <c r="Q327" s="1307"/>
      <c r="R327" s="1307"/>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12"/>
      <c r="Q328" s="1307"/>
      <c r="R328" s="1307"/>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9"/>
      <c r="Q329" s="1310"/>
      <c r="R329" s="1307"/>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9"/>
      <c r="Q330" s="1310"/>
      <c r="R330" s="1307"/>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9"/>
      <c r="Q331" s="1310"/>
      <c r="R331" s="1307"/>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11"/>
      <c r="Q332" s="1307"/>
      <c r="R332" s="1307"/>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9"/>
      <c r="Q333" s="1310"/>
      <c r="R333" s="1307"/>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12"/>
      <c r="Q334" s="1310"/>
      <c r="R334" s="1307"/>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9"/>
      <c r="Q335" s="1307"/>
      <c r="R335" s="1307"/>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9"/>
      <c r="Q336" s="1310"/>
      <c r="R336" s="1307"/>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9"/>
      <c r="Q337" s="1310"/>
      <c r="R337" s="1307"/>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9"/>
      <c r="Q338" s="1310"/>
      <c r="R338" s="1307"/>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9"/>
      <c r="Q339" s="1307"/>
      <c r="R339" s="1307"/>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11"/>
      <c r="Q340" s="1310"/>
      <c r="R340" s="1307"/>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9"/>
      <c r="Q341" s="1310"/>
      <c r="R341" s="1307"/>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9"/>
      <c r="Q342" s="1310"/>
      <c r="R342" s="1307"/>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9"/>
      <c r="Q343" s="1310"/>
      <c r="R343" s="1307"/>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9"/>
      <c r="Q344" s="1310"/>
      <c r="R344" s="1307"/>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9"/>
      <c r="Q345" s="1310"/>
      <c r="R345" s="1307"/>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9"/>
      <c r="Q346" s="1310"/>
      <c r="R346" s="1307"/>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9"/>
      <c r="Q347" s="1310"/>
      <c r="R347" s="1307"/>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9"/>
      <c r="Q348" s="1310"/>
      <c r="R348" s="1307"/>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9"/>
      <c r="Q349" s="1310"/>
      <c r="R349" s="1307"/>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9"/>
      <c r="Q350" s="1310"/>
      <c r="R350" s="1307"/>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9"/>
      <c r="Q351" s="1310"/>
      <c r="R351" s="1307"/>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9"/>
      <c r="Q352" s="1310"/>
      <c r="R352" s="1307"/>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9"/>
      <c r="Q353" s="1310"/>
      <c r="R353" s="1307"/>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9"/>
      <c r="Q354" s="1310"/>
      <c r="R354" s="1307"/>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9"/>
      <c r="Q355" s="1310"/>
      <c r="R355" s="1307"/>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9"/>
      <c r="Q356" s="1310"/>
      <c r="R356" s="1307"/>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9"/>
      <c r="Q357" s="1310"/>
      <c r="R357" s="1307"/>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12"/>
      <c r="Q358" s="1310"/>
      <c r="R358" s="1307"/>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9"/>
      <c r="Q359" s="1310"/>
      <c r="R359" s="1307"/>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9"/>
      <c r="Q360" s="1310"/>
      <c r="R360" s="1313"/>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9"/>
      <c r="Q361" s="1310"/>
      <c r="R361" s="1313"/>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9"/>
      <c r="Q362" s="1310"/>
      <c r="R362" s="1313"/>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9"/>
      <c r="Q363" s="1307"/>
      <c r="R363" s="1313"/>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12"/>
      <c r="Q364" s="1307"/>
      <c r="R364" s="1313"/>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9"/>
      <c r="Q365" s="1307"/>
      <c r="R365" s="1313"/>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9"/>
      <c r="Q366" s="1307"/>
      <c r="R366" s="1313"/>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9"/>
      <c r="Q367" s="1307"/>
      <c r="R367" s="1307"/>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9"/>
      <c r="Q368" s="1307"/>
      <c r="R368" s="1307"/>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9"/>
      <c r="Q369" s="1307"/>
      <c r="R369" s="1307"/>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9"/>
      <c r="Q370" s="1307"/>
      <c r="R370" s="1307"/>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12"/>
      <c r="Q371" s="1307"/>
      <c r="R371" s="1307"/>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9"/>
      <c r="Q372" s="1307"/>
      <c r="R372" s="1307"/>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9"/>
      <c r="Q373" s="1307"/>
      <c r="R373" s="1307"/>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9"/>
      <c r="Q374" s="1307"/>
      <c r="R374" s="1307"/>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9"/>
      <c r="Q375" s="1307"/>
      <c r="R375" s="1307"/>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9"/>
      <c r="Q376" s="1307"/>
      <c r="R376" s="1307"/>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9"/>
      <c r="Q377" s="1307"/>
      <c r="R377" s="1307"/>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8"/>
      <c r="Q378" s="1307"/>
      <c r="R378" s="1307"/>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12"/>
      <c r="Q379" s="1307"/>
      <c r="R379" s="1307"/>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12"/>
      <c r="Q380" s="1307"/>
      <c r="R380" s="1307"/>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8"/>
      <c r="Q381" s="1307"/>
      <c r="R381" s="1307"/>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8"/>
      <c r="Q382" s="1307"/>
      <c r="R382" s="1307"/>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8"/>
      <c r="Q383" s="1307"/>
      <c r="R383" s="1307"/>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8"/>
      <c r="Q384" s="1307"/>
      <c r="R384" s="1307"/>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8"/>
      <c r="Q385" s="1307"/>
      <c r="R385" s="1307"/>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8"/>
      <c r="Q386" s="1307"/>
      <c r="R386" s="1307"/>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8"/>
      <c r="Q387" s="1307"/>
      <c r="R387" s="1307"/>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8"/>
      <c r="Q388" s="1307"/>
      <c r="R388" s="1307"/>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7"/>
      <c r="C389" s="1307"/>
      <c r="D389" s="1307"/>
      <c r="E389" s="1307"/>
      <c r="F389" s="1307"/>
      <c r="G389" s="1307"/>
      <c r="H389" s="1307"/>
      <c r="I389" s="1307"/>
      <c r="J389" s="1307"/>
      <c r="K389" s="1307"/>
      <c r="L389" s="1307"/>
      <c r="M389" s="1307"/>
      <c r="N389" s="1307"/>
      <c r="O389" s="1307"/>
      <c r="P389" s="1308"/>
      <c r="Q389" s="1307"/>
      <c r="R389" s="1307"/>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7"/>
      <c r="C390" s="1307"/>
      <c r="D390" s="1307"/>
      <c r="E390" s="1307"/>
      <c r="F390" s="1307"/>
      <c r="G390" s="1307"/>
      <c r="H390" s="1307"/>
      <c r="I390" s="1307"/>
      <c r="J390" s="1307"/>
      <c r="K390" s="1307"/>
      <c r="L390" s="1307"/>
      <c r="M390" s="1307"/>
      <c r="N390" s="1307"/>
      <c r="O390" s="1307"/>
      <c r="P390" s="1308"/>
      <c r="Q390" s="1307"/>
      <c r="R390" s="1307"/>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7"/>
      <c r="C391" s="1307"/>
      <c r="D391" s="1307"/>
      <c r="E391" s="1307"/>
      <c r="F391" s="1307"/>
      <c r="G391" s="1307"/>
      <c r="H391" s="1307"/>
      <c r="I391" s="1307"/>
      <c r="J391" s="1307"/>
      <c r="K391" s="1307"/>
      <c r="L391" s="1307"/>
      <c r="M391" s="1307"/>
      <c r="N391" s="1307"/>
      <c r="O391" s="1307"/>
      <c r="P391" s="1308"/>
      <c r="Q391" s="1307"/>
      <c r="R391" s="1307"/>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7"/>
      <c r="C392" s="1307"/>
      <c r="D392" s="1307"/>
      <c r="E392" s="1307"/>
      <c r="F392" s="1307"/>
      <c r="G392" s="1307"/>
      <c r="H392" s="1307"/>
      <c r="I392" s="1307"/>
      <c r="J392" s="1307"/>
      <c r="K392" s="1307"/>
      <c r="L392" s="1307"/>
      <c r="M392" s="1307"/>
      <c r="N392" s="1307"/>
      <c r="O392" s="1307"/>
      <c r="P392" s="1308"/>
      <c r="Q392" s="1307"/>
      <c r="R392" s="1307"/>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7"/>
      <c r="C393" s="1307"/>
      <c r="D393" s="1307"/>
      <c r="E393" s="1307"/>
      <c r="F393" s="1307"/>
      <c r="G393" s="1307"/>
      <c r="H393" s="1307"/>
      <c r="I393" s="1307"/>
      <c r="J393" s="1307"/>
      <c r="K393" s="1307"/>
      <c r="L393" s="1307"/>
      <c r="M393" s="1307"/>
      <c r="N393" s="1307"/>
      <c r="O393" s="1307"/>
      <c r="P393" s="1308"/>
      <c r="Q393" s="1307"/>
      <c r="R393" s="1307"/>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7"/>
      <c r="C394" s="1307"/>
      <c r="D394" s="1307"/>
      <c r="E394" s="1307"/>
      <c r="F394" s="1307"/>
      <c r="G394" s="1307"/>
      <c r="H394" s="1307"/>
      <c r="I394" s="1307"/>
      <c r="J394" s="1307"/>
      <c r="K394" s="1307"/>
      <c r="L394" s="1307"/>
      <c r="M394" s="1307"/>
      <c r="N394" s="1307"/>
      <c r="O394" s="1307"/>
      <c r="P394" s="1308"/>
      <c r="Q394" s="1307"/>
      <c r="R394" s="1307"/>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7"/>
      <c r="C395" s="1307"/>
      <c r="D395" s="1307"/>
      <c r="E395" s="1307"/>
      <c r="F395" s="1307"/>
      <c r="G395" s="1307"/>
      <c r="H395" s="1307"/>
      <c r="I395" s="1307"/>
      <c r="J395" s="1307"/>
      <c r="K395" s="1307"/>
      <c r="L395" s="1307"/>
      <c r="M395" s="1307"/>
      <c r="N395" s="1307"/>
      <c r="O395" s="1307"/>
      <c r="P395" s="1312"/>
      <c r="Q395" s="1307"/>
      <c r="R395" s="1307"/>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7"/>
      <c r="C396" s="1307"/>
      <c r="D396" s="1307"/>
      <c r="E396" s="1307"/>
      <c r="F396" s="1307"/>
      <c r="G396" s="1307"/>
      <c r="H396" s="1307"/>
      <c r="I396" s="1307"/>
      <c r="J396" s="1307"/>
      <c r="K396" s="1307"/>
      <c r="L396" s="1307"/>
      <c r="M396" s="1307"/>
      <c r="N396" s="1307"/>
      <c r="O396" s="1307"/>
      <c r="P396" s="1312"/>
      <c r="Q396" s="1307"/>
      <c r="R396" s="1307"/>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7"/>
      <c r="C397" s="1307"/>
      <c r="D397" s="1307"/>
      <c r="E397" s="1307"/>
      <c r="F397" s="1307"/>
      <c r="G397" s="1307"/>
      <c r="H397" s="1307"/>
      <c r="I397" s="1307"/>
      <c r="J397" s="1307"/>
      <c r="K397" s="1307"/>
      <c r="L397" s="1307"/>
      <c r="M397" s="1307"/>
      <c r="N397" s="1307"/>
      <c r="O397" s="1307"/>
      <c r="P397" s="1312"/>
      <c r="Q397" s="1307"/>
      <c r="R397" s="1307"/>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7"/>
      <c r="C398" s="1307"/>
      <c r="D398" s="1307"/>
      <c r="E398" s="1307"/>
      <c r="F398" s="1307"/>
      <c r="G398" s="1307"/>
      <c r="H398" s="1307"/>
      <c r="I398" s="1307"/>
      <c r="J398" s="1307"/>
      <c r="K398" s="1307"/>
      <c r="L398" s="1307"/>
      <c r="M398" s="1307"/>
      <c r="N398" s="1307"/>
      <c r="O398" s="1307"/>
      <c r="P398" s="1308"/>
      <c r="Q398" s="1307"/>
      <c r="R398" s="1307"/>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7"/>
      <c r="C399" s="1307"/>
      <c r="D399" s="1307"/>
      <c r="E399" s="1307"/>
      <c r="F399" s="1307"/>
      <c r="G399" s="1307"/>
      <c r="H399" s="1307"/>
      <c r="I399" s="1307"/>
      <c r="J399" s="1307"/>
      <c r="K399" s="1307"/>
      <c r="L399" s="1307"/>
      <c r="M399" s="1307"/>
      <c r="N399" s="1307"/>
      <c r="O399" s="1307"/>
      <c r="P399" s="1308"/>
      <c r="Q399" s="1307"/>
      <c r="R399" s="1307"/>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7"/>
      <c r="C400" s="1307"/>
      <c r="D400" s="1307"/>
      <c r="E400" s="1307"/>
      <c r="F400" s="1307"/>
      <c r="G400" s="1307"/>
      <c r="H400" s="1307"/>
      <c r="I400" s="1307"/>
      <c r="J400" s="1307"/>
      <c r="K400" s="1307"/>
      <c r="L400" s="1307"/>
      <c r="M400" s="1307"/>
      <c r="N400" s="1307"/>
      <c r="O400" s="1307"/>
      <c r="P400" s="1312"/>
      <c r="Q400" s="1307"/>
      <c r="R400" s="1307"/>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7"/>
      <c r="C401" s="1307"/>
      <c r="D401" s="1307"/>
      <c r="E401" s="1307"/>
      <c r="F401" s="1307"/>
      <c r="G401" s="1307"/>
      <c r="H401" s="1307"/>
      <c r="I401" s="1307"/>
      <c r="J401" s="1307"/>
      <c r="K401" s="1307"/>
      <c r="L401" s="1307"/>
      <c r="M401" s="1307"/>
      <c r="N401" s="1307"/>
      <c r="O401" s="1307"/>
      <c r="P401" s="1308"/>
      <c r="Q401" s="1307"/>
      <c r="R401" s="1307"/>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7"/>
      <c r="C402" s="1307"/>
      <c r="D402" s="1307"/>
      <c r="E402" s="1307"/>
      <c r="F402" s="1307"/>
      <c r="G402" s="1307"/>
      <c r="H402" s="1307"/>
      <c r="I402" s="1307"/>
      <c r="J402" s="1307"/>
      <c r="K402" s="1307"/>
      <c r="L402" s="1307"/>
      <c r="M402" s="1307"/>
      <c r="N402" s="1307"/>
      <c r="O402" s="1307"/>
      <c r="P402" s="1308"/>
      <c r="Q402" s="1307"/>
      <c r="R402" s="1307"/>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7"/>
      <c r="C403" s="1307"/>
      <c r="D403" s="1307"/>
      <c r="E403" s="1307"/>
      <c r="F403" s="1307"/>
      <c r="G403" s="1307"/>
      <c r="H403" s="1307"/>
      <c r="I403" s="1307"/>
      <c r="J403" s="1307"/>
      <c r="K403" s="1307"/>
      <c r="L403" s="1307"/>
      <c r="M403" s="1307"/>
      <c r="N403" s="1307"/>
      <c r="O403" s="1307"/>
      <c r="P403" s="1308"/>
      <c r="Q403" s="1307"/>
      <c r="R403" s="1307"/>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7"/>
      <c r="C404" s="1307"/>
      <c r="D404" s="1307"/>
      <c r="E404" s="1307"/>
      <c r="F404" s="1307"/>
      <c r="G404" s="1307"/>
      <c r="H404" s="1307"/>
      <c r="I404" s="1307"/>
      <c r="J404" s="1307"/>
      <c r="K404" s="1307"/>
      <c r="L404" s="1307"/>
      <c r="M404" s="1307"/>
      <c r="N404" s="1307"/>
      <c r="O404" s="1307"/>
      <c r="P404" s="1308"/>
      <c r="Q404" s="1307"/>
      <c r="R404" s="1307"/>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7"/>
      <c r="C405" s="1307"/>
      <c r="D405" s="1307"/>
      <c r="E405" s="1307"/>
      <c r="F405" s="1307"/>
      <c r="G405" s="1307"/>
      <c r="H405" s="1307"/>
      <c r="I405" s="1307"/>
      <c r="J405" s="1307"/>
      <c r="K405" s="1307"/>
      <c r="L405" s="1307"/>
      <c r="M405" s="1307"/>
      <c r="N405" s="1307"/>
      <c r="O405" s="1307"/>
      <c r="P405" s="1308"/>
      <c r="Q405" s="1307"/>
      <c r="R405" s="1307"/>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7"/>
      <c r="C406" s="1307"/>
      <c r="D406" s="1307"/>
      <c r="E406" s="1307"/>
      <c r="F406" s="1307"/>
      <c r="G406" s="1307"/>
      <c r="H406" s="1307"/>
      <c r="I406" s="1307"/>
      <c r="J406" s="1307"/>
      <c r="K406" s="1307"/>
      <c r="L406" s="1307"/>
      <c r="M406" s="1307"/>
      <c r="N406" s="1307"/>
      <c r="O406" s="1307"/>
      <c r="P406" s="1308"/>
      <c r="Q406" s="1307"/>
      <c r="R406" s="1307"/>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7"/>
      <c r="C407" s="1307"/>
      <c r="D407" s="1307"/>
      <c r="E407" s="1307"/>
      <c r="F407" s="1307"/>
      <c r="G407" s="1307"/>
      <c r="H407" s="1307"/>
      <c r="I407" s="1307"/>
      <c r="J407" s="1307"/>
      <c r="K407" s="1307"/>
      <c r="L407" s="1307"/>
      <c r="M407" s="1307"/>
      <c r="N407" s="1307"/>
      <c r="O407" s="1307"/>
      <c r="P407" s="1308"/>
      <c r="Q407" s="1307"/>
      <c r="R407" s="1307"/>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7"/>
      <c r="C408" s="1307"/>
      <c r="D408" s="1307"/>
      <c r="E408" s="1307"/>
      <c r="F408" s="1307"/>
      <c r="G408" s="1307"/>
      <c r="H408" s="1307"/>
      <c r="I408" s="1307"/>
      <c r="J408" s="1307"/>
      <c r="K408" s="1307"/>
      <c r="L408" s="1307"/>
      <c r="M408" s="1307"/>
      <c r="N408" s="1307"/>
      <c r="O408" s="1307"/>
      <c r="P408" s="1308"/>
      <c r="Q408" s="1307"/>
      <c r="R408" s="1307"/>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7"/>
      <c r="C409" s="1307"/>
      <c r="D409" s="1307"/>
      <c r="E409" s="1307"/>
      <c r="F409" s="1307"/>
      <c r="G409" s="1307"/>
      <c r="H409" s="1307"/>
      <c r="I409" s="1307"/>
      <c r="J409" s="1307"/>
      <c r="K409" s="1307"/>
      <c r="L409" s="1307"/>
      <c r="M409" s="1307"/>
      <c r="N409" s="1307"/>
      <c r="O409" s="1307"/>
      <c r="P409" s="1308"/>
      <c r="Q409" s="1307"/>
      <c r="R409" s="1307"/>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7"/>
      <c r="C410" s="1307"/>
      <c r="D410" s="1307"/>
      <c r="E410" s="1307"/>
      <c r="F410" s="1307"/>
      <c r="G410" s="1307"/>
      <c r="H410" s="1307"/>
      <c r="I410" s="1307"/>
      <c r="J410" s="1307"/>
      <c r="K410" s="1307"/>
      <c r="L410" s="1307"/>
      <c r="M410" s="1307"/>
      <c r="N410" s="1307"/>
      <c r="O410" s="1307"/>
      <c r="P410" s="1308"/>
      <c r="Q410" s="1307"/>
      <c r="R410" s="1307"/>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7"/>
      <c r="C411" s="1307"/>
      <c r="D411" s="1307"/>
      <c r="E411" s="1307"/>
      <c r="F411" s="1307"/>
      <c r="G411" s="1307"/>
      <c r="H411" s="1307"/>
      <c r="I411" s="1307"/>
      <c r="J411" s="1307"/>
      <c r="K411" s="1307"/>
      <c r="L411" s="1307"/>
      <c r="M411" s="1307"/>
      <c r="N411" s="1307"/>
      <c r="O411" s="1307"/>
      <c r="P411" s="1308"/>
      <c r="Q411" s="1307"/>
      <c r="R411" s="1307"/>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7"/>
      <c r="C412" s="1307"/>
      <c r="D412" s="1307"/>
      <c r="E412" s="1307"/>
      <c r="F412" s="1307"/>
      <c r="G412" s="1307"/>
      <c r="H412" s="1307"/>
      <c r="I412" s="1307"/>
      <c r="J412" s="1307"/>
      <c r="K412" s="1307"/>
      <c r="L412" s="1307"/>
      <c r="M412" s="1307"/>
      <c r="N412" s="1307"/>
      <c r="O412" s="1307"/>
      <c r="P412" s="1312"/>
      <c r="Q412" s="1307"/>
      <c r="R412" s="1307"/>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7"/>
      <c r="C413" s="1307"/>
      <c r="D413" s="1307"/>
      <c r="E413" s="1307"/>
      <c r="F413" s="1307"/>
      <c r="G413" s="1307"/>
      <c r="H413" s="1307"/>
      <c r="I413" s="1307"/>
      <c r="J413" s="1307"/>
      <c r="K413" s="1307"/>
      <c r="L413" s="1307"/>
      <c r="M413" s="1307"/>
      <c r="N413" s="1307"/>
      <c r="O413" s="1307"/>
      <c r="P413" s="1308"/>
      <c r="Q413" s="1307"/>
      <c r="R413" s="1307"/>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7"/>
      <c r="C414" s="1307"/>
      <c r="D414" s="1307"/>
      <c r="E414" s="1307"/>
      <c r="F414" s="1307"/>
      <c r="G414" s="1307"/>
      <c r="H414" s="1307"/>
      <c r="I414" s="1307"/>
      <c r="J414" s="1307"/>
      <c r="K414" s="1307"/>
      <c r="L414" s="1307"/>
      <c r="M414" s="1307"/>
      <c r="N414" s="1307"/>
      <c r="O414" s="1307"/>
      <c r="P414" s="1308"/>
      <c r="Q414" s="1307"/>
      <c r="R414" s="1307"/>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7"/>
      <c r="C415" s="1307"/>
      <c r="D415" s="1307"/>
      <c r="E415" s="1307"/>
      <c r="F415" s="1307"/>
      <c r="G415" s="1307"/>
      <c r="H415" s="1307"/>
      <c r="I415" s="1307"/>
      <c r="J415" s="1307"/>
      <c r="K415" s="1307"/>
      <c r="L415" s="1307"/>
      <c r="M415" s="1307"/>
      <c r="N415" s="1307"/>
      <c r="O415" s="1307"/>
      <c r="P415" s="1308"/>
      <c r="Q415" s="1307"/>
      <c r="R415" s="1307"/>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7"/>
      <c r="C416" s="1307"/>
      <c r="D416" s="1307"/>
      <c r="E416" s="1307"/>
      <c r="F416" s="1307"/>
      <c r="G416" s="1307"/>
      <c r="H416" s="1307"/>
      <c r="I416" s="1307"/>
      <c r="J416" s="1307"/>
      <c r="K416" s="1307"/>
      <c r="L416" s="1307"/>
      <c r="M416" s="1307"/>
      <c r="N416" s="1307"/>
      <c r="O416" s="1307"/>
      <c r="P416" s="1308"/>
      <c r="Q416" s="1307"/>
      <c r="R416" s="1307"/>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7"/>
      <c r="C417" s="1307"/>
      <c r="D417" s="1307"/>
      <c r="E417" s="1307"/>
      <c r="F417" s="1307"/>
      <c r="G417" s="1307"/>
      <c r="H417" s="1307"/>
      <c r="I417" s="1307"/>
      <c r="J417" s="1307"/>
      <c r="K417" s="1307"/>
      <c r="L417" s="1307"/>
      <c r="M417" s="1307"/>
      <c r="N417" s="1307"/>
      <c r="O417" s="1307"/>
      <c r="P417" s="1308"/>
      <c r="Q417" s="1307"/>
      <c r="R417" s="1307"/>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7"/>
      <c r="C418" s="1307"/>
      <c r="D418" s="1307"/>
      <c r="E418" s="1307"/>
      <c r="F418" s="1307"/>
      <c r="G418" s="1307"/>
      <c r="H418" s="1307"/>
      <c r="I418" s="1307"/>
      <c r="J418" s="1307"/>
      <c r="K418" s="1307"/>
      <c r="L418" s="1307"/>
      <c r="M418" s="1307"/>
      <c r="N418" s="1307"/>
      <c r="O418" s="1307"/>
      <c r="P418" s="1308"/>
      <c r="Q418" s="1307"/>
      <c r="R418" s="1307"/>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2561</v>
      </c>
      <c r="S621" s="592" t="s">
        <v>628</v>
      </c>
      <c r="T621" s="593" t="s">
        <v>2141</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2562</v>
      </c>
      <c r="S622" s="592" t="s">
        <v>319</v>
      </c>
      <c r="T622" s="593" t="s">
        <v>2141</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2563</v>
      </c>
      <c r="S623" s="592" t="s">
        <v>2483</v>
      </c>
      <c r="T623" s="593" t="s">
        <v>2141</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2564</v>
      </c>
      <c r="S624" s="592"/>
      <c r="T624" s="593" t="s">
        <v>2141</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2565</v>
      </c>
      <c r="S625" s="592" t="s">
        <v>2007</v>
      </c>
      <c r="T625" s="593" t="s">
        <v>2141</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2566</v>
      </c>
      <c r="S626" s="592" t="s">
        <v>2483</v>
      </c>
      <c r="T626" s="593" t="s">
        <v>2141</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2567</v>
      </c>
      <c r="S627" s="592" t="s">
        <v>1327</v>
      </c>
      <c r="T627" s="593" t="s">
        <v>2141</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2568</v>
      </c>
      <c r="S628" s="592" t="s">
        <v>2009</v>
      </c>
      <c r="T628" s="593" t="s">
        <v>2141</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2569</v>
      </c>
      <c r="S629" s="592" t="s">
        <v>666</v>
      </c>
      <c r="T629" s="593" t="s">
        <v>2141</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2570</v>
      </c>
      <c r="S630" s="592" t="s">
        <v>628</v>
      </c>
      <c r="T630" s="593" t="s">
        <v>2141</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2571</v>
      </c>
      <c r="S631" s="592" t="s">
        <v>2172</v>
      </c>
      <c r="T631" s="593" t="s">
        <v>2141</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2572</v>
      </c>
      <c r="S632" s="592" t="s">
        <v>2531</v>
      </c>
      <c r="T632" s="593" t="s">
        <v>2141</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2244</v>
      </c>
      <c r="S633" s="592" t="s">
        <v>2528</v>
      </c>
      <c r="T633" s="593" t="s">
        <v>2141</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2573</v>
      </c>
      <c r="S634" s="592" t="s">
        <v>2172</v>
      </c>
      <c r="T634" s="593" t="s">
        <v>2141</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2574</v>
      </c>
      <c r="S635" s="592" t="s">
        <v>2486</v>
      </c>
      <c r="T635" s="593" t="s">
        <v>2141</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2575</v>
      </c>
      <c r="S636" s="592" t="s">
        <v>2007</v>
      </c>
      <c r="T636" s="593" t="s">
        <v>2141</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1045</v>
      </c>
      <c r="S637" s="592" t="s">
        <v>1456</v>
      </c>
      <c r="T637" s="593" t="s">
        <v>2141</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904</v>
      </c>
      <c r="S638" s="592" t="s">
        <v>1103</v>
      </c>
      <c r="T638" s="593" t="s">
        <v>2141</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1046</v>
      </c>
      <c r="S639" s="592" t="s">
        <v>628</v>
      </c>
      <c r="T639" s="593" t="s">
        <v>2141</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1047</v>
      </c>
      <c r="S640" s="592" t="s">
        <v>1911</v>
      </c>
      <c r="T640" s="593" t="s">
        <v>2141</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1048</v>
      </c>
      <c r="S641" s="592" t="s">
        <v>2005</v>
      </c>
      <c r="T641" s="593" t="s">
        <v>2141</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1049</v>
      </c>
      <c r="S642" s="592" t="s">
        <v>1096</v>
      </c>
      <c r="T642" s="593" t="s">
        <v>2141</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1050</v>
      </c>
      <c r="S643" s="592" t="s">
        <v>1520</v>
      </c>
      <c r="T643" s="593" t="s">
        <v>2141</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1051</v>
      </c>
      <c r="S644" s="592" t="s">
        <v>2483</v>
      </c>
      <c r="T644" s="593" t="s">
        <v>2141</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1052</v>
      </c>
      <c r="S645" s="592" t="s">
        <v>159</v>
      </c>
      <c r="T645" s="593" t="s">
        <v>2141</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1053</v>
      </c>
      <c r="S646" s="592" t="s">
        <v>1334</v>
      </c>
      <c r="T646" s="593" t="s">
        <v>2141</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1054</v>
      </c>
      <c r="S647" s="592" t="s">
        <v>1520</v>
      </c>
      <c r="T647" s="593" t="s">
        <v>2141</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1055</v>
      </c>
      <c r="S648" s="592" t="s">
        <v>1110</v>
      </c>
      <c r="T648" s="593" t="s">
        <v>2141</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1056</v>
      </c>
      <c r="S649" s="592" t="s">
        <v>2005</v>
      </c>
      <c r="T649" s="593" t="s">
        <v>2141</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828</v>
      </c>
      <c r="S650" s="553" t="s">
        <v>873</v>
      </c>
      <c r="T650" s="593" t="s">
        <v>2141</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1057</v>
      </c>
      <c r="S651" s="592" t="s">
        <v>2486</v>
      </c>
      <c r="T651" s="593" t="s">
        <v>2141</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1607</v>
      </c>
      <c r="S652" s="592" t="s">
        <v>2528</v>
      </c>
      <c r="T652" s="593" t="s">
        <v>2141</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1058</v>
      </c>
      <c r="S653" s="592"/>
      <c r="T653" s="593" t="s">
        <v>2141</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2141</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1059</v>
      </c>
      <c r="S655" s="592" t="s">
        <v>175</v>
      </c>
      <c r="T655" s="593" t="s">
        <v>2141</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2285</v>
      </c>
      <c r="S656" s="592" t="s">
        <v>1206</v>
      </c>
      <c r="T656" s="593" t="s">
        <v>2141</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1060</v>
      </c>
      <c r="S657" s="592" t="s">
        <v>628</v>
      </c>
      <c r="T657" s="593" t="s">
        <v>2141</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1061</v>
      </c>
      <c r="S658" s="592" t="s">
        <v>628</v>
      </c>
      <c r="T658" s="593" t="s">
        <v>2141</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1062</v>
      </c>
      <c r="S659" s="592" t="s">
        <v>628</v>
      </c>
      <c r="T659" s="593" t="s">
        <v>2141</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1063</v>
      </c>
      <c r="S660" s="592" t="s">
        <v>628</v>
      </c>
      <c r="T660" s="593" t="s">
        <v>2141</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1064</v>
      </c>
      <c r="S661" s="592" t="s">
        <v>1668</v>
      </c>
      <c r="T661" s="593" t="s">
        <v>2141</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1065</v>
      </c>
      <c r="S662" s="592" t="s">
        <v>955</v>
      </c>
      <c r="T662" s="593" t="s">
        <v>2141</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1066</v>
      </c>
      <c r="S663" s="592" t="s">
        <v>122</v>
      </c>
      <c r="T663" s="593" t="s">
        <v>2141</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1067</v>
      </c>
      <c r="S664" s="592" t="s">
        <v>628</v>
      </c>
      <c r="T664" s="593" t="s">
        <v>2141</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1068</v>
      </c>
      <c r="S665" s="592" t="s">
        <v>316</v>
      </c>
      <c r="T665" s="593" t="s">
        <v>2141</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1069</v>
      </c>
      <c r="S666" s="592" t="s">
        <v>320</v>
      </c>
      <c r="T666" s="593" t="s">
        <v>2141</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832</v>
      </c>
      <c r="S667" s="592" t="s">
        <v>1313</v>
      </c>
      <c r="T667" s="593" t="s">
        <v>2141</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1070</v>
      </c>
      <c r="S668" s="592" t="s">
        <v>666</v>
      </c>
      <c r="T668" s="593" t="s">
        <v>2141</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1071</v>
      </c>
      <c r="S669" s="592" t="s">
        <v>1520</v>
      </c>
      <c r="T669" s="593" t="s">
        <v>2141</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1072</v>
      </c>
      <c r="S670" s="592" t="s">
        <v>628</v>
      </c>
      <c r="T670" s="593" t="s">
        <v>2141</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1073</v>
      </c>
      <c r="S671" s="592" t="s">
        <v>658</v>
      </c>
      <c r="T671" s="593" t="s">
        <v>2141</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1074</v>
      </c>
      <c r="S672" s="592" t="s">
        <v>159</v>
      </c>
      <c r="T672" s="593" t="s">
        <v>2141</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1075</v>
      </c>
      <c r="S673" s="592" t="s">
        <v>1911</v>
      </c>
      <c r="T673" s="593" t="s">
        <v>2141</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1076</v>
      </c>
      <c r="S674" s="592" t="s">
        <v>2005</v>
      </c>
      <c r="T674" s="593" t="s">
        <v>2141</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1077</v>
      </c>
      <c r="S675" s="592" t="s">
        <v>628</v>
      </c>
      <c r="T675" s="593" t="s">
        <v>2141</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1078</v>
      </c>
      <c r="S676" s="592" t="s">
        <v>1668</v>
      </c>
      <c r="T676" s="593" t="s">
        <v>2141</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1079</v>
      </c>
      <c r="S677" s="592" t="s">
        <v>2486</v>
      </c>
      <c r="T677" s="593" t="s">
        <v>2141</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1080</v>
      </c>
      <c r="S678" s="592" t="s">
        <v>159</v>
      </c>
      <c r="T678" s="593" t="s">
        <v>2141</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1081</v>
      </c>
      <c r="S679" s="592" t="s">
        <v>159</v>
      </c>
      <c r="T679" s="593" t="s">
        <v>2141</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algorithmName="SHA-512" hashValue="82+Pcsoillw3lzgsxyR5BzrSqdmvga70S2WyzVBCt40EqJGqXrq9MH24QcWlfO/D2loJ8j46Dee/uBG2Ur7Llw==" saltValue="+BfNp/o+aBkqPa54lfSt5g==" spinCount="100000" sheet="1" formatRows="0"/>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formula1>"&lt;Select&gt;, Direct, Indirect, Both"</formula1>
    </dataValidation>
    <dataValidation type="list" allowBlank="1" showInputMessage="1" showErrorMessage="1" sqref="F39:H39">
      <formula1>"&lt;&lt; Select from list &gt;&gt;, Within City Limits, In Unincorporated County"</formula1>
    </dataValidation>
    <dataValidation type="list" allowBlank="1" showInputMessage="1" showErrorMessage="1" sqref="F11:H11">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formula1>"&lt;&lt;Select&gt;&gt;,Yes - see Comment, No, N/A - no pre-app"</formula1>
    </dataValidation>
    <dataValidation type="list" allowBlank="1" showInputMessage="1" showErrorMessage="1" sqref="O34:P34">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dataValidation type="list" operator="greaterThanOrEqual" showInputMessage="1" showErrorMessage="1" error="Please enter a whole number or leave this cell empty." sqref="N39 P39 F14 F16">
      <formula1>"Yes, No"</formula1>
    </dataValidation>
    <dataValidation type="list" allowBlank="1" showInputMessage="1" showErrorMessage="1" sqref="H82:I82">
      <formula1>"&lt;&lt; Select Tenancy &gt;&gt;,Family,Elderly,HFOP,Other Senior/Elderly, Other Non-Senior"</formula1>
    </dataValidation>
    <dataValidation type="list" allowBlank="1" showInputMessage="1" showErrorMessage="1" sqref="H105:I105">
      <formula1>"&lt;&lt;Select Pool&gt;&gt;, Flexible, Rural, N/A - 4% Bond"</formula1>
    </dataValidation>
    <dataValidation type="list" allowBlank="1" showInputMessage="1" showErrorMessage="1" sqref="N104 N73 N86 N97 N91 S60 N83">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dataValidation type="whole" allowBlank="1" showInputMessage="1" showErrorMessage="1" error="This cell is formatted for 10 digit phone numbers.  Please enter only numeric characters.  Do not enter hyphens, parentheses, periods, or spaces." sqref="I113 O29:O30 J23 O23:O24 J2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formula1>1000000000</formula1>
      <formula2>9999999999</formula2>
    </dataValidation>
    <dataValidation type="list" allowBlank="1" showInputMessage="1" showErrorMessage="1" sqref="P180:P183 H103 I176 H179 D50 I169 I149 I172 D160 I160 I171 H100:H101 I174 I180:I185 P100:P101 I152:I155 O152 O154:O155">
      <formula1>"Yes, No"</formula1>
    </dataValidation>
    <dataValidation type="whole" operator="greaterThanOrEqual" showInputMessage="1" showErrorMessage="1" error="Please enter a whole number or leave this cell empty." sqref="H55 F43:H44 L41:P41 I43:K45 M59:P59 K59">
      <formula1>0</formula1>
    </dataValidation>
    <dataValidation type="list" showInputMessage="1" showErrorMessage="1" sqref="H58 N36 I145 F40">
      <formula1>"Yes, No"</formula1>
    </dataValidation>
    <dataValidation type="list" allowBlank="1" showInputMessage="1" showErrorMessage="1" sqref="K94:M94">
      <formula1>"&lt;&lt; Select LIHTC Election &gt;&gt;,Income Averaging, 20% of Units at 50% of AMI, 40% of Units at 60% of AMI"</formula1>
    </dataValidation>
    <dataValidation type="list" showInputMessage="1" showErrorMessage="1" sqref="P96">
      <formula1>"Select, Yes, No, N/a"</formula1>
    </dataValidation>
    <dataValidation type="list" allowBlank="1" showInputMessage="1" showErrorMessage="1" sqref="I143">
      <formula1>"&lt;&lt;Select&gt;&gt;,Yes, No"</formula1>
    </dataValidation>
    <dataValidation type="list" allowBlank="1" showInputMessage="1" showErrorMessage="1" sqref="N16">
      <formula1>$J$214:$J$223</formula1>
    </dataValidation>
    <dataValidation type="list" allowBlank="1" showInputMessage="1" showErrorMessage="1" sqref="N14:P14">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hyperlink ref="N44" r:id="rId2"/>
  </hyperlinks>
  <printOptions horizontalCentered="1"/>
  <pageMargins left="0.25" right="0.25" top="0.75" bottom="0.5" header="0.5" footer="0.25"/>
  <pageSetup fitToHeight="0" orientation="landscape"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Assumptions'!$F$158:$F$208</xm:f>
          </x14:formula1>
          <xm:sqref>J28 J22</xm:sqref>
        </x14:dataValidation>
        <x14:dataValidation type="list" allowBlank="1" showInputMessage="1" showErrorMessage="1">
          <x14:formula1>
            <xm:f>'DCA Underwriting Assumptions'!$P$158:$P$699</xm:f>
          </x14:formula1>
          <xm:sqref>E109:L109</xm:sqref>
        </x14:dataValidation>
        <x14:dataValidation type="list" allowBlank="1" showInputMessage="1" showErrorMessage="1">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H33"/>
  <sheetViews>
    <sheetView showGridLines="0" zoomScaleNormal="100" workbookViewId="0">
      <selection activeCell="C3" sqref="C3:F3"/>
    </sheetView>
  </sheetViews>
  <sheetFormatPr defaultColWidth="9.140625" defaultRowHeight="12.75"/>
  <cols>
    <col min="1" max="1" width="5.140625" style="636" customWidth="1"/>
    <col min="2" max="4" width="10.85546875" style="636" customWidth="1"/>
    <col min="5" max="5" width="15.85546875" style="636" customWidth="1"/>
    <col min="6" max="8" width="10.85546875" style="636" customWidth="1"/>
    <col min="9" max="16384" width="9.140625" style="636"/>
  </cols>
  <sheetData>
    <row r="1" spans="1:8" ht="21.95" customHeight="1">
      <c r="B1" s="4212" t="str">
        <f>Overview!C8</f>
        <v>Stone Terrace Phase II</v>
      </c>
      <c r="C1" s="4212"/>
      <c r="D1" s="4212"/>
      <c r="E1" s="4212"/>
      <c r="F1" s="4212"/>
      <c r="G1" s="4212"/>
      <c r="H1" s="1613"/>
    </row>
    <row r="2" spans="1:8" ht="21.95" customHeight="1">
      <c r="A2" s="2186"/>
      <c r="B2" s="2186"/>
      <c r="C2" s="2186"/>
      <c r="D2" s="2186"/>
      <c r="E2" s="2186"/>
      <c r="F2" s="2186"/>
      <c r="G2" s="2186"/>
      <c r="H2" s="2186"/>
    </row>
    <row r="3" spans="1:8" ht="20.25" customHeight="1">
      <c r="C3" s="4211" t="s">
        <v>3077</v>
      </c>
      <c r="D3" s="4211"/>
      <c r="E3" s="4211"/>
      <c r="F3" s="4211"/>
    </row>
    <row r="5" spans="1:8" ht="15.75">
      <c r="D5" s="1571"/>
      <c r="E5" s="1571" t="s">
        <v>3078</v>
      </c>
    </row>
    <row r="6" spans="1:8" ht="15.75">
      <c r="D6" s="1614" t="s">
        <v>2480</v>
      </c>
      <c r="E6" s="1614" t="s">
        <v>3079</v>
      </c>
    </row>
    <row r="7" spans="1:8" ht="15">
      <c r="D7" s="1572"/>
      <c r="E7" s="1572"/>
    </row>
    <row r="8" spans="1:8" ht="21" customHeight="1">
      <c r="D8" s="1573">
        <v>1</v>
      </c>
      <c r="E8" s="1574">
        <f>-'Part VII-Pro Forma'!B25/12</f>
        <v>32065.235183642315</v>
      </c>
    </row>
    <row r="9" spans="1:8" ht="21" customHeight="1">
      <c r="D9" s="1573">
        <v>2</v>
      </c>
      <c r="E9" s="1574">
        <f>-'Part VII-Pro Forma'!C25/12</f>
        <v>32065.235183642315</v>
      </c>
    </row>
    <row r="10" spans="1:8" ht="21" customHeight="1">
      <c r="D10" s="1573">
        <v>3</v>
      </c>
      <c r="E10" s="1574">
        <f>-'Part VII-Pro Forma'!D25/12</f>
        <v>32065.235183642315</v>
      </c>
    </row>
    <row r="11" spans="1:8" ht="21" customHeight="1">
      <c r="D11" s="1575">
        <v>4</v>
      </c>
      <c r="E11" s="1574">
        <f>-'Part VII-Pro Forma'!E25/12</f>
        <v>32065.235183642315</v>
      </c>
    </row>
    <row r="12" spans="1:8" ht="21" customHeight="1">
      <c r="D12" s="1575">
        <v>5</v>
      </c>
      <c r="E12" s="1574">
        <f>-'Part VII-Pro Forma'!F25/12</f>
        <v>32065.235183642315</v>
      </c>
    </row>
    <row r="13" spans="1:8" ht="21" customHeight="1">
      <c r="D13" s="1573">
        <v>6</v>
      </c>
      <c r="E13" s="1574">
        <f>-'Part VII-Pro Forma'!G25/12</f>
        <v>32065.235183642315</v>
      </c>
    </row>
    <row r="14" spans="1:8" ht="21" customHeight="1">
      <c r="D14" s="1573">
        <v>7</v>
      </c>
      <c r="E14" s="1574">
        <f>-'Part VII-Pro Forma'!H25/12</f>
        <v>32065.235183642315</v>
      </c>
    </row>
    <row r="15" spans="1:8" ht="21" customHeight="1">
      <c r="D15" s="1575">
        <v>8</v>
      </c>
      <c r="E15" s="1574">
        <f>-'Part VII-Pro Forma'!I25/12</f>
        <v>32065.235183642315</v>
      </c>
    </row>
    <row r="16" spans="1:8" ht="21" customHeight="1">
      <c r="D16" s="1573">
        <v>9</v>
      </c>
      <c r="E16" s="1574">
        <f>-'Part VII-Pro Forma'!J25/12</f>
        <v>32065.235183642315</v>
      </c>
    </row>
    <row r="17" spans="4:8" ht="21" customHeight="1">
      <c r="D17" s="1573">
        <v>10</v>
      </c>
      <c r="E17" s="1574">
        <f>-'Part VII-Pro Forma'!K25/12</f>
        <v>32065.235183642315</v>
      </c>
    </row>
    <row r="18" spans="4:8" ht="21" customHeight="1">
      <c r="D18" s="1575">
        <v>11</v>
      </c>
      <c r="E18" s="1574">
        <f>-'Part VII-Pro Forma'!B57/12</f>
        <v>32065.235183642315</v>
      </c>
    </row>
    <row r="19" spans="4:8" ht="21" customHeight="1">
      <c r="D19" s="1573">
        <v>12</v>
      </c>
      <c r="E19" s="1574">
        <f>-'Part VII-Pro Forma'!C57/12</f>
        <v>32065.235183642315</v>
      </c>
    </row>
    <row r="20" spans="4:8" ht="21" customHeight="1">
      <c r="D20" s="1573">
        <v>13</v>
      </c>
      <c r="E20" s="1574">
        <f>-'Part VII-Pro Forma'!D57/12</f>
        <v>32065.235183642315</v>
      </c>
    </row>
    <row r="21" spans="4:8" ht="21" customHeight="1">
      <c r="D21" s="1573">
        <v>14</v>
      </c>
      <c r="E21" s="1574">
        <f>-'Part VII-Pro Forma'!E57/12</f>
        <v>32065.235183642315</v>
      </c>
    </row>
    <row r="22" spans="4:8" ht="21" customHeight="1">
      <c r="D22" s="1573">
        <v>15</v>
      </c>
      <c r="E22" s="1574">
        <f>-'Part VII-Pro Forma'!F57/12</f>
        <v>32065.235183642315</v>
      </c>
    </row>
    <row r="23" spans="4:8" ht="21" customHeight="1">
      <c r="D23" s="1573">
        <v>16</v>
      </c>
      <c r="E23" s="1574">
        <f>-'Part VII-Pro Forma'!G57/12</f>
        <v>32065.235183642315</v>
      </c>
    </row>
    <row r="24" spans="4:8" ht="21" customHeight="1">
      <c r="D24" s="1573">
        <v>17</v>
      </c>
      <c r="E24" s="1574">
        <f>-'Part VII-Pro Forma'!H57/12</f>
        <v>32065.235183642315</v>
      </c>
      <c r="H24" s="636" t="s">
        <v>243</v>
      </c>
    </row>
    <row r="25" spans="4:8" ht="21" customHeight="1">
      <c r="D25" s="1573">
        <v>18</v>
      </c>
      <c r="E25" s="1574">
        <f>-'Part VII-Pro Forma'!I57/12</f>
        <v>32065.235183642315</v>
      </c>
    </row>
    <row r="26" spans="4:8" ht="21" customHeight="1">
      <c r="D26" s="1573">
        <v>19</v>
      </c>
      <c r="E26" s="1574">
        <f>-'Part VII-Pro Forma'!J57/12</f>
        <v>32065.235183642315</v>
      </c>
    </row>
    <row r="27" spans="4:8" ht="21" customHeight="1">
      <c r="D27" s="1573">
        <v>20</v>
      </c>
      <c r="E27" s="1574">
        <f>-'Part VII-Pro Forma'!K57/12</f>
        <v>32065.235183642315</v>
      </c>
    </row>
    <row r="28" spans="4:8" ht="21" customHeight="1">
      <c r="D28" s="1573">
        <v>21</v>
      </c>
      <c r="E28" s="1574">
        <f>-'Part VII-Pro Forma'!B89/12</f>
        <v>32065.235183642315</v>
      </c>
    </row>
    <row r="29" spans="4:8" ht="21" customHeight="1">
      <c r="D29" s="1573">
        <v>22</v>
      </c>
      <c r="E29" s="1574">
        <f>-'Part VII-Pro Forma'!C89/12</f>
        <v>32065.235183642315</v>
      </c>
    </row>
    <row r="30" spans="4:8" ht="21" customHeight="1">
      <c r="D30" s="1573">
        <v>23</v>
      </c>
      <c r="E30" s="1574">
        <f>-'Part VII-Pro Forma'!D89/12</f>
        <v>32065.235183642315</v>
      </c>
    </row>
    <row r="31" spans="4:8" ht="21" customHeight="1">
      <c r="D31" s="1573">
        <v>24</v>
      </c>
      <c r="E31" s="1574">
        <f>-'Part VII-Pro Forma'!E89/12</f>
        <v>32065.235183642315</v>
      </c>
    </row>
    <row r="32" spans="4:8" ht="21" customHeight="1">
      <c r="D32" s="1573">
        <v>25</v>
      </c>
      <c r="E32" s="1574">
        <f>-'Part VII-Pro Forma'!F89/12</f>
        <v>32065.235183642315</v>
      </c>
    </row>
    <row r="33" spans="5:5" ht="15">
      <c r="E33" s="1574"/>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
  <sheetViews>
    <sheetView showGridLines="0" zoomScaleNormal="100" workbookViewId="0">
      <selection activeCell="N39" sqref="N39"/>
    </sheetView>
  </sheetViews>
  <sheetFormatPr defaultColWidth="8.85546875" defaultRowHeight="12.75"/>
  <cols>
    <col min="1" max="1" width="12.42578125" style="864" customWidth="1"/>
    <col min="2" max="2" width="10.140625" style="864" customWidth="1"/>
    <col min="3" max="3" width="11.85546875" style="864" customWidth="1"/>
    <col min="4" max="4" width="8.5703125" style="864" customWidth="1"/>
    <col min="5" max="5" width="13.85546875" style="864" customWidth="1"/>
    <col min="6" max="6" width="2.85546875" style="864" customWidth="1"/>
    <col min="7" max="7" width="11.85546875" style="864" customWidth="1"/>
    <col min="8" max="8" width="8.5703125" style="864" customWidth="1"/>
    <col min="9" max="9" width="13.85546875" style="864" customWidth="1"/>
    <col min="10" max="10" width="4.85546875" style="864" customWidth="1"/>
    <col min="11" max="11" width="25.85546875" style="864" customWidth="1"/>
    <col min="12" max="256" width="8.85546875" style="864"/>
    <col min="257" max="257" width="11.5703125" style="864" bestFit="1" customWidth="1"/>
    <col min="258" max="258" width="12.5703125" style="864" customWidth="1"/>
    <col min="259" max="259" width="10.140625" style="864" customWidth="1"/>
    <col min="260" max="260" width="14.85546875" style="864" customWidth="1"/>
    <col min="261" max="261" width="13.140625" style="864" bestFit="1" customWidth="1"/>
    <col min="262" max="262" width="4.85546875" style="864" customWidth="1"/>
    <col min="263" max="263" width="11.85546875" style="864" customWidth="1"/>
    <col min="264" max="264" width="12" style="864" customWidth="1"/>
    <col min="265" max="265" width="9.85546875" style="864" customWidth="1"/>
    <col min="266" max="266" width="13.85546875" style="864" bestFit="1" customWidth="1"/>
    <col min="267" max="512" width="8.85546875" style="864"/>
    <col min="513" max="513" width="11.5703125" style="864" bestFit="1" customWidth="1"/>
    <col min="514" max="514" width="12.5703125" style="864" customWidth="1"/>
    <col min="515" max="515" width="10.140625" style="864" customWidth="1"/>
    <col min="516" max="516" width="14.85546875" style="864" customWidth="1"/>
    <col min="517" max="517" width="13.140625" style="864" bestFit="1" customWidth="1"/>
    <col min="518" max="518" width="4.85546875" style="864" customWidth="1"/>
    <col min="519" max="519" width="11.85546875" style="864" customWidth="1"/>
    <col min="520" max="520" width="12" style="864" customWidth="1"/>
    <col min="521" max="521" width="9.85546875" style="864" customWidth="1"/>
    <col min="522" max="522" width="13.85546875" style="864" bestFit="1" customWidth="1"/>
    <col min="523" max="768" width="8.85546875" style="864"/>
    <col min="769" max="769" width="11.5703125" style="864" bestFit="1" customWidth="1"/>
    <col min="770" max="770" width="12.5703125" style="864" customWidth="1"/>
    <col min="771" max="771" width="10.140625" style="864" customWidth="1"/>
    <col min="772" max="772" width="14.85546875" style="864" customWidth="1"/>
    <col min="773" max="773" width="13.140625" style="864" bestFit="1" customWidth="1"/>
    <col min="774" max="774" width="4.85546875" style="864" customWidth="1"/>
    <col min="775" max="775" width="11.85546875" style="864" customWidth="1"/>
    <col min="776" max="776" width="12" style="864" customWidth="1"/>
    <col min="777" max="777" width="9.85546875" style="864" customWidth="1"/>
    <col min="778" max="778" width="13.85546875" style="864" bestFit="1" customWidth="1"/>
    <col min="779" max="1024" width="8.85546875" style="864"/>
    <col min="1025" max="1025" width="11.5703125" style="864" bestFit="1" customWidth="1"/>
    <col min="1026" max="1026" width="12.5703125" style="864" customWidth="1"/>
    <col min="1027" max="1027" width="10.140625" style="864" customWidth="1"/>
    <col min="1028" max="1028" width="14.85546875" style="864" customWidth="1"/>
    <col min="1029" max="1029" width="13.140625" style="864" bestFit="1" customWidth="1"/>
    <col min="1030" max="1030" width="4.85546875" style="864" customWidth="1"/>
    <col min="1031" max="1031" width="11.85546875" style="864" customWidth="1"/>
    <col min="1032" max="1032" width="12" style="864" customWidth="1"/>
    <col min="1033" max="1033" width="9.85546875" style="864" customWidth="1"/>
    <col min="1034" max="1034" width="13.85546875" style="864" bestFit="1" customWidth="1"/>
    <col min="1035" max="1280" width="8.85546875" style="864"/>
    <col min="1281" max="1281" width="11.5703125" style="864" bestFit="1" customWidth="1"/>
    <col min="1282" max="1282" width="12.5703125" style="864" customWidth="1"/>
    <col min="1283" max="1283" width="10.140625" style="864" customWidth="1"/>
    <col min="1284" max="1284" width="14.85546875" style="864" customWidth="1"/>
    <col min="1285" max="1285" width="13.140625" style="864" bestFit="1" customWidth="1"/>
    <col min="1286" max="1286" width="4.85546875" style="864" customWidth="1"/>
    <col min="1287" max="1287" width="11.85546875" style="864" customWidth="1"/>
    <col min="1288" max="1288" width="12" style="864" customWidth="1"/>
    <col min="1289" max="1289" width="9.85546875" style="864" customWidth="1"/>
    <col min="1290" max="1290" width="13.85546875" style="864" bestFit="1" customWidth="1"/>
    <col min="1291" max="1536" width="8.85546875" style="864"/>
    <col min="1537" max="1537" width="11.5703125" style="864" bestFit="1" customWidth="1"/>
    <col min="1538" max="1538" width="12.5703125" style="864" customWidth="1"/>
    <col min="1539" max="1539" width="10.140625" style="864" customWidth="1"/>
    <col min="1540" max="1540" width="14.85546875" style="864" customWidth="1"/>
    <col min="1541" max="1541" width="13.140625" style="864" bestFit="1" customWidth="1"/>
    <col min="1542" max="1542" width="4.85546875" style="864" customWidth="1"/>
    <col min="1543" max="1543" width="11.85546875" style="864" customWidth="1"/>
    <col min="1544" max="1544" width="12" style="864" customWidth="1"/>
    <col min="1545" max="1545" width="9.85546875" style="864" customWidth="1"/>
    <col min="1546" max="1546" width="13.85546875" style="864" bestFit="1" customWidth="1"/>
    <col min="1547" max="1792" width="8.85546875" style="864"/>
    <col min="1793" max="1793" width="11.5703125" style="864" bestFit="1" customWidth="1"/>
    <col min="1794" max="1794" width="12.5703125" style="864" customWidth="1"/>
    <col min="1795" max="1795" width="10.140625" style="864" customWidth="1"/>
    <col min="1796" max="1796" width="14.85546875" style="864" customWidth="1"/>
    <col min="1797" max="1797" width="13.140625" style="864" bestFit="1" customWidth="1"/>
    <col min="1798" max="1798" width="4.85546875" style="864" customWidth="1"/>
    <col min="1799" max="1799" width="11.85546875" style="864" customWidth="1"/>
    <col min="1800" max="1800" width="12" style="864" customWidth="1"/>
    <col min="1801" max="1801" width="9.85546875" style="864" customWidth="1"/>
    <col min="1802" max="1802" width="13.85546875" style="864" bestFit="1" customWidth="1"/>
    <col min="1803" max="2048" width="8.85546875" style="864"/>
    <col min="2049" max="2049" width="11.5703125" style="864" bestFit="1" customWidth="1"/>
    <col min="2050" max="2050" width="12.5703125" style="864" customWidth="1"/>
    <col min="2051" max="2051" width="10.140625" style="864" customWidth="1"/>
    <col min="2052" max="2052" width="14.85546875" style="864" customWidth="1"/>
    <col min="2053" max="2053" width="13.140625" style="864" bestFit="1" customWidth="1"/>
    <col min="2054" max="2054" width="4.85546875" style="864" customWidth="1"/>
    <col min="2055" max="2055" width="11.85546875" style="864" customWidth="1"/>
    <col min="2056" max="2056" width="12" style="864" customWidth="1"/>
    <col min="2057" max="2057" width="9.85546875" style="864" customWidth="1"/>
    <col min="2058" max="2058" width="13.85546875" style="864" bestFit="1" customWidth="1"/>
    <col min="2059" max="2304" width="8.85546875" style="864"/>
    <col min="2305" max="2305" width="11.5703125" style="864" bestFit="1" customWidth="1"/>
    <col min="2306" max="2306" width="12.5703125" style="864" customWidth="1"/>
    <col min="2307" max="2307" width="10.140625" style="864" customWidth="1"/>
    <col min="2308" max="2308" width="14.85546875" style="864" customWidth="1"/>
    <col min="2309" max="2309" width="13.140625" style="864" bestFit="1" customWidth="1"/>
    <col min="2310" max="2310" width="4.85546875" style="864" customWidth="1"/>
    <col min="2311" max="2311" width="11.85546875" style="864" customWidth="1"/>
    <col min="2312" max="2312" width="12" style="864" customWidth="1"/>
    <col min="2313" max="2313" width="9.85546875" style="864" customWidth="1"/>
    <col min="2314" max="2314" width="13.85546875" style="864" bestFit="1" customWidth="1"/>
    <col min="2315" max="2560" width="8.85546875" style="864"/>
    <col min="2561" max="2561" width="11.5703125" style="864" bestFit="1" customWidth="1"/>
    <col min="2562" max="2562" width="12.5703125" style="864" customWidth="1"/>
    <col min="2563" max="2563" width="10.140625" style="864" customWidth="1"/>
    <col min="2564" max="2564" width="14.85546875" style="864" customWidth="1"/>
    <col min="2565" max="2565" width="13.140625" style="864" bestFit="1" customWidth="1"/>
    <col min="2566" max="2566" width="4.85546875" style="864" customWidth="1"/>
    <col min="2567" max="2567" width="11.85546875" style="864" customWidth="1"/>
    <col min="2568" max="2568" width="12" style="864" customWidth="1"/>
    <col min="2569" max="2569" width="9.85546875" style="864" customWidth="1"/>
    <col min="2570" max="2570" width="13.85546875" style="864" bestFit="1" customWidth="1"/>
    <col min="2571" max="2816" width="8.85546875" style="864"/>
    <col min="2817" max="2817" width="11.5703125" style="864" bestFit="1" customWidth="1"/>
    <col min="2818" max="2818" width="12.5703125" style="864" customWidth="1"/>
    <col min="2819" max="2819" width="10.140625" style="864" customWidth="1"/>
    <col min="2820" max="2820" width="14.85546875" style="864" customWidth="1"/>
    <col min="2821" max="2821" width="13.140625" style="864" bestFit="1" customWidth="1"/>
    <col min="2822" max="2822" width="4.85546875" style="864" customWidth="1"/>
    <col min="2823" max="2823" width="11.85546875" style="864" customWidth="1"/>
    <col min="2824" max="2824" width="12" style="864" customWidth="1"/>
    <col min="2825" max="2825" width="9.85546875" style="864" customWidth="1"/>
    <col min="2826" max="2826" width="13.85546875" style="864" bestFit="1" customWidth="1"/>
    <col min="2827" max="3072" width="8.85546875" style="864"/>
    <col min="3073" max="3073" width="11.5703125" style="864" bestFit="1" customWidth="1"/>
    <col min="3074" max="3074" width="12.5703125" style="864" customWidth="1"/>
    <col min="3075" max="3075" width="10.140625" style="864" customWidth="1"/>
    <col min="3076" max="3076" width="14.85546875" style="864" customWidth="1"/>
    <col min="3077" max="3077" width="13.140625" style="864" bestFit="1" customWidth="1"/>
    <col min="3078" max="3078" width="4.85546875" style="864" customWidth="1"/>
    <col min="3079" max="3079" width="11.85546875" style="864" customWidth="1"/>
    <col min="3080" max="3080" width="12" style="864" customWidth="1"/>
    <col min="3081" max="3081" width="9.85546875" style="864" customWidth="1"/>
    <col min="3082" max="3082" width="13.85546875" style="864" bestFit="1" customWidth="1"/>
    <col min="3083" max="3328" width="8.85546875" style="864"/>
    <col min="3329" max="3329" width="11.5703125" style="864" bestFit="1" customWidth="1"/>
    <col min="3330" max="3330" width="12.5703125" style="864" customWidth="1"/>
    <col min="3331" max="3331" width="10.140625" style="864" customWidth="1"/>
    <col min="3332" max="3332" width="14.85546875" style="864" customWidth="1"/>
    <col min="3333" max="3333" width="13.140625" style="864" bestFit="1" customWidth="1"/>
    <col min="3334" max="3334" width="4.85546875" style="864" customWidth="1"/>
    <col min="3335" max="3335" width="11.85546875" style="864" customWidth="1"/>
    <col min="3336" max="3336" width="12" style="864" customWidth="1"/>
    <col min="3337" max="3337" width="9.85546875" style="864" customWidth="1"/>
    <col min="3338" max="3338" width="13.85546875" style="864" bestFit="1" customWidth="1"/>
    <col min="3339" max="3584" width="8.85546875" style="864"/>
    <col min="3585" max="3585" width="11.5703125" style="864" bestFit="1" customWidth="1"/>
    <col min="3586" max="3586" width="12.5703125" style="864" customWidth="1"/>
    <col min="3587" max="3587" width="10.140625" style="864" customWidth="1"/>
    <col min="3588" max="3588" width="14.85546875" style="864" customWidth="1"/>
    <col min="3589" max="3589" width="13.140625" style="864" bestFit="1" customWidth="1"/>
    <col min="3590" max="3590" width="4.85546875" style="864" customWidth="1"/>
    <col min="3591" max="3591" width="11.85546875" style="864" customWidth="1"/>
    <col min="3592" max="3592" width="12" style="864" customWidth="1"/>
    <col min="3593" max="3593" width="9.85546875" style="864" customWidth="1"/>
    <col min="3594" max="3594" width="13.85546875" style="864" bestFit="1" customWidth="1"/>
    <col min="3595" max="3840" width="8.85546875" style="864"/>
    <col min="3841" max="3841" width="11.5703125" style="864" bestFit="1" customWidth="1"/>
    <col min="3842" max="3842" width="12.5703125" style="864" customWidth="1"/>
    <col min="3843" max="3843" width="10.140625" style="864" customWidth="1"/>
    <col min="3844" max="3844" width="14.85546875" style="864" customWidth="1"/>
    <col min="3845" max="3845" width="13.140625" style="864" bestFit="1" customWidth="1"/>
    <col min="3846" max="3846" width="4.85546875" style="864" customWidth="1"/>
    <col min="3847" max="3847" width="11.85546875" style="864" customWidth="1"/>
    <col min="3848" max="3848" width="12" style="864" customWidth="1"/>
    <col min="3849" max="3849" width="9.85546875" style="864" customWidth="1"/>
    <col min="3850" max="3850" width="13.85546875" style="864" bestFit="1" customWidth="1"/>
    <col min="3851" max="4096" width="8.85546875" style="864"/>
    <col min="4097" max="4097" width="11.5703125" style="864" bestFit="1" customWidth="1"/>
    <col min="4098" max="4098" width="12.5703125" style="864" customWidth="1"/>
    <col min="4099" max="4099" width="10.140625" style="864" customWidth="1"/>
    <col min="4100" max="4100" width="14.85546875" style="864" customWidth="1"/>
    <col min="4101" max="4101" width="13.140625" style="864" bestFit="1" customWidth="1"/>
    <col min="4102" max="4102" width="4.85546875" style="864" customWidth="1"/>
    <col min="4103" max="4103" width="11.85546875" style="864" customWidth="1"/>
    <col min="4104" max="4104" width="12" style="864" customWidth="1"/>
    <col min="4105" max="4105" width="9.85546875" style="864" customWidth="1"/>
    <col min="4106" max="4106" width="13.85546875" style="864" bestFit="1" customWidth="1"/>
    <col min="4107" max="4352" width="8.85546875" style="864"/>
    <col min="4353" max="4353" width="11.5703125" style="864" bestFit="1" customWidth="1"/>
    <col min="4354" max="4354" width="12.5703125" style="864" customWidth="1"/>
    <col min="4355" max="4355" width="10.140625" style="864" customWidth="1"/>
    <col min="4356" max="4356" width="14.85546875" style="864" customWidth="1"/>
    <col min="4357" max="4357" width="13.140625" style="864" bestFit="1" customWidth="1"/>
    <col min="4358" max="4358" width="4.85546875" style="864" customWidth="1"/>
    <col min="4359" max="4359" width="11.85546875" style="864" customWidth="1"/>
    <col min="4360" max="4360" width="12" style="864" customWidth="1"/>
    <col min="4361" max="4361" width="9.85546875" style="864" customWidth="1"/>
    <col min="4362" max="4362" width="13.85546875" style="864" bestFit="1" customWidth="1"/>
    <col min="4363" max="4608" width="8.85546875" style="864"/>
    <col min="4609" max="4609" width="11.5703125" style="864" bestFit="1" customWidth="1"/>
    <col min="4610" max="4610" width="12.5703125" style="864" customWidth="1"/>
    <col min="4611" max="4611" width="10.140625" style="864" customWidth="1"/>
    <col min="4612" max="4612" width="14.85546875" style="864" customWidth="1"/>
    <col min="4613" max="4613" width="13.140625" style="864" bestFit="1" customWidth="1"/>
    <col min="4614" max="4614" width="4.85546875" style="864" customWidth="1"/>
    <col min="4615" max="4615" width="11.85546875" style="864" customWidth="1"/>
    <col min="4616" max="4616" width="12" style="864" customWidth="1"/>
    <col min="4617" max="4617" width="9.85546875" style="864" customWidth="1"/>
    <col min="4618" max="4618" width="13.85546875" style="864" bestFit="1" customWidth="1"/>
    <col min="4619" max="4864" width="8.85546875" style="864"/>
    <col min="4865" max="4865" width="11.5703125" style="864" bestFit="1" customWidth="1"/>
    <col min="4866" max="4866" width="12.5703125" style="864" customWidth="1"/>
    <col min="4867" max="4867" width="10.140625" style="864" customWidth="1"/>
    <col min="4868" max="4868" width="14.85546875" style="864" customWidth="1"/>
    <col min="4869" max="4869" width="13.140625" style="864" bestFit="1" customWidth="1"/>
    <col min="4870" max="4870" width="4.85546875" style="864" customWidth="1"/>
    <col min="4871" max="4871" width="11.85546875" style="864" customWidth="1"/>
    <col min="4872" max="4872" width="12" style="864" customWidth="1"/>
    <col min="4873" max="4873" width="9.85546875" style="864" customWidth="1"/>
    <col min="4874" max="4874" width="13.85546875" style="864" bestFit="1" customWidth="1"/>
    <col min="4875" max="5120" width="8.85546875" style="864"/>
    <col min="5121" max="5121" width="11.5703125" style="864" bestFit="1" customWidth="1"/>
    <col min="5122" max="5122" width="12.5703125" style="864" customWidth="1"/>
    <col min="5123" max="5123" width="10.140625" style="864" customWidth="1"/>
    <col min="5124" max="5124" width="14.85546875" style="864" customWidth="1"/>
    <col min="5125" max="5125" width="13.140625" style="864" bestFit="1" customWidth="1"/>
    <col min="5126" max="5126" width="4.85546875" style="864" customWidth="1"/>
    <col min="5127" max="5127" width="11.85546875" style="864" customWidth="1"/>
    <col min="5128" max="5128" width="12" style="864" customWidth="1"/>
    <col min="5129" max="5129" width="9.85546875" style="864" customWidth="1"/>
    <col min="5130" max="5130" width="13.85546875" style="864" bestFit="1" customWidth="1"/>
    <col min="5131" max="5376" width="8.85546875" style="864"/>
    <col min="5377" max="5377" width="11.5703125" style="864" bestFit="1" customWidth="1"/>
    <col min="5378" max="5378" width="12.5703125" style="864" customWidth="1"/>
    <col min="5379" max="5379" width="10.140625" style="864" customWidth="1"/>
    <col min="5380" max="5380" width="14.85546875" style="864" customWidth="1"/>
    <col min="5381" max="5381" width="13.140625" style="864" bestFit="1" customWidth="1"/>
    <col min="5382" max="5382" width="4.85546875" style="864" customWidth="1"/>
    <col min="5383" max="5383" width="11.85546875" style="864" customWidth="1"/>
    <col min="5384" max="5384" width="12" style="864" customWidth="1"/>
    <col min="5385" max="5385" width="9.85546875" style="864" customWidth="1"/>
    <col min="5386" max="5386" width="13.85546875" style="864" bestFit="1" customWidth="1"/>
    <col min="5387" max="5632" width="8.85546875" style="864"/>
    <col min="5633" max="5633" width="11.5703125" style="864" bestFit="1" customWidth="1"/>
    <col min="5634" max="5634" width="12.5703125" style="864" customWidth="1"/>
    <col min="5635" max="5635" width="10.140625" style="864" customWidth="1"/>
    <col min="5636" max="5636" width="14.85546875" style="864" customWidth="1"/>
    <col min="5637" max="5637" width="13.140625" style="864" bestFit="1" customWidth="1"/>
    <col min="5638" max="5638" width="4.85546875" style="864" customWidth="1"/>
    <col min="5639" max="5639" width="11.85546875" style="864" customWidth="1"/>
    <col min="5640" max="5640" width="12" style="864" customWidth="1"/>
    <col min="5641" max="5641" width="9.85546875" style="864" customWidth="1"/>
    <col min="5642" max="5642" width="13.85546875" style="864" bestFit="1" customWidth="1"/>
    <col min="5643" max="5888" width="8.85546875" style="864"/>
    <col min="5889" max="5889" width="11.5703125" style="864" bestFit="1" customWidth="1"/>
    <col min="5890" max="5890" width="12.5703125" style="864" customWidth="1"/>
    <col min="5891" max="5891" width="10.140625" style="864" customWidth="1"/>
    <col min="5892" max="5892" width="14.85546875" style="864" customWidth="1"/>
    <col min="5893" max="5893" width="13.140625" style="864" bestFit="1" customWidth="1"/>
    <col min="5894" max="5894" width="4.85546875" style="864" customWidth="1"/>
    <col min="5895" max="5895" width="11.85546875" style="864" customWidth="1"/>
    <col min="5896" max="5896" width="12" style="864" customWidth="1"/>
    <col min="5897" max="5897" width="9.85546875" style="864" customWidth="1"/>
    <col min="5898" max="5898" width="13.85546875" style="864" bestFit="1" customWidth="1"/>
    <col min="5899" max="6144" width="8.85546875" style="864"/>
    <col min="6145" max="6145" width="11.5703125" style="864" bestFit="1" customWidth="1"/>
    <col min="6146" max="6146" width="12.5703125" style="864" customWidth="1"/>
    <col min="6147" max="6147" width="10.140625" style="864" customWidth="1"/>
    <col min="6148" max="6148" width="14.85546875" style="864" customWidth="1"/>
    <col min="6149" max="6149" width="13.140625" style="864" bestFit="1" customWidth="1"/>
    <col min="6150" max="6150" width="4.85546875" style="864" customWidth="1"/>
    <col min="6151" max="6151" width="11.85546875" style="864" customWidth="1"/>
    <col min="6152" max="6152" width="12" style="864" customWidth="1"/>
    <col min="6153" max="6153" width="9.85546875" style="864" customWidth="1"/>
    <col min="6154" max="6154" width="13.85546875" style="864" bestFit="1" customWidth="1"/>
    <col min="6155" max="6400" width="8.85546875" style="864"/>
    <col min="6401" max="6401" width="11.5703125" style="864" bestFit="1" customWidth="1"/>
    <col min="6402" max="6402" width="12.5703125" style="864" customWidth="1"/>
    <col min="6403" max="6403" width="10.140625" style="864" customWidth="1"/>
    <col min="6404" max="6404" width="14.85546875" style="864" customWidth="1"/>
    <col min="6405" max="6405" width="13.140625" style="864" bestFit="1" customWidth="1"/>
    <col min="6406" max="6406" width="4.85546875" style="864" customWidth="1"/>
    <col min="6407" max="6407" width="11.85546875" style="864" customWidth="1"/>
    <col min="6408" max="6408" width="12" style="864" customWidth="1"/>
    <col min="6409" max="6409" width="9.85546875" style="864" customWidth="1"/>
    <col min="6410" max="6410" width="13.85546875" style="864" bestFit="1" customWidth="1"/>
    <col min="6411" max="6656" width="8.85546875" style="864"/>
    <col min="6657" max="6657" width="11.5703125" style="864" bestFit="1" customWidth="1"/>
    <col min="6658" max="6658" width="12.5703125" style="864" customWidth="1"/>
    <col min="6659" max="6659" width="10.140625" style="864" customWidth="1"/>
    <col min="6660" max="6660" width="14.85546875" style="864" customWidth="1"/>
    <col min="6661" max="6661" width="13.140625" style="864" bestFit="1" customWidth="1"/>
    <col min="6662" max="6662" width="4.85546875" style="864" customWidth="1"/>
    <col min="6663" max="6663" width="11.85546875" style="864" customWidth="1"/>
    <col min="6664" max="6664" width="12" style="864" customWidth="1"/>
    <col min="6665" max="6665" width="9.85546875" style="864" customWidth="1"/>
    <col min="6666" max="6666" width="13.85546875" style="864" bestFit="1" customWidth="1"/>
    <col min="6667" max="6912" width="8.85546875" style="864"/>
    <col min="6913" max="6913" width="11.5703125" style="864" bestFit="1" customWidth="1"/>
    <col min="6914" max="6914" width="12.5703125" style="864" customWidth="1"/>
    <col min="6915" max="6915" width="10.140625" style="864" customWidth="1"/>
    <col min="6916" max="6916" width="14.85546875" style="864" customWidth="1"/>
    <col min="6917" max="6917" width="13.140625" style="864" bestFit="1" customWidth="1"/>
    <col min="6918" max="6918" width="4.85546875" style="864" customWidth="1"/>
    <col min="6919" max="6919" width="11.85546875" style="864" customWidth="1"/>
    <col min="6920" max="6920" width="12" style="864" customWidth="1"/>
    <col min="6921" max="6921" width="9.85546875" style="864" customWidth="1"/>
    <col min="6922" max="6922" width="13.85546875" style="864" bestFit="1" customWidth="1"/>
    <col min="6923" max="7168" width="8.85546875" style="864"/>
    <col min="7169" max="7169" width="11.5703125" style="864" bestFit="1" customWidth="1"/>
    <col min="7170" max="7170" width="12.5703125" style="864" customWidth="1"/>
    <col min="7171" max="7171" width="10.140625" style="864" customWidth="1"/>
    <col min="7172" max="7172" width="14.85546875" style="864" customWidth="1"/>
    <col min="7173" max="7173" width="13.140625" style="864" bestFit="1" customWidth="1"/>
    <col min="7174" max="7174" width="4.85546875" style="864" customWidth="1"/>
    <col min="7175" max="7175" width="11.85546875" style="864" customWidth="1"/>
    <col min="7176" max="7176" width="12" style="864" customWidth="1"/>
    <col min="7177" max="7177" width="9.85546875" style="864" customWidth="1"/>
    <col min="7178" max="7178" width="13.85546875" style="864" bestFit="1" customWidth="1"/>
    <col min="7179" max="7424" width="8.85546875" style="864"/>
    <col min="7425" max="7425" width="11.5703125" style="864" bestFit="1" customWidth="1"/>
    <col min="7426" max="7426" width="12.5703125" style="864" customWidth="1"/>
    <col min="7427" max="7427" width="10.140625" style="864" customWidth="1"/>
    <col min="7428" max="7428" width="14.85546875" style="864" customWidth="1"/>
    <col min="7429" max="7429" width="13.140625" style="864" bestFit="1" customWidth="1"/>
    <col min="7430" max="7430" width="4.85546875" style="864" customWidth="1"/>
    <col min="7431" max="7431" width="11.85546875" style="864" customWidth="1"/>
    <col min="7432" max="7432" width="12" style="864" customWidth="1"/>
    <col min="7433" max="7433" width="9.85546875" style="864" customWidth="1"/>
    <col min="7434" max="7434" width="13.85546875" style="864" bestFit="1" customWidth="1"/>
    <col min="7435" max="7680" width="8.85546875" style="864"/>
    <col min="7681" max="7681" width="11.5703125" style="864" bestFit="1" customWidth="1"/>
    <col min="7682" max="7682" width="12.5703125" style="864" customWidth="1"/>
    <col min="7683" max="7683" width="10.140625" style="864" customWidth="1"/>
    <col min="7684" max="7684" width="14.85546875" style="864" customWidth="1"/>
    <col min="7685" max="7685" width="13.140625" style="864" bestFit="1" customWidth="1"/>
    <col min="7686" max="7686" width="4.85546875" style="864" customWidth="1"/>
    <col min="7687" max="7687" width="11.85546875" style="864" customWidth="1"/>
    <col min="7688" max="7688" width="12" style="864" customWidth="1"/>
    <col min="7689" max="7689" width="9.85546875" style="864" customWidth="1"/>
    <col min="7690" max="7690" width="13.85546875" style="864" bestFit="1" customWidth="1"/>
    <col min="7691" max="7936" width="8.85546875" style="864"/>
    <col min="7937" max="7937" width="11.5703125" style="864" bestFit="1" customWidth="1"/>
    <col min="7938" max="7938" width="12.5703125" style="864" customWidth="1"/>
    <col min="7939" max="7939" width="10.140625" style="864" customWidth="1"/>
    <col min="7940" max="7940" width="14.85546875" style="864" customWidth="1"/>
    <col min="7941" max="7941" width="13.140625" style="864" bestFit="1" customWidth="1"/>
    <col min="7942" max="7942" width="4.85546875" style="864" customWidth="1"/>
    <col min="7943" max="7943" width="11.85546875" style="864" customWidth="1"/>
    <col min="7944" max="7944" width="12" style="864" customWidth="1"/>
    <col min="7945" max="7945" width="9.85546875" style="864" customWidth="1"/>
    <col min="7946" max="7946" width="13.85546875" style="864" bestFit="1" customWidth="1"/>
    <col min="7947" max="8192" width="8.85546875" style="864"/>
    <col min="8193" max="8193" width="11.5703125" style="864" bestFit="1" customWidth="1"/>
    <col min="8194" max="8194" width="12.5703125" style="864" customWidth="1"/>
    <col min="8195" max="8195" width="10.140625" style="864" customWidth="1"/>
    <col min="8196" max="8196" width="14.85546875" style="864" customWidth="1"/>
    <col min="8197" max="8197" width="13.140625" style="864" bestFit="1" customWidth="1"/>
    <col min="8198" max="8198" width="4.85546875" style="864" customWidth="1"/>
    <col min="8199" max="8199" width="11.85546875" style="864" customWidth="1"/>
    <col min="8200" max="8200" width="12" style="864" customWidth="1"/>
    <col min="8201" max="8201" width="9.85546875" style="864" customWidth="1"/>
    <col min="8202" max="8202" width="13.85546875" style="864" bestFit="1" customWidth="1"/>
    <col min="8203" max="8448" width="8.85546875" style="864"/>
    <col min="8449" max="8449" width="11.5703125" style="864" bestFit="1" customWidth="1"/>
    <col min="8450" max="8450" width="12.5703125" style="864" customWidth="1"/>
    <col min="8451" max="8451" width="10.140625" style="864" customWidth="1"/>
    <col min="8452" max="8452" width="14.85546875" style="864" customWidth="1"/>
    <col min="8453" max="8453" width="13.140625" style="864" bestFit="1" customWidth="1"/>
    <col min="8454" max="8454" width="4.85546875" style="864" customWidth="1"/>
    <col min="8455" max="8455" width="11.85546875" style="864" customWidth="1"/>
    <col min="8456" max="8456" width="12" style="864" customWidth="1"/>
    <col min="8457" max="8457" width="9.85546875" style="864" customWidth="1"/>
    <col min="8458" max="8458" width="13.85546875" style="864" bestFit="1" customWidth="1"/>
    <col min="8459" max="8704" width="8.85546875" style="864"/>
    <col min="8705" max="8705" width="11.5703125" style="864" bestFit="1" customWidth="1"/>
    <col min="8706" max="8706" width="12.5703125" style="864" customWidth="1"/>
    <col min="8707" max="8707" width="10.140625" style="864" customWidth="1"/>
    <col min="8708" max="8708" width="14.85546875" style="864" customWidth="1"/>
    <col min="8709" max="8709" width="13.140625" style="864" bestFit="1" customWidth="1"/>
    <col min="8710" max="8710" width="4.85546875" style="864" customWidth="1"/>
    <col min="8711" max="8711" width="11.85546875" style="864" customWidth="1"/>
    <col min="8712" max="8712" width="12" style="864" customWidth="1"/>
    <col min="8713" max="8713" width="9.85546875" style="864" customWidth="1"/>
    <col min="8714" max="8714" width="13.85546875" style="864" bestFit="1" customWidth="1"/>
    <col min="8715" max="8960" width="8.85546875" style="864"/>
    <col min="8961" max="8961" width="11.5703125" style="864" bestFit="1" customWidth="1"/>
    <col min="8962" max="8962" width="12.5703125" style="864" customWidth="1"/>
    <col min="8963" max="8963" width="10.140625" style="864" customWidth="1"/>
    <col min="8964" max="8964" width="14.85546875" style="864" customWidth="1"/>
    <col min="8965" max="8965" width="13.140625" style="864" bestFit="1" customWidth="1"/>
    <col min="8966" max="8966" width="4.85546875" style="864" customWidth="1"/>
    <col min="8967" max="8967" width="11.85546875" style="864" customWidth="1"/>
    <col min="8968" max="8968" width="12" style="864" customWidth="1"/>
    <col min="8969" max="8969" width="9.85546875" style="864" customWidth="1"/>
    <col min="8970" max="8970" width="13.85546875" style="864" bestFit="1" customWidth="1"/>
    <col min="8971" max="9216" width="8.85546875" style="864"/>
    <col min="9217" max="9217" width="11.5703125" style="864" bestFit="1" customWidth="1"/>
    <col min="9218" max="9218" width="12.5703125" style="864" customWidth="1"/>
    <col min="9219" max="9219" width="10.140625" style="864" customWidth="1"/>
    <col min="9220" max="9220" width="14.85546875" style="864" customWidth="1"/>
    <col min="9221" max="9221" width="13.140625" style="864" bestFit="1" customWidth="1"/>
    <col min="9222" max="9222" width="4.85546875" style="864" customWidth="1"/>
    <col min="9223" max="9223" width="11.85546875" style="864" customWidth="1"/>
    <col min="9224" max="9224" width="12" style="864" customWidth="1"/>
    <col min="9225" max="9225" width="9.85546875" style="864" customWidth="1"/>
    <col min="9226" max="9226" width="13.85546875" style="864" bestFit="1" customWidth="1"/>
    <col min="9227" max="9472" width="8.85546875" style="864"/>
    <col min="9473" max="9473" width="11.5703125" style="864" bestFit="1" customWidth="1"/>
    <col min="9474" max="9474" width="12.5703125" style="864" customWidth="1"/>
    <col min="9475" max="9475" width="10.140625" style="864" customWidth="1"/>
    <col min="9476" max="9476" width="14.85546875" style="864" customWidth="1"/>
    <col min="9477" max="9477" width="13.140625" style="864" bestFit="1" customWidth="1"/>
    <col min="9478" max="9478" width="4.85546875" style="864" customWidth="1"/>
    <col min="9479" max="9479" width="11.85546875" style="864" customWidth="1"/>
    <col min="9480" max="9480" width="12" style="864" customWidth="1"/>
    <col min="9481" max="9481" width="9.85546875" style="864" customWidth="1"/>
    <col min="9482" max="9482" width="13.85546875" style="864" bestFit="1" customWidth="1"/>
    <col min="9483" max="9728" width="8.85546875" style="864"/>
    <col min="9729" max="9729" width="11.5703125" style="864" bestFit="1" customWidth="1"/>
    <col min="9730" max="9730" width="12.5703125" style="864" customWidth="1"/>
    <col min="9731" max="9731" width="10.140625" style="864" customWidth="1"/>
    <col min="9732" max="9732" width="14.85546875" style="864" customWidth="1"/>
    <col min="9733" max="9733" width="13.140625" style="864" bestFit="1" customWidth="1"/>
    <col min="9734" max="9734" width="4.85546875" style="864" customWidth="1"/>
    <col min="9735" max="9735" width="11.85546875" style="864" customWidth="1"/>
    <col min="9736" max="9736" width="12" style="864" customWidth="1"/>
    <col min="9737" max="9737" width="9.85546875" style="864" customWidth="1"/>
    <col min="9738" max="9738" width="13.85546875" style="864" bestFit="1" customWidth="1"/>
    <col min="9739" max="9984" width="8.85546875" style="864"/>
    <col min="9985" max="9985" width="11.5703125" style="864" bestFit="1" customWidth="1"/>
    <col min="9986" max="9986" width="12.5703125" style="864" customWidth="1"/>
    <col min="9987" max="9987" width="10.140625" style="864" customWidth="1"/>
    <col min="9988" max="9988" width="14.85546875" style="864" customWidth="1"/>
    <col min="9989" max="9989" width="13.140625" style="864" bestFit="1" customWidth="1"/>
    <col min="9990" max="9990" width="4.85546875" style="864" customWidth="1"/>
    <col min="9991" max="9991" width="11.85546875" style="864" customWidth="1"/>
    <col min="9992" max="9992" width="12" style="864" customWidth="1"/>
    <col min="9993" max="9993" width="9.85546875" style="864" customWidth="1"/>
    <col min="9994" max="9994" width="13.85546875" style="864" bestFit="1" customWidth="1"/>
    <col min="9995" max="10240" width="8.85546875" style="864"/>
    <col min="10241" max="10241" width="11.5703125" style="864" bestFit="1" customWidth="1"/>
    <col min="10242" max="10242" width="12.5703125" style="864" customWidth="1"/>
    <col min="10243" max="10243" width="10.140625" style="864" customWidth="1"/>
    <col min="10244" max="10244" width="14.85546875" style="864" customWidth="1"/>
    <col min="10245" max="10245" width="13.140625" style="864" bestFit="1" customWidth="1"/>
    <col min="10246" max="10246" width="4.85546875" style="864" customWidth="1"/>
    <col min="10247" max="10247" width="11.85546875" style="864" customWidth="1"/>
    <col min="10248" max="10248" width="12" style="864" customWidth="1"/>
    <col min="10249" max="10249" width="9.85546875" style="864" customWidth="1"/>
    <col min="10250" max="10250" width="13.85546875" style="864" bestFit="1" customWidth="1"/>
    <col min="10251" max="10496" width="8.85546875" style="864"/>
    <col min="10497" max="10497" width="11.5703125" style="864" bestFit="1" customWidth="1"/>
    <col min="10498" max="10498" width="12.5703125" style="864" customWidth="1"/>
    <col min="10499" max="10499" width="10.140625" style="864" customWidth="1"/>
    <col min="10500" max="10500" width="14.85546875" style="864" customWidth="1"/>
    <col min="10501" max="10501" width="13.140625" style="864" bestFit="1" customWidth="1"/>
    <col min="10502" max="10502" width="4.85546875" style="864" customWidth="1"/>
    <col min="10503" max="10503" width="11.85546875" style="864" customWidth="1"/>
    <col min="10504" max="10504" width="12" style="864" customWidth="1"/>
    <col min="10505" max="10505" width="9.85546875" style="864" customWidth="1"/>
    <col min="10506" max="10506" width="13.85546875" style="864" bestFit="1" customWidth="1"/>
    <col min="10507" max="10752" width="8.85546875" style="864"/>
    <col min="10753" max="10753" width="11.5703125" style="864" bestFit="1" customWidth="1"/>
    <col min="10754" max="10754" width="12.5703125" style="864" customWidth="1"/>
    <col min="10755" max="10755" width="10.140625" style="864" customWidth="1"/>
    <col min="10756" max="10756" width="14.85546875" style="864" customWidth="1"/>
    <col min="10757" max="10757" width="13.140625" style="864" bestFit="1" customWidth="1"/>
    <col min="10758" max="10758" width="4.85546875" style="864" customWidth="1"/>
    <col min="10759" max="10759" width="11.85546875" style="864" customWidth="1"/>
    <col min="10760" max="10760" width="12" style="864" customWidth="1"/>
    <col min="10761" max="10761" width="9.85546875" style="864" customWidth="1"/>
    <col min="10762" max="10762" width="13.85546875" style="864" bestFit="1" customWidth="1"/>
    <col min="10763" max="11008" width="8.85546875" style="864"/>
    <col min="11009" max="11009" width="11.5703125" style="864" bestFit="1" customWidth="1"/>
    <col min="11010" max="11010" width="12.5703125" style="864" customWidth="1"/>
    <col min="11011" max="11011" width="10.140625" style="864" customWidth="1"/>
    <col min="11012" max="11012" width="14.85546875" style="864" customWidth="1"/>
    <col min="11013" max="11013" width="13.140625" style="864" bestFit="1" customWidth="1"/>
    <col min="11014" max="11014" width="4.85546875" style="864" customWidth="1"/>
    <col min="11015" max="11015" width="11.85546875" style="864" customWidth="1"/>
    <col min="11016" max="11016" width="12" style="864" customWidth="1"/>
    <col min="11017" max="11017" width="9.85546875" style="864" customWidth="1"/>
    <col min="11018" max="11018" width="13.85546875" style="864" bestFit="1" customWidth="1"/>
    <col min="11019" max="11264" width="8.85546875" style="864"/>
    <col min="11265" max="11265" width="11.5703125" style="864" bestFit="1" customWidth="1"/>
    <col min="11266" max="11266" width="12.5703125" style="864" customWidth="1"/>
    <col min="11267" max="11267" width="10.140625" style="864" customWidth="1"/>
    <col min="11268" max="11268" width="14.85546875" style="864" customWidth="1"/>
    <col min="11269" max="11269" width="13.140625" style="864" bestFit="1" customWidth="1"/>
    <col min="11270" max="11270" width="4.85546875" style="864" customWidth="1"/>
    <col min="11271" max="11271" width="11.85546875" style="864" customWidth="1"/>
    <col min="11272" max="11272" width="12" style="864" customWidth="1"/>
    <col min="11273" max="11273" width="9.85546875" style="864" customWidth="1"/>
    <col min="11274" max="11274" width="13.85546875" style="864" bestFit="1" customWidth="1"/>
    <col min="11275" max="11520" width="8.85546875" style="864"/>
    <col min="11521" max="11521" width="11.5703125" style="864" bestFit="1" customWidth="1"/>
    <col min="11522" max="11522" width="12.5703125" style="864" customWidth="1"/>
    <col min="11523" max="11523" width="10.140625" style="864" customWidth="1"/>
    <col min="11524" max="11524" width="14.85546875" style="864" customWidth="1"/>
    <col min="11525" max="11525" width="13.140625" style="864" bestFit="1" customWidth="1"/>
    <col min="11526" max="11526" width="4.85546875" style="864" customWidth="1"/>
    <col min="11527" max="11527" width="11.85546875" style="864" customWidth="1"/>
    <col min="11528" max="11528" width="12" style="864" customWidth="1"/>
    <col min="11529" max="11529" width="9.85546875" style="864" customWidth="1"/>
    <col min="11530" max="11530" width="13.85546875" style="864" bestFit="1" customWidth="1"/>
    <col min="11531" max="11776" width="8.85546875" style="864"/>
    <col min="11777" max="11777" width="11.5703125" style="864" bestFit="1" customWidth="1"/>
    <col min="11778" max="11778" width="12.5703125" style="864" customWidth="1"/>
    <col min="11779" max="11779" width="10.140625" style="864" customWidth="1"/>
    <col min="11780" max="11780" width="14.85546875" style="864" customWidth="1"/>
    <col min="11781" max="11781" width="13.140625" style="864" bestFit="1" customWidth="1"/>
    <col min="11782" max="11782" width="4.85546875" style="864" customWidth="1"/>
    <col min="11783" max="11783" width="11.85546875" style="864" customWidth="1"/>
    <col min="11784" max="11784" width="12" style="864" customWidth="1"/>
    <col min="11785" max="11785" width="9.85546875" style="864" customWidth="1"/>
    <col min="11786" max="11786" width="13.85546875" style="864" bestFit="1" customWidth="1"/>
    <col min="11787" max="12032" width="8.85546875" style="864"/>
    <col min="12033" max="12033" width="11.5703125" style="864" bestFit="1" customWidth="1"/>
    <col min="12034" max="12034" width="12.5703125" style="864" customWidth="1"/>
    <col min="12035" max="12035" width="10.140625" style="864" customWidth="1"/>
    <col min="12036" max="12036" width="14.85546875" style="864" customWidth="1"/>
    <col min="12037" max="12037" width="13.140625" style="864" bestFit="1" customWidth="1"/>
    <col min="12038" max="12038" width="4.85546875" style="864" customWidth="1"/>
    <col min="12039" max="12039" width="11.85546875" style="864" customWidth="1"/>
    <col min="12040" max="12040" width="12" style="864" customWidth="1"/>
    <col min="12041" max="12041" width="9.85546875" style="864" customWidth="1"/>
    <col min="12042" max="12042" width="13.85546875" style="864" bestFit="1" customWidth="1"/>
    <col min="12043" max="12288" width="8.85546875" style="864"/>
    <col min="12289" max="12289" width="11.5703125" style="864" bestFit="1" customWidth="1"/>
    <col min="12290" max="12290" width="12.5703125" style="864" customWidth="1"/>
    <col min="12291" max="12291" width="10.140625" style="864" customWidth="1"/>
    <col min="12292" max="12292" width="14.85546875" style="864" customWidth="1"/>
    <col min="12293" max="12293" width="13.140625" style="864" bestFit="1" customWidth="1"/>
    <col min="12294" max="12294" width="4.85546875" style="864" customWidth="1"/>
    <col min="12295" max="12295" width="11.85546875" style="864" customWidth="1"/>
    <col min="12296" max="12296" width="12" style="864" customWidth="1"/>
    <col min="12297" max="12297" width="9.85546875" style="864" customWidth="1"/>
    <col min="12298" max="12298" width="13.85546875" style="864" bestFit="1" customWidth="1"/>
    <col min="12299" max="12544" width="8.85546875" style="864"/>
    <col min="12545" max="12545" width="11.5703125" style="864" bestFit="1" customWidth="1"/>
    <col min="12546" max="12546" width="12.5703125" style="864" customWidth="1"/>
    <col min="12547" max="12547" width="10.140625" style="864" customWidth="1"/>
    <col min="12548" max="12548" width="14.85546875" style="864" customWidth="1"/>
    <col min="12549" max="12549" width="13.140625" style="864" bestFit="1" customWidth="1"/>
    <col min="12550" max="12550" width="4.85546875" style="864" customWidth="1"/>
    <col min="12551" max="12551" width="11.85546875" style="864" customWidth="1"/>
    <col min="12552" max="12552" width="12" style="864" customWidth="1"/>
    <col min="12553" max="12553" width="9.85546875" style="864" customWidth="1"/>
    <col min="12554" max="12554" width="13.85546875" style="864" bestFit="1" customWidth="1"/>
    <col min="12555" max="12800" width="8.85546875" style="864"/>
    <col min="12801" max="12801" width="11.5703125" style="864" bestFit="1" customWidth="1"/>
    <col min="12802" max="12802" width="12.5703125" style="864" customWidth="1"/>
    <col min="12803" max="12803" width="10.140625" style="864" customWidth="1"/>
    <col min="12804" max="12804" width="14.85546875" style="864" customWidth="1"/>
    <col min="12805" max="12805" width="13.140625" style="864" bestFit="1" customWidth="1"/>
    <col min="12806" max="12806" width="4.85546875" style="864" customWidth="1"/>
    <col min="12807" max="12807" width="11.85546875" style="864" customWidth="1"/>
    <col min="12808" max="12808" width="12" style="864" customWidth="1"/>
    <col min="12809" max="12809" width="9.85546875" style="864" customWidth="1"/>
    <col min="12810" max="12810" width="13.85546875" style="864" bestFit="1" customWidth="1"/>
    <col min="12811" max="13056" width="8.85546875" style="864"/>
    <col min="13057" max="13057" width="11.5703125" style="864" bestFit="1" customWidth="1"/>
    <col min="13058" max="13058" width="12.5703125" style="864" customWidth="1"/>
    <col min="13059" max="13059" width="10.140625" style="864" customWidth="1"/>
    <col min="13060" max="13060" width="14.85546875" style="864" customWidth="1"/>
    <col min="13061" max="13061" width="13.140625" style="864" bestFit="1" customWidth="1"/>
    <col min="13062" max="13062" width="4.85546875" style="864" customWidth="1"/>
    <col min="13063" max="13063" width="11.85546875" style="864" customWidth="1"/>
    <col min="13064" max="13064" width="12" style="864" customWidth="1"/>
    <col min="13065" max="13065" width="9.85546875" style="864" customWidth="1"/>
    <col min="13066" max="13066" width="13.85546875" style="864" bestFit="1" customWidth="1"/>
    <col min="13067" max="13312" width="8.85546875" style="864"/>
    <col min="13313" max="13313" width="11.5703125" style="864" bestFit="1" customWidth="1"/>
    <col min="13314" max="13314" width="12.5703125" style="864" customWidth="1"/>
    <col min="13315" max="13315" width="10.140625" style="864" customWidth="1"/>
    <col min="13316" max="13316" width="14.85546875" style="864" customWidth="1"/>
    <col min="13317" max="13317" width="13.140625" style="864" bestFit="1" customWidth="1"/>
    <col min="13318" max="13318" width="4.85546875" style="864" customWidth="1"/>
    <col min="13319" max="13319" width="11.85546875" style="864" customWidth="1"/>
    <col min="13320" max="13320" width="12" style="864" customWidth="1"/>
    <col min="13321" max="13321" width="9.85546875" style="864" customWidth="1"/>
    <col min="13322" max="13322" width="13.85546875" style="864" bestFit="1" customWidth="1"/>
    <col min="13323" max="13568" width="8.85546875" style="864"/>
    <col min="13569" max="13569" width="11.5703125" style="864" bestFit="1" customWidth="1"/>
    <col min="13570" max="13570" width="12.5703125" style="864" customWidth="1"/>
    <col min="13571" max="13571" width="10.140625" style="864" customWidth="1"/>
    <col min="13572" max="13572" width="14.85546875" style="864" customWidth="1"/>
    <col min="13573" max="13573" width="13.140625" style="864" bestFit="1" customWidth="1"/>
    <col min="13574" max="13574" width="4.85546875" style="864" customWidth="1"/>
    <col min="13575" max="13575" width="11.85546875" style="864" customWidth="1"/>
    <col min="13576" max="13576" width="12" style="864" customWidth="1"/>
    <col min="13577" max="13577" width="9.85546875" style="864" customWidth="1"/>
    <col min="13578" max="13578" width="13.85546875" style="864" bestFit="1" customWidth="1"/>
    <col min="13579" max="13824" width="8.85546875" style="864"/>
    <col min="13825" max="13825" width="11.5703125" style="864" bestFit="1" customWidth="1"/>
    <col min="13826" max="13826" width="12.5703125" style="864" customWidth="1"/>
    <col min="13827" max="13827" width="10.140625" style="864" customWidth="1"/>
    <col min="13828" max="13828" width="14.85546875" style="864" customWidth="1"/>
    <col min="13829" max="13829" width="13.140625" style="864" bestFit="1" customWidth="1"/>
    <col min="13830" max="13830" width="4.85546875" style="864" customWidth="1"/>
    <col min="13831" max="13831" width="11.85546875" style="864" customWidth="1"/>
    <col min="13832" max="13832" width="12" style="864" customWidth="1"/>
    <col min="13833" max="13833" width="9.85546875" style="864" customWidth="1"/>
    <col min="13834" max="13834" width="13.85546875" style="864" bestFit="1" customWidth="1"/>
    <col min="13835" max="14080" width="8.85546875" style="864"/>
    <col min="14081" max="14081" width="11.5703125" style="864" bestFit="1" customWidth="1"/>
    <col min="14082" max="14082" width="12.5703125" style="864" customWidth="1"/>
    <col min="14083" max="14083" width="10.140625" style="864" customWidth="1"/>
    <col min="14084" max="14084" width="14.85546875" style="864" customWidth="1"/>
    <col min="14085" max="14085" width="13.140625" style="864" bestFit="1" customWidth="1"/>
    <col min="14086" max="14086" width="4.85546875" style="864" customWidth="1"/>
    <col min="14087" max="14087" width="11.85546875" style="864" customWidth="1"/>
    <col min="14088" max="14088" width="12" style="864" customWidth="1"/>
    <col min="14089" max="14089" width="9.85546875" style="864" customWidth="1"/>
    <col min="14090" max="14090" width="13.85546875" style="864" bestFit="1" customWidth="1"/>
    <col min="14091" max="14336" width="8.85546875" style="864"/>
    <col min="14337" max="14337" width="11.5703125" style="864" bestFit="1" customWidth="1"/>
    <col min="14338" max="14338" width="12.5703125" style="864" customWidth="1"/>
    <col min="14339" max="14339" width="10.140625" style="864" customWidth="1"/>
    <col min="14340" max="14340" width="14.85546875" style="864" customWidth="1"/>
    <col min="14341" max="14341" width="13.140625" style="864" bestFit="1" customWidth="1"/>
    <col min="14342" max="14342" width="4.85546875" style="864" customWidth="1"/>
    <col min="14343" max="14343" width="11.85546875" style="864" customWidth="1"/>
    <col min="14344" max="14344" width="12" style="864" customWidth="1"/>
    <col min="14345" max="14345" width="9.85546875" style="864" customWidth="1"/>
    <col min="14346" max="14346" width="13.85546875" style="864" bestFit="1" customWidth="1"/>
    <col min="14347" max="14592" width="8.85546875" style="864"/>
    <col min="14593" max="14593" width="11.5703125" style="864" bestFit="1" customWidth="1"/>
    <col min="14594" max="14594" width="12.5703125" style="864" customWidth="1"/>
    <col min="14595" max="14595" width="10.140625" style="864" customWidth="1"/>
    <col min="14596" max="14596" width="14.85546875" style="864" customWidth="1"/>
    <col min="14597" max="14597" width="13.140625" style="864" bestFit="1" customWidth="1"/>
    <col min="14598" max="14598" width="4.85546875" style="864" customWidth="1"/>
    <col min="14599" max="14599" width="11.85546875" style="864" customWidth="1"/>
    <col min="14600" max="14600" width="12" style="864" customWidth="1"/>
    <col min="14601" max="14601" width="9.85546875" style="864" customWidth="1"/>
    <col min="14602" max="14602" width="13.85546875" style="864" bestFit="1" customWidth="1"/>
    <col min="14603" max="14848" width="8.85546875" style="864"/>
    <col min="14849" max="14849" width="11.5703125" style="864" bestFit="1" customWidth="1"/>
    <col min="14850" max="14850" width="12.5703125" style="864" customWidth="1"/>
    <col min="14851" max="14851" width="10.140625" style="864" customWidth="1"/>
    <col min="14852" max="14852" width="14.85546875" style="864" customWidth="1"/>
    <col min="14853" max="14853" width="13.140625" style="864" bestFit="1" customWidth="1"/>
    <col min="14854" max="14854" width="4.85546875" style="864" customWidth="1"/>
    <col min="14855" max="14855" width="11.85546875" style="864" customWidth="1"/>
    <col min="14856" max="14856" width="12" style="864" customWidth="1"/>
    <col min="14857" max="14857" width="9.85546875" style="864" customWidth="1"/>
    <col min="14858" max="14858" width="13.85546875" style="864" bestFit="1" customWidth="1"/>
    <col min="14859" max="15104" width="8.85546875" style="864"/>
    <col min="15105" max="15105" width="11.5703125" style="864" bestFit="1" customWidth="1"/>
    <col min="15106" max="15106" width="12.5703125" style="864" customWidth="1"/>
    <col min="15107" max="15107" width="10.140625" style="864" customWidth="1"/>
    <col min="15108" max="15108" width="14.85546875" style="864" customWidth="1"/>
    <col min="15109" max="15109" width="13.140625" style="864" bestFit="1" customWidth="1"/>
    <col min="15110" max="15110" width="4.85546875" style="864" customWidth="1"/>
    <col min="15111" max="15111" width="11.85546875" style="864" customWidth="1"/>
    <col min="15112" max="15112" width="12" style="864" customWidth="1"/>
    <col min="15113" max="15113" width="9.85546875" style="864" customWidth="1"/>
    <col min="15114" max="15114" width="13.85546875" style="864" bestFit="1" customWidth="1"/>
    <col min="15115" max="15360" width="8.85546875" style="864"/>
    <col min="15361" max="15361" width="11.5703125" style="864" bestFit="1" customWidth="1"/>
    <col min="15362" max="15362" width="12.5703125" style="864" customWidth="1"/>
    <col min="15363" max="15363" width="10.140625" style="864" customWidth="1"/>
    <col min="15364" max="15364" width="14.85546875" style="864" customWidth="1"/>
    <col min="15365" max="15365" width="13.140625" style="864" bestFit="1" customWidth="1"/>
    <col min="15366" max="15366" width="4.85546875" style="864" customWidth="1"/>
    <col min="15367" max="15367" width="11.85546875" style="864" customWidth="1"/>
    <col min="15368" max="15368" width="12" style="864" customWidth="1"/>
    <col min="15369" max="15369" width="9.85546875" style="864" customWidth="1"/>
    <col min="15370" max="15370" width="13.85546875" style="864" bestFit="1" customWidth="1"/>
    <col min="15371" max="15616" width="8.85546875" style="864"/>
    <col min="15617" max="15617" width="11.5703125" style="864" bestFit="1" customWidth="1"/>
    <col min="15618" max="15618" width="12.5703125" style="864" customWidth="1"/>
    <col min="15619" max="15619" width="10.140625" style="864" customWidth="1"/>
    <col min="15620" max="15620" width="14.85546875" style="864" customWidth="1"/>
    <col min="15621" max="15621" width="13.140625" style="864" bestFit="1" customWidth="1"/>
    <col min="15622" max="15622" width="4.85546875" style="864" customWidth="1"/>
    <col min="15623" max="15623" width="11.85546875" style="864" customWidth="1"/>
    <col min="15624" max="15624" width="12" style="864" customWidth="1"/>
    <col min="15625" max="15625" width="9.85546875" style="864" customWidth="1"/>
    <col min="15626" max="15626" width="13.85546875" style="864" bestFit="1" customWidth="1"/>
    <col min="15627" max="15872" width="8.85546875" style="864"/>
    <col min="15873" max="15873" width="11.5703125" style="864" bestFit="1" customWidth="1"/>
    <col min="15874" max="15874" width="12.5703125" style="864" customWidth="1"/>
    <col min="15875" max="15875" width="10.140625" style="864" customWidth="1"/>
    <col min="15876" max="15876" width="14.85546875" style="864" customWidth="1"/>
    <col min="15877" max="15877" width="13.140625" style="864" bestFit="1" customWidth="1"/>
    <col min="15878" max="15878" width="4.85546875" style="864" customWidth="1"/>
    <col min="15879" max="15879" width="11.85546875" style="864" customWidth="1"/>
    <col min="15880" max="15880" width="12" style="864" customWidth="1"/>
    <col min="15881" max="15881" width="9.85546875" style="864" customWidth="1"/>
    <col min="15882" max="15882" width="13.85546875" style="864" bestFit="1" customWidth="1"/>
    <col min="15883" max="16128" width="8.85546875" style="864"/>
    <col min="16129" max="16129" width="11.5703125" style="864" bestFit="1" customWidth="1"/>
    <col min="16130" max="16130" width="12.5703125" style="864" customWidth="1"/>
    <col min="16131" max="16131" width="10.140625" style="864" customWidth="1"/>
    <col min="16132" max="16132" width="14.85546875" style="864" customWidth="1"/>
    <col min="16133" max="16133" width="13.140625" style="864" bestFit="1" customWidth="1"/>
    <col min="16134" max="16134" width="4.85546875" style="864" customWidth="1"/>
    <col min="16135" max="16135" width="11.85546875" style="864" customWidth="1"/>
    <col min="16136" max="16136" width="12" style="864" customWidth="1"/>
    <col min="16137" max="16137" width="9.85546875" style="864" customWidth="1"/>
    <col min="16138" max="16138" width="13.85546875" style="864" bestFit="1" customWidth="1"/>
    <col min="16139" max="16384" width="8.85546875" style="864"/>
  </cols>
  <sheetData>
    <row r="1" spans="1:11" ht="23.25">
      <c r="A1" s="4213" t="s">
        <v>3080</v>
      </c>
      <c r="B1" s="4213"/>
      <c r="C1" s="4213"/>
      <c r="D1" s="4213"/>
      <c r="E1" s="4213"/>
      <c r="F1" s="4213"/>
      <c r="G1" s="4213"/>
      <c r="H1" s="4213"/>
      <c r="I1" s="4213"/>
      <c r="J1" s="4213"/>
      <c r="K1" s="4213"/>
    </row>
    <row r="2" spans="1:11" ht="15">
      <c r="A2" s="4227" t="str">
        <f>Overview!C8</f>
        <v>Stone Terrace Phase II</v>
      </c>
      <c r="B2" s="4227"/>
      <c r="C2" s="4227"/>
      <c r="D2" s="4227"/>
      <c r="E2" s="4227"/>
      <c r="F2" s="4227"/>
      <c r="G2" s="4227"/>
      <c r="H2" s="4227"/>
      <c r="I2" s="4227"/>
      <c r="J2" s="4227"/>
      <c r="K2" s="4227"/>
    </row>
    <row r="3" spans="1:11" ht="9" customHeight="1">
      <c r="A3" s="865"/>
      <c r="B3" s="865"/>
      <c r="C3" s="865"/>
    </row>
    <row r="4" spans="1:11" ht="18">
      <c r="A4" s="866" t="s">
        <v>3553</v>
      </c>
      <c r="B4" s="865"/>
      <c r="C4" s="865"/>
      <c r="K4" s="867"/>
    </row>
    <row r="5" spans="1:11" s="822" customFormat="1" ht="42" customHeight="1">
      <c r="C5" s="4214" t="s">
        <v>4468</v>
      </c>
      <c r="D5" s="4215"/>
      <c r="E5" s="4216"/>
      <c r="F5" s="650"/>
      <c r="G5" s="4214" t="s">
        <v>4469</v>
      </c>
      <c r="H5" s="4215"/>
      <c r="I5" s="4216"/>
      <c r="J5" s="864"/>
      <c r="K5" s="4225" t="s">
        <v>4470</v>
      </c>
    </row>
    <row r="6" spans="1:11" s="869" customFormat="1" ht="15" customHeight="1">
      <c r="A6" s="868" t="s">
        <v>2714</v>
      </c>
      <c r="C6" s="870" t="s">
        <v>3536</v>
      </c>
      <c r="D6" s="870" t="s">
        <v>4471</v>
      </c>
      <c r="E6" s="870" t="s">
        <v>1990</v>
      </c>
      <c r="G6" s="870" t="s">
        <v>3537</v>
      </c>
      <c r="H6" s="870" t="s">
        <v>4472</v>
      </c>
      <c r="I6" s="870" t="s">
        <v>1990</v>
      </c>
      <c r="K6" s="4226"/>
    </row>
    <row r="7" spans="1:11" s="650" customFormat="1" ht="13.5" customHeight="1">
      <c r="A7" s="650" t="s">
        <v>3081</v>
      </c>
      <c r="C7" s="872"/>
      <c r="D7" s="1576">
        <f>'Part VI-Revenues &amp; Expenses'!$J$63</f>
        <v>0</v>
      </c>
      <c r="E7" s="874">
        <f>C7*D7</f>
        <v>0</v>
      </c>
      <c r="G7" s="872"/>
      <c r="H7" s="873">
        <f>'Part VI-Revenues &amp; Expenses'!$J$67</f>
        <v>0</v>
      </c>
      <c r="I7" s="874">
        <f>G7*H7</f>
        <v>0</v>
      </c>
      <c r="K7" s="1583">
        <f>'Part VIII-Threshold Criteria'!$P$50</f>
        <v>0</v>
      </c>
    </row>
    <row r="8" spans="1:11" s="650" customFormat="1" ht="13.5" customHeight="1">
      <c r="A8" s="650" t="s">
        <v>2712</v>
      </c>
      <c r="C8" s="872"/>
      <c r="D8" s="1576">
        <f>'Part VI-Revenues &amp; Expenses'!$K$63</f>
        <v>12</v>
      </c>
      <c r="E8" s="874">
        <f>C8*D8</f>
        <v>0</v>
      </c>
      <c r="G8" s="872"/>
      <c r="H8" s="873">
        <f>'Part VI-Revenues &amp; Expenses'!$K$67</f>
        <v>12</v>
      </c>
      <c r="I8" s="874">
        <f>G8*H8</f>
        <v>0</v>
      </c>
      <c r="K8" s="871" t="s">
        <v>3538</v>
      </c>
    </row>
    <row r="9" spans="1:11" s="650" customFormat="1" ht="13.5" customHeight="1">
      <c r="A9" s="650" t="s">
        <v>2713</v>
      </c>
      <c r="C9" s="872"/>
      <c r="D9" s="1576">
        <f>'Part VI-Revenues &amp; Expenses'!$L$63</f>
        <v>56</v>
      </c>
      <c r="E9" s="874">
        <f>C9*D9</f>
        <v>0</v>
      </c>
      <c r="G9" s="872"/>
      <c r="H9" s="873">
        <f>'Part VI-Revenues &amp; Expenses'!$L$67</f>
        <v>56</v>
      </c>
      <c r="I9" s="874">
        <f>G9*H9</f>
        <v>0</v>
      </c>
      <c r="K9" s="1583">
        <f>'Part IV-A-Uses of Funds'!$G$132</f>
        <v>18093801</v>
      </c>
    </row>
    <row r="10" spans="1:11" s="650" customFormat="1" ht="13.5" customHeight="1">
      <c r="A10" s="650" t="s">
        <v>2716</v>
      </c>
      <c r="C10" s="872"/>
      <c r="D10" s="1576">
        <f>'Part VI-Revenues &amp; Expenses'!$M$63</f>
        <v>8</v>
      </c>
      <c r="E10" s="874">
        <f>C10*D10</f>
        <v>0</v>
      </c>
      <c r="G10" s="872"/>
      <c r="H10" s="873">
        <f>'Part VI-Revenues &amp; Expenses'!$M$67</f>
        <v>8</v>
      </c>
      <c r="I10" s="874">
        <f>G10*H10</f>
        <v>0</v>
      </c>
      <c r="K10" s="871" t="s">
        <v>3539</v>
      </c>
    </row>
    <row r="11" spans="1:11" s="650" customFormat="1" ht="13.5" customHeight="1">
      <c r="A11" s="876" t="s">
        <v>3535</v>
      </c>
      <c r="C11" s="877"/>
      <c r="D11" s="1577">
        <f>'Part VI-Revenues &amp; Expenses'!$N$63</f>
        <v>8</v>
      </c>
      <c r="E11" s="879">
        <f>C11*D11</f>
        <v>0</v>
      </c>
      <c r="G11" s="877"/>
      <c r="H11" s="878">
        <f>'Part VI-Revenues &amp; Expenses'!$N$67</f>
        <v>8</v>
      </c>
      <c r="I11" s="879">
        <f>G11*H11</f>
        <v>0</v>
      </c>
      <c r="K11" s="4217" t="s">
        <v>3543</v>
      </c>
    </row>
    <row r="12" spans="1:11" ht="13.5" customHeight="1" thickBot="1">
      <c r="A12" s="880" t="s">
        <v>3505</v>
      </c>
      <c r="D12" s="911">
        <f>SUM(D7:D11)</f>
        <v>84</v>
      </c>
      <c r="E12" s="881"/>
      <c r="G12" s="880" t="s">
        <v>1793</v>
      </c>
      <c r="H12" s="1582">
        <f>SUM(H7:H11)</f>
        <v>84</v>
      </c>
      <c r="I12" s="881"/>
      <c r="K12" s="4218"/>
    </row>
    <row r="13" spans="1:11" s="650" customFormat="1" ht="13.5" customHeight="1" thickBot="1">
      <c r="A13" s="880" t="s">
        <v>3082</v>
      </c>
      <c r="B13" s="882"/>
      <c r="E13" s="883">
        <f>SUM(E7:E11)</f>
        <v>0</v>
      </c>
      <c r="G13" s="880" t="s">
        <v>3317</v>
      </c>
      <c r="H13" s="882"/>
      <c r="I13" s="884">
        <f>SUM(I7:I11)</f>
        <v>0</v>
      </c>
      <c r="K13" s="1583">
        <f>'Part VIII-Threshold Criteria'!$P$63</f>
        <v>18573020</v>
      </c>
    </row>
    <row r="14" spans="1:11" ht="11.25" customHeight="1">
      <c r="G14" s="885" t="s">
        <v>3540</v>
      </c>
    </row>
    <row r="15" spans="1:11" s="650" customFormat="1" ht="9" customHeight="1"/>
    <row r="16" spans="1:11" ht="16.5" customHeight="1">
      <c r="A16" s="866" t="s">
        <v>3554</v>
      </c>
    </row>
    <row r="17" spans="1:11" ht="6" customHeight="1"/>
    <row r="18" spans="1:11" s="650" customFormat="1" ht="13.5" customHeight="1">
      <c r="A18" s="650" t="s">
        <v>3542</v>
      </c>
      <c r="E18" s="1584" t="s">
        <v>4256</v>
      </c>
      <c r="F18" s="1585"/>
      <c r="G18" s="1585"/>
      <c r="H18" s="1585"/>
      <c r="I18" s="1585"/>
      <c r="K18" s="1560">
        <f>Overview!$E$13</f>
        <v>84</v>
      </c>
    </row>
    <row r="19" spans="1:11" s="650" customFormat="1" ht="13.5" customHeight="1">
      <c r="A19" s="650" t="s">
        <v>3083</v>
      </c>
      <c r="E19" s="1579"/>
      <c r="K19" s="739">
        <f>Overview!$C$13</f>
        <v>84</v>
      </c>
    </row>
    <row r="20" spans="1:11" ht="3" customHeight="1">
      <c r="A20" s="886"/>
      <c r="E20" s="1580"/>
    </row>
    <row r="21" spans="1:11" s="650" customFormat="1" ht="13.5" customHeight="1">
      <c r="A21" s="650" t="s">
        <v>3084</v>
      </c>
      <c r="E21" s="1578" t="s">
        <v>3541</v>
      </c>
      <c r="K21" s="887">
        <f>K18/K19</f>
        <v>1</v>
      </c>
    </row>
    <row r="22" spans="1:11" ht="6.75" customHeight="1">
      <c r="E22" s="1580"/>
    </row>
    <row r="23" spans="1:11" s="650" customFormat="1" ht="13.5" customHeight="1">
      <c r="A23" s="650" t="s">
        <v>3504</v>
      </c>
      <c r="C23" s="888"/>
      <c r="E23" s="1578" t="s">
        <v>3087</v>
      </c>
      <c r="K23" s="739">
        <f>K9</f>
        <v>18093801</v>
      </c>
    </row>
    <row r="24" spans="1:11" s="650" customFormat="1" ht="13.5" customHeight="1">
      <c r="A24" s="889" t="s">
        <v>1760</v>
      </c>
      <c r="E24" s="1579"/>
      <c r="K24" s="875">
        <f>'Part IV-A-Uses of Funds'!$G$122</f>
        <v>400000</v>
      </c>
    </row>
    <row r="25" spans="1:11" s="650" customFormat="1" ht="13.5" customHeight="1">
      <c r="A25" s="889" t="s">
        <v>3088</v>
      </c>
      <c r="E25" s="1579"/>
      <c r="K25" s="890">
        <v>0</v>
      </c>
    </row>
    <row r="26" spans="1:11" s="650" customFormat="1" ht="13.5" customHeight="1">
      <c r="A26" s="889" t="s">
        <v>3088</v>
      </c>
      <c r="E26" s="1579"/>
      <c r="K26" s="890">
        <v>0</v>
      </c>
    </row>
    <row r="27" spans="1:11" ht="3" customHeight="1">
      <c r="A27" s="891"/>
      <c r="E27" s="1580"/>
      <c r="K27" s="892">
        <v>0</v>
      </c>
    </row>
    <row r="28" spans="1:11" s="882" customFormat="1" ht="13.5" customHeight="1">
      <c r="A28" s="882" t="s">
        <v>3089</v>
      </c>
      <c r="E28" s="1581"/>
      <c r="K28" s="893">
        <f>K23-SUM(K24:K27)</f>
        <v>17693801</v>
      </c>
    </row>
    <row r="29" spans="1:11" ht="6.75" customHeight="1">
      <c r="A29" s="886"/>
      <c r="E29" s="1580"/>
      <c r="K29" s="894"/>
    </row>
    <row r="30" spans="1:11" s="650" customFormat="1" ht="15" customHeight="1">
      <c r="A30" s="882" t="s">
        <v>3090</v>
      </c>
      <c r="E30" s="1578" t="s">
        <v>3548</v>
      </c>
      <c r="F30" s="895"/>
      <c r="G30" s="895"/>
      <c r="H30" s="895"/>
      <c r="I30" s="895"/>
      <c r="K30" s="896">
        <f>K21*K28</f>
        <v>17693801</v>
      </c>
    </row>
    <row r="31" spans="1:11" ht="13.5" customHeight="1">
      <c r="E31" s="1580"/>
      <c r="K31" s="894"/>
    </row>
    <row r="32" spans="1:11" s="650" customFormat="1" ht="16.5" customHeight="1">
      <c r="A32" s="897" t="s">
        <v>3555</v>
      </c>
      <c r="B32" s="882"/>
      <c r="C32" s="882"/>
      <c r="D32" s="882"/>
      <c r="E32" s="1578"/>
    </row>
    <row r="33" spans="1:11" ht="6" customHeight="1" thickBot="1">
      <c r="E33" s="1580"/>
    </row>
    <row r="34" spans="1:11" s="650" customFormat="1" ht="18" customHeight="1" thickBot="1">
      <c r="A34" s="898" t="s">
        <v>3551</v>
      </c>
      <c r="B34" s="882"/>
      <c r="C34" s="882"/>
      <c r="D34" s="882"/>
      <c r="E34" s="1578" t="s">
        <v>3549</v>
      </c>
      <c r="K34" s="899">
        <f>MIN(E13,K30)</f>
        <v>0</v>
      </c>
    </row>
    <row r="35" spans="1:11" ht="6" customHeight="1">
      <c r="E35" s="1580"/>
    </row>
    <row r="36" spans="1:11" s="650" customFormat="1" ht="15" customHeight="1">
      <c r="A36" s="882" t="s">
        <v>3552</v>
      </c>
      <c r="E36" s="1578" t="s">
        <v>3550</v>
      </c>
      <c r="K36" s="900">
        <f>Overview!C25</f>
        <v>6865000</v>
      </c>
    </row>
    <row r="37" spans="1:11" s="650" customFormat="1" ht="9" customHeight="1" thickBot="1">
      <c r="E37" s="901"/>
      <c r="F37" s="901"/>
      <c r="G37" s="901"/>
      <c r="H37" s="901"/>
      <c r="K37" s="902"/>
    </row>
    <row r="38" spans="1:11" s="650" customFormat="1" ht="15.75" customHeight="1">
      <c r="A38" s="4219" t="s">
        <v>3546</v>
      </c>
      <c r="B38" s="4219"/>
      <c r="C38" s="4219"/>
      <c r="D38" s="4220" t="s">
        <v>3085</v>
      </c>
      <c r="E38" s="4220"/>
      <c r="F38" s="4220" t="s">
        <v>3086</v>
      </c>
      <c r="G38" s="4220"/>
      <c r="H38" s="4220"/>
      <c r="I38" s="2187" t="s">
        <v>2830</v>
      </c>
      <c r="K38" s="4221">
        <f>ROUND((D39/F39)*I39,0)</f>
        <v>33</v>
      </c>
    </row>
    <row r="39" spans="1:11" s="650" customFormat="1" ht="15.75" customHeight="1" thickBot="1">
      <c r="A39" s="4219"/>
      <c r="B39" s="4219"/>
      <c r="C39" s="4219"/>
      <c r="D39" s="4223">
        <f>K36</f>
        <v>6865000</v>
      </c>
      <c r="E39" s="4223"/>
      <c r="F39" s="4224">
        <f>K28</f>
        <v>17693801</v>
      </c>
      <c r="G39" s="4224"/>
      <c r="H39" s="4224"/>
      <c r="I39" s="903">
        <f>K19</f>
        <v>84</v>
      </c>
      <c r="K39" s="4222"/>
    </row>
    <row r="40" spans="1:11" ht="12.75" customHeight="1">
      <c r="D40" s="904" t="s">
        <v>3547</v>
      </c>
      <c r="H40" s="904"/>
      <c r="I40" s="904"/>
      <c r="K40" s="904"/>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64" customWidth="1"/>
    <col min="2" max="2" width="0.85546875" style="864" customWidth="1"/>
    <col min="3" max="3" width="16.42578125" style="864" customWidth="1"/>
    <col min="4" max="4" width="18.140625" style="864" customWidth="1"/>
    <col min="5" max="5" width="16.42578125" style="864" customWidth="1"/>
    <col min="6" max="6" width="13.140625" style="864" customWidth="1"/>
    <col min="7" max="7" width="14.42578125" style="864" customWidth="1"/>
    <col min="8" max="8" width="5.85546875" style="864" customWidth="1"/>
    <col min="9" max="16384" width="9.140625" style="864"/>
  </cols>
  <sheetData>
    <row r="1" spans="1:13" ht="12" customHeight="1">
      <c r="A1" s="4228" t="str">
        <f>CONCATENATE(Overview!E8,"  ",Overview!C8)</f>
        <v>2019-5  Stone Terrace Phase II</v>
      </c>
      <c r="B1" s="4228"/>
      <c r="C1" s="4228"/>
      <c r="D1" s="4228"/>
      <c r="E1" s="4228"/>
      <c r="F1" s="4228"/>
      <c r="G1" s="4228"/>
      <c r="H1" s="4228"/>
    </row>
    <row r="3" spans="1:13" ht="12" customHeight="1">
      <c r="A3" s="4229" t="s">
        <v>3507</v>
      </c>
      <c r="B3" s="4229"/>
      <c r="C3" s="4229"/>
      <c r="D3" s="4229"/>
      <c r="E3" s="4229"/>
      <c r="F3" s="4229"/>
      <c r="G3" s="4229"/>
      <c r="H3" s="4229"/>
      <c r="I3" s="2191"/>
      <c r="J3" s="4231" t="s">
        <v>4257</v>
      </c>
      <c r="K3" s="4231"/>
      <c r="L3" s="937"/>
      <c r="M3" s="937"/>
    </row>
    <row r="4" spans="1:13">
      <c r="J4" s="4231"/>
      <c r="K4" s="4231"/>
    </row>
    <row r="5" spans="1:13" ht="12" customHeight="1">
      <c r="A5" s="864">
        <v>1</v>
      </c>
      <c r="C5" s="864" t="s">
        <v>3092</v>
      </c>
      <c r="E5" s="919" t="str">
        <f>Overview!H9</f>
        <v>Stone Terrace II GA LLC</v>
      </c>
      <c r="J5" s="4231"/>
      <c r="K5" s="4231"/>
    </row>
    <row r="6" spans="1:13" ht="3" customHeight="1">
      <c r="H6" s="881"/>
      <c r="J6" s="4231"/>
      <c r="K6" s="4231"/>
    </row>
    <row r="7" spans="1:13" ht="12" customHeight="1">
      <c r="A7" s="864">
        <v>2</v>
      </c>
      <c r="C7" s="864" t="s">
        <v>3093</v>
      </c>
      <c r="E7" s="919" t="str">
        <f>'Part II-Development Team'!H6</f>
        <v>1714 East Boulevard</v>
      </c>
      <c r="J7" s="4231"/>
      <c r="K7" s="4231"/>
    </row>
    <row r="8" spans="1:13" ht="12" customHeight="1">
      <c r="E8" s="919" t="str">
        <f>+'Part II-Development Team'!H7&amp;","&amp;" "&amp;'Part II-Development Team'!H8&amp;" "&amp;LEFT('Part II-Development Team'!J8,5)</f>
        <v>Charlotte, NC 28203</v>
      </c>
      <c r="J8" s="4231"/>
      <c r="K8" s="4231"/>
    </row>
    <row r="9" spans="1:13" ht="12" customHeight="1">
      <c r="C9" s="864" t="s">
        <v>3094</v>
      </c>
      <c r="E9" s="4230" t="str">
        <f>'Part II-Development Team'!L7</f>
        <v>84-3444032</v>
      </c>
      <c r="F9" s="4230"/>
      <c r="J9" s="4231"/>
      <c r="K9" s="4231"/>
    </row>
    <row r="10" spans="1:13" ht="12" customHeight="1">
      <c r="C10" s="864" t="s">
        <v>3095</v>
      </c>
      <c r="E10" s="919" t="str">
        <f>'Part II-Development Team'!Q5</f>
        <v>Charles F. Irick, Jr.</v>
      </c>
    </row>
    <row r="11" spans="1:13" ht="12" customHeight="1">
      <c r="C11" s="864" t="s">
        <v>4262</v>
      </c>
      <c r="E11" s="919" t="str">
        <f>'Part II-Development Team'!L9</f>
        <v>cirick@flatironenterprises.com</v>
      </c>
    </row>
    <row r="12" spans="1:13" ht="12" customHeight="1">
      <c r="C12" s="864" t="s">
        <v>4258</v>
      </c>
      <c r="E12" s="2192">
        <f>'Part II-Development Team'!H9</f>
        <v>7043359112</v>
      </c>
    </row>
    <row r="13" spans="1:13" ht="12" customHeight="1">
      <c r="C13" s="864" t="s">
        <v>4261</v>
      </c>
      <c r="E13" s="2192">
        <f>'Part II-Development Team'!Q7</f>
        <v>7043359112</v>
      </c>
    </row>
    <row r="14" spans="1:13" ht="3" customHeight="1"/>
    <row r="15" spans="1:13" ht="12" customHeight="1">
      <c r="A15" s="864">
        <v>3</v>
      </c>
      <c r="C15" s="864" t="s">
        <v>3096</v>
      </c>
      <c r="E15" s="919" t="str">
        <f>Overview!C8</f>
        <v>Stone Terrace Phase II</v>
      </c>
    </row>
    <row r="16" spans="1:13" ht="12" customHeight="1">
      <c r="C16" s="864" t="s">
        <v>3097</v>
      </c>
      <c r="E16" s="919" t="str">
        <f>'Part I-Project Information'!$F$35</f>
        <v>6659 Chupp Road</v>
      </c>
    </row>
    <row r="17" spans="1:8" ht="12" customHeight="1">
      <c r="E17" s="919" t="str">
        <f>+'Part I-Project Information'!$F$38&amp;","&amp;" GA "&amp;LEFT('Part I-Project Information'!$J$38,5)</f>
        <v>Stonecrest, GA 30058</v>
      </c>
    </row>
    <row r="18" spans="1:8" ht="3" customHeight="1"/>
    <row r="19" spans="1:8" ht="12" customHeight="1">
      <c r="A19" s="864">
        <v>4</v>
      </c>
      <c r="C19" s="864" t="s">
        <v>3098</v>
      </c>
      <c r="E19" s="919" t="str">
        <f>'Part II-Development Team'!H92</f>
        <v>GEM Management LLC</v>
      </c>
    </row>
    <row r="20" spans="1:8" ht="12" customHeight="1">
      <c r="C20" s="864" t="s">
        <v>3099</v>
      </c>
      <c r="E20" s="919" t="str">
        <f>'Part II-Development Team'!H93</f>
        <v>2021 Cross Beam Drive</v>
      </c>
    </row>
    <row r="21" spans="1:8" ht="12" customHeight="1">
      <c r="E21" s="919" t="str">
        <f>+'Part II-Development Team'!H94&amp;","&amp;" "&amp;'Part II-Development Team'!H95&amp;" "&amp;LEFT('Part II-Development Team'!L95,5)</f>
        <v>Charlotte, NC 28217</v>
      </c>
    </row>
    <row r="22" spans="1:8" ht="12" customHeight="1">
      <c r="C22" s="864" t="s">
        <v>4258</v>
      </c>
      <c r="E22" s="2192">
        <f>'Part II-Development Team'!H96</f>
        <v>7043576000</v>
      </c>
    </row>
    <row r="23" spans="1:8" ht="12" customHeight="1">
      <c r="C23" s="864" t="s">
        <v>4261</v>
      </c>
      <c r="E23" s="2192">
        <f>'Part II-Development Team'!Q94</f>
        <v>7043576119</v>
      </c>
    </row>
    <row r="24" spans="1:8" ht="12" customHeight="1">
      <c r="C24" s="864" t="s">
        <v>4262</v>
      </c>
      <c r="E24" s="2192" t="str">
        <f>'Part II-Development Team'!L96</f>
        <v>tfossum@gemmanagement.com</v>
      </c>
    </row>
    <row r="25" spans="1:8" ht="3" customHeight="1">
      <c r="E25" s="919"/>
    </row>
    <row r="26" spans="1:8" ht="12" customHeight="1">
      <c r="A26" s="864">
        <v>5</v>
      </c>
      <c r="C26" s="864" t="s">
        <v>3100</v>
      </c>
      <c r="E26" s="919" t="str">
        <f>Overview!$H$7</f>
        <v>New Construction</v>
      </c>
    </row>
    <row r="27" spans="1:8" ht="12" customHeight="1">
      <c r="E27" s="2190" t="s">
        <v>1771</v>
      </c>
    </row>
    <row r="28" spans="1:8" ht="12" customHeight="1">
      <c r="C28" s="864" t="s">
        <v>3506</v>
      </c>
      <c r="E28" s="864" t="str">
        <f>Overview!$C$9</f>
        <v>&lt;&lt;Select&gt;&gt;</v>
      </c>
    </row>
    <row r="29" spans="1:8" ht="3" customHeight="1">
      <c r="H29" s="941"/>
    </row>
    <row r="30" spans="1:8" ht="12" customHeight="1">
      <c r="A30" s="864">
        <v>6</v>
      </c>
      <c r="C30" s="864" t="s">
        <v>3101</v>
      </c>
      <c r="E30" s="864" t="s">
        <v>2409</v>
      </c>
      <c r="F30" s="2193">
        <f>'Part III-Sources of Funds'!L20</f>
        <v>6865000</v>
      </c>
      <c r="G30" s="864" t="s">
        <v>3102</v>
      </c>
    </row>
    <row r="31" spans="1:8" ht="12" customHeight="1">
      <c r="F31" s="2193" t="s">
        <v>3103</v>
      </c>
      <c r="G31" s="864" t="s">
        <v>3104</v>
      </c>
    </row>
    <row r="32" spans="1:8" ht="3" customHeight="1">
      <c r="F32" s="909"/>
    </row>
    <row r="33" spans="1:7" ht="12" customHeight="1">
      <c r="A33" s="864">
        <v>7</v>
      </c>
      <c r="C33" s="864" t="s">
        <v>3105</v>
      </c>
      <c r="F33" s="2194">
        <v>0</v>
      </c>
    </row>
    <row r="34" spans="1:7" ht="3" customHeight="1">
      <c r="F34" s="909"/>
    </row>
    <row r="35" spans="1:7" ht="12" customHeight="1">
      <c r="A35" s="864">
        <v>8</v>
      </c>
      <c r="C35" s="864" t="s">
        <v>3106</v>
      </c>
      <c r="E35" s="864" t="s">
        <v>2409</v>
      </c>
      <c r="F35" s="2195">
        <v>0.01</v>
      </c>
    </row>
    <row r="36" spans="1:7" ht="3" customHeight="1">
      <c r="F36" s="2194"/>
    </row>
    <row r="37" spans="1:7" ht="12" customHeight="1">
      <c r="A37" s="864">
        <v>9</v>
      </c>
      <c r="C37" s="864" t="s">
        <v>3107</v>
      </c>
      <c r="F37" s="2196">
        <v>24</v>
      </c>
      <c r="G37" s="864" t="s">
        <v>3108</v>
      </c>
    </row>
    <row r="38" spans="1:7" ht="3" customHeight="1">
      <c r="F38" s="2194"/>
    </row>
    <row r="39" spans="1:7" ht="12" customHeight="1">
      <c r="A39" s="864">
        <v>10</v>
      </c>
      <c r="C39" s="864" t="s">
        <v>3109</v>
      </c>
      <c r="E39" s="864" t="s">
        <v>2409</v>
      </c>
      <c r="F39" s="909">
        <f>'Part III-Sources of Funds'!L38*12</f>
        <v>420</v>
      </c>
      <c r="G39" s="864" t="s">
        <v>3108</v>
      </c>
    </row>
    <row r="40" spans="1:7" ht="3" customHeight="1">
      <c r="F40" s="909"/>
    </row>
    <row r="41" spans="1:7" ht="12" customHeight="1">
      <c r="A41" s="864">
        <v>11</v>
      </c>
      <c r="C41" s="864" t="s">
        <v>3110</v>
      </c>
      <c r="F41" s="2197">
        <v>24</v>
      </c>
      <c r="G41" s="864" t="s">
        <v>3108</v>
      </c>
    </row>
    <row r="42" spans="1:7" ht="3" customHeight="1"/>
    <row r="43" spans="1:7" ht="12" customHeight="1">
      <c r="A43" s="864">
        <v>12</v>
      </c>
      <c r="C43" s="864" t="s">
        <v>3111</v>
      </c>
      <c r="F43" s="2198" t="s">
        <v>3112</v>
      </c>
    </row>
    <row r="44" spans="1:7" ht="3" customHeight="1"/>
    <row r="45" spans="1:7" ht="12" customHeight="1">
      <c r="A45" s="864">
        <v>13</v>
      </c>
      <c r="C45" s="864" t="s">
        <v>3113</v>
      </c>
      <c r="E45" s="864" t="s">
        <v>2409</v>
      </c>
      <c r="F45" s="919" t="s">
        <v>3114</v>
      </c>
    </row>
    <row r="46" spans="1:7" ht="3" customHeight="1">
      <c r="F46" s="881"/>
    </row>
    <row r="47" spans="1:7" ht="12" customHeight="1">
      <c r="A47" s="864">
        <v>14</v>
      </c>
      <c r="C47" s="864" t="s">
        <v>3115</v>
      </c>
      <c r="E47" s="919" t="str">
        <f>'Part II-Development Team'!H14</f>
        <v>Stone Terrace II GP LLC</v>
      </c>
    </row>
    <row r="48" spans="1:7" ht="3" customHeight="1">
      <c r="E48" s="919"/>
    </row>
    <row r="49" spans="1:7" ht="12" customHeight="1">
      <c r="A49" s="864">
        <v>15</v>
      </c>
      <c r="C49" s="864" t="s">
        <v>4264</v>
      </c>
      <c r="E49" s="919" t="str">
        <f>'Part II-Development Team'!Q98</f>
        <v>Deborah L. McKinney</v>
      </c>
      <c r="G49" s="919" t="str">
        <f>'Part II-Development Team'!H98</f>
        <v>Blanco Tackabery</v>
      </c>
    </row>
    <row r="50" spans="1:7" ht="12" customHeight="1">
      <c r="C50" s="864" t="s">
        <v>3116</v>
      </c>
      <c r="E50" s="919">
        <f>'Part II-Development Team'!O102</f>
        <v>0</v>
      </c>
      <c r="F50" s="909"/>
    </row>
    <row r="51" spans="1:7" ht="3" customHeight="1">
      <c r="F51" s="909"/>
    </row>
    <row r="52" spans="1:7" ht="12" customHeight="1">
      <c r="A52" s="864">
        <v>16</v>
      </c>
      <c r="C52" s="864" t="s">
        <v>3117</v>
      </c>
      <c r="F52" s="2197">
        <f>Overview!C13</f>
        <v>84</v>
      </c>
    </row>
    <row r="53" spans="1:7" ht="3" customHeight="1">
      <c r="F53" s="909"/>
    </row>
    <row r="54" spans="1:7" ht="12" customHeight="1">
      <c r="A54" s="937">
        <v>17</v>
      </c>
      <c r="B54" s="937"/>
      <c r="C54" s="937" t="s">
        <v>3118</v>
      </c>
      <c r="D54" s="937"/>
      <c r="E54" s="937"/>
      <c r="F54" s="2199">
        <f>'HOME Allocation Limit WS'!K18</f>
        <v>84</v>
      </c>
      <c r="G54" s="937"/>
    </row>
    <row r="55" spans="1:7" ht="3" customHeight="1">
      <c r="F55" s="909"/>
    </row>
    <row r="56" spans="1:7" ht="12" customHeight="1">
      <c r="A56" s="864">
        <v>18</v>
      </c>
      <c r="C56" s="864" t="s">
        <v>3119</v>
      </c>
      <c r="F56" s="2199">
        <f>'Part VI-Revenues &amp; Expenses'!O66</f>
        <v>0</v>
      </c>
      <c r="G56" s="864" t="s">
        <v>4263</v>
      </c>
    </row>
    <row r="57" spans="1:7" ht="3" customHeight="1">
      <c r="F57" s="909"/>
    </row>
    <row r="58" spans="1:7" ht="12" customHeight="1">
      <c r="A58" s="864">
        <v>19</v>
      </c>
      <c r="C58" s="864" t="s">
        <v>3120</v>
      </c>
      <c r="F58" s="2200"/>
      <c r="G58" s="864" t="s">
        <v>3508</v>
      </c>
    </row>
    <row r="59" spans="1:7" ht="3" customHeight="1">
      <c r="F59" s="909"/>
    </row>
    <row r="60" spans="1:7" ht="12" customHeight="1">
      <c r="A60" s="864">
        <v>20</v>
      </c>
      <c r="C60" s="864" t="s">
        <v>3121</v>
      </c>
      <c r="F60" s="2201" t="s">
        <v>970</v>
      </c>
      <c r="G60" s="937"/>
    </row>
    <row r="61" spans="1:7" ht="3" customHeight="1"/>
    <row r="62" spans="1:7" ht="12" customHeight="1">
      <c r="A62" s="864">
        <v>21</v>
      </c>
      <c r="C62" s="864" t="s">
        <v>3523</v>
      </c>
      <c r="E62" s="2202" t="s">
        <v>3509</v>
      </c>
      <c r="F62" s="2203" t="s">
        <v>3510</v>
      </c>
      <c r="G62" s="2202" t="s">
        <v>3122</v>
      </c>
    </row>
    <row r="63" spans="1:7" ht="12" customHeight="1">
      <c r="E63" s="2202" t="s">
        <v>3509</v>
      </c>
      <c r="F63" s="2203" t="s">
        <v>3510</v>
      </c>
      <c r="G63" s="2202"/>
    </row>
    <row r="64" spans="1:7" ht="3" customHeight="1"/>
    <row r="65" spans="1:7" ht="12" customHeight="1">
      <c r="A65" s="864">
        <v>22</v>
      </c>
      <c r="C65" s="864" t="s">
        <v>3123</v>
      </c>
      <c r="E65" s="919" t="str">
        <f>Overview!H9</f>
        <v>Stone Terrace II GA LLC</v>
      </c>
    </row>
    <row r="66" spans="1:7" ht="3" customHeight="1"/>
    <row r="67" spans="1:7" ht="12" customHeight="1">
      <c r="A67" s="864">
        <v>23</v>
      </c>
      <c r="C67" s="864" t="s">
        <v>3124</v>
      </c>
      <c r="F67" s="909" t="s">
        <v>3125</v>
      </c>
    </row>
    <row r="68" spans="1:7" ht="3" customHeight="1"/>
    <row r="69" spans="1:7" ht="12" customHeight="1">
      <c r="A69" s="864">
        <v>24</v>
      </c>
      <c r="C69" s="864" t="s">
        <v>3126</v>
      </c>
      <c r="E69" s="864" t="s">
        <v>2409</v>
      </c>
      <c r="F69" s="909">
        <v>20</v>
      </c>
      <c r="G69" s="864" t="s">
        <v>2469</v>
      </c>
    </row>
    <row r="70" spans="1:7" ht="3" customHeight="1"/>
    <row r="71" spans="1:7" ht="12" customHeight="1">
      <c r="A71" s="864">
        <v>25</v>
      </c>
      <c r="C71" s="864" t="s">
        <v>3127</v>
      </c>
      <c r="F71" s="2204">
        <f>'Part IV-A-Uses of Funds'!$G$122</f>
        <v>400000</v>
      </c>
    </row>
    <row r="72" spans="1:7" ht="3" customHeight="1">
      <c r="F72" s="2204"/>
    </row>
    <row r="73" spans="1:7" ht="12" customHeight="1">
      <c r="A73" s="864">
        <v>26</v>
      </c>
      <c r="C73" s="864" t="s">
        <v>3128</v>
      </c>
      <c r="F73" s="2204">
        <f>'Part IV-A-Uses of Funds'!$G$123</f>
        <v>0</v>
      </c>
    </row>
    <row r="74" spans="1:7" ht="3" customHeight="1">
      <c r="F74" s="2204"/>
    </row>
    <row r="75" spans="1:7" ht="12" customHeight="1">
      <c r="A75" s="864">
        <v>27</v>
      </c>
      <c r="C75" s="864" t="s">
        <v>3129</v>
      </c>
      <c r="F75" s="2205">
        <f>'Part IV-A-Uses of Funds'!$G$121</f>
        <v>100000</v>
      </c>
    </row>
    <row r="76" spans="1:7" ht="3" customHeight="1">
      <c r="F76" s="2204"/>
    </row>
    <row r="77" spans="1:7" ht="12" customHeight="1">
      <c r="A77" s="864">
        <v>28</v>
      </c>
      <c r="C77" s="864" t="s">
        <v>3130</v>
      </c>
      <c r="F77" s="2206"/>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formula1>"&lt;&lt;Select&gt;&gt;,HOME, HOME/CHDO, HOME/PSHP, HOME/TCAP2, NSP"</formula1>
    </dataValidation>
    <dataValidation type="list" allowBlank="1" showInputMessage="1" showErrorMessage="1" sqref="F67">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64" customWidth="1"/>
    <col min="2" max="2" width="11" style="864" customWidth="1"/>
    <col min="3" max="3" width="31" style="864" customWidth="1"/>
    <col min="4" max="4" width="14" style="864" customWidth="1"/>
    <col min="5" max="10" width="11.140625" style="864" customWidth="1"/>
    <col min="11" max="16384" width="9.140625" style="864"/>
  </cols>
  <sheetData>
    <row r="1" spans="1:13" ht="15">
      <c r="A1" s="4246" t="s">
        <v>3319</v>
      </c>
      <c r="B1" s="4246"/>
      <c r="C1" s="4246"/>
      <c r="D1" s="4246"/>
      <c r="E1" s="4246"/>
      <c r="F1" s="4246"/>
      <c r="G1" s="4246"/>
      <c r="H1" s="4246"/>
      <c r="I1" s="4246"/>
      <c r="J1" s="4246"/>
    </row>
    <row r="2" spans="1:13" ht="15">
      <c r="A2" s="4246" t="str">
        <f>Overview!E8&amp;"  "&amp;Overview!C8</f>
        <v>2019-5  Stone Terrace Phase II</v>
      </c>
      <c r="B2" s="4246"/>
      <c r="C2" s="4246"/>
      <c r="D2" s="4246"/>
      <c r="E2" s="4246"/>
      <c r="F2" s="4246"/>
      <c r="G2" s="4246"/>
      <c r="H2" s="4246"/>
      <c r="I2" s="4246"/>
      <c r="J2" s="4246"/>
    </row>
    <row r="3" spans="1:13" ht="6" customHeight="1">
      <c r="K3" s="4231" t="s">
        <v>4257</v>
      </c>
      <c r="L3" s="4231"/>
      <c r="M3" s="4231"/>
    </row>
    <row r="4" spans="1:13" ht="12" customHeight="1">
      <c r="A4" s="905" t="s">
        <v>3131</v>
      </c>
      <c r="K4" s="4231"/>
      <c r="L4" s="4231"/>
      <c r="M4" s="4231"/>
    </row>
    <row r="5" spans="1:13" ht="12" customHeight="1">
      <c r="A5" s="864" t="s">
        <v>3132</v>
      </c>
      <c r="C5" s="906" t="str">
        <f>'Subsidy Layering Memo'!D6</f>
        <v>(Underwriter)</v>
      </c>
      <c r="I5" s="906"/>
      <c r="K5" s="4231"/>
      <c r="L5" s="4231"/>
      <c r="M5" s="4231"/>
    </row>
    <row r="6" spans="1:13" ht="6" customHeight="1">
      <c r="C6" s="801"/>
      <c r="D6" s="906"/>
      <c r="I6" s="906"/>
      <c r="K6" s="4231"/>
      <c r="L6" s="4231"/>
      <c r="M6" s="4231"/>
    </row>
    <row r="7" spans="1:13" ht="12" customHeight="1">
      <c r="A7" s="905" t="s">
        <v>3133</v>
      </c>
      <c r="C7" s="801"/>
      <c r="D7" s="906"/>
      <c r="I7" s="906"/>
      <c r="K7" s="4231"/>
      <c r="L7" s="4231"/>
      <c r="M7" s="4231"/>
    </row>
    <row r="8" spans="1:13" ht="12" customHeight="1">
      <c r="A8" s="864" t="s">
        <v>3134</v>
      </c>
      <c r="C8" s="906" t="str">
        <f>Overview!$H$9</f>
        <v>Stone Terrace II GA LLC</v>
      </c>
      <c r="I8" s="906"/>
      <c r="K8" s="4231"/>
      <c r="L8" s="4231"/>
      <c r="M8" s="4231"/>
    </row>
    <row r="9" spans="1:13" ht="3" customHeight="1">
      <c r="C9" s="801"/>
      <c r="D9" s="906"/>
      <c r="I9" s="906"/>
    </row>
    <row r="10" spans="1:13" ht="12" customHeight="1">
      <c r="A10" s="864" t="s">
        <v>3135</v>
      </c>
      <c r="C10" s="1588" t="s">
        <v>1771</v>
      </c>
      <c r="I10" s="906"/>
    </row>
    <row r="11" spans="1:13" ht="12" customHeight="1">
      <c r="C11" s="1588" t="s">
        <v>1771</v>
      </c>
      <c r="I11" s="906"/>
    </row>
    <row r="12" spans="1:13" ht="12" customHeight="1">
      <c r="C12" s="906" t="s">
        <v>2679</v>
      </c>
      <c r="D12" s="927" t="s">
        <v>1771</v>
      </c>
      <c r="I12" s="906"/>
    </row>
    <row r="13" spans="1:13" ht="12" customHeight="1">
      <c r="C13" s="906" t="s">
        <v>3136</v>
      </c>
      <c r="D13" s="4239"/>
      <c r="E13" s="4239"/>
      <c r="F13" s="4239"/>
      <c r="G13" s="4239"/>
      <c r="H13" s="4239"/>
      <c r="I13" s="4239"/>
      <c r="J13" s="4239"/>
    </row>
    <row r="14" spans="1:13" ht="3" customHeight="1">
      <c r="G14" s="801"/>
      <c r="H14" s="906"/>
      <c r="I14" s="906"/>
    </row>
    <row r="15" spans="1:13" ht="12" customHeight="1">
      <c r="A15" s="864" t="s">
        <v>3137</v>
      </c>
      <c r="C15" s="908" t="str">
        <f>'Preview term'!E10</f>
        <v>Charles F. Irick, Jr.</v>
      </c>
      <c r="G15" s="801"/>
      <c r="I15" s="906"/>
    </row>
    <row r="16" spans="1:13" ht="12" customHeight="1">
      <c r="A16" s="919" t="s">
        <v>4473</v>
      </c>
      <c r="C16" s="908" t="str">
        <f>'Part II-Development Team'!Q6</f>
        <v>Principal</v>
      </c>
      <c r="G16" s="801"/>
      <c r="I16" s="906"/>
    </row>
    <row r="17" spans="1:9" ht="3" customHeight="1">
      <c r="G17" s="801"/>
      <c r="H17" s="906"/>
      <c r="I17" s="906"/>
    </row>
    <row r="18" spans="1:9" ht="12" customHeight="1">
      <c r="A18" s="864" t="s">
        <v>3138</v>
      </c>
      <c r="C18" s="908" t="str">
        <f>'Preview term'!$E$7</f>
        <v>1714 East Boulevard</v>
      </c>
      <c r="G18" s="801"/>
      <c r="I18" s="906"/>
    </row>
    <row r="19" spans="1:9" ht="12" customHeight="1">
      <c r="C19" s="908" t="str">
        <f>'Preview term'!$E$8</f>
        <v>Charlotte, NC 28203</v>
      </c>
      <c r="G19" s="801"/>
      <c r="I19" s="906"/>
    </row>
    <row r="20" spans="1:9" ht="3" customHeight="1">
      <c r="G20" s="801"/>
      <c r="H20" s="906"/>
      <c r="I20" s="906"/>
    </row>
    <row r="21" spans="1:9" ht="12" customHeight="1">
      <c r="A21" s="864" t="s">
        <v>3139</v>
      </c>
      <c r="C21" s="908" t="str">
        <f>CONCATENATE('Preview term'!E49," of  ",'Preview term'!G49)</f>
        <v>Deborah L. McKinney of  Blanco Tackabery</v>
      </c>
      <c r="G21" s="801"/>
      <c r="I21" s="906"/>
    </row>
    <row r="22" spans="1:9" ht="3" customHeight="1">
      <c r="C22" s="908"/>
      <c r="G22" s="801"/>
      <c r="I22" s="906"/>
    </row>
    <row r="23" spans="1:9" ht="12" customHeight="1">
      <c r="A23" s="864" t="s">
        <v>3140</v>
      </c>
      <c r="C23" s="908">
        <f>'Preview term'!E12</f>
        <v>7043359112</v>
      </c>
      <c r="G23" s="801"/>
      <c r="I23" s="906"/>
    </row>
    <row r="24" spans="1:9" ht="3" customHeight="1">
      <c r="C24" s="908"/>
      <c r="G24" s="801"/>
      <c r="I24" s="906"/>
    </row>
    <row r="25" spans="1:9" ht="12" customHeight="1">
      <c r="A25" s="864" t="s">
        <v>3141</v>
      </c>
      <c r="C25" s="1590" t="str">
        <f>'Preview term'!E11</f>
        <v>cirick@flatironenterprises.com</v>
      </c>
      <c r="G25" s="801"/>
    </row>
    <row r="26" spans="1:9" ht="6" customHeight="1">
      <c r="G26" s="801"/>
      <c r="H26" s="906"/>
      <c r="I26" s="906"/>
    </row>
    <row r="27" spans="1:9" ht="12" customHeight="1">
      <c r="A27" s="905" t="s">
        <v>3142</v>
      </c>
      <c r="G27" s="801"/>
      <c r="H27" s="906"/>
      <c r="I27" s="906"/>
    </row>
    <row r="28" spans="1:9" ht="12" customHeight="1">
      <c r="A28" s="864" t="s">
        <v>3143</v>
      </c>
      <c r="C28" s="908" t="str">
        <f>Overview!$C$8</f>
        <v>Stone Terrace Phase II</v>
      </c>
      <c r="I28" s="906"/>
    </row>
    <row r="29" spans="1:9" ht="3" customHeight="1">
      <c r="C29" s="908"/>
      <c r="I29" s="906"/>
    </row>
    <row r="30" spans="1:9" ht="12" customHeight="1">
      <c r="A30" s="864" t="s">
        <v>3144</v>
      </c>
      <c r="C30" s="908" t="str">
        <f>'Preview term'!E16</f>
        <v>6659 Chupp Road</v>
      </c>
      <c r="I30" s="906"/>
    </row>
    <row r="31" spans="1:9">
      <c r="C31" s="906" t="str">
        <f>'Preview term'!E17</f>
        <v>Stonecrest, GA 30058</v>
      </c>
      <c r="I31" s="906"/>
    </row>
    <row r="32" spans="1:9" ht="3" customHeight="1">
      <c r="C32" s="801"/>
      <c r="D32" s="801"/>
      <c r="I32" s="801"/>
    </row>
    <row r="33" spans="1:10" ht="12" customHeight="1">
      <c r="A33" s="864" t="s">
        <v>3145</v>
      </c>
      <c r="C33" s="801" t="s">
        <v>3146</v>
      </c>
      <c r="D33" s="1589">
        <f>'Preview term'!F54</f>
        <v>84</v>
      </c>
      <c r="I33" s="801"/>
    </row>
    <row r="34" spans="1:10" ht="12" customHeight="1">
      <c r="C34" s="801" t="s">
        <v>3147</v>
      </c>
      <c r="D34" s="910">
        <f>'HOME Allocation Limit WS'!H12-'HOME Allocation Limit WS'!D12</f>
        <v>0</v>
      </c>
      <c r="I34" s="801"/>
    </row>
    <row r="35" spans="1:10" ht="12" customHeight="1">
      <c r="C35" s="801" t="s">
        <v>3148</v>
      </c>
      <c r="D35" s="911">
        <f>SUM(D33:D34)</f>
        <v>84</v>
      </c>
      <c r="I35" s="801"/>
    </row>
    <row r="36" spans="1:10" ht="3" customHeight="1">
      <c r="C36" s="801"/>
      <c r="D36" s="801"/>
      <c r="I36" s="801"/>
    </row>
    <row r="37" spans="1:10" ht="12" customHeight="1">
      <c r="A37" s="864" t="s">
        <v>3149</v>
      </c>
      <c r="C37" s="2202" t="s">
        <v>1771</v>
      </c>
      <c r="D37" s="1587">
        <f>'Preview term'!F56</f>
        <v>0</v>
      </c>
      <c r="E37" s="801" t="s">
        <v>3150</v>
      </c>
      <c r="I37" s="801"/>
    </row>
    <row r="38" spans="1:10" ht="3" customHeight="1">
      <c r="G38" s="912"/>
      <c r="H38" s="801"/>
      <c r="I38" s="801"/>
    </row>
    <row r="39" spans="1:10" ht="25.5" customHeight="1">
      <c r="A39" s="913" t="s">
        <v>3151</v>
      </c>
      <c r="C39" s="4247"/>
      <c r="D39" s="4247"/>
      <c r="E39" s="4247"/>
      <c r="F39" s="4247"/>
      <c r="G39" s="4247"/>
      <c r="H39" s="4247"/>
      <c r="I39" s="4247"/>
      <c r="J39" s="4247"/>
    </row>
    <row r="40" spans="1:10" ht="3" customHeight="1">
      <c r="G40" s="801"/>
      <c r="H40" s="801"/>
      <c r="I40" s="801"/>
    </row>
    <row r="41" spans="1:10" ht="25.5" customHeight="1">
      <c r="A41" s="913" t="s">
        <v>3152</v>
      </c>
      <c r="C41" s="4248" t="s">
        <v>3511</v>
      </c>
      <c r="D41" s="4248"/>
      <c r="E41" s="4248"/>
      <c r="F41" s="4248"/>
      <c r="G41" s="4248"/>
      <c r="H41" s="4248"/>
      <c r="I41" s="4248"/>
      <c r="J41" s="4248"/>
    </row>
    <row r="42" spans="1:10" ht="3" customHeight="1">
      <c r="C42" s="648"/>
      <c r="D42" s="648"/>
      <c r="E42" s="648"/>
      <c r="F42" s="648"/>
      <c r="G42" s="648"/>
      <c r="H42" s="649"/>
      <c r="I42" s="650"/>
      <c r="J42" s="649"/>
    </row>
    <row r="43" spans="1:10" ht="12" customHeight="1">
      <c r="A43" s="864" t="s">
        <v>3153</v>
      </c>
      <c r="C43" s="737" t="str">
        <f>'Part I-Project Information'!J39</f>
        <v>DeKalb</v>
      </c>
      <c r="D43" s="648"/>
      <c r="F43" s="649"/>
      <c r="I43" s="650"/>
      <c r="J43" s="649"/>
    </row>
    <row r="44" spans="1:10" ht="3" customHeight="1">
      <c r="C44" s="648"/>
      <c r="D44" s="648"/>
      <c r="E44" s="648"/>
      <c r="F44" s="649"/>
      <c r="I44" s="650"/>
      <c r="J44" s="649"/>
    </row>
    <row r="45" spans="1:10" ht="12" customHeight="1">
      <c r="A45" s="864" t="s">
        <v>3154</v>
      </c>
      <c r="C45" s="927" t="s">
        <v>1771</v>
      </c>
      <c r="I45" s="650"/>
      <c r="J45" s="649"/>
    </row>
    <row r="46" spans="1:10" ht="3" customHeight="1">
      <c r="C46" s="801"/>
      <c r="D46" s="914"/>
      <c r="I46" s="801"/>
    </row>
    <row r="47" spans="1:10" ht="12" customHeight="1">
      <c r="A47" s="864" t="s">
        <v>3155</v>
      </c>
      <c r="C47" s="915"/>
      <c r="I47" s="916"/>
      <c r="J47" s="916"/>
    </row>
    <row r="48" spans="1:10" ht="3" customHeight="1">
      <c r="D48" s="916"/>
      <c r="E48" s="916"/>
      <c r="F48" s="916"/>
      <c r="G48" s="917"/>
      <c r="H48" s="801"/>
      <c r="I48" s="916"/>
      <c r="J48" s="916"/>
    </row>
    <row r="49" spans="1:10" ht="12" customHeight="1">
      <c r="A49" s="801"/>
      <c r="B49" s="864" t="s">
        <v>3156</v>
      </c>
      <c r="C49" s="4248" t="s">
        <v>575</v>
      </c>
      <c r="D49" s="4248"/>
      <c r="E49" s="4248"/>
      <c r="F49" s="4248"/>
      <c r="G49" s="4248"/>
      <c r="H49" s="4248"/>
      <c r="I49" s="4248"/>
      <c r="J49" s="4248"/>
    </row>
    <row r="50" spans="1:10" ht="12" customHeight="1">
      <c r="C50" s="4243" t="s">
        <v>1808</v>
      </c>
      <c r="D50" s="4243"/>
      <c r="E50" s="4243"/>
      <c r="F50" s="4243"/>
      <c r="G50" s="4243"/>
      <c r="H50" s="4243"/>
      <c r="I50" s="4243"/>
      <c r="J50" s="4243"/>
    </row>
    <row r="51" spans="1:10" ht="3" customHeight="1">
      <c r="D51" s="916"/>
      <c r="E51" s="916"/>
      <c r="F51" s="916"/>
      <c r="G51" s="917"/>
      <c r="H51" s="801"/>
      <c r="I51" s="916"/>
      <c r="J51" s="916"/>
    </row>
    <row r="52" spans="1:10" ht="12" customHeight="1">
      <c r="A52" s="913" t="s">
        <v>3157</v>
      </c>
      <c r="B52" s="913"/>
      <c r="C52" s="918" t="s">
        <v>3158</v>
      </c>
      <c r="D52" s="918" t="s">
        <v>3512</v>
      </c>
      <c r="E52" s="4244"/>
      <c r="F52" s="4244"/>
      <c r="G52" s="4244"/>
      <c r="H52" s="4244"/>
      <c r="I52" s="4244"/>
      <c r="J52" s="4244"/>
    </row>
    <row r="53" spans="1:10" ht="12" customHeight="1">
      <c r="A53" s="913"/>
      <c r="B53" s="913"/>
      <c r="C53" s="913"/>
      <c r="D53" s="918" t="s">
        <v>3513</v>
      </c>
      <c r="E53" s="4245"/>
      <c r="F53" s="4245"/>
      <c r="G53" s="4245"/>
      <c r="H53" s="4245"/>
      <c r="I53" s="4245"/>
      <c r="J53" s="4245"/>
    </row>
    <row r="54" spans="1:10" ht="12" customHeight="1">
      <c r="A54" s="905" t="s">
        <v>3159</v>
      </c>
      <c r="G54" s="801"/>
      <c r="H54" s="801"/>
      <c r="I54" s="801"/>
    </row>
    <row r="55" spans="1:10" ht="18" customHeight="1">
      <c r="A55" s="864" t="s">
        <v>3160</v>
      </c>
      <c r="C55" s="907" t="str">
        <f>Overview!C10</f>
        <v>Stone Terrace II GP LLC</v>
      </c>
      <c r="G55" s="801"/>
      <c r="I55" s="801"/>
    </row>
    <row r="56" spans="1:10" ht="3" customHeight="1">
      <c r="C56" s="907"/>
      <c r="G56" s="801"/>
      <c r="I56" s="801"/>
    </row>
    <row r="57" spans="1:10" ht="12" customHeight="1">
      <c r="A57" s="864" t="s">
        <v>3161</v>
      </c>
      <c r="C57" s="907" t="str">
        <f>Overview!C11</f>
        <v/>
      </c>
      <c r="E57" s="907" t="str">
        <f>Overview!E11</f>
        <v/>
      </c>
      <c r="G57" s="801"/>
      <c r="I57" s="801"/>
    </row>
    <row r="58" spans="1:10" ht="3" customHeight="1">
      <c r="C58" s="907"/>
      <c r="G58" s="801"/>
      <c r="I58" s="801"/>
    </row>
    <row r="59" spans="1:10" ht="12" customHeight="1">
      <c r="A59" s="864" t="s">
        <v>3162</v>
      </c>
      <c r="C59" s="907" t="s">
        <v>2824</v>
      </c>
      <c r="G59" s="801"/>
      <c r="I59" s="801"/>
    </row>
    <row r="60" spans="1:10" ht="6" customHeight="1">
      <c r="G60" s="801"/>
      <c r="H60" s="801"/>
      <c r="I60" s="801"/>
    </row>
    <row r="61" spans="1:10" ht="12" customHeight="1">
      <c r="A61" s="905" t="s">
        <v>3163</v>
      </c>
      <c r="G61" s="801"/>
      <c r="H61" s="801"/>
      <c r="I61" s="801"/>
    </row>
    <row r="62" spans="1:10" ht="12" customHeight="1">
      <c r="A62" s="864" t="s">
        <v>3164</v>
      </c>
      <c r="C62" s="864" t="s">
        <v>3165</v>
      </c>
      <c r="D62" s="1591">
        <f>'Preview term'!F30</f>
        <v>6865000</v>
      </c>
      <c r="G62" s="801"/>
      <c r="I62" s="801"/>
    </row>
    <row r="63" spans="1:10" ht="3" customHeight="1">
      <c r="D63" s="919"/>
      <c r="G63" s="801"/>
      <c r="H63" s="920"/>
      <c r="I63" s="801"/>
    </row>
    <row r="64" spans="1:10" ht="12" customHeight="1">
      <c r="A64" s="864" t="s">
        <v>3166</v>
      </c>
      <c r="C64" s="864" t="s">
        <v>3168</v>
      </c>
      <c r="D64" s="907" t="s">
        <v>970</v>
      </c>
      <c r="G64" s="801"/>
      <c r="I64" s="801"/>
    </row>
    <row r="65" spans="1:10" ht="3" customHeight="1">
      <c r="D65" s="919"/>
      <c r="G65" s="801"/>
      <c r="H65" s="801"/>
      <c r="I65" s="801"/>
    </row>
    <row r="66" spans="1:10" ht="12" customHeight="1">
      <c r="A66" s="864" t="s">
        <v>3169</v>
      </c>
      <c r="C66" s="1592" t="s">
        <v>1771</v>
      </c>
      <c r="D66" s="933"/>
      <c r="I66" s="801"/>
    </row>
    <row r="67" spans="1:10" ht="12" customHeight="1">
      <c r="C67" s="864" t="s">
        <v>3170</v>
      </c>
      <c r="D67" s="2189" t="s">
        <v>1771</v>
      </c>
      <c r="I67" s="801"/>
    </row>
    <row r="68" spans="1:10" ht="12" customHeight="1">
      <c r="C68" s="864" t="s">
        <v>3136</v>
      </c>
      <c r="D68" s="4239"/>
      <c r="E68" s="4239"/>
      <c r="F68" s="4239"/>
      <c r="G68" s="4239"/>
      <c r="H68" s="4239"/>
      <c r="I68" s="4239"/>
      <c r="J68" s="4239"/>
    </row>
    <row r="69" spans="1:10" ht="3" customHeight="1">
      <c r="D69" s="919"/>
      <c r="E69" s="801"/>
      <c r="F69" s="801"/>
      <c r="I69" s="801"/>
    </row>
    <row r="70" spans="1:10" ht="12" customHeight="1">
      <c r="A70" s="864" t="s">
        <v>3171</v>
      </c>
      <c r="C70" s="864" t="s">
        <v>2409</v>
      </c>
      <c r="D70" s="927" t="s">
        <v>1771</v>
      </c>
      <c r="I70" s="801"/>
    </row>
    <row r="71" spans="1:10" ht="3" customHeight="1">
      <c r="D71" s="801"/>
      <c r="E71" s="801"/>
      <c r="I71" s="801"/>
    </row>
    <row r="72" spans="1:10" ht="12" customHeight="1">
      <c r="A72" s="864" t="s">
        <v>3172</v>
      </c>
      <c r="C72" s="1592" t="s">
        <v>1771</v>
      </c>
      <c r="I72" s="801"/>
    </row>
    <row r="73" spans="1:10" ht="3" customHeight="1">
      <c r="C73" s="919"/>
      <c r="G73" s="921"/>
      <c r="H73" s="801"/>
      <c r="I73" s="801"/>
    </row>
    <row r="74" spans="1:10" ht="12" customHeight="1">
      <c r="A74" s="864" t="s">
        <v>3173</v>
      </c>
      <c r="C74" s="919" t="s">
        <v>3174</v>
      </c>
      <c r="D74" s="1594">
        <v>0</v>
      </c>
      <c r="J74" s="801"/>
    </row>
    <row r="75" spans="1:10" ht="12" customHeight="1">
      <c r="C75" s="922" t="s">
        <v>3331</v>
      </c>
      <c r="D75" s="1595">
        <v>0.01</v>
      </c>
      <c r="J75" s="801"/>
    </row>
    <row r="76" spans="1:10" ht="3" customHeight="1">
      <c r="C76" s="919"/>
      <c r="D76" s="919"/>
      <c r="G76" s="801"/>
      <c r="H76" s="801"/>
      <c r="I76" s="801"/>
    </row>
    <row r="77" spans="1:10" ht="12" customHeight="1">
      <c r="A77" s="864" t="s">
        <v>3175</v>
      </c>
      <c r="C77" s="919" t="s">
        <v>3562</v>
      </c>
      <c r="D77" s="924">
        <v>24</v>
      </c>
      <c r="I77" s="801"/>
    </row>
    <row r="78" spans="1:10" ht="3" customHeight="1">
      <c r="D78" s="919"/>
      <c r="E78" s="801"/>
      <c r="F78" s="801"/>
      <c r="I78" s="801"/>
    </row>
    <row r="79" spans="1:10" ht="12" customHeight="1">
      <c r="A79" s="864" t="s">
        <v>3176</v>
      </c>
      <c r="C79" s="864" t="s">
        <v>2409</v>
      </c>
      <c r="D79" s="925">
        <f>'Preview term'!F39</f>
        <v>420</v>
      </c>
      <c r="E79" s="801" t="s">
        <v>3516</v>
      </c>
      <c r="I79" s="801"/>
    </row>
    <row r="80" spans="1:10" ht="3" customHeight="1">
      <c r="D80" s="919"/>
      <c r="G80" s="801"/>
      <c r="H80" s="801"/>
      <c r="I80" s="801"/>
    </row>
    <row r="81" spans="1:9" ht="12" customHeight="1">
      <c r="A81" s="864" t="s">
        <v>3177</v>
      </c>
      <c r="D81" s="1593">
        <v>0</v>
      </c>
      <c r="E81" s="926">
        <f>D81*12</f>
        <v>0</v>
      </c>
      <c r="F81" s="801" t="s">
        <v>3563</v>
      </c>
    </row>
    <row r="82" spans="1:9" ht="3" customHeight="1">
      <c r="D82" s="907"/>
      <c r="E82" s="801"/>
      <c r="G82" s="801"/>
    </row>
    <row r="83" spans="1:9" ht="12" customHeight="1">
      <c r="A83" s="864" t="s">
        <v>3178</v>
      </c>
      <c r="D83" s="2189" t="s">
        <v>970</v>
      </c>
      <c r="E83" s="801" t="s">
        <v>3179</v>
      </c>
      <c r="G83" s="801"/>
    </row>
    <row r="84" spans="1:9" ht="3" customHeight="1">
      <c r="G84" s="801"/>
      <c r="H84" s="801"/>
      <c r="I84" s="801"/>
    </row>
    <row r="85" spans="1:9" ht="12" customHeight="1">
      <c r="A85" s="864" t="s">
        <v>3180</v>
      </c>
      <c r="C85" s="1591">
        <f>'Part VII-Pro Forma'!K71</f>
        <v>4219707.03103186</v>
      </c>
      <c r="D85" s="928" t="s">
        <v>3514</v>
      </c>
      <c r="I85" s="801"/>
    </row>
    <row r="86" spans="1:9" ht="3" customHeight="1">
      <c r="C86" s="801" t="s">
        <v>1771</v>
      </c>
      <c r="D86" s="801"/>
      <c r="E86" s="801"/>
      <c r="I86" s="801"/>
    </row>
    <row r="87" spans="1:9" ht="12" customHeight="1">
      <c r="A87" s="864" t="s">
        <v>3181</v>
      </c>
      <c r="B87" s="929"/>
      <c r="C87" s="1592" t="s">
        <v>1771</v>
      </c>
      <c r="D87" s="1597"/>
      <c r="I87" s="801"/>
    </row>
    <row r="88" spans="1:9" ht="3" customHeight="1">
      <c r="G88" s="801"/>
      <c r="H88" s="801"/>
      <c r="I88" s="801"/>
    </row>
    <row r="89" spans="1:9" ht="12" customHeight="1">
      <c r="A89" s="864" t="s">
        <v>3182</v>
      </c>
      <c r="C89" s="919" t="s">
        <v>3183</v>
      </c>
      <c r="D89" s="907" t="s">
        <v>3112</v>
      </c>
      <c r="I89" s="801"/>
    </row>
    <row r="90" spans="1:9" ht="12" customHeight="1">
      <c r="C90" s="919" t="s">
        <v>3184</v>
      </c>
      <c r="D90" s="907" t="s">
        <v>970</v>
      </c>
      <c r="I90" s="801"/>
    </row>
    <row r="91" spans="1:9" ht="3" customHeight="1">
      <c r="G91" s="801"/>
      <c r="H91" s="801"/>
      <c r="I91" s="801"/>
    </row>
    <row r="92" spans="1:9" ht="12" customHeight="1">
      <c r="A92" s="864" t="s">
        <v>3185</v>
      </c>
      <c r="C92" s="919" t="s">
        <v>3174</v>
      </c>
      <c r="D92" s="801" t="s">
        <v>3186</v>
      </c>
      <c r="E92" s="919" t="str">
        <f>'Part III-Sources of Funds'!H20</f>
        <v>DeKalb County Housing Authority</v>
      </c>
      <c r="I92" s="801"/>
    </row>
    <row r="93" spans="1:9" ht="12" customHeight="1">
      <c r="C93" s="933"/>
      <c r="D93" s="801"/>
      <c r="E93" s="919" t="s">
        <v>1797</v>
      </c>
      <c r="F93" s="4234"/>
      <c r="G93" s="4234"/>
      <c r="H93" s="4234"/>
      <c r="I93" s="801"/>
    </row>
    <row r="94" spans="1:9" ht="12" customHeight="1">
      <c r="C94" s="919"/>
      <c r="D94" s="801"/>
      <c r="E94" s="919" t="s">
        <v>1982</v>
      </c>
      <c r="F94" s="4235"/>
      <c r="G94" s="4235"/>
      <c r="H94" s="4235"/>
      <c r="I94" s="801"/>
    </row>
    <row r="95" spans="1:9" ht="12" customHeight="1">
      <c r="C95" s="919"/>
      <c r="D95" s="801"/>
      <c r="E95" s="919" t="s">
        <v>1800</v>
      </c>
      <c r="F95" s="4236"/>
      <c r="G95" s="4236"/>
      <c r="H95" s="4236"/>
      <c r="I95" s="801"/>
    </row>
    <row r="96" spans="1:9" ht="12" customHeight="1">
      <c r="B96" s="909"/>
      <c r="C96" s="922" t="s">
        <v>3331</v>
      </c>
      <c r="D96" s="801" t="s">
        <v>3186</v>
      </c>
      <c r="E96" s="919" t="str">
        <f>'Part III-Sources of Funds'!E38</f>
        <v>DeKalb County Housing Authority</v>
      </c>
      <c r="I96" s="801"/>
    </row>
    <row r="97" spans="1:10" ht="12" customHeight="1">
      <c r="C97" s="919"/>
      <c r="D97" s="801"/>
      <c r="E97" s="919" t="s">
        <v>1797</v>
      </c>
      <c r="F97" s="4234"/>
      <c r="G97" s="4234"/>
      <c r="H97" s="4234"/>
      <c r="I97" s="801"/>
    </row>
    <row r="98" spans="1:10" ht="12" customHeight="1">
      <c r="C98" s="919"/>
      <c r="D98" s="801"/>
      <c r="E98" s="919" t="s">
        <v>1982</v>
      </c>
      <c r="F98" s="4235"/>
      <c r="G98" s="4235"/>
      <c r="H98" s="4235"/>
      <c r="I98" s="801"/>
    </row>
    <row r="99" spans="1:10" ht="12" customHeight="1">
      <c r="C99" s="919"/>
      <c r="D99" s="801"/>
      <c r="E99" s="919" t="s">
        <v>1800</v>
      </c>
      <c r="F99" s="4236"/>
      <c r="G99" s="4236"/>
      <c r="H99" s="4236"/>
      <c r="I99" s="801"/>
    </row>
    <row r="100" spans="1:10" ht="3" customHeight="1">
      <c r="D100" s="930"/>
      <c r="G100" s="801"/>
      <c r="H100" s="801"/>
      <c r="I100" s="801"/>
    </row>
    <row r="101" spans="1:10" ht="12" customHeight="1">
      <c r="A101" s="864" t="s">
        <v>3187</v>
      </c>
      <c r="D101" s="2189">
        <f>'Part IX Scoring Criteria'!O333</f>
        <v>0</v>
      </c>
      <c r="E101" s="801" t="s">
        <v>3167</v>
      </c>
      <c r="G101" s="864">
        <f>'Part IX Scoring Criteria'!O329</f>
        <v>0</v>
      </c>
      <c r="H101" s="864" t="s">
        <v>3515</v>
      </c>
      <c r="I101" s="801"/>
    </row>
    <row r="102" spans="1:10" ht="3" customHeight="1">
      <c r="E102" s="801"/>
      <c r="F102" s="801"/>
      <c r="I102" s="801"/>
    </row>
    <row r="103" spans="1:10" ht="12" customHeight="1">
      <c r="A103" s="801" t="s">
        <v>3332</v>
      </c>
      <c r="D103" s="864" t="s">
        <v>970</v>
      </c>
      <c r="E103" s="801"/>
      <c r="I103" s="801"/>
    </row>
    <row r="104" spans="1:10" ht="6" customHeight="1">
      <c r="G104" s="801"/>
      <c r="H104" s="801"/>
      <c r="I104" s="801"/>
    </row>
    <row r="105" spans="1:10" ht="12" customHeight="1">
      <c r="A105" s="905" t="s">
        <v>3333</v>
      </c>
      <c r="I105" s="801"/>
    </row>
    <row r="106" spans="1:10" ht="12" customHeight="1">
      <c r="A106" s="864" t="s">
        <v>3188</v>
      </c>
      <c r="C106" s="1596" t="s">
        <v>1771</v>
      </c>
      <c r="D106" s="4237"/>
      <c r="E106" s="4237"/>
      <c r="F106" s="4237"/>
      <c r="G106" s="4237"/>
      <c r="H106" s="4237"/>
      <c r="I106" s="4237"/>
      <c r="J106" s="4238"/>
    </row>
    <row r="107" spans="1:10" ht="3" customHeight="1">
      <c r="C107" s="919"/>
      <c r="D107" s="801"/>
      <c r="I107" s="801"/>
    </row>
    <row r="108" spans="1:10" ht="12" customHeight="1">
      <c r="A108" s="864" t="s">
        <v>3189</v>
      </c>
      <c r="C108" s="2189" t="s">
        <v>1771</v>
      </c>
    </row>
    <row r="109" spans="1:10" ht="3" customHeight="1">
      <c r="C109" s="919"/>
      <c r="E109" s="801"/>
      <c r="F109" s="801"/>
      <c r="I109" s="801"/>
    </row>
    <row r="110" spans="1:10" ht="12" customHeight="1">
      <c r="A110" s="864" t="s">
        <v>3190</v>
      </c>
      <c r="C110" s="2189" t="s">
        <v>1771</v>
      </c>
      <c r="I110" s="801"/>
    </row>
    <row r="111" spans="1:10" ht="3" customHeight="1">
      <c r="D111" s="912"/>
      <c r="I111" s="801"/>
    </row>
    <row r="112" spans="1:10" ht="12" customHeight="1">
      <c r="A112" s="864" t="s">
        <v>3191</v>
      </c>
      <c r="D112" s="925">
        <v>24</v>
      </c>
      <c r="E112" s="801" t="s">
        <v>3192</v>
      </c>
      <c r="I112" s="801"/>
    </row>
    <row r="113" spans="1:10" ht="12" customHeight="1">
      <c r="C113" s="907" t="s">
        <v>4266</v>
      </c>
      <c r="I113" s="801"/>
    </row>
    <row r="114" spans="1:10" ht="12" customHeight="1">
      <c r="C114" s="907" t="s">
        <v>4265</v>
      </c>
      <c r="G114" s="801"/>
      <c r="I114" s="801"/>
    </row>
    <row r="115" spans="1:10" ht="3" customHeight="1">
      <c r="G115" s="801"/>
      <c r="H115" s="801"/>
      <c r="I115" s="801"/>
    </row>
    <row r="116" spans="1:10" ht="12" customHeight="1">
      <c r="A116" s="864" t="s">
        <v>3193</v>
      </c>
      <c r="D116" s="931">
        <v>0</v>
      </c>
      <c r="E116" s="932" t="s">
        <v>3194</v>
      </c>
      <c r="I116" s="801"/>
    </row>
    <row r="117" spans="1:10" ht="3" customHeight="1">
      <c r="D117" s="919"/>
      <c r="E117" s="801"/>
      <c r="F117" s="801"/>
      <c r="I117" s="801"/>
    </row>
    <row r="118" spans="1:10" ht="12" customHeight="1">
      <c r="A118" s="864" t="s">
        <v>3195</v>
      </c>
      <c r="C118" s="1592" t="s">
        <v>1771</v>
      </c>
      <c r="D118" s="933"/>
      <c r="I118" s="801"/>
    </row>
    <row r="119" spans="1:10" ht="12" customHeight="1">
      <c r="C119" s="801" t="s">
        <v>3196</v>
      </c>
      <c r="D119" s="923"/>
      <c r="E119" s="4241" t="s">
        <v>4267</v>
      </c>
      <c r="F119" s="4241"/>
      <c r="G119" s="4241"/>
      <c r="H119" s="4241"/>
      <c r="I119" s="4241"/>
      <c r="J119" s="4241"/>
    </row>
    <row r="120" spans="1:10" ht="12" customHeight="1">
      <c r="C120" s="801" t="s">
        <v>3197</v>
      </c>
      <c r="D120" s="1598"/>
      <c r="E120" s="4241"/>
      <c r="F120" s="4241"/>
      <c r="G120" s="4241"/>
      <c r="H120" s="4241"/>
      <c r="I120" s="4241"/>
      <c r="J120" s="4241"/>
    </row>
    <row r="121" spans="1:10" ht="12" customHeight="1">
      <c r="C121" s="801" t="s">
        <v>3198</v>
      </c>
      <c r="D121" s="1598"/>
      <c r="E121" s="4241"/>
      <c r="F121" s="4241"/>
      <c r="G121" s="4241"/>
      <c r="H121" s="4241"/>
      <c r="I121" s="4241"/>
      <c r="J121" s="4241"/>
    </row>
    <row r="122" spans="1:10" ht="3" customHeight="1">
      <c r="E122" s="801"/>
      <c r="F122" s="801"/>
      <c r="I122" s="801"/>
    </row>
    <row r="123" spans="1:10" ht="12" customHeight="1">
      <c r="A123" s="864" t="s">
        <v>3199</v>
      </c>
      <c r="D123" s="934" t="s">
        <v>3167</v>
      </c>
      <c r="I123" s="801"/>
    </row>
    <row r="124" spans="1:10" ht="3" customHeight="1">
      <c r="D124" s="801"/>
      <c r="I124" s="801"/>
    </row>
    <row r="125" spans="1:10" ht="12" customHeight="1">
      <c r="A125" s="864" t="s">
        <v>3200</v>
      </c>
      <c r="D125" s="801" t="s">
        <v>3167</v>
      </c>
      <c r="I125" s="801"/>
    </row>
    <row r="126" spans="1:10" ht="3" customHeight="1">
      <c r="G126" s="801"/>
      <c r="H126" s="801"/>
      <c r="I126" s="801"/>
    </row>
    <row r="127" spans="1:10" ht="12" customHeight="1">
      <c r="A127" s="864" t="s">
        <v>3201</v>
      </c>
      <c r="D127" s="801" t="s">
        <v>3202</v>
      </c>
      <c r="G127" s="801"/>
      <c r="I127" s="801"/>
    </row>
    <row r="128" spans="1:10" ht="7.5" customHeight="1">
      <c r="G128" s="801"/>
      <c r="H128" s="801"/>
      <c r="I128" s="801"/>
    </row>
    <row r="129" spans="1:10" ht="12" customHeight="1">
      <c r="A129" s="905" t="s">
        <v>3203</v>
      </c>
      <c r="G129" s="801"/>
      <c r="H129" s="801"/>
      <c r="I129" s="801"/>
    </row>
    <row r="130" spans="1:10" ht="12" customHeight="1">
      <c r="A130" s="864" t="s">
        <v>3204</v>
      </c>
      <c r="C130" s="907" t="str">
        <f>Overview!H11</f>
        <v>Flatiron Partners, LLC</v>
      </c>
      <c r="D130" s="907" t="str">
        <f>Overview!K11</f>
        <v>Classic Development Company, LLC</v>
      </c>
      <c r="G130" s="907">
        <f>Overview!M11</f>
        <v>0</v>
      </c>
      <c r="I130" s="801"/>
    </row>
    <row r="131" spans="1:10" ht="12" customHeight="1">
      <c r="G131" s="801"/>
      <c r="I131" s="801"/>
    </row>
    <row r="132" spans="1:10" ht="3" customHeight="1">
      <c r="C132" s="801"/>
      <c r="G132" s="801"/>
      <c r="I132" s="801"/>
    </row>
    <row r="133" spans="1:10" ht="12" customHeight="1">
      <c r="A133" s="864" t="s">
        <v>3205</v>
      </c>
      <c r="C133" s="935">
        <f>('Part IV-A-Uses of Funds'!G118-'Part III-Sources of Funds'!I43)/2</f>
        <v>977940.5</v>
      </c>
      <c r="G133" s="801"/>
      <c r="I133" s="801"/>
    </row>
    <row r="134" spans="1:10" ht="3" customHeight="1">
      <c r="C134" s="801"/>
      <c r="G134" s="801"/>
      <c r="I134" s="801"/>
    </row>
    <row r="135" spans="1:10" ht="12" customHeight="1">
      <c r="A135" s="864" t="s">
        <v>3206</v>
      </c>
      <c r="C135" s="2189" t="s">
        <v>3207</v>
      </c>
      <c r="G135" s="801"/>
      <c r="I135" s="801"/>
    </row>
    <row r="136" spans="1:10" ht="3" customHeight="1">
      <c r="C136" s="907"/>
      <c r="G136" s="801"/>
      <c r="I136" s="801"/>
    </row>
    <row r="137" spans="1:10" ht="12" customHeight="1">
      <c r="A137" s="864" t="s">
        <v>3208</v>
      </c>
      <c r="C137" s="907" t="str">
        <f>'Preview term'!E19</f>
        <v>GEM Management LLC</v>
      </c>
      <c r="G137" s="801"/>
      <c r="I137" s="801"/>
      <c r="J137" s="936"/>
    </row>
    <row r="138" spans="1:10" ht="3" customHeight="1">
      <c r="C138" s="907"/>
      <c r="G138" s="801"/>
      <c r="I138" s="801"/>
    </row>
    <row r="139" spans="1:10" ht="12" customHeight="1">
      <c r="A139" s="864" t="s">
        <v>3209</v>
      </c>
      <c r="C139" s="908" t="str">
        <f>C8</f>
        <v>Stone Terrace II GA LLC</v>
      </c>
      <c r="G139" s="801"/>
      <c r="I139" s="906"/>
      <c r="J139" s="937"/>
    </row>
    <row r="140" spans="1:10" ht="3" customHeight="1">
      <c r="C140" s="908"/>
      <c r="G140" s="801"/>
      <c r="I140" s="906"/>
      <c r="J140" s="937"/>
    </row>
    <row r="141" spans="1:10" ht="12" customHeight="1">
      <c r="A141" s="864" t="s">
        <v>3210</v>
      </c>
      <c r="C141" s="908" t="str">
        <f>C18</f>
        <v>1714 East Boulevard</v>
      </c>
      <c r="G141" s="801"/>
      <c r="I141" s="906"/>
      <c r="J141" s="937"/>
    </row>
    <row r="142" spans="1:10">
      <c r="C142" s="908" t="str">
        <f>C19</f>
        <v>Charlotte, NC 28203</v>
      </c>
      <c r="G142" s="801"/>
      <c r="I142" s="906"/>
      <c r="J142" s="937"/>
    </row>
    <row r="143" spans="1:10" ht="3" customHeight="1">
      <c r="C143" s="938"/>
      <c r="G143" s="801"/>
      <c r="I143" s="906"/>
      <c r="J143" s="937"/>
    </row>
    <row r="144" spans="1:10" ht="12" customHeight="1">
      <c r="A144" s="864" t="s">
        <v>3211</v>
      </c>
      <c r="C144" s="908" t="str">
        <f>Overview!H10</f>
        <v>Raymond James Tax Credit Funds, Inc.</v>
      </c>
      <c r="G144" s="801"/>
      <c r="I144" s="906"/>
      <c r="J144" s="936"/>
    </row>
    <row r="145" spans="1:10" ht="3" customHeight="1">
      <c r="C145" s="908"/>
      <c r="G145" s="801"/>
      <c r="I145" s="906"/>
      <c r="J145" s="937"/>
    </row>
    <row r="146" spans="1:10" ht="12" customHeight="1">
      <c r="A146" s="864" t="s">
        <v>3212</v>
      </c>
      <c r="C146" s="908" t="str">
        <f>Overview!K10</f>
        <v>Raymond James Tax Credit Funds, Inc.</v>
      </c>
      <c r="G146" s="801"/>
      <c r="I146" s="906"/>
      <c r="J146" s="936"/>
    </row>
    <row r="147" spans="1:10" ht="3" customHeight="1">
      <c r="C147" s="938"/>
      <c r="G147" s="801"/>
      <c r="I147" s="906"/>
      <c r="J147" s="937"/>
    </row>
    <row r="148" spans="1:10" ht="12" customHeight="1">
      <c r="A148" s="864" t="s">
        <v>3213</v>
      </c>
      <c r="C148" s="939" t="s">
        <v>3167</v>
      </c>
      <c r="G148" s="801"/>
      <c r="I148" s="801"/>
    </row>
    <row r="149" spans="1:10" ht="3" customHeight="1">
      <c r="C149" s="939"/>
      <c r="G149" s="801"/>
      <c r="I149" s="801"/>
    </row>
    <row r="150" spans="1:10" ht="12" customHeight="1">
      <c r="A150" s="864" t="s">
        <v>3214</v>
      </c>
      <c r="C150" s="939" t="s">
        <v>3167</v>
      </c>
      <c r="G150" s="801"/>
      <c r="I150" s="801"/>
    </row>
    <row r="151" spans="1:10" ht="7.5" customHeight="1">
      <c r="G151" s="801"/>
      <c r="H151" s="801"/>
      <c r="I151" s="801"/>
    </row>
    <row r="152" spans="1:10" ht="12" customHeight="1">
      <c r="A152" s="905" t="s">
        <v>3215</v>
      </c>
      <c r="G152" s="801"/>
      <c r="H152" s="801"/>
      <c r="I152" s="801"/>
    </row>
    <row r="153" spans="1:10" ht="3" customHeight="1">
      <c r="D153" s="801"/>
      <c r="E153" s="801"/>
      <c r="G153" s="801"/>
    </row>
    <row r="154" spans="1:10" ht="12" customHeight="1">
      <c r="A154" s="864" t="s">
        <v>3216</v>
      </c>
      <c r="C154" s="801" t="s">
        <v>3517</v>
      </c>
      <c r="D154" s="801"/>
      <c r="G154" s="801"/>
      <c r="H154" s="801"/>
      <c r="I154" s="801"/>
    </row>
    <row r="155" spans="1:10" ht="3" customHeight="1">
      <c r="D155" s="801"/>
      <c r="E155" s="801"/>
      <c r="G155" s="801"/>
    </row>
    <row r="156" spans="1:10" ht="12" customHeight="1">
      <c r="A156" s="864" t="s">
        <v>3217</v>
      </c>
      <c r="D156" s="2189">
        <v>20</v>
      </c>
      <c r="E156" s="801" t="s">
        <v>2409</v>
      </c>
    </row>
    <row r="157" spans="1:10" ht="3" customHeight="1">
      <c r="D157" s="801"/>
      <c r="E157" s="801"/>
      <c r="G157" s="801"/>
    </row>
    <row r="158" spans="1:10" ht="12" customHeight="1">
      <c r="A158" s="864" t="s">
        <v>3218</v>
      </c>
      <c r="C158" s="1592" t="s">
        <v>1771</v>
      </c>
      <c r="D158" s="801" t="s">
        <v>3564</v>
      </c>
      <c r="G158" s="801"/>
    </row>
    <row r="159" spans="1:10" ht="3" customHeight="1">
      <c r="G159" s="801"/>
      <c r="H159" s="801"/>
      <c r="I159" s="801"/>
    </row>
    <row r="160" spans="1:10" ht="12" customHeight="1">
      <c r="A160" s="864" t="s">
        <v>3219</v>
      </c>
      <c r="G160" s="801"/>
      <c r="H160" s="801"/>
      <c r="I160" s="801"/>
    </row>
    <row r="161" spans="1:13" ht="7.5" customHeight="1">
      <c r="G161" s="801"/>
      <c r="H161" s="801"/>
      <c r="I161" s="801"/>
    </row>
    <row r="162" spans="1:13" ht="12" customHeight="1">
      <c r="A162" s="905" t="s">
        <v>3220</v>
      </c>
      <c r="G162" s="801"/>
      <c r="H162" s="801"/>
      <c r="I162" s="801"/>
    </row>
    <row r="163" spans="1:13" ht="12" customHeight="1">
      <c r="A163" s="864" t="s">
        <v>3323</v>
      </c>
      <c r="C163" s="864" t="s">
        <v>3324</v>
      </c>
      <c r="E163" s="927">
        <f>'Preview term'!F77</f>
        <v>0</v>
      </c>
      <c r="G163" s="801"/>
      <c r="I163" s="801"/>
    </row>
    <row r="164" spans="1:13" ht="12" customHeight="1">
      <c r="C164" s="864" t="s">
        <v>3518</v>
      </c>
      <c r="E164" s="4239"/>
      <c r="F164" s="4239"/>
      <c r="G164" s="4239"/>
      <c r="I164" s="801"/>
    </row>
    <row r="165" spans="1:13" ht="3" customHeight="1">
      <c r="E165" s="801"/>
      <c r="G165" s="801"/>
      <c r="I165" s="801"/>
    </row>
    <row r="166" spans="1:13" ht="12" customHeight="1">
      <c r="A166" s="864" t="s">
        <v>3221</v>
      </c>
      <c r="C166" s="864" t="s">
        <v>3222</v>
      </c>
      <c r="E166" s="940">
        <f>'Preview term'!F71</f>
        <v>400000</v>
      </c>
      <c r="G166" s="801"/>
      <c r="I166" s="801"/>
    </row>
    <row r="167" spans="1:13" ht="12" customHeight="1">
      <c r="C167" s="864" t="s">
        <v>3518</v>
      </c>
      <c r="E167" s="4239"/>
      <c r="F167" s="4239"/>
      <c r="G167" s="4239"/>
      <c r="I167" s="801"/>
    </row>
    <row r="168" spans="1:13" ht="12" customHeight="1">
      <c r="C168" s="864" t="s">
        <v>3223</v>
      </c>
      <c r="E168" s="907" t="s">
        <v>2824</v>
      </c>
      <c r="G168" s="801"/>
      <c r="I168" s="801"/>
    </row>
    <row r="169" spans="1:13" ht="3" customHeight="1">
      <c r="E169" s="907"/>
      <c r="G169" s="801"/>
      <c r="I169" s="801"/>
    </row>
    <row r="170" spans="1:13" ht="12" customHeight="1">
      <c r="A170" s="864" t="s">
        <v>3325</v>
      </c>
      <c r="C170" s="864" t="s">
        <v>3326</v>
      </c>
      <c r="E170" s="940">
        <f>'Preview term'!F73</f>
        <v>0</v>
      </c>
      <c r="G170" s="801"/>
      <c r="I170" s="801"/>
    </row>
    <row r="171" spans="1:13" ht="12" customHeight="1">
      <c r="C171" s="864" t="s">
        <v>3224</v>
      </c>
      <c r="E171" s="940">
        <f>'Preview term'!F73</f>
        <v>0</v>
      </c>
      <c r="G171" s="801"/>
      <c r="I171" s="906"/>
      <c r="J171" s="937"/>
      <c r="K171" s="937"/>
      <c r="L171" s="937"/>
      <c r="M171" s="937"/>
    </row>
    <row r="172" spans="1:13" ht="12" customHeight="1">
      <c r="C172" s="864" t="s">
        <v>3225</v>
      </c>
      <c r="E172" s="935">
        <f>'Part VI-Revenues &amp; Expenses'!P230</f>
        <v>21000</v>
      </c>
      <c r="F172" s="906" t="s">
        <v>3226</v>
      </c>
      <c r="J172" s="937"/>
      <c r="K172" s="937"/>
      <c r="L172" s="937"/>
      <c r="M172" s="937"/>
    </row>
    <row r="173" spans="1:13">
      <c r="E173" s="940">
        <f>E172/12</f>
        <v>1750</v>
      </c>
      <c r="F173" s="801" t="s">
        <v>3078</v>
      </c>
    </row>
    <row r="174" spans="1:13" ht="12" customHeight="1">
      <c r="C174" s="864" t="s">
        <v>3519</v>
      </c>
      <c r="E174" s="4239"/>
      <c r="F174" s="4239"/>
      <c r="G174" s="4239"/>
      <c r="I174" s="801"/>
    </row>
    <row r="175" spans="1:13" ht="12" customHeight="1">
      <c r="C175" s="864" t="s">
        <v>3227</v>
      </c>
      <c r="E175" s="801" t="s">
        <v>2990</v>
      </c>
      <c r="I175" s="801"/>
    </row>
    <row r="176" spans="1:13" ht="12" customHeight="1">
      <c r="C176" s="864" t="s">
        <v>3228</v>
      </c>
      <c r="E176" s="801" t="s">
        <v>2824</v>
      </c>
      <c r="I176" s="801"/>
    </row>
    <row r="177" spans="1:10" ht="3" customHeight="1">
      <c r="E177" s="801"/>
      <c r="F177" s="801"/>
      <c r="I177" s="801"/>
    </row>
    <row r="178" spans="1:10" ht="12" customHeight="1">
      <c r="A178" s="864" t="s">
        <v>3321</v>
      </c>
      <c r="C178" s="864" t="s">
        <v>3322</v>
      </c>
      <c r="E178" s="927" t="s">
        <v>1771</v>
      </c>
      <c r="F178" s="941"/>
      <c r="I178" s="801"/>
    </row>
    <row r="179" spans="1:10" ht="12" customHeight="1">
      <c r="C179" s="864" t="s">
        <v>3229</v>
      </c>
      <c r="E179" s="927" t="s">
        <v>1771</v>
      </c>
      <c r="F179" s="4239"/>
      <c r="G179" s="4239"/>
      <c r="H179" s="4239"/>
      <c r="I179" s="4239"/>
      <c r="J179" s="4239"/>
    </row>
    <row r="180" spans="1:10" ht="12" customHeight="1">
      <c r="C180" s="864" t="s">
        <v>3520</v>
      </c>
      <c r="E180" s="801" t="s">
        <v>3167</v>
      </c>
      <c r="I180" s="801"/>
    </row>
    <row r="181" spans="1:10" ht="12" customHeight="1">
      <c r="C181" s="864" t="s">
        <v>3230</v>
      </c>
      <c r="E181" s="801" t="s">
        <v>2824</v>
      </c>
      <c r="I181" s="801"/>
    </row>
    <row r="182" spans="1:10" ht="3" customHeight="1">
      <c r="G182" s="801"/>
      <c r="H182" s="801"/>
      <c r="I182" s="801"/>
    </row>
    <row r="183" spans="1:10" ht="12" customHeight="1">
      <c r="A183" s="864" t="s">
        <v>3327</v>
      </c>
      <c r="C183" s="864" t="s">
        <v>3328</v>
      </c>
      <c r="E183" s="940">
        <f>'Preview term'!F75</f>
        <v>100000</v>
      </c>
      <c r="G183" s="801"/>
      <c r="I183" s="801"/>
    </row>
    <row r="184" spans="1:10" ht="12" customHeight="1">
      <c r="C184" s="864" t="s">
        <v>3518</v>
      </c>
      <c r="E184" s="907">
        <f>E167</f>
        <v>0</v>
      </c>
      <c r="G184" s="801"/>
      <c r="I184" s="801"/>
    </row>
    <row r="185" spans="1:10" ht="12" customHeight="1">
      <c r="C185" s="864" t="s">
        <v>3231</v>
      </c>
      <c r="E185" s="907" t="s">
        <v>3167</v>
      </c>
      <c r="G185" s="801"/>
      <c r="I185" s="801"/>
    </row>
    <row r="186" spans="1:10" ht="3" customHeight="1">
      <c r="E186" s="907"/>
      <c r="G186" s="801"/>
      <c r="I186" s="801"/>
    </row>
    <row r="187" spans="1:10" ht="12" customHeight="1">
      <c r="A187" s="864" t="s">
        <v>3329</v>
      </c>
      <c r="C187" s="864" t="s">
        <v>3330</v>
      </c>
      <c r="E187" s="907" t="s">
        <v>3167</v>
      </c>
      <c r="G187" s="801"/>
      <c r="I187" s="801"/>
    </row>
    <row r="188" spans="1:10" ht="12" customHeight="1">
      <c r="C188" s="864" t="s">
        <v>3222</v>
      </c>
      <c r="E188" s="919"/>
      <c r="G188" s="801"/>
      <c r="H188" s="926"/>
      <c r="I188" s="801"/>
    </row>
    <row r="189" spans="1:10" ht="12" customHeight="1">
      <c r="C189" s="864" t="s">
        <v>3518</v>
      </c>
      <c r="E189" s="919"/>
      <c r="I189" s="907"/>
    </row>
    <row r="190" spans="1:10" ht="12" customHeight="1">
      <c r="C190" s="864" t="s">
        <v>3223</v>
      </c>
      <c r="E190" s="919"/>
      <c r="G190" s="801"/>
      <c r="H190" s="801"/>
      <c r="I190" s="801"/>
    </row>
    <row r="191" spans="1:10" ht="9" customHeight="1">
      <c r="G191" s="801"/>
      <c r="H191" s="801"/>
      <c r="I191" s="801"/>
    </row>
    <row r="192" spans="1:10" ht="12" customHeight="1">
      <c r="A192" s="905" t="s">
        <v>3232</v>
      </c>
      <c r="C192" s="801" t="s">
        <v>3233</v>
      </c>
      <c r="E192" s="801"/>
      <c r="I192" s="801"/>
    </row>
    <row r="193" spans="1:10" ht="9" customHeight="1">
      <c r="E193" s="801"/>
      <c r="F193" s="801"/>
      <c r="I193" s="801"/>
    </row>
    <row r="194" spans="1:10" ht="12" customHeight="1">
      <c r="A194" s="905" t="s">
        <v>3234</v>
      </c>
      <c r="E194" s="801"/>
      <c r="F194" s="801"/>
      <c r="I194" s="801"/>
    </row>
    <row r="195" spans="1:10" ht="12" customHeight="1">
      <c r="A195" s="864" t="s">
        <v>3235</v>
      </c>
      <c r="C195" s="1588" t="s">
        <v>1771</v>
      </c>
      <c r="E195" s="801"/>
      <c r="F195" s="801"/>
      <c r="I195" s="801"/>
    </row>
    <row r="196" spans="1:10" ht="3" customHeight="1">
      <c r="G196" s="801"/>
      <c r="H196" s="801"/>
      <c r="I196" s="801"/>
    </row>
    <row r="197" spans="1:10">
      <c r="A197" s="913" t="s">
        <v>3522</v>
      </c>
      <c r="B197" s="913"/>
      <c r="C197" s="913"/>
      <c r="D197" s="913"/>
      <c r="E197" s="918" t="s">
        <v>3521</v>
      </c>
      <c r="F197" s="4240">
        <f>'Part VIII-Threshold Criteria'!E400</f>
        <v>0</v>
      </c>
      <c r="G197" s="4240"/>
      <c r="H197" s="4240"/>
      <c r="I197" s="4240"/>
      <c r="J197" s="4240"/>
    </row>
    <row r="198" spans="1:10" ht="9" customHeight="1">
      <c r="G198" s="801"/>
      <c r="H198" s="801"/>
      <c r="I198" s="801"/>
    </row>
    <row r="199" spans="1:10" ht="12" customHeight="1">
      <c r="A199" s="942" t="s">
        <v>3320</v>
      </c>
      <c r="G199" s="801"/>
      <c r="H199" s="801"/>
      <c r="I199" s="926"/>
    </row>
    <row r="200" spans="1:10" ht="25.5" hidden="1" customHeight="1">
      <c r="A200" s="4242" t="str">
        <f>'Subsidy Layering Memo'!A98</f>
        <v>Include any reserve requirements; explain any reserves far in excess of 6 month ODR, 3 mo lease up, 1 year RR, 6 mo T&amp;I standards.</v>
      </c>
      <c r="B200" s="4242"/>
      <c r="C200" s="4242"/>
      <c r="D200" s="4242"/>
      <c r="E200" s="4242"/>
      <c r="F200" s="4242"/>
      <c r="G200" s="4242"/>
      <c r="H200" s="4242"/>
      <c r="I200" s="4242"/>
      <c r="J200" s="4242"/>
    </row>
    <row r="201" spans="1:10">
      <c r="A201" s="801"/>
      <c r="G201" s="801"/>
      <c r="H201" s="801"/>
      <c r="I201" s="801"/>
    </row>
    <row r="202" spans="1:10">
      <c r="A202" s="905" t="s">
        <v>3236</v>
      </c>
      <c r="G202" s="801"/>
      <c r="H202" s="801"/>
      <c r="I202" s="801"/>
    </row>
    <row r="203" spans="1:10" ht="3" customHeight="1">
      <c r="G203" s="801"/>
      <c r="H203" s="801"/>
      <c r="I203" s="801"/>
    </row>
    <row r="204" spans="1:10" ht="76.5" customHeight="1">
      <c r="A204" s="4232" t="s">
        <v>2943</v>
      </c>
      <c r="B204" s="4232"/>
      <c r="C204" s="4232"/>
      <c r="D204" s="4232"/>
      <c r="E204" s="4232"/>
      <c r="F204" s="4232"/>
      <c r="G204" s="4232"/>
      <c r="H204" s="4232"/>
      <c r="I204" s="4232"/>
      <c r="J204" s="4232"/>
    </row>
    <row r="205" spans="1:10">
      <c r="A205" s="801" t="s">
        <v>2944</v>
      </c>
      <c r="G205" s="801"/>
      <c r="H205" s="801"/>
      <c r="I205" s="801"/>
    </row>
    <row r="206" spans="1:10" ht="38.25" customHeight="1">
      <c r="A206" s="4232" t="str">
        <f>'Subsidy Layering Memo'!A37&amp;".  "&amp;'Subsidy Layering Memo'!A38</f>
        <v xml:space="preserve">.  </v>
      </c>
      <c r="B206" s="4233"/>
      <c r="C206" s="4233"/>
      <c r="D206" s="4233"/>
      <c r="E206" s="4233"/>
      <c r="F206" s="4233"/>
      <c r="G206" s="4233"/>
      <c r="H206" s="4233"/>
      <c r="I206" s="4233"/>
      <c r="J206" s="4233"/>
    </row>
    <row r="207" spans="1:10">
      <c r="A207" s="907"/>
    </row>
    <row r="208" spans="1:10">
      <c r="A208" s="907"/>
    </row>
    <row r="209" spans="1:4">
      <c r="A209" s="801"/>
    </row>
    <row r="213" spans="1:4">
      <c r="D213" s="864"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formula1>"&lt;&lt;Select&gt;&gt;, Yes (Federal and State), No"</formula1>
    </dataValidation>
    <dataValidation type="list" allowBlank="1" showInputMessage="1" showErrorMessage="1" sqref="E179">
      <formula1>"&lt;&lt;Select&gt;&gt;, Yes, Other-specify:"</formula1>
    </dataValidation>
    <dataValidation type="list" allowBlank="1" showInputMessage="1" showErrorMessage="1" sqref="C158">
      <formula1>"&lt;&lt;Select&gt;&gt;, Fixed, Floating"</formula1>
    </dataValidation>
    <dataValidation type="list" allowBlank="1" showInputMessage="1" showErrorMessage="1" sqref="C110 C118 D12 E178 C37 D67">
      <formula1>"&lt;&lt;Select&gt;&gt;, Yes, No"</formula1>
    </dataValidation>
    <dataValidation type="list" allowBlank="1" showInputMessage="1" showErrorMessage="1" sqref="C108">
      <formula1>"&lt;&lt;Select&gt;&gt;, Bonded, Letter of Credit, Other - construction loan in lieu of L/C"</formula1>
    </dataValidation>
    <dataValidation type="list" allowBlank="1" showInputMessage="1" showErrorMessage="1" sqref="C106">
      <formula1>"&lt;&lt;Select&gt;&gt;, New Construction, Rehabilitation, Both (explain):"</formula1>
    </dataValidation>
    <dataValidation type="list" allowBlank="1" showInputMessage="1" showErrorMessage="1" sqref="C87">
      <formula1>"&lt;&lt;Select&gt;&gt;, Hard costs only, Hard costs plus acquisition cost, Hard costs plus HOME eligible soft"</formula1>
    </dataValidation>
    <dataValidation type="list" allowBlank="1" showInputMessage="1" showErrorMessage="1" sqref="C72 C86">
      <formula1>"&lt;&lt;Select&gt;&gt;, Construction only, Construction and Permanent"</formula1>
    </dataValidation>
    <dataValidation type="list" allowBlank="1" showInputMessage="1" showErrorMessage="1" sqref="D70">
      <formula1>"&lt;&lt;Select&gt;&gt;, Fully amortizing, Balloon"</formula1>
    </dataValidation>
    <dataValidation type="list" allowBlank="1" showInputMessage="1" showErrorMessage="1" sqref="C66">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5">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864" customWidth="1"/>
    <col min="2" max="2" width="4.140625" style="864" customWidth="1"/>
    <col min="3" max="3" width="18.5703125" style="864" customWidth="1"/>
    <col min="4" max="4" width="2.85546875" style="864" customWidth="1"/>
    <col min="5" max="5" width="6.5703125" style="864" customWidth="1"/>
    <col min="6" max="6" width="39.140625" style="864" customWidth="1"/>
    <col min="7" max="8" width="8.42578125" style="864" customWidth="1"/>
    <col min="9" max="9" width="9.140625" style="864"/>
    <col min="10" max="10" width="14.140625" style="864" customWidth="1"/>
    <col min="11" max="16384" width="9.140625" style="864"/>
  </cols>
  <sheetData>
    <row r="1" spans="1:11">
      <c r="A1" s="801" t="s">
        <v>3237</v>
      </c>
      <c r="H1" s="909" t="str">
        <f>Overview!C8</f>
        <v>Stone Terrace Phase II</v>
      </c>
    </row>
    <row r="2" spans="1:11">
      <c r="A2" s="801" t="s">
        <v>3238</v>
      </c>
      <c r="H2" s="864" t="str">
        <f>Overview!E8</f>
        <v>2019-5</v>
      </c>
    </row>
    <row r="3" spans="1:11" ht="3" customHeight="1"/>
    <row r="4" spans="1:11" ht="51.75" customHeight="1">
      <c r="A4" s="4233" t="s">
        <v>3337</v>
      </c>
      <c r="B4" s="4233"/>
      <c r="C4" s="4233"/>
      <c r="D4" s="4233"/>
      <c r="E4" s="4233"/>
      <c r="F4" s="4233"/>
      <c r="G4" s="4233"/>
      <c r="H4" s="4233"/>
      <c r="J4" s="1616">
        <f>SUM('Part VII-Pro Forma'!B14:B16)/12</f>
        <v>73839.02399999999</v>
      </c>
      <c r="K4" s="1615" t="s">
        <v>4474</v>
      </c>
    </row>
    <row r="5" spans="1:11" ht="1.5" customHeight="1">
      <c r="C5" s="943"/>
      <c r="D5" s="943"/>
      <c r="E5" s="943"/>
      <c r="F5" s="943"/>
      <c r="G5" s="943"/>
      <c r="H5" s="943"/>
    </row>
    <row r="6" spans="1:11" ht="12.75" customHeight="1">
      <c r="B6" s="944" t="s">
        <v>2435</v>
      </c>
      <c r="C6" s="4233" t="s">
        <v>3239</v>
      </c>
      <c r="D6" s="4233"/>
      <c r="E6" s="4233"/>
      <c r="F6" s="4233"/>
      <c r="G6" s="4233"/>
      <c r="H6" s="4233"/>
    </row>
    <row r="7" spans="1:11" ht="12.75" customHeight="1">
      <c r="B7" s="944" t="s">
        <v>2436</v>
      </c>
      <c r="C7" s="4233" t="s">
        <v>3240</v>
      </c>
      <c r="D7" s="4233"/>
      <c r="E7" s="4233"/>
      <c r="F7" s="4233"/>
      <c r="G7" s="4233"/>
      <c r="H7" s="4233"/>
    </row>
    <row r="8" spans="1:11" ht="3" customHeight="1"/>
    <row r="9" spans="1:11">
      <c r="A9" s="864" t="s">
        <v>3241</v>
      </c>
    </row>
    <row r="10" spans="1:11" ht="1.5" customHeight="1"/>
    <row r="11" spans="1:11" ht="26.25" customHeight="1">
      <c r="A11" s="945" t="s">
        <v>1983</v>
      </c>
      <c r="B11" s="4252" t="s">
        <v>3334</v>
      </c>
      <c r="C11" s="4252"/>
      <c r="D11" s="4252"/>
      <c r="E11" s="4252"/>
      <c r="F11" s="4252"/>
      <c r="G11" s="4253">
        <f>'Part III-Sources of Funds'!I49+'Part III-Sources of Funds'!I50</f>
        <v>10329907</v>
      </c>
      <c r="H11" s="4253"/>
    </row>
    <row r="12" spans="1:11" ht="1.5" customHeight="1">
      <c r="G12" s="913"/>
      <c r="H12" s="913"/>
    </row>
    <row r="13" spans="1:11" ht="26.25" customHeight="1">
      <c r="A13" s="945" t="s">
        <v>1985</v>
      </c>
      <c r="B13" s="4252" t="s">
        <v>3335</v>
      </c>
      <c r="C13" s="4252"/>
      <c r="D13" s="4252"/>
      <c r="E13" s="4252"/>
      <c r="F13" s="4252"/>
      <c r="G13" s="4254" t="s">
        <v>3167</v>
      </c>
      <c r="H13" s="4254"/>
    </row>
    <row r="14" spans="1:11" ht="12" hidden="1" customHeight="1">
      <c r="A14" s="945"/>
      <c r="B14" s="4247"/>
      <c r="C14" s="4247"/>
      <c r="D14" s="4247"/>
      <c r="E14" s="4247"/>
      <c r="F14" s="4247"/>
      <c r="G14" s="4247"/>
      <c r="H14" s="4247"/>
    </row>
    <row r="15" spans="1:11" ht="1.5" customHeight="1"/>
    <row r="16" spans="1:11" ht="12" customHeight="1">
      <c r="A16" s="945" t="s">
        <v>749</v>
      </c>
      <c r="B16" s="864" t="s">
        <v>3339</v>
      </c>
      <c r="F16" s="937"/>
      <c r="G16" s="4230" t="s">
        <v>2993</v>
      </c>
      <c r="H16" s="4230"/>
    </row>
    <row r="17" spans="1:8" ht="1.5" customHeight="1">
      <c r="G17" s="919"/>
    </row>
    <row r="18" spans="1:8" ht="12" customHeight="1">
      <c r="A18" s="945" t="s">
        <v>2115</v>
      </c>
      <c r="B18" s="913" t="s">
        <v>3336</v>
      </c>
      <c r="C18" s="945"/>
      <c r="D18" s="945"/>
      <c r="E18" s="945"/>
      <c r="G18" s="4247" t="s">
        <v>2824</v>
      </c>
      <c r="H18" s="4247"/>
    </row>
    <row r="19" spans="1:8" ht="12" hidden="1" customHeight="1">
      <c r="B19" s="4247"/>
      <c r="C19" s="4247"/>
      <c r="D19" s="4247"/>
      <c r="E19" s="4247"/>
      <c r="F19" s="4247"/>
      <c r="G19" s="4247"/>
      <c r="H19" s="4247"/>
    </row>
    <row r="20" spans="1:8" ht="13.5" customHeight="1"/>
    <row r="21" spans="1:8" ht="12" customHeight="1">
      <c r="A21" s="801" t="s">
        <v>3242</v>
      </c>
    </row>
    <row r="22" spans="1:8" ht="3" customHeight="1"/>
    <row r="23" spans="1:8" ht="26.25" customHeight="1">
      <c r="A23" s="4250" t="s">
        <v>3338</v>
      </c>
      <c r="B23" s="4250"/>
      <c r="C23" s="4250"/>
      <c r="D23" s="4250"/>
      <c r="E23" s="4250"/>
      <c r="F23" s="4250"/>
      <c r="G23" s="4250"/>
      <c r="H23" s="4250"/>
    </row>
    <row r="24" spans="1:8" ht="26.25" customHeight="1">
      <c r="A24" s="4251" t="s">
        <v>3243</v>
      </c>
      <c r="B24" s="4251"/>
      <c r="C24" s="4251"/>
      <c r="D24" s="4251"/>
      <c r="E24" s="4251"/>
      <c r="F24" s="4251"/>
      <c r="G24" s="4251"/>
      <c r="H24" s="4251"/>
    </row>
    <row r="25" spans="1:8" ht="9" customHeight="1">
      <c r="A25" s="886"/>
    </row>
    <row r="26" spans="1:8">
      <c r="A26" s="919" t="s">
        <v>3340</v>
      </c>
      <c r="B26" s="946"/>
      <c r="C26" s="919" t="s">
        <v>3341</v>
      </c>
      <c r="D26" s="947" t="s">
        <v>3528</v>
      </c>
    </row>
    <row r="27" spans="1:8" ht="6" customHeight="1"/>
    <row r="28" spans="1:8" ht="12.75" customHeight="1">
      <c r="C28" s="913" t="s">
        <v>3244</v>
      </c>
      <c r="D28" s="948" t="s">
        <v>1986</v>
      </c>
      <c r="E28" s="949"/>
      <c r="F28" s="4233" t="s">
        <v>3245</v>
      </c>
      <c r="G28" s="4233"/>
      <c r="H28" s="4233"/>
    </row>
    <row r="29" spans="1:8" ht="12.75" customHeight="1">
      <c r="C29" s="950" t="s">
        <v>1353</v>
      </c>
      <c r="D29" s="948" t="s">
        <v>1988</v>
      </c>
      <c r="E29" s="4233" t="s">
        <v>3345</v>
      </c>
      <c r="F29" s="4233"/>
      <c r="G29" s="4233"/>
      <c r="H29" s="4233"/>
    </row>
    <row r="30" spans="1:8" ht="12.75" customHeight="1">
      <c r="E30" s="4233" t="s">
        <v>3524</v>
      </c>
      <c r="F30" s="4233"/>
      <c r="G30" s="4233"/>
      <c r="H30" s="4233"/>
    </row>
    <row r="31" spans="1:8" ht="12.75" customHeight="1">
      <c r="D31" s="951" t="s">
        <v>3344</v>
      </c>
      <c r="E31" s="4233" t="s">
        <v>3525</v>
      </c>
      <c r="F31" s="4233"/>
      <c r="G31" s="4233"/>
      <c r="H31" s="4233"/>
    </row>
    <row r="32" spans="1:8" ht="3" customHeight="1">
      <c r="D32" s="948"/>
      <c r="E32" s="2188"/>
      <c r="F32" s="2188"/>
      <c r="G32" s="2188"/>
      <c r="H32" s="2188"/>
    </row>
    <row r="33" spans="1:11">
      <c r="A33" s="919" t="s">
        <v>3340</v>
      </c>
      <c r="B33" s="946"/>
      <c r="C33" s="919" t="s">
        <v>3342</v>
      </c>
      <c r="D33" s="947" t="s">
        <v>3529</v>
      </c>
    </row>
    <row r="34" spans="1:11" ht="4.5" customHeight="1"/>
    <row r="35" spans="1:11" ht="12.75" customHeight="1">
      <c r="C35" s="913" t="s">
        <v>3244</v>
      </c>
      <c r="D35" s="948" t="s">
        <v>1986</v>
      </c>
      <c r="E35" s="949"/>
      <c r="F35" s="4233" t="s">
        <v>3245</v>
      </c>
      <c r="G35" s="4233"/>
      <c r="H35" s="4233"/>
    </row>
    <row r="36" spans="1:11" ht="12.75" customHeight="1">
      <c r="C36" s="950" t="s">
        <v>1353</v>
      </c>
      <c r="D36" s="948" t="s">
        <v>1988</v>
      </c>
      <c r="E36" s="4233" t="s">
        <v>3346</v>
      </c>
      <c r="F36" s="4233"/>
      <c r="G36" s="4233"/>
      <c r="H36" s="4233"/>
    </row>
    <row r="37" spans="1:11" ht="12.75" customHeight="1">
      <c r="E37" s="4233" t="s">
        <v>3524</v>
      </c>
      <c r="F37" s="4233"/>
      <c r="G37" s="4233"/>
      <c r="H37" s="4233"/>
    </row>
    <row r="38" spans="1:11" ht="12.75" customHeight="1">
      <c r="D38" s="951" t="s">
        <v>3344</v>
      </c>
      <c r="E38" s="4233" t="s">
        <v>3525</v>
      </c>
      <c r="F38" s="4233"/>
      <c r="G38" s="4233"/>
      <c r="H38" s="4233"/>
    </row>
    <row r="39" spans="1:11" ht="3" customHeight="1">
      <c r="D39" s="948"/>
      <c r="E39" s="2188"/>
      <c r="F39" s="2188"/>
      <c r="G39" s="2188"/>
      <c r="H39" s="2188"/>
    </row>
    <row r="40" spans="1:11">
      <c r="A40" s="919" t="s">
        <v>3340</v>
      </c>
      <c r="B40" s="946"/>
      <c r="C40" s="919" t="s">
        <v>3343</v>
      </c>
      <c r="D40" s="947" t="s">
        <v>3530</v>
      </c>
    </row>
    <row r="41" spans="1:11" ht="4.5" customHeight="1"/>
    <row r="42" spans="1:11" ht="12.75" customHeight="1">
      <c r="C42" s="913" t="s">
        <v>3244</v>
      </c>
      <c r="D42" s="948" t="s">
        <v>1986</v>
      </c>
      <c r="E42" s="949"/>
      <c r="F42" s="4233" t="s">
        <v>3245</v>
      </c>
      <c r="G42" s="4233"/>
      <c r="H42" s="4233"/>
      <c r="K42" s="864" t="s">
        <v>243</v>
      </c>
    </row>
    <row r="43" spans="1:11" ht="12.75" customHeight="1">
      <c r="C43" s="950" t="s">
        <v>1353</v>
      </c>
      <c r="D43" s="948" t="s">
        <v>1988</v>
      </c>
      <c r="E43" s="4233" t="s">
        <v>3346</v>
      </c>
      <c r="F43" s="4233"/>
      <c r="G43" s="4233"/>
      <c r="H43" s="4233"/>
    </row>
    <row r="44" spans="1:11" ht="12.75" customHeight="1">
      <c r="E44" s="4233" t="s">
        <v>3524</v>
      </c>
      <c r="F44" s="4233"/>
      <c r="G44" s="4233"/>
      <c r="H44" s="4233"/>
    </row>
    <row r="45" spans="1:11" ht="12.75" customHeight="1">
      <c r="D45" s="951" t="s">
        <v>3344</v>
      </c>
      <c r="E45" s="4233" t="s">
        <v>3525</v>
      </c>
      <c r="F45" s="4233"/>
      <c r="G45" s="4233"/>
      <c r="H45" s="4233"/>
    </row>
    <row r="46" spans="1:11" ht="9" customHeight="1"/>
    <row r="47" spans="1:11" ht="7.5" customHeight="1">
      <c r="E47" s="4233"/>
      <c r="F47" s="4233"/>
      <c r="G47" s="4233"/>
      <c r="H47" s="4233"/>
    </row>
    <row r="48" spans="1:11" ht="24.75" customHeight="1">
      <c r="A48" s="4249" t="s">
        <v>4242</v>
      </c>
      <c r="B48" s="4249"/>
      <c r="C48" s="4249"/>
      <c r="D48" s="4249"/>
      <c r="E48" s="4249"/>
      <c r="F48" s="4249"/>
      <c r="G48" s="4249"/>
      <c r="H48" s="4249"/>
    </row>
    <row r="49" spans="1:11" ht="9" customHeight="1"/>
    <row r="50" spans="1:11" ht="26.25" customHeight="1">
      <c r="A50" s="4250" t="s">
        <v>3526</v>
      </c>
      <c r="B50" s="4250"/>
      <c r="C50" s="4250"/>
      <c r="D50" s="4250"/>
      <c r="E50" s="4250"/>
      <c r="F50" s="4250"/>
      <c r="G50" s="4250"/>
      <c r="H50" s="4250"/>
    </row>
    <row r="51" spans="1:11" ht="9" customHeight="1">
      <c r="A51" s="886"/>
    </row>
    <row r="52" spans="1:11">
      <c r="A52" s="919" t="s">
        <v>3340</v>
      </c>
      <c r="B52" s="946"/>
      <c r="C52" s="919" t="s">
        <v>3341</v>
      </c>
      <c r="D52" s="947" t="s">
        <v>3527</v>
      </c>
    </row>
    <row r="53" spans="1:11" ht="4.5" customHeight="1"/>
    <row r="54" spans="1:11" ht="12.75" customHeight="1">
      <c r="C54" s="913" t="s">
        <v>3244</v>
      </c>
      <c r="D54" s="948" t="s">
        <v>1986</v>
      </c>
      <c r="E54" s="949"/>
      <c r="F54" s="4233" t="s">
        <v>3245</v>
      </c>
      <c r="G54" s="4233"/>
      <c r="H54" s="4233"/>
    </row>
    <row r="55" spans="1:11" ht="12.75" customHeight="1">
      <c r="C55" s="950" t="s">
        <v>1353</v>
      </c>
      <c r="D55" s="948" t="s">
        <v>1988</v>
      </c>
      <c r="E55" s="4233" t="s">
        <v>3533</v>
      </c>
      <c r="F55" s="4233"/>
      <c r="G55" s="4233"/>
      <c r="H55" s="4233"/>
    </row>
    <row r="56" spans="1:11" ht="3" customHeight="1">
      <c r="D56" s="948"/>
      <c r="E56" s="2188"/>
      <c r="F56" s="2188"/>
      <c r="G56" s="2188"/>
      <c r="H56" s="2188"/>
    </row>
    <row r="57" spans="1:11">
      <c r="A57" s="919" t="s">
        <v>3340</v>
      </c>
      <c r="B57" s="946"/>
      <c r="C57" s="919" t="s">
        <v>3342</v>
      </c>
      <c r="D57" s="947" t="s">
        <v>3531</v>
      </c>
    </row>
    <row r="58" spans="1:11" ht="4.5" customHeight="1"/>
    <row r="59" spans="1:11">
      <c r="C59" s="913" t="s">
        <v>3244</v>
      </c>
      <c r="D59" s="948" t="s">
        <v>1986</v>
      </c>
      <c r="E59" s="949"/>
      <c r="F59" s="4233" t="s">
        <v>3245</v>
      </c>
      <c r="G59" s="4233"/>
      <c r="H59" s="4233"/>
    </row>
    <row r="60" spans="1:11" ht="12.75" customHeight="1">
      <c r="C60" s="950" t="s">
        <v>1353</v>
      </c>
      <c r="D60" s="948" t="s">
        <v>1988</v>
      </c>
      <c r="E60" s="4233" t="s">
        <v>3533</v>
      </c>
      <c r="F60" s="4233"/>
      <c r="G60" s="4233"/>
      <c r="H60" s="4233"/>
    </row>
    <row r="61" spans="1:11" ht="3" customHeight="1">
      <c r="D61" s="948"/>
      <c r="E61" s="2188"/>
      <c r="F61" s="2188"/>
      <c r="G61" s="2188"/>
      <c r="H61" s="2188"/>
    </row>
    <row r="62" spans="1:11">
      <c r="A62" s="919" t="s">
        <v>3340</v>
      </c>
      <c r="B62" s="946"/>
      <c r="C62" s="919" t="s">
        <v>3343</v>
      </c>
      <c r="D62" s="947" t="s">
        <v>3532</v>
      </c>
    </row>
    <row r="63" spans="1:11" ht="4.5" customHeight="1"/>
    <row r="64" spans="1:11">
      <c r="C64" s="913" t="s">
        <v>3244</v>
      </c>
      <c r="D64" s="948" t="s">
        <v>1986</v>
      </c>
      <c r="E64" s="949"/>
      <c r="F64" s="4233" t="s">
        <v>3245</v>
      </c>
      <c r="G64" s="4233"/>
      <c r="H64" s="4233"/>
      <c r="K64" s="864" t="s">
        <v>243</v>
      </c>
    </row>
    <row r="65" spans="3:8" ht="12.75" customHeight="1">
      <c r="C65" s="950" t="s">
        <v>1353</v>
      </c>
      <c r="D65" s="948" t="s">
        <v>1988</v>
      </c>
      <c r="E65" s="4233" t="s">
        <v>3533</v>
      </c>
      <c r="F65" s="4233"/>
      <c r="G65" s="4233"/>
      <c r="H65" s="4233"/>
    </row>
    <row r="66" spans="3:8" ht="7.5" customHeight="1">
      <c r="E66" s="4233"/>
      <c r="F66" s="4233"/>
      <c r="G66" s="4233"/>
      <c r="H66" s="4233"/>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2207" customWidth="1"/>
    <col min="2" max="2" width="12.42578125" style="2207" customWidth="1"/>
    <col min="3" max="3" width="12.140625" style="2207" customWidth="1"/>
    <col min="4" max="4" width="9.85546875" style="2207" customWidth="1"/>
    <col min="5" max="5" width="10.42578125" style="2207" customWidth="1"/>
    <col min="6" max="6" width="9.140625" style="2207"/>
    <col min="7" max="7" width="11" style="2207" customWidth="1"/>
    <col min="8" max="8" width="14.42578125" style="2207" customWidth="1"/>
    <col min="9" max="9" width="10.140625" style="2207" customWidth="1"/>
    <col min="10" max="16384" width="9.140625" style="2207"/>
  </cols>
  <sheetData>
    <row r="1" spans="2:13" ht="15.75">
      <c r="B1" s="4270" t="s">
        <v>4281</v>
      </c>
      <c r="C1" s="4270"/>
      <c r="D1" s="4270"/>
      <c r="E1" s="4270"/>
      <c r="F1" s="4270"/>
      <c r="G1" s="4270"/>
      <c r="H1" s="4270"/>
      <c r="I1" s="4270"/>
    </row>
    <row r="2" spans="2:13" ht="15">
      <c r="B2" s="2208" t="s">
        <v>4269</v>
      </c>
      <c r="C2" s="912"/>
      <c r="D2" s="912"/>
      <c r="E2" s="912"/>
      <c r="F2" s="912"/>
      <c r="G2" s="912"/>
      <c r="H2" s="912"/>
      <c r="I2" s="912"/>
    </row>
    <row r="3" spans="2:13" ht="14.25">
      <c r="B3" s="2209" t="s">
        <v>4276</v>
      </c>
      <c r="C3" s="912"/>
      <c r="D3" s="912"/>
      <c r="E3" s="912"/>
      <c r="F3" s="912"/>
      <c r="G3" s="912"/>
      <c r="H3" s="912"/>
      <c r="I3" s="912"/>
    </row>
    <row r="4" spans="2:13">
      <c r="B4" s="4271" t="s">
        <v>3246</v>
      </c>
      <c r="C4" s="4271"/>
      <c r="D4" s="4271"/>
      <c r="E4" s="4277" t="s">
        <v>3247</v>
      </c>
      <c r="F4" s="4279"/>
      <c r="G4" s="4277" t="s">
        <v>617</v>
      </c>
      <c r="H4" s="4278"/>
      <c r="I4" s="4279"/>
      <c r="J4" s="2202" t="s">
        <v>3091</v>
      </c>
      <c r="K4" s="2202"/>
      <c r="L4" s="2210"/>
      <c r="M4" s="2210"/>
    </row>
    <row r="5" spans="2:13">
      <c r="B5" s="4272" t="str">
        <f>'Closing term sheet'!C8</f>
        <v>Stone Terrace II GA LLC</v>
      </c>
      <c r="C5" s="4273"/>
      <c r="D5" s="4273"/>
      <c r="E5" s="4283"/>
      <c r="F5" s="4284"/>
      <c r="G5" s="4280" t="str">
        <f>'Closing term sheet'!C28</f>
        <v>Stone Terrace Phase II</v>
      </c>
      <c r="H5" s="4281"/>
      <c r="I5" s="4282"/>
      <c r="K5" s="864"/>
    </row>
    <row r="6" spans="2:13" ht="4.5" customHeight="1">
      <c r="D6" s="2211"/>
      <c r="E6" s="2211"/>
      <c r="F6" s="2211"/>
      <c r="G6" s="2211"/>
      <c r="H6" s="2211"/>
      <c r="I6" s="2211"/>
      <c r="K6" s="864"/>
    </row>
    <row r="7" spans="2:13">
      <c r="B7" s="4274" t="s">
        <v>3248</v>
      </c>
      <c r="C7" s="4274"/>
      <c r="D7" s="2212"/>
      <c r="E7" s="2212"/>
      <c r="F7" s="2212"/>
      <c r="G7" s="2212"/>
      <c r="H7" s="4275" t="str">
        <f>'Preview term'!E9</f>
        <v>84-3444032</v>
      </c>
      <c r="I7" s="4276"/>
    </row>
    <row r="8" spans="2:13" ht="4.5" customHeight="1">
      <c r="B8" s="2212"/>
      <c r="C8" s="2212"/>
      <c r="D8" s="2212"/>
      <c r="E8" s="2212"/>
      <c r="F8" s="2212"/>
      <c r="G8" s="2212"/>
      <c r="H8" s="2212"/>
      <c r="I8" s="2212"/>
      <c r="J8" s="2212"/>
    </row>
    <row r="9" spans="2:13">
      <c r="B9" s="2213" t="s">
        <v>3249</v>
      </c>
      <c r="C9" s="2213"/>
      <c r="D9" s="2212"/>
      <c r="E9" s="921" t="s">
        <v>4271</v>
      </c>
      <c r="F9" s="2212"/>
      <c r="G9" s="2212"/>
      <c r="H9" s="2212"/>
      <c r="I9" s="2214" t="str">
        <f>'Closing term sheet'!D12</f>
        <v>&lt;&lt;Select&gt;&gt;</v>
      </c>
    </row>
    <row r="10" spans="2:13" ht="7.5" customHeight="1">
      <c r="B10" s="2212"/>
      <c r="C10" s="2212"/>
      <c r="D10" s="2212"/>
      <c r="E10" s="2212"/>
      <c r="F10" s="2212"/>
      <c r="G10" s="2212"/>
      <c r="H10" s="2212"/>
      <c r="I10" s="2212"/>
    </row>
    <row r="11" spans="2:13" ht="14.25">
      <c r="B11" s="2215" t="s">
        <v>4268</v>
      </c>
      <c r="C11" s="2212"/>
      <c r="D11" s="2216"/>
      <c r="E11" s="2212"/>
      <c r="F11" s="2212"/>
      <c r="G11" s="2212"/>
      <c r="H11" s="2212"/>
      <c r="I11" s="2212"/>
    </row>
    <row r="12" spans="2:13">
      <c r="B12" s="2217" t="s">
        <v>3250</v>
      </c>
      <c r="C12" s="2218"/>
      <c r="D12" s="2218"/>
      <c r="E12" s="2218"/>
      <c r="F12" s="2218"/>
      <c r="G12" s="2218"/>
      <c r="H12" s="2218"/>
      <c r="I12" s="2219" t="s">
        <v>1771</v>
      </c>
    </row>
    <row r="13" spans="2:13">
      <c r="B13" s="2220"/>
      <c r="C13" s="2221"/>
      <c r="D13" s="2212"/>
      <c r="E13" s="921" t="s">
        <v>3251</v>
      </c>
      <c r="F13" s="2212"/>
      <c r="G13" s="2212"/>
      <c r="H13" s="2212"/>
      <c r="I13" s="2222"/>
    </row>
    <row r="14" spans="2:13" ht="7.5" customHeight="1">
      <c r="B14" s="2223"/>
      <c r="C14" s="2212"/>
      <c r="D14" s="2212"/>
      <c r="E14" s="2212"/>
      <c r="F14" s="2216"/>
      <c r="G14" s="2212"/>
      <c r="H14" s="2212"/>
      <c r="I14" s="2222"/>
    </row>
    <row r="15" spans="2:13">
      <c r="B15" s="2223" t="s">
        <v>3347</v>
      </c>
      <c r="C15" s="2212"/>
      <c r="D15" s="2212"/>
      <c r="E15" s="2212"/>
      <c r="F15" s="941"/>
      <c r="G15" s="2212"/>
      <c r="H15" s="2212"/>
      <c r="I15" s="2224"/>
    </row>
    <row r="16" spans="2:13">
      <c r="B16" s="2225" t="s">
        <v>4272</v>
      </c>
      <c r="C16" s="2212"/>
      <c r="D16" s="2212"/>
      <c r="E16" s="2226" t="s">
        <v>3442</v>
      </c>
      <c r="F16" s="2212"/>
      <c r="G16" s="2212"/>
      <c r="H16" s="2212"/>
      <c r="I16" s="2224"/>
    </row>
    <row r="17" spans="2:9" ht="7.5" customHeight="1">
      <c r="B17" s="2220"/>
      <c r="C17" s="2212"/>
      <c r="D17" s="2212"/>
      <c r="E17" s="2212"/>
      <c r="F17" s="2212"/>
      <c r="G17" s="2212"/>
      <c r="H17" s="2212"/>
      <c r="I17" s="2222"/>
    </row>
    <row r="18" spans="2:9">
      <c r="B18" s="2223" t="s">
        <v>3252</v>
      </c>
      <c r="C18" s="2212"/>
      <c r="D18" s="2212"/>
      <c r="E18" s="2212"/>
      <c r="F18" s="2212"/>
      <c r="G18" s="2212"/>
      <c r="H18" s="2212"/>
      <c r="I18" s="2227" t="s">
        <v>1771</v>
      </c>
    </row>
    <row r="19" spans="2:9">
      <c r="B19" s="2228" t="s">
        <v>4273</v>
      </c>
      <c r="C19" s="2212"/>
      <c r="D19" s="2212"/>
      <c r="E19" s="2212"/>
      <c r="F19" s="2212"/>
      <c r="G19" s="2212"/>
      <c r="H19" s="2212"/>
      <c r="I19" s="2229"/>
    </row>
    <row r="20" spans="2:9" ht="7.5" customHeight="1">
      <c r="B20" s="2223"/>
      <c r="C20" s="2212"/>
      <c r="D20" s="2212"/>
      <c r="E20" s="2212"/>
      <c r="F20" s="2212"/>
      <c r="G20" s="2212"/>
      <c r="H20" s="2212"/>
      <c r="I20" s="2229"/>
    </row>
    <row r="21" spans="2:9">
      <c r="B21" s="2223" t="s">
        <v>4270</v>
      </c>
      <c r="C21" s="2212"/>
      <c r="D21" s="2212"/>
      <c r="E21" s="2212"/>
      <c r="F21" s="2212"/>
      <c r="G21" s="2212"/>
      <c r="H21" s="2212"/>
      <c r="I21" s="2224"/>
    </row>
    <row r="22" spans="2:9">
      <c r="B22" s="2228" t="s">
        <v>4274</v>
      </c>
      <c r="C22" s="2212"/>
      <c r="D22" s="2212"/>
      <c r="E22" s="2212"/>
      <c r="F22" s="2212"/>
      <c r="G22" s="2212"/>
      <c r="H22" s="2212"/>
      <c r="I22" s="2229"/>
    </row>
    <row r="23" spans="2:9" ht="3" customHeight="1">
      <c r="B23" s="2230"/>
      <c r="C23" s="2231"/>
      <c r="D23" s="2231"/>
      <c r="E23" s="2231"/>
      <c r="F23" s="2231"/>
      <c r="G23" s="2231"/>
      <c r="H23" s="2231"/>
      <c r="I23" s="2232"/>
    </row>
    <row r="24" spans="2:9" ht="7.5" customHeight="1">
      <c r="B24" s="2212"/>
      <c r="C24" s="2212"/>
      <c r="D24" s="2212"/>
      <c r="E24" s="2212"/>
      <c r="F24" s="2212"/>
      <c r="G24" s="2212"/>
      <c r="H24" s="2212"/>
      <c r="I24" s="2212"/>
    </row>
    <row r="25" spans="2:9" ht="15" customHeight="1">
      <c r="B25" s="2215" t="s">
        <v>4275</v>
      </c>
      <c r="C25" s="2212"/>
      <c r="D25" s="2212"/>
      <c r="E25" s="2212"/>
      <c r="F25" s="2212"/>
      <c r="G25" s="2212"/>
      <c r="H25" s="2212"/>
      <c r="I25" s="2212"/>
    </row>
    <row r="26" spans="2:9" ht="3" customHeight="1">
      <c r="B26" s="2233"/>
      <c r="C26" s="2218"/>
      <c r="D26" s="2218"/>
      <c r="E26" s="2218"/>
      <c r="F26" s="2218"/>
      <c r="G26" s="2218"/>
      <c r="H26" s="2218"/>
      <c r="I26" s="2234"/>
    </row>
    <row r="27" spans="2:9">
      <c r="B27" s="2223" t="s">
        <v>3253</v>
      </c>
      <c r="C27" s="2212"/>
      <c r="D27" s="2235">
        <v>2</v>
      </c>
      <c r="F27" s="2212"/>
      <c r="G27" s="941" t="s">
        <v>3254</v>
      </c>
      <c r="H27" s="2212"/>
      <c r="I27" s="2236">
        <v>2</v>
      </c>
    </row>
    <row r="28" spans="2:9">
      <c r="B28" s="2220"/>
      <c r="C28" s="2226" t="s">
        <v>3255</v>
      </c>
      <c r="D28" s="2237"/>
      <c r="E28" s="2237"/>
      <c r="F28" s="2237"/>
      <c r="H28" s="2237" t="s">
        <v>3256</v>
      </c>
      <c r="I28" s="2222"/>
    </row>
    <row r="29" spans="2:9">
      <c r="B29" s="2220"/>
      <c r="C29" s="2226" t="s">
        <v>3257</v>
      </c>
      <c r="D29" s="2237"/>
      <c r="E29" s="2237"/>
      <c r="F29" s="2237"/>
      <c r="H29" s="2237" t="s">
        <v>3258</v>
      </c>
      <c r="I29" s="2222"/>
    </row>
    <row r="30" spans="2:9">
      <c r="B30" s="2220"/>
      <c r="C30" s="2226" t="s">
        <v>3259</v>
      </c>
      <c r="D30" s="2237"/>
      <c r="E30" s="2237"/>
      <c r="F30" s="2237"/>
      <c r="H30" s="2237" t="s">
        <v>3260</v>
      </c>
      <c r="I30" s="2222"/>
    </row>
    <row r="31" spans="2:9" ht="3" customHeight="1">
      <c r="B31" s="2230"/>
      <c r="C31" s="2231"/>
      <c r="D31" s="2231"/>
      <c r="E31" s="2231"/>
      <c r="F31" s="2231"/>
      <c r="G31" s="2231"/>
      <c r="H31" s="2231"/>
      <c r="I31" s="2232"/>
    </row>
    <row r="32" spans="2:9" ht="7.5" customHeight="1"/>
    <row r="33" spans="2:9" ht="15" customHeight="1">
      <c r="B33" s="860" t="s">
        <v>4277</v>
      </c>
    </row>
    <row r="34" spans="2:9" ht="3" customHeight="1">
      <c r="B34" s="2233"/>
      <c r="C34" s="2218"/>
      <c r="D34" s="2218"/>
      <c r="E34" s="2218"/>
      <c r="F34" s="2218"/>
      <c r="G34" s="2218"/>
      <c r="H34" s="2218"/>
      <c r="I34" s="2234"/>
    </row>
    <row r="35" spans="2:9">
      <c r="B35" s="2223" t="s">
        <v>4280</v>
      </c>
      <c r="C35" s="2212"/>
      <c r="D35" s="2212"/>
      <c r="F35" s="2238"/>
      <c r="H35" s="4255" t="s">
        <v>4289</v>
      </c>
      <c r="I35" s="4256"/>
    </row>
    <row r="36" spans="2:9">
      <c r="B36" s="2239" t="s">
        <v>4288</v>
      </c>
      <c r="C36" s="2237"/>
      <c r="D36" s="2237"/>
      <c r="E36" s="2212"/>
      <c r="F36" s="2668"/>
      <c r="G36" s="2240"/>
      <c r="H36" s="4255"/>
      <c r="I36" s="4256"/>
    </row>
    <row r="37" spans="2:9">
      <c r="B37" s="2239" t="s">
        <v>4286</v>
      </c>
      <c r="D37" s="2237"/>
      <c r="E37" s="2212"/>
      <c r="F37" s="2669"/>
      <c r="G37" s="2240"/>
      <c r="H37" s="4255"/>
      <c r="I37" s="4256"/>
    </row>
    <row r="38" spans="2:9">
      <c r="B38" s="2239" t="s">
        <v>4287</v>
      </c>
      <c r="D38" s="2212"/>
      <c r="E38" s="2212"/>
      <c r="F38" s="2669"/>
      <c r="G38" s="2240"/>
      <c r="H38" s="2240"/>
      <c r="I38" s="2241"/>
    </row>
    <row r="39" spans="2:9" ht="12.75" customHeight="1">
      <c r="B39" s="2239" t="s">
        <v>4285</v>
      </c>
      <c r="C39" s="2212"/>
      <c r="D39" s="2212"/>
      <c r="E39" s="2212"/>
      <c r="F39" s="2669"/>
      <c r="G39" s="2240"/>
      <c r="H39" s="2240"/>
      <c r="I39" s="2241"/>
    </row>
    <row r="40" spans="2:9">
      <c r="B40" s="2242" t="s">
        <v>4284</v>
      </c>
      <c r="C40" s="2243"/>
      <c r="D40" s="2244"/>
      <c r="E40" s="2245"/>
      <c r="F40" s="2669"/>
      <c r="G40" s="2245"/>
      <c r="H40" s="2667"/>
      <c r="I40" s="2222"/>
    </row>
    <row r="41" spans="2:9">
      <c r="B41" s="2242" t="s">
        <v>4283</v>
      </c>
      <c r="C41" s="2243"/>
      <c r="D41" s="2244"/>
      <c r="E41" s="2212"/>
      <c r="F41" s="2669"/>
      <c r="G41" s="2212"/>
      <c r="H41" s="2212"/>
      <c r="I41" s="2222"/>
    </row>
    <row r="42" spans="2:9">
      <c r="B42" s="2246" t="s">
        <v>4282</v>
      </c>
      <c r="C42" s="2247"/>
      <c r="D42" s="2247"/>
      <c r="E42" s="2212"/>
      <c r="F42" s="2670"/>
      <c r="G42" s="2212"/>
      <c r="H42" s="2212"/>
      <c r="I42" s="2222"/>
    </row>
    <row r="43" spans="2:9" ht="3" customHeight="1">
      <c r="B43" s="2230"/>
      <c r="C43" s="2231"/>
      <c r="D43" s="2231"/>
      <c r="E43" s="2231"/>
      <c r="F43" s="2231"/>
      <c r="G43" s="2231"/>
      <c r="H43" s="2231"/>
      <c r="I43" s="2232"/>
    </row>
    <row r="44" spans="2:9" ht="7.5" customHeight="1"/>
    <row r="45" spans="2:9" ht="15" customHeight="1">
      <c r="B45" s="860" t="s">
        <v>4279</v>
      </c>
    </row>
    <row r="46" spans="2:9" ht="3" customHeight="1">
      <c r="B46" s="2233"/>
      <c r="C46" s="2218"/>
      <c r="D46" s="2218"/>
      <c r="E46" s="2218"/>
      <c r="F46" s="2218"/>
      <c r="G46" s="2218"/>
      <c r="H46" s="2218"/>
      <c r="I46" s="2234"/>
    </row>
    <row r="47" spans="2:9" ht="18">
      <c r="B47" s="2223" t="s">
        <v>4278</v>
      </c>
      <c r="C47" s="2212"/>
      <c r="D47" s="2248"/>
      <c r="E47" s="2249" t="str">
        <f>Overview!H7</f>
        <v>New Construction</v>
      </c>
      <c r="F47" s="888" t="s">
        <v>4290</v>
      </c>
      <c r="H47" s="2212"/>
      <c r="I47" s="2222"/>
    </row>
    <row r="48" spans="2:9">
      <c r="B48" s="2228" t="s">
        <v>3261</v>
      </c>
      <c r="C48" s="2237"/>
      <c r="D48" s="2237" t="s">
        <v>3262</v>
      </c>
      <c r="E48" s="2212"/>
      <c r="F48" s="4264" t="str">
        <f>'Closing term sheet'!$C$30</f>
        <v>6659 Chupp Road</v>
      </c>
      <c r="G48" s="4265"/>
      <c r="H48" s="4265"/>
      <c r="I48" s="4266"/>
    </row>
    <row r="49" spans="2:9">
      <c r="B49" s="2228" t="s">
        <v>3263</v>
      </c>
      <c r="D49" s="2237" t="s">
        <v>3264</v>
      </c>
      <c r="E49" s="2212"/>
      <c r="F49" s="4267"/>
      <c r="G49" s="4268"/>
      <c r="H49" s="4268"/>
      <c r="I49" s="4269"/>
    </row>
    <row r="50" spans="2:9">
      <c r="B50" s="2228" t="s">
        <v>3265</v>
      </c>
      <c r="D50" s="2212"/>
      <c r="E50" s="2212"/>
      <c r="F50" s="2250"/>
      <c r="G50" s="2251"/>
      <c r="H50" s="2251"/>
      <c r="I50" s="2252"/>
    </row>
    <row r="51" spans="2:9" ht="7.5" customHeight="1">
      <c r="B51" s="2220"/>
      <c r="C51" s="2212"/>
      <c r="D51" s="2212"/>
      <c r="E51" s="2212"/>
      <c r="F51" s="2212"/>
      <c r="G51" s="2212"/>
      <c r="H51" s="2212"/>
      <c r="I51" s="2222"/>
    </row>
    <row r="52" spans="2:9">
      <c r="B52" s="2253" t="s">
        <v>4291</v>
      </c>
      <c r="C52" s="4287" t="str">
        <f>'Part I-Project Information'!F38</f>
        <v>Stonecrest</v>
      </c>
      <c r="D52" s="4288"/>
      <c r="E52" s="2254" t="s">
        <v>4292</v>
      </c>
      <c r="F52" s="2214" t="s">
        <v>848</v>
      </c>
      <c r="G52" s="2254" t="s">
        <v>4293</v>
      </c>
      <c r="H52" s="2255">
        <f>'Part I-Project Information'!J38</f>
        <v>300587633</v>
      </c>
      <c r="I52" s="2222"/>
    </row>
    <row r="53" spans="2:9">
      <c r="B53" s="2253" t="s">
        <v>4455</v>
      </c>
      <c r="D53" s="2256" t="e">
        <f>VLOOKUP("='Part I-Project Information'!$J$39",'DCA Underwriting Assumptions'!$G$158:$O$317,9)</f>
        <v>#N/A</v>
      </c>
      <c r="I53" s="2222"/>
    </row>
    <row r="54" spans="2:9">
      <c r="B54" s="2253" t="s">
        <v>4456</v>
      </c>
      <c r="D54" s="2212"/>
      <c r="E54" s="2212"/>
      <c r="F54" s="2212"/>
      <c r="G54" s="2212"/>
      <c r="I54" s="2222"/>
    </row>
    <row r="55" spans="2:9">
      <c r="B55" s="2246" t="s">
        <v>4457</v>
      </c>
      <c r="D55" s="2257">
        <f>'Closing term sheet'!$D$33</f>
        <v>84</v>
      </c>
      <c r="E55" s="2258"/>
      <c r="F55" s="921" t="s">
        <v>3266</v>
      </c>
      <c r="G55" s="2212"/>
      <c r="H55" s="2212"/>
      <c r="I55" s="2222"/>
    </row>
    <row r="56" spans="2:9">
      <c r="B56" s="2246" t="s">
        <v>4459</v>
      </c>
      <c r="D56" s="2259">
        <f>'Closing term sheet'!$D$62</f>
        <v>6865000</v>
      </c>
      <c r="E56" s="2260"/>
      <c r="F56" s="921" t="s">
        <v>3267</v>
      </c>
      <c r="G56" s="2212"/>
      <c r="H56" s="2212"/>
      <c r="I56" s="2222"/>
    </row>
    <row r="57" spans="2:9">
      <c r="B57" s="2239" t="s">
        <v>4458</v>
      </c>
      <c r="D57" s="2261"/>
      <c r="F57" s="921" t="s">
        <v>3268</v>
      </c>
      <c r="G57" s="2212"/>
      <c r="H57" s="2212"/>
      <c r="I57" s="2222"/>
    </row>
    <row r="58" spans="2:9" ht="7.5" customHeight="1">
      <c r="B58" s="2230"/>
      <c r="C58" s="2231"/>
      <c r="D58" s="2231"/>
      <c r="E58" s="2231"/>
      <c r="F58" s="2231"/>
      <c r="G58" s="2231"/>
      <c r="H58" s="2231"/>
      <c r="I58" s="2232"/>
    </row>
    <row r="59" spans="2:9" ht="15" customHeight="1"/>
    <row r="60" spans="2:9" ht="7.5" customHeight="1">
      <c r="B60" s="2233"/>
      <c r="C60" s="2218"/>
      <c r="D60" s="2218"/>
      <c r="E60" s="2218"/>
      <c r="F60" s="2218"/>
      <c r="G60" s="2218"/>
      <c r="H60" s="2218"/>
      <c r="I60" s="2234"/>
    </row>
    <row r="61" spans="2:9">
      <c r="B61" s="4292" t="s">
        <v>3269</v>
      </c>
      <c r="C61" s="4293"/>
      <c r="D61" s="4293"/>
      <c r="E61" s="4293"/>
      <c r="F61" s="4293"/>
      <c r="G61" s="4293"/>
      <c r="H61" s="4293"/>
      <c r="I61" s="4294"/>
    </row>
    <row r="62" spans="2:9" ht="7.5" customHeight="1">
      <c r="B62" s="4289"/>
      <c r="C62" s="4290"/>
      <c r="D62" s="4290"/>
      <c r="E62" s="2212"/>
      <c r="F62" s="2212"/>
      <c r="G62" s="2262"/>
      <c r="H62" s="2212"/>
      <c r="I62" s="2222"/>
    </row>
    <row r="63" spans="2:9">
      <c r="B63" s="2263" t="s">
        <v>3271</v>
      </c>
      <c r="C63" s="2212"/>
      <c r="D63" s="2257">
        <v>4</v>
      </c>
      <c r="F63" s="2212"/>
      <c r="G63" s="4274" t="s">
        <v>3270</v>
      </c>
      <c r="H63" s="4274"/>
      <c r="I63" s="4291"/>
    </row>
    <row r="64" spans="2:9">
      <c r="B64" s="2220"/>
      <c r="C64" s="2237" t="s">
        <v>3274</v>
      </c>
      <c r="D64" s="2237" t="s">
        <v>3275</v>
      </c>
      <c r="F64" s="2212"/>
      <c r="G64" s="933" t="s">
        <v>3272</v>
      </c>
      <c r="H64" s="2212"/>
      <c r="I64" s="2264">
        <f>'Closing term sheet'!$D$35</f>
        <v>84</v>
      </c>
    </row>
    <row r="65" spans="2:9">
      <c r="B65" s="2220"/>
      <c r="C65" s="2237" t="s">
        <v>3276</v>
      </c>
      <c r="D65" s="2237" t="s">
        <v>3277</v>
      </c>
      <c r="F65" s="2212"/>
      <c r="G65" s="2265" t="s">
        <v>3273</v>
      </c>
      <c r="H65" s="2212"/>
      <c r="I65" s="2264">
        <f>C42</f>
        <v>0</v>
      </c>
    </row>
    <row r="66" spans="2:9">
      <c r="B66" s="2228"/>
      <c r="C66" s="2237" t="s">
        <v>3278</v>
      </c>
      <c r="D66" s="2212"/>
      <c r="E66" s="2237"/>
      <c r="F66" s="2212"/>
      <c r="H66" s="2212"/>
      <c r="I66" s="2266"/>
    </row>
    <row r="67" spans="2:9" ht="7.5" customHeight="1">
      <c r="B67" s="2230"/>
      <c r="C67" s="2231"/>
      <c r="D67" s="2231"/>
      <c r="E67" s="2231"/>
      <c r="F67" s="2231"/>
      <c r="G67" s="2231"/>
      <c r="H67" s="2231"/>
      <c r="I67" s="2232"/>
    </row>
    <row r="68" spans="2:9" ht="15" customHeight="1">
      <c r="B68" s="2212"/>
      <c r="C68" s="2212"/>
      <c r="D68" s="2212"/>
      <c r="E68" s="2212"/>
      <c r="F68" s="2212"/>
      <c r="G68" s="2212"/>
      <c r="H68" s="2212"/>
      <c r="I68" s="2212"/>
    </row>
    <row r="69" spans="2:9" ht="7.5" customHeight="1">
      <c r="B69" s="2233"/>
      <c r="C69" s="2218"/>
      <c r="D69" s="2218"/>
      <c r="E69" s="2218"/>
      <c r="F69" s="2218"/>
      <c r="G69" s="2218"/>
      <c r="H69" s="2218"/>
      <c r="I69" s="2234"/>
    </row>
    <row r="70" spans="2:9">
      <c r="B70" s="2223" t="s">
        <v>3279</v>
      </c>
      <c r="C70" s="2212"/>
      <c r="D70" s="2212"/>
      <c r="E70" s="2212"/>
      <c r="F70" s="2212"/>
      <c r="G70" s="2212"/>
      <c r="H70" s="2212"/>
      <c r="I70" s="2222"/>
    </row>
    <row r="71" spans="2:9" ht="7.5" customHeight="1">
      <c r="B71" s="2220"/>
      <c r="C71" s="2212"/>
      <c r="D71" s="2212"/>
      <c r="E71" s="2212"/>
      <c r="F71" s="2212"/>
      <c r="G71" s="2212"/>
      <c r="H71" s="2212"/>
      <c r="I71" s="2222"/>
    </row>
    <row r="72" spans="2:9">
      <c r="B72" s="2223" t="s">
        <v>3280</v>
      </c>
      <c r="D72" s="2212"/>
      <c r="E72" s="2212"/>
      <c r="F72" s="2212"/>
      <c r="G72" s="2212"/>
      <c r="H72" s="2212"/>
      <c r="I72" s="2248"/>
    </row>
    <row r="73" spans="2:9" ht="7.5" customHeight="1">
      <c r="B73" s="2220"/>
      <c r="C73" s="2212"/>
      <c r="D73" s="2212"/>
      <c r="E73" s="2212"/>
      <c r="F73" s="2212"/>
      <c r="G73" s="2212"/>
      <c r="H73" s="2212"/>
      <c r="I73" s="2222"/>
    </row>
    <row r="74" spans="2:9">
      <c r="B74" s="2220" t="s">
        <v>3281</v>
      </c>
      <c r="D74" s="2212"/>
      <c r="E74" s="2212"/>
      <c r="F74" s="2212" t="s">
        <v>3348</v>
      </c>
      <c r="G74" s="2212"/>
      <c r="H74" s="2212"/>
      <c r="I74" s="2267"/>
    </row>
    <row r="75" spans="2:9">
      <c r="B75" s="2220"/>
      <c r="E75" s="2212"/>
      <c r="F75" s="2212" t="s">
        <v>3349</v>
      </c>
      <c r="G75" s="2212"/>
      <c r="H75" s="2212"/>
      <c r="I75" s="2267"/>
    </row>
    <row r="76" spans="2:9">
      <c r="B76" s="2220"/>
      <c r="E76" s="2212"/>
      <c r="F76" s="2212" t="s">
        <v>3350</v>
      </c>
      <c r="G76" s="2212"/>
      <c r="H76" s="2212"/>
      <c r="I76" s="2267"/>
    </row>
    <row r="77" spans="2:9">
      <c r="B77" s="2220"/>
      <c r="E77" s="2212"/>
      <c r="F77" s="941" t="s">
        <v>3351</v>
      </c>
      <c r="G77" s="2212"/>
      <c r="H77" s="2212"/>
      <c r="I77" s="2267"/>
    </row>
    <row r="78" spans="2:9" ht="7.5" customHeight="1">
      <c r="B78" s="2230"/>
      <c r="C78" s="2231"/>
      <c r="D78" s="2231"/>
      <c r="E78" s="2231"/>
      <c r="F78" s="2231"/>
      <c r="G78" s="2231"/>
      <c r="H78" s="2231"/>
      <c r="I78" s="2232"/>
    </row>
    <row r="79" spans="2:9" ht="7.5" customHeight="1"/>
    <row r="80" spans="2:9">
      <c r="B80" s="2233"/>
      <c r="C80" s="2218"/>
      <c r="D80" s="2218"/>
      <c r="E80" s="2218"/>
      <c r="F80" s="2218"/>
      <c r="G80" s="2218"/>
      <c r="H80" s="2218"/>
      <c r="I80" s="2234"/>
    </row>
    <row r="81" spans="2:9">
      <c r="B81" s="4292" t="s">
        <v>3282</v>
      </c>
      <c r="C81" s="4293"/>
      <c r="D81" s="4293"/>
      <c r="E81" s="4293"/>
      <c r="F81" s="4293"/>
      <c r="G81" s="4293"/>
      <c r="H81" s="4293"/>
      <c r="I81" s="4294"/>
    </row>
    <row r="82" spans="2:9">
      <c r="B82" s="2220"/>
      <c r="C82" s="2212"/>
      <c r="D82" s="2212"/>
      <c r="E82" s="2212"/>
      <c r="F82" s="2212"/>
      <c r="G82" s="2212"/>
      <c r="H82" s="2212"/>
      <c r="I82" s="2222"/>
    </row>
    <row r="83" spans="2:9">
      <c r="B83" s="2223" t="s">
        <v>3283</v>
      </c>
      <c r="C83" s="2212"/>
      <c r="D83" s="2212"/>
      <c r="E83" s="2212"/>
      <c r="F83" s="2212"/>
      <c r="G83" s="2212"/>
      <c r="H83" s="2212"/>
      <c r="I83" s="2222"/>
    </row>
    <row r="84" spans="2:9">
      <c r="B84" s="2220"/>
      <c r="C84" s="941" t="s">
        <v>3284</v>
      </c>
      <c r="D84" s="2212"/>
      <c r="E84" s="2212"/>
      <c r="F84" s="4260">
        <f>'Closing term sheet'!D62</f>
        <v>6865000</v>
      </c>
      <c r="G84" s="4260"/>
      <c r="H84" s="2212"/>
      <c r="I84" s="2222"/>
    </row>
    <row r="85" spans="2:9">
      <c r="B85" s="2220"/>
      <c r="C85" s="941" t="s">
        <v>3285</v>
      </c>
      <c r="D85" s="2212"/>
      <c r="E85" s="2212"/>
      <c r="F85" s="4286">
        <f>'Part III-Sources of Funds'!I45+'Part III-Sources of Funds'!L45</f>
        <v>462119.41678368108</v>
      </c>
      <c r="G85" s="4286"/>
      <c r="H85" s="2212"/>
      <c r="I85" s="2222"/>
    </row>
    <row r="86" spans="2:9">
      <c r="B86" s="2220"/>
      <c r="C86" s="941" t="s">
        <v>3286</v>
      </c>
      <c r="D86" s="2212"/>
      <c r="E86" s="2212"/>
      <c r="F86" s="4285"/>
      <c r="G86" s="4285"/>
      <c r="H86" s="2212"/>
      <c r="I86" s="2222"/>
    </row>
    <row r="87" spans="2:9">
      <c r="B87" s="2220"/>
      <c r="C87" s="2237" t="s">
        <v>3287</v>
      </c>
      <c r="D87" s="2212"/>
      <c r="E87" s="2212"/>
      <c r="F87" s="4286">
        <v>11000</v>
      </c>
      <c r="G87" s="4286"/>
      <c r="H87" s="2212"/>
      <c r="I87" s="2222"/>
    </row>
    <row r="88" spans="2:9">
      <c r="B88" s="2220"/>
      <c r="C88" s="941" t="s">
        <v>3288</v>
      </c>
      <c r="D88" s="2212"/>
      <c r="E88" s="2212"/>
      <c r="F88" s="4263"/>
      <c r="G88" s="4263"/>
      <c r="H88" s="2212"/>
      <c r="I88" s="2222"/>
    </row>
    <row r="89" spans="2:9">
      <c r="B89" s="2220"/>
      <c r="C89" s="921" t="s">
        <v>3289</v>
      </c>
      <c r="D89" s="2212"/>
      <c r="E89" s="2212"/>
      <c r="F89" s="4258">
        <f>SUM(F84:G88)</f>
        <v>7338119.4167836811</v>
      </c>
      <c r="G89" s="4258"/>
      <c r="H89" s="2212"/>
      <c r="I89" s="2222"/>
    </row>
    <row r="90" spans="2:9">
      <c r="B90" s="2220"/>
      <c r="C90" s="2212"/>
      <c r="D90" s="2212"/>
      <c r="E90" s="2212"/>
      <c r="F90" s="4259"/>
      <c r="G90" s="4259"/>
      <c r="H90" s="2212"/>
      <c r="I90" s="2222"/>
    </row>
    <row r="91" spans="2:9">
      <c r="B91" s="2223" t="s">
        <v>3290</v>
      </c>
      <c r="C91" s="2212"/>
      <c r="D91" s="2212"/>
      <c r="E91" s="2212"/>
      <c r="F91" s="2212"/>
      <c r="G91" s="2212"/>
      <c r="H91" s="2212"/>
      <c r="I91" s="2222"/>
    </row>
    <row r="92" spans="2:9">
      <c r="B92" s="2220"/>
      <c r="C92" s="941" t="s">
        <v>3291</v>
      </c>
      <c r="D92" s="2212"/>
      <c r="E92" s="2212"/>
      <c r="F92" s="4260"/>
      <c r="G92" s="4260"/>
      <c r="H92" s="2212"/>
      <c r="I92" s="2222"/>
    </row>
    <row r="93" spans="2:9">
      <c r="B93" s="2220"/>
      <c r="C93" s="941" t="s">
        <v>3292</v>
      </c>
      <c r="D93" s="2212"/>
      <c r="E93" s="2212"/>
      <c r="F93" s="4261"/>
      <c r="G93" s="4261"/>
      <c r="H93" s="2212"/>
      <c r="I93" s="2222"/>
    </row>
    <row r="94" spans="2:9">
      <c r="B94" s="2220"/>
      <c r="C94" s="941" t="s">
        <v>3293</v>
      </c>
      <c r="D94" s="2212"/>
      <c r="E94" s="2212"/>
      <c r="F94" s="4262" t="s">
        <v>3167</v>
      </c>
      <c r="G94" s="4257"/>
      <c r="H94" s="2212"/>
      <c r="I94" s="2222"/>
    </row>
    <row r="95" spans="2:9">
      <c r="B95" s="2220"/>
      <c r="C95" s="921" t="s">
        <v>3294</v>
      </c>
      <c r="D95" s="2212"/>
      <c r="E95" s="2212"/>
      <c r="F95" s="4258">
        <f>+SUM(F92:G94)</f>
        <v>0</v>
      </c>
      <c r="G95" s="4258"/>
      <c r="H95" s="2212"/>
      <c r="I95" s="2222"/>
    </row>
    <row r="96" spans="2:9">
      <c r="B96" s="2220"/>
      <c r="C96" s="2212"/>
      <c r="D96" s="2212"/>
      <c r="E96" s="2212"/>
      <c r="F96" s="2212"/>
      <c r="G96" s="2212"/>
      <c r="H96" s="2212"/>
      <c r="I96" s="2222"/>
    </row>
    <row r="97" spans="2:9">
      <c r="B97" s="2223" t="s">
        <v>3295</v>
      </c>
      <c r="C97" s="2212"/>
      <c r="D97" s="2212"/>
      <c r="E97" s="2212"/>
      <c r="F97" s="2212"/>
      <c r="G97" s="2212"/>
      <c r="H97" s="2212"/>
      <c r="I97" s="2222"/>
    </row>
    <row r="98" spans="2:9">
      <c r="B98" s="2220"/>
      <c r="C98" s="941" t="s">
        <v>3296</v>
      </c>
      <c r="D98" s="2212"/>
      <c r="E98" s="2212"/>
      <c r="F98" s="4260"/>
      <c r="G98" s="4260"/>
      <c r="H98" s="2212"/>
      <c r="I98" s="2222"/>
    </row>
    <row r="99" spans="2:9">
      <c r="B99" s="2220"/>
      <c r="C99" s="941" t="s">
        <v>3297</v>
      </c>
      <c r="D99" s="2212"/>
      <c r="E99" s="2212"/>
      <c r="F99" s="4261"/>
      <c r="G99" s="4261"/>
      <c r="H99" s="2212"/>
      <c r="I99" s="2222"/>
    </row>
    <row r="100" spans="2:9">
      <c r="B100" s="2220"/>
      <c r="C100" s="941" t="s">
        <v>3298</v>
      </c>
      <c r="D100" s="2212"/>
      <c r="E100" s="2212"/>
      <c r="F100" s="4263"/>
      <c r="G100" s="4263"/>
      <c r="H100" s="2212"/>
      <c r="I100" s="2222"/>
    </row>
    <row r="101" spans="2:9">
      <c r="B101" s="2220"/>
      <c r="C101" s="921" t="s">
        <v>3299</v>
      </c>
      <c r="D101" s="2212"/>
      <c r="E101" s="2212"/>
      <c r="F101" s="4258">
        <f>+SUM(F98:G100)</f>
        <v>0</v>
      </c>
      <c r="G101" s="4258"/>
      <c r="H101" s="2212"/>
      <c r="I101" s="2222"/>
    </row>
    <row r="102" spans="2:9">
      <c r="B102" s="2220"/>
      <c r="C102" s="2212"/>
      <c r="D102" s="2212"/>
      <c r="E102" s="2212"/>
      <c r="F102" s="2212"/>
      <c r="G102" s="2212"/>
      <c r="H102" s="2212"/>
      <c r="I102" s="2222"/>
    </row>
    <row r="103" spans="2:9">
      <c r="B103" s="2263" t="s">
        <v>3300</v>
      </c>
      <c r="C103" s="941"/>
      <c r="D103" s="2212"/>
      <c r="E103" s="2212"/>
      <c r="F103" s="4257">
        <f>'Part III-Sources of Funds'!I46+'Part III-Sources of Funds'!I47</f>
        <v>0</v>
      </c>
      <c r="G103" s="4257"/>
      <c r="H103" s="2212"/>
      <c r="I103" s="2222"/>
    </row>
    <row r="104" spans="2:9">
      <c r="B104" s="2220"/>
      <c r="C104" s="2212"/>
      <c r="D104" s="2212"/>
      <c r="E104" s="2212"/>
      <c r="F104" s="2212"/>
      <c r="G104" s="2212"/>
      <c r="H104" s="2212"/>
      <c r="I104" s="2268" t="s">
        <v>3301</v>
      </c>
    </row>
    <row r="105" spans="2:9">
      <c r="B105" s="2223" t="s">
        <v>3302</v>
      </c>
      <c r="C105" s="2212"/>
      <c r="D105" s="2212"/>
      <c r="E105" s="2212"/>
      <c r="F105" s="4257">
        <f>+F103+F101+F95+F89</f>
        <v>7338119.4167836811</v>
      </c>
      <c r="G105" s="4257"/>
      <c r="H105" s="2212"/>
      <c r="I105" s="2222"/>
    </row>
    <row r="106" spans="2:9">
      <c r="B106" s="2230"/>
      <c r="C106" s="2231"/>
      <c r="D106" s="2231"/>
      <c r="E106" s="2231"/>
      <c r="F106" s="2231"/>
      <c r="G106" s="2231"/>
      <c r="H106" s="2231"/>
      <c r="I106" s="2232"/>
    </row>
    <row r="108" spans="2:9">
      <c r="C108" s="2269" t="s">
        <v>2990</v>
      </c>
    </row>
    <row r="109" spans="2:9">
      <c r="C109" s="2269" t="s">
        <v>2993</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 type="list" allowBlank="1" showInputMessage="1" showErrorMessage="1" sqref="I12">
      <formula1>"&lt;&lt;Select&gt;&gt;, Yes, No"</formula1>
    </dataValidation>
    <dataValidation type="list" allowBlank="1" showInputMessage="1" showErrorMessage="1" sqref="I18">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workbookViewId="0">
      <selection activeCell="O15" sqref="O15"/>
    </sheetView>
  </sheetViews>
  <sheetFormatPr defaultColWidth="8.85546875" defaultRowHeight="15.75"/>
  <cols>
    <col min="1" max="1" width="2.140625" style="1219" customWidth="1"/>
    <col min="2" max="13" width="7.85546875" style="1219" customWidth="1"/>
    <col min="14" max="15" width="5.85546875" style="1219" customWidth="1"/>
    <col min="16" max="16384" width="8.85546875" style="1219"/>
  </cols>
  <sheetData>
    <row r="1" spans="1:26" ht="18">
      <c r="N1" s="1220" t="s">
        <v>1498</v>
      </c>
      <c r="O1" s="1220"/>
      <c r="P1" s="1220"/>
      <c r="Q1" s="1220"/>
      <c r="R1" s="1220"/>
      <c r="S1" s="1220"/>
      <c r="T1" s="1220"/>
      <c r="U1" s="1220"/>
      <c r="V1" s="1220"/>
      <c r="W1" s="1220"/>
      <c r="X1" s="1220"/>
      <c r="Y1" s="1220"/>
      <c r="Z1" s="1220"/>
    </row>
    <row r="2" spans="1:26">
      <c r="N2" s="1221" t="s">
        <v>1499</v>
      </c>
      <c r="O2" s="1221"/>
      <c r="P2" s="1221"/>
      <c r="Q2" s="1221"/>
      <c r="R2" s="1221"/>
      <c r="S2" s="1221"/>
      <c r="T2" s="1221"/>
      <c r="U2" s="1221"/>
      <c r="V2" s="1221"/>
      <c r="W2" s="1221"/>
      <c r="X2" s="1221"/>
      <c r="Y2" s="1221"/>
      <c r="Z2" s="1221"/>
    </row>
    <row r="3" spans="1:26">
      <c r="N3" s="1222" t="s">
        <v>1500</v>
      </c>
      <c r="O3" s="1222"/>
      <c r="P3" s="1222"/>
      <c r="Q3" s="1222"/>
      <c r="R3" s="1222"/>
      <c r="S3" s="1222"/>
      <c r="T3" s="1222"/>
      <c r="U3" s="1222"/>
      <c r="V3" s="1222"/>
      <c r="W3" s="1222"/>
      <c r="X3" s="1222"/>
      <c r="Y3" s="1222"/>
      <c r="Z3" s="1222"/>
    </row>
    <row r="4" spans="1:26" ht="16.5">
      <c r="B4" s="1223"/>
      <c r="C4" s="1223"/>
      <c r="D4" s="1223"/>
      <c r="E4" s="1223"/>
      <c r="F4" s="1223"/>
      <c r="G4" s="1223"/>
      <c r="H4" s="1223"/>
      <c r="I4" s="1223"/>
      <c r="J4" s="1223"/>
      <c r="K4" s="1223"/>
      <c r="L4" s="1223"/>
      <c r="M4" s="1223"/>
      <c r="N4" s="1224" t="s">
        <v>702</v>
      </c>
    </row>
    <row r="5" spans="1:26" ht="59.25" customHeight="1">
      <c r="A5" s="4303" t="s">
        <v>2750</v>
      </c>
      <c r="B5" s="4303"/>
      <c r="C5" s="4303"/>
      <c r="D5" s="4303"/>
      <c r="E5" s="4303"/>
      <c r="F5" s="4303"/>
      <c r="G5" s="4303"/>
      <c r="H5" s="4303"/>
      <c r="I5" s="4303"/>
      <c r="J5" s="4303"/>
      <c r="K5" s="4303"/>
      <c r="L5" s="4303"/>
      <c r="M5" s="4303"/>
    </row>
    <row r="6" spans="1:26" ht="11.45" customHeight="1">
      <c r="A6" s="1223"/>
      <c r="B6" s="1223"/>
      <c r="C6" s="1223"/>
      <c r="D6" s="1223"/>
      <c r="E6" s="1223"/>
      <c r="F6" s="1223"/>
      <c r="G6" s="1223"/>
      <c r="H6" s="1223"/>
      <c r="I6" s="1223"/>
      <c r="J6" s="1223"/>
      <c r="K6" s="1223"/>
      <c r="L6" s="1223"/>
      <c r="M6" s="1223"/>
    </row>
    <row r="7" spans="1:26" ht="16.5">
      <c r="A7" s="1223" t="s">
        <v>707</v>
      </c>
      <c r="B7" s="1223"/>
      <c r="C7" s="1223"/>
      <c r="D7" s="1223"/>
      <c r="E7" s="1223"/>
      <c r="F7" s="1223"/>
      <c r="G7" s="1223"/>
      <c r="H7" s="1223"/>
      <c r="I7" s="1223"/>
      <c r="J7" s="1223"/>
      <c r="K7" s="1223"/>
      <c r="L7" s="1223"/>
      <c r="M7" s="1223"/>
    </row>
    <row r="8" spans="1:26" ht="11.45" customHeight="1">
      <c r="A8" s="1223"/>
      <c r="B8" s="1223"/>
      <c r="C8" s="1223"/>
      <c r="D8" s="1223"/>
      <c r="E8" s="1223"/>
      <c r="F8" s="1223"/>
      <c r="G8" s="1223"/>
      <c r="H8" s="1223"/>
      <c r="I8" s="1223"/>
      <c r="J8" s="1223"/>
      <c r="K8" s="1223"/>
      <c r="L8" s="1223"/>
      <c r="M8" s="1223"/>
    </row>
    <row r="9" spans="1:26" ht="16.5">
      <c r="A9" s="4299" t="s">
        <v>1906</v>
      </c>
      <c r="B9" s="4299"/>
      <c r="C9" s="4299"/>
      <c r="D9" s="4299"/>
      <c r="E9" s="4299"/>
      <c r="F9" s="4299"/>
      <c r="G9" s="4299"/>
      <c r="H9" s="4299"/>
      <c r="I9" s="4299"/>
      <c r="J9" s="4299"/>
      <c r="K9" s="4299"/>
      <c r="L9" s="4299"/>
      <c r="M9" s="4299"/>
    </row>
    <row r="10" spans="1:26" ht="6.75" customHeight="1">
      <c r="A10" s="4299"/>
      <c r="B10" s="4299"/>
      <c r="C10" s="4299"/>
      <c r="D10" s="4299"/>
      <c r="E10" s="4299"/>
      <c r="F10" s="4299"/>
      <c r="G10" s="4299"/>
      <c r="H10" s="4299"/>
      <c r="I10" s="4299"/>
      <c r="J10" s="4299"/>
      <c r="K10" s="4299"/>
      <c r="L10" s="4299"/>
      <c r="M10" s="4299"/>
    </row>
    <row r="11" spans="1:26" ht="44.25" customHeight="1">
      <c r="A11" s="4304" t="s">
        <v>4941</v>
      </c>
      <c r="B11" s="4304"/>
      <c r="C11" s="4304"/>
      <c r="D11" s="4304"/>
      <c r="E11" s="4304"/>
      <c r="F11" s="4304"/>
      <c r="G11" s="4304"/>
      <c r="H11" s="4304"/>
      <c r="I11" s="4304"/>
      <c r="J11" s="4304"/>
      <c r="K11" s="4304"/>
      <c r="L11" s="4304"/>
      <c r="M11" s="4304"/>
    </row>
    <row r="12" spans="1:26" ht="3" customHeight="1">
      <c r="A12" s="4299"/>
      <c r="B12" s="4299"/>
      <c r="C12" s="4299"/>
      <c r="D12" s="4299"/>
      <c r="E12" s="4299"/>
      <c r="F12" s="4299"/>
      <c r="G12" s="4299"/>
      <c r="H12" s="4299"/>
      <c r="I12" s="4299"/>
      <c r="J12" s="4299"/>
      <c r="K12" s="4299"/>
      <c r="L12" s="4299"/>
      <c r="M12" s="4299"/>
    </row>
    <row r="13" spans="1:26" ht="96" customHeight="1">
      <c r="A13" s="1225" t="s">
        <v>1737</v>
      </c>
      <c r="B13" s="4301" t="s">
        <v>3677</v>
      </c>
      <c r="C13" s="4301"/>
      <c r="D13" s="4301"/>
      <c r="E13" s="4301"/>
      <c r="F13" s="4301"/>
      <c r="G13" s="4301"/>
      <c r="H13" s="4301"/>
      <c r="I13" s="4301"/>
      <c r="J13" s="4301"/>
      <c r="K13" s="4301"/>
      <c r="L13" s="4301"/>
      <c r="M13" s="4301"/>
    </row>
    <row r="14" spans="1:26" ht="47.25" customHeight="1">
      <c r="A14" s="1225" t="s">
        <v>1738</v>
      </c>
      <c r="B14" s="4301" t="s">
        <v>3678</v>
      </c>
      <c r="C14" s="4301"/>
      <c r="D14" s="4301"/>
      <c r="E14" s="4301"/>
      <c r="F14" s="4301"/>
      <c r="G14" s="4301"/>
      <c r="H14" s="4301"/>
      <c r="I14" s="4301"/>
      <c r="J14" s="4301"/>
      <c r="K14" s="4301"/>
      <c r="L14" s="4301"/>
      <c r="M14" s="4301"/>
    </row>
    <row r="15" spans="1:26" ht="117" customHeight="1">
      <c r="A15" s="1225" t="s">
        <v>1739</v>
      </c>
      <c r="B15" s="4301" t="s">
        <v>3679</v>
      </c>
      <c r="C15" s="4301"/>
      <c r="D15" s="4301"/>
      <c r="E15" s="4301"/>
      <c r="F15" s="4301"/>
      <c r="G15" s="4301"/>
      <c r="H15" s="4301"/>
      <c r="I15" s="4301"/>
      <c r="J15" s="4301"/>
      <c r="K15" s="4301"/>
      <c r="L15" s="4301"/>
      <c r="M15" s="4301"/>
    </row>
    <row r="16" spans="1:26" ht="147" customHeight="1">
      <c r="A16" s="1225" t="s">
        <v>2365</v>
      </c>
      <c r="B16" s="4301" t="s">
        <v>3457</v>
      </c>
      <c r="C16" s="4301"/>
      <c r="D16" s="4301"/>
      <c r="E16" s="4301"/>
      <c r="F16" s="4301"/>
      <c r="G16" s="4301"/>
      <c r="H16" s="4301"/>
      <c r="I16" s="4301"/>
      <c r="J16" s="4301"/>
      <c r="K16" s="4301"/>
      <c r="L16" s="4301"/>
      <c r="M16" s="4301"/>
    </row>
    <row r="17" spans="1:13" ht="48.75" customHeight="1">
      <c r="A17" s="1225" t="s">
        <v>1549</v>
      </c>
      <c r="B17" s="4301" t="s">
        <v>683</v>
      </c>
      <c r="C17" s="4301"/>
      <c r="D17" s="4301"/>
      <c r="E17" s="4301"/>
      <c r="F17" s="4301"/>
      <c r="G17" s="4301"/>
      <c r="H17" s="4301"/>
      <c r="I17" s="4301"/>
      <c r="J17" s="4301"/>
      <c r="K17" s="4301"/>
      <c r="L17" s="4301"/>
      <c r="M17" s="4301"/>
    </row>
    <row r="18" spans="1:13" ht="165" customHeight="1">
      <c r="A18" s="1225" t="s">
        <v>1550</v>
      </c>
      <c r="B18" s="4301" t="s">
        <v>3456</v>
      </c>
      <c r="C18" s="4301"/>
      <c r="D18" s="4301"/>
      <c r="E18" s="4301"/>
      <c r="F18" s="4301"/>
      <c r="G18" s="4301"/>
      <c r="H18" s="4301"/>
      <c r="I18" s="4301"/>
      <c r="J18" s="4301"/>
      <c r="K18" s="4301"/>
      <c r="L18" s="4301"/>
      <c r="M18" s="4301"/>
    </row>
    <row r="19" spans="1:13" ht="48.75" customHeight="1">
      <c r="A19" s="1225" t="s">
        <v>98</v>
      </c>
      <c r="B19" s="4302" t="s">
        <v>3680</v>
      </c>
      <c r="C19" s="4302"/>
      <c r="D19" s="4302"/>
      <c r="E19" s="4302"/>
      <c r="F19" s="4302"/>
      <c r="G19" s="4302"/>
      <c r="H19" s="4302"/>
      <c r="I19" s="4302"/>
      <c r="J19" s="4302"/>
      <c r="K19" s="4302"/>
      <c r="L19" s="4302"/>
      <c r="M19" s="4302"/>
    </row>
    <row r="20" spans="1:13" ht="50.25" customHeight="1">
      <c r="A20" s="1225" t="s">
        <v>511</v>
      </c>
      <c r="B20" s="4301" t="s">
        <v>3459</v>
      </c>
      <c r="C20" s="4301"/>
      <c r="D20" s="4301"/>
      <c r="E20" s="4301"/>
      <c r="F20" s="4301"/>
      <c r="G20" s="4301"/>
      <c r="H20" s="4301"/>
      <c r="I20" s="4301"/>
      <c r="J20" s="4301"/>
      <c r="K20" s="4301"/>
      <c r="L20" s="4301"/>
      <c r="M20" s="4301"/>
    </row>
    <row r="21" spans="1:13" ht="31.5" customHeight="1">
      <c r="A21" s="1225" t="s">
        <v>512</v>
      </c>
      <c r="B21" s="4301" t="s">
        <v>3487</v>
      </c>
      <c r="C21" s="4301"/>
      <c r="D21" s="4301"/>
      <c r="E21" s="4301"/>
      <c r="F21" s="4301"/>
      <c r="G21" s="4301"/>
      <c r="H21" s="4301"/>
      <c r="I21" s="4301"/>
      <c r="J21" s="4301"/>
      <c r="K21" s="4301"/>
      <c r="L21" s="4301"/>
      <c r="M21" s="4301"/>
    </row>
    <row r="22" spans="1:13" ht="1.5" customHeight="1">
      <c r="A22" s="4299"/>
      <c r="B22" s="4299"/>
      <c r="C22" s="4299"/>
      <c r="D22" s="4299"/>
      <c r="E22" s="4299"/>
      <c r="F22" s="4299"/>
      <c r="G22" s="4299"/>
      <c r="H22" s="4299"/>
      <c r="I22" s="4299"/>
      <c r="J22" s="4299"/>
      <c r="K22" s="4299"/>
      <c r="L22" s="4299"/>
      <c r="M22" s="4299"/>
    </row>
    <row r="23" spans="1:13" ht="3" customHeight="1">
      <c r="A23" s="4299"/>
      <c r="B23" s="4299"/>
      <c r="C23" s="4299"/>
      <c r="D23" s="4299"/>
      <c r="E23" s="4299"/>
      <c r="F23" s="4299"/>
      <c r="G23" s="4299"/>
      <c r="H23" s="4299"/>
      <c r="I23" s="4299"/>
      <c r="J23" s="4299"/>
      <c r="K23" s="4299"/>
      <c r="L23" s="4299"/>
      <c r="M23" s="4299"/>
    </row>
    <row r="24" spans="1:13" ht="13.5" customHeight="1">
      <c r="A24" s="4299" t="s">
        <v>1465</v>
      </c>
      <c r="B24" s="4299"/>
      <c r="C24" s="4299"/>
      <c r="D24" s="4299"/>
      <c r="E24" s="4299"/>
      <c r="F24" s="4299"/>
      <c r="G24" s="4299"/>
      <c r="H24" s="4299"/>
      <c r="I24" s="4299"/>
      <c r="J24" s="4299"/>
      <c r="K24" s="4299"/>
      <c r="L24" s="4299"/>
      <c r="M24" s="4299"/>
    </row>
    <row r="25" spans="1:13" ht="32.25" customHeight="1">
      <c r="A25" s="1225" t="s">
        <v>1466</v>
      </c>
      <c r="B25" s="4301" t="s">
        <v>3488</v>
      </c>
      <c r="C25" s="4301"/>
      <c r="D25" s="4301"/>
      <c r="E25" s="4301"/>
      <c r="F25" s="4301"/>
      <c r="G25" s="4301"/>
      <c r="H25" s="4301"/>
      <c r="I25" s="4301"/>
      <c r="J25" s="4301"/>
      <c r="K25" s="4301"/>
      <c r="L25" s="4301"/>
      <c r="M25" s="4301"/>
    </row>
    <row r="26" spans="1:13" ht="31.5" customHeight="1">
      <c r="A26" s="1225" t="s">
        <v>1466</v>
      </c>
      <c r="B26" s="4301" t="s">
        <v>3489</v>
      </c>
      <c r="C26" s="4301"/>
      <c r="D26" s="4301"/>
      <c r="E26" s="4301"/>
      <c r="F26" s="4301"/>
      <c r="G26" s="4301"/>
      <c r="H26" s="4301"/>
      <c r="I26" s="4301"/>
      <c r="J26" s="4301"/>
      <c r="K26" s="4301"/>
      <c r="L26" s="4301"/>
      <c r="M26" s="4301"/>
    </row>
    <row r="27" spans="1:13" ht="78.75" customHeight="1">
      <c r="A27" s="1225" t="s">
        <v>1466</v>
      </c>
      <c r="B27" s="4301" t="s">
        <v>2751</v>
      </c>
      <c r="C27" s="4301"/>
      <c r="D27" s="4301"/>
      <c r="E27" s="4301"/>
      <c r="F27" s="4301"/>
      <c r="G27" s="4301"/>
      <c r="H27" s="4301"/>
      <c r="I27" s="4301"/>
      <c r="J27" s="4301"/>
      <c r="K27" s="4301"/>
      <c r="L27" s="4301"/>
      <c r="M27" s="4301"/>
    </row>
    <row r="28" spans="1:13" ht="7.5" customHeight="1">
      <c r="A28" s="4299"/>
      <c r="B28" s="4299"/>
      <c r="C28" s="4299"/>
      <c r="D28" s="4299"/>
      <c r="E28" s="4299"/>
      <c r="F28" s="4299"/>
      <c r="G28" s="4299"/>
      <c r="H28" s="4299"/>
      <c r="I28" s="4299"/>
      <c r="J28" s="4299"/>
      <c r="K28" s="4299"/>
      <c r="L28" s="4299"/>
      <c r="M28" s="4299"/>
    </row>
    <row r="29" spans="1:13" ht="43.5" customHeight="1">
      <c r="A29" s="4301" t="s">
        <v>946</v>
      </c>
      <c r="B29" s="4301"/>
      <c r="C29" s="4301"/>
      <c r="D29" s="4301"/>
      <c r="E29" s="4301"/>
      <c r="F29" s="4301"/>
      <c r="G29" s="4301"/>
      <c r="H29" s="4301"/>
      <c r="I29" s="4301"/>
      <c r="J29" s="4301"/>
      <c r="K29" s="4301"/>
      <c r="L29" s="4301"/>
      <c r="M29" s="4301"/>
    </row>
    <row r="30" spans="1:13" ht="3" customHeight="1">
      <c r="A30" s="4299"/>
      <c r="B30" s="4299"/>
      <c r="C30" s="4299"/>
      <c r="D30" s="4299"/>
      <c r="E30" s="4299"/>
      <c r="F30" s="4299"/>
      <c r="G30" s="4299"/>
      <c r="H30" s="4299"/>
      <c r="I30" s="4299"/>
      <c r="J30" s="4299"/>
      <c r="K30" s="4299"/>
      <c r="L30" s="4299"/>
      <c r="M30" s="4299"/>
    </row>
    <row r="31" spans="1:13" ht="32.25" customHeight="1">
      <c r="A31" s="4301" t="s">
        <v>2752</v>
      </c>
      <c r="B31" s="4301"/>
      <c r="C31" s="4301"/>
      <c r="D31" s="4301"/>
      <c r="E31" s="4301"/>
      <c r="F31" s="4301"/>
      <c r="G31" s="4301"/>
      <c r="H31" s="4301"/>
      <c r="I31" s="4301"/>
      <c r="J31" s="4301"/>
      <c r="K31" s="4301"/>
      <c r="L31" s="4301"/>
      <c r="M31" s="4301"/>
    </row>
    <row r="32" spans="1:13" ht="4.5" customHeight="1">
      <c r="A32" s="4299"/>
      <c r="B32" s="4299"/>
      <c r="C32" s="4299"/>
      <c r="D32" s="4299"/>
      <c r="E32" s="4299"/>
      <c r="F32" s="4299"/>
      <c r="G32" s="4299"/>
      <c r="H32" s="4299"/>
      <c r="I32" s="4299"/>
      <c r="J32" s="4299"/>
      <c r="K32" s="4299"/>
      <c r="L32" s="4299"/>
      <c r="M32" s="4299"/>
    </row>
    <row r="33" spans="1:13" ht="16.5">
      <c r="A33" s="4299" t="s">
        <v>922</v>
      </c>
      <c r="B33" s="4299"/>
      <c r="C33" s="4299"/>
      <c r="D33" s="4299"/>
      <c r="E33" s="4299"/>
      <c r="F33" s="4299"/>
      <c r="G33" s="4299"/>
      <c r="H33" s="4299"/>
      <c r="I33" s="4299"/>
      <c r="J33" s="4299"/>
      <c r="K33" s="4299"/>
      <c r="L33" s="4299"/>
      <c r="M33" s="4299"/>
    </row>
    <row r="34" spans="1:13" ht="6" customHeight="1">
      <c r="A34" s="1262"/>
      <c r="B34" s="1262"/>
      <c r="C34" s="1262"/>
      <c r="D34" s="1262"/>
      <c r="E34" s="1262"/>
      <c r="F34" s="1262"/>
      <c r="G34" s="1262"/>
      <c r="H34" s="1262"/>
      <c r="I34" s="1262"/>
      <c r="J34" s="1262"/>
      <c r="K34" s="1262"/>
      <c r="L34" s="1262"/>
      <c r="M34" s="1262"/>
    </row>
    <row r="35" spans="1:13" ht="16.5">
      <c r="A35" s="4300"/>
      <c r="B35" s="4300"/>
      <c r="C35" s="4300"/>
      <c r="D35" s="4300"/>
      <c r="E35" s="4300"/>
      <c r="F35" s="4300"/>
      <c r="G35" s="1226"/>
      <c r="H35" s="4300"/>
      <c r="I35" s="4300"/>
      <c r="J35" s="4300"/>
      <c r="K35" s="4300"/>
      <c r="L35" s="4300"/>
      <c r="M35" s="4300"/>
    </row>
    <row r="36" spans="1:13" ht="12" customHeight="1">
      <c r="A36" s="4297" t="s">
        <v>923</v>
      </c>
      <c r="B36" s="4297"/>
      <c r="C36" s="4297"/>
      <c r="D36" s="4297"/>
      <c r="E36" s="4297"/>
      <c r="F36" s="4297"/>
      <c r="G36" s="1226"/>
      <c r="H36" s="4297" t="s">
        <v>1980</v>
      </c>
      <c r="I36" s="4297"/>
      <c r="J36" s="4297"/>
      <c r="K36" s="4297"/>
      <c r="L36" s="4297"/>
      <c r="M36" s="4297"/>
    </row>
    <row r="37" spans="1:13" ht="6" customHeight="1">
      <c r="A37" s="1226"/>
      <c r="B37" s="1226"/>
      <c r="C37" s="1226"/>
      <c r="D37" s="1226"/>
      <c r="E37" s="1226"/>
      <c r="F37" s="1226"/>
      <c r="G37" s="1226"/>
      <c r="H37" s="1226"/>
      <c r="I37" s="1226"/>
      <c r="J37" s="1226"/>
      <c r="K37" s="1226"/>
      <c r="L37" s="1226"/>
      <c r="M37" s="1226"/>
    </row>
    <row r="38" spans="1:13" ht="16.5">
      <c r="A38" s="4295"/>
      <c r="B38" s="4295"/>
      <c r="C38" s="4295"/>
      <c r="D38" s="4295"/>
      <c r="E38" s="4295"/>
      <c r="F38" s="4295"/>
      <c r="G38" s="1226"/>
      <c r="H38" s="4296"/>
      <c r="I38" s="4296"/>
      <c r="J38" s="4296"/>
      <c r="K38" s="4296"/>
      <c r="L38" s="4296"/>
      <c r="M38" s="4296"/>
    </row>
    <row r="39" spans="1:13" ht="12" customHeight="1">
      <c r="A39" s="4297" t="s">
        <v>924</v>
      </c>
      <c r="B39" s="4297"/>
      <c r="C39" s="4297"/>
      <c r="D39" s="4297"/>
      <c r="E39" s="4297"/>
      <c r="F39" s="4297"/>
      <c r="G39" s="1226"/>
      <c r="H39" s="4297" t="s">
        <v>925</v>
      </c>
      <c r="I39" s="4297"/>
      <c r="J39" s="4297"/>
      <c r="K39" s="4297"/>
      <c r="L39" s="4297"/>
      <c r="M39" s="4297"/>
    </row>
    <row r="40" spans="1:13" ht="3" customHeight="1">
      <c r="A40" s="1227"/>
      <c r="B40" s="1227"/>
      <c r="C40" s="1227"/>
      <c r="D40" s="1227"/>
      <c r="E40" s="1227"/>
      <c r="F40" s="1227"/>
      <c r="G40" s="1226"/>
      <c r="H40" s="1227"/>
      <c r="I40" s="1227"/>
      <c r="J40" s="1227"/>
      <c r="K40" s="1227"/>
      <c r="L40" s="1227"/>
      <c r="M40" s="1227"/>
    </row>
    <row r="41" spans="1:13" ht="11.45" customHeight="1">
      <c r="A41" s="1223"/>
      <c r="B41" s="1223"/>
      <c r="C41" s="1223"/>
      <c r="D41" s="1223"/>
      <c r="E41" s="1223"/>
      <c r="F41" s="1223"/>
      <c r="G41" s="1223"/>
      <c r="H41" s="4298" t="s">
        <v>926</v>
      </c>
      <c r="I41" s="4298"/>
      <c r="J41" s="4298"/>
      <c r="K41" s="4298"/>
      <c r="L41" s="4298"/>
      <c r="M41" s="4298"/>
    </row>
    <row r="42" spans="1:13" ht="11.45" customHeight="1">
      <c r="A42" s="1223"/>
      <c r="B42" s="1223"/>
      <c r="C42" s="1223"/>
      <c r="D42" s="1223"/>
      <c r="E42" s="1223"/>
      <c r="F42" s="1223"/>
      <c r="G42" s="1223"/>
    </row>
    <row r="43" spans="1:13" ht="11.45" customHeight="1">
      <c r="A43" s="1223"/>
      <c r="B43" s="1223"/>
      <c r="C43" s="1223"/>
      <c r="D43" s="1223"/>
      <c r="E43" s="1223"/>
      <c r="F43" s="1223"/>
      <c r="G43" s="1223"/>
      <c r="H43" s="1223"/>
      <c r="I43" s="1223"/>
      <c r="J43" s="1223"/>
      <c r="K43" s="1223"/>
      <c r="L43" s="1223"/>
      <c r="M43" s="1223"/>
    </row>
    <row r="44" spans="1:13" ht="11.45" customHeight="1">
      <c r="A44" s="1223"/>
      <c r="B44" s="1223"/>
      <c r="C44" s="1223"/>
      <c r="D44" s="1223"/>
      <c r="E44" s="1223"/>
      <c r="F44" s="1223"/>
      <c r="G44" s="1223"/>
      <c r="H44" s="1223"/>
      <c r="I44" s="1223"/>
      <c r="J44" s="1223"/>
      <c r="K44" s="1223"/>
      <c r="L44" s="1223"/>
      <c r="M44" s="1223"/>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D863"/>
  <sheetViews>
    <sheetView showGridLines="0" zoomScale="120" zoomScaleNormal="120" workbookViewId="0">
      <selection activeCell="Q6" sqref="Q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85"/>
    <col min="29" max="16384" width="8.85546875" style="27"/>
  </cols>
  <sheetData>
    <row r="1" spans="1:28" s="185" customFormat="1" ht="3" customHeight="1">
      <c r="A1" s="186"/>
      <c r="B1" s="186"/>
      <c r="C1" s="186"/>
      <c r="D1" s="186"/>
      <c r="E1" s="186"/>
      <c r="F1" s="186"/>
      <c r="G1" s="186"/>
      <c r="H1" s="186"/>
      <c r="I1" s="186"/>
      <c r="J1" s="186"/>
      <c r="K1" s="186"/>
      <c r="L1" s="186"/>
      <c r="M1" s="186"/>
      <c r="N1" s="186"/>
      <c r="O1" s="186"/>
      <c r="P1" s="186"/>
      <c r="AA1" s="1071"/>
      <c r="AB1" s="1071"/>
    </row>
    <row r="2" spans="1:28" s="302" customFormat="1" ht="13.35" customHeight="1">
      <c r="A2" s="4314" t="s">
        <v>721</v>
      </c>
      <c r="B2" s="4315"/>
      <c r="C2" s="4315"/>
      <c r="D2" s="4315"/>
      <c r="E2" s="4315"/>
      <c r="F2" s="4315"/>
      <c r="G2" s="4315"/>
      <c r="H2" s="4315"/>
      <c r="I2" s="4315"/>
      <c r="J2" s="4315"/>
      <c r="K2" s="4315"/>
      <c r="L2" s="4315"/>
      <c r="M2" s="4315"/>
      <c r="N2" s="4315"/>
      <c r="O2" s="4315"/>
      <c r="P2" s="4315"/>
      <c r="Q2" s="4315"/>
      <c r="R2" s="4316"/>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3044</v>
      </c>
      <c r="R4" s="191" t="s">
        <v>1730</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5" customHeight="1">
      <c r="A6" s="307" t="s">
        <v>1731</v>
      </c>
      <c r="B6" s="190"/>
      <c r="C6" s="190"/>
      <c r="D6" s="187"/>
      <c r="E6" s="187"/>
      <c r="F6" s="190" t="s">
        <v>508</v>
      </c>
      <c r="G6" s="190"/>
      <c r="H6" s="187"/>
      <c r="I6" s="187"/>
      <c r="J6" s="190" t="s">
        <v>1732</v>
      </c>
      <c r="K6" s="190"/>
      <c r="L6" s="190" t="s">
        <v>2785</v>
      </c>
      <c r="M6" s="190"/>
      <c r="N6" s="190"/>
      <c r="O6" s="190"/>
      <c r="P6" s="187"/>
      <c r="Q6" s="1264" t="s">
        <v>1733</v>
      </c>
      <c r="R6" s="1264">
        <v>1000000</v>
      </c>
      <c r="S6" s="187"/>
      <c r="U6" s="187"/>
      <c r="V6" s="1077"/>
      <c r="W6" s="1077"/>
      <c r="X6" s="191"/>
      <c r="AA6" s="585"/>
      <c r="AB6" s="585"/>
    </row>
    <row r="7" spans="1:28" s="302" customFormat="1" ht="11.45" customHeight="1">
      <c r="A7" s="307"/>
      <c r="B7" s="190"/>
      <c r="C7" s="190"/>
      <c r="D7" s="187"/>
      <c r="E7" s="187"/>
      <c r="F7" s="190"/>
      <c r="G7" s="190"/>
      <c r="H7" s="187"/>
      <c r="I7" s="187"/>
      <c r="J7" s="190"/>
      <c r="K7" s="190"/>
      <c r="L7" s="190" t="s">
        <v>2787</v>
      </c>
      <c r="M7" s="190"/>
      <c r="N7" s="190"/>
      <c r="O7" s="190"/>
      <c r="P7" s="187"/>
      <c r="Q7" s="1273" t="s">
        <v>1733</v>
      </c>
      <c r="R7" s="741">
        <v>900000</v>
      </c>
      <c r="S7" s="187"/>
      <c r="U7" s="187"/>
      <c r="V7" s="1077"/>
      <c r="W7" s="1077"/>
      <c r="X7" s="191"/>
      <c r="AA7" s="585"/>
      <c r="AB7" s="585"/>
    </row>
    <row r="8" spans="1:28" s="302" customFormat="1" ht="11.45" customHeight="1">
      <c r="F8" s="190"/>
      <c r="G8" s="190"/>
      <c r="H8" s="187"/>
      <c r="I8" s="187"/>
      <c r="J8" s="190" t="s">
        <v>1256</v>
      </c>
      <c r="K8" s="190"/>
      <c r="L8" s="190"/>
      <c r="M8" s="190"/>
      <c r="N8" s="190"/>
      <c r="O8" s="190"/>
      <c r="P8" s="187"/>
      <c r="Q8" s="1264" t="s">
        <v>1733</v>
      </c>
      <c r="R8" s="1264">
        <v>1800000</v>
      </c>
      <c r="S8" s="187"/>
      <c r="T8" s="187"/>
      <c r="U8" s="187"/>
      <c r="V8" s="1077"/>
      <c r="W8" s="1077"/>
      <c r="X8" s="191"/>
      <c r="AA8" s="585"/>
      <c r="AB8" s="585"/>
    </row>
    <row r="9" spans="1:28" s="302" customFormat="1" ht="11.45" customHeight="1">
      <c r="F9" s="190" t="s">
        <v>2409</v>
      </c>
      <c r="G9" s="190"/>
      <c r="H9" s="187"/>
      <c r="I9" s="187"/>
      <c r="J9" s="190" t="s">
        <v>1763</v>
      </c>
      <c r="K9" s="190"/>
      <c r="L9" s="190"/>
      <c r="M9" s="190"/>
      <c r="N9" s="190"/>
      <c r="O9" s="190"/>
      <c r="P9" s="187"/>
      <c r="Q9" s="1264">
        <v>1000000</v>
      </c>
      <c r="R9" s="1264">
        <v>2000000</v>
      </c>
      <c r="S9" s="308"/>
      <c r="T9" s="308"/>
      <c r="U9" s="187"/>
      <c r="V9" s="1144"/>
      <c r="W9" s="1144"/>
      <c r="X9" s="1144"/>
      <c r="AA9" s="585"/>
      <c r="AB9" s="585"/>
    </row>
    <row r="10" spans="1:28" s="302" customFormat="1" ht="11.45" customHeight="1">
      <c r="F10" s="190"/>
      <c r="G10" s="190"/>
      <c r="H10" s="187"/>
      <c r="I10" s="187"/>
      <c r="J10" s="190" t="s">
        <v>2384</v>
      </c>
      <c r="K10" s="190"/>
      <c r="L10" s="190"/>
      <c r="M10" s="190"/>
      <c r="N10" s="190"/>
      <c r="O10" s="190"/>
      <c r="P10" s="187"/>
      <c r="Q10" s="1264" t="s">
        <v>1733</v>
      </c>
      <c r="R10" s="1263">
        <v>0.25</v>
      </c>
      <c r="S10" s="187"/>
      <c r="T10" s="187"/>
      <c r="U10" s="187"/>
      <c r="V10" s="1077"/>
      <c r="W10" s="1077"/>
      <c r="X10" s="191"/>
      <c r="AA10" s="585"/>
      <c r="AB10" s="585"/>
    </row>
    <row r="11" spans="1:28" s="302" customFormat="1" ht="11.45" customHeight="1">
      <c r="A11" s="190"/>
      <c r="B11" s="190"/>
      <c r="C11" s="190"/>
      <c r="D11" s="187"/>
      <c r="E11" s="187"/>
      <c r="F11" s="190" t="s">
        <v>3628</v>
      </c>
      <c r="G11" s="190"/>
      <c r="H11" s="187"/>
      <c r="I11" s="187"/>
      <c r="J11" s="653" t="s">
        <v>3629</v>
      </c>
      <c r="K11" s="312"/>
      <c r="M11" s="312"/>
      <c r="N11" s="312"/>
      <c r="O11" s="190"/>
      <c r="Q11" s="310"/>
      <c r="R11" s="310"/>
      <c r="S11" s="323"/>
      <c r="T11" s="187"/>
      <c r="U11" s="187"/>
      <c r="V11" s="1144"/>
      <c r="W11" s="1144"/>
      <c r="X11" s="1144"/>
      <c r="AA11" s="585"/>
      <c r="AB11" s="585"/>
    </row>
    <row r="12" spans="1:28" s="302" customFormat="1" ht="11.45" customHeight="1">
      <c r="A12" s="190"/>
      <c r="B12" s="190"/>
      <c r="C12" s="190"/>
      <c r="D12" s="187"/>
      <c r="E12" s="187"/>
      <c r="F12" s="190"/>
      <c r="G12" s="190"/>
      <c r="H12" s="187"/>
      <c r="I12" s="187"/>
      <c r="J12" s="653"/>
      <c r="K12" s="312"/>
      <c r="M12" s="312"/>
      <c r="N12" s="312"/>
      <c r="O12" s="190"/>
      <c r="Q12" s="310"/>
      <c r="R12" s="310"/>
      <c r="S12" s="323"/>
      <c r="T12" s="187"/>
      <c r="U12" s="187"/>
      <c r="V12" s="1144"/>
      <c r="W12" s="1144"/>
      <c r="X12" s="1144"/>
      <c r="AA12" s="585"/>
      <c r="AB12" s="585"/>
    </row>
    <row r="13" spans="1:28" s="302" customFormat="1" ht="11.45" customHeight="1">
      <c r="A13" s="190"/>
      <c r="B13" s="190"/>
      <c r="C13" s="190"/>
      <c r="D13" s="2399">
        <v>2018</v>
      </c>
      <c r="E13" s="187"/>
      <c r="F13" s="4317" t="s">
        <v>3359</v>
      </c>
      <c r="G13" s="4318"/>
      <c r="H13" s="4318"/>
      <c r="I13" s="4318"/>
      <c r="J13" s="4319"/>
      <c r="K13" s="312"/>
      <c r="L13" s="654" t="s">
        <v>3580</v>
      </c>
      <c r="M13" s="312"/>
      <c r="N13" s="4317" t="s">
        <v>3359</v>
      </c>
      <c r="O13" s="4318"/>
      <c r="P13" s="4318"/>
      <c r="Q13" s="4318"/>
      <c r="R13" s="4319"/>
      <c r="S13" s="323"/>
      <c r="T13" s="187"/>
      <c r="U13" s="187"/>
      <c r="V13" s="1144"/>
      <c r="W13" s="1144"/>
      <c r="X13" s="1144"/>
      <c r="AA13" s="585"/>
      <c r="AB13" s="585"/>
    </row>
    <row r="14" spans="1:28" s="302" customFormat="1" ht="11.45" customHeight="1">
      <c r="A14" s="190"/>
      <c r="D14" s="655" t="s">
        <v>2613</v>
      </c>
      <c r="E14" s="655" t="s">
        <v>1296</v>
      </c>
      <c r="F14" s="656">
        <v>0</v>
      </c>
      <c r="G14" s="657">
        <v>1</v>
      </c>
      <c r="H14" s="1261">
        <v>2</v>
      </c>
      <c r="I14" s="1261">
        <v>3</v>
      </c>
      <c r="J14" s="658" t="s">
        <v>3356</v>
      </c>
      <c r="L14" s="655" t="s">
        <v>2613</v>
      </c>
      <c r="M14" s="655" t="s">
        <v>1296</v>
      </c>
      <c r="N14" s="656">
        <v>0</v>
      </c>
      <c r="O14" s="657">
        <v>1</v>
      </c>
      <c r="P14" s="1261">
        <v>2</v>
      </c>
      <c r="Q14" s="1261">
        <v>3</v>
      </c>
      <c r="R14" s="658" t="s">
        <v>3356</v>
      </c>
      <c r="S14" s="323"/>
      <c r="T14" s="187"/>
      <c r="U14" s="187"/>
      <c r="V14" s="1144"/>
      <c r="W14" s="1144"/>
      <c r="X14" s="1144"/>
      <c r="AA14" s="585"/>
      <c r="AB14" s="585"/>
    </row>
    <row r="15" spans="1:28" s="302" customFormat="1" ht="11.45" customHeight="1">
      <c r="A15" s="190"/>
      <c r="C15" s="346"/>
      <c r="D15" s="1164" t="s">
        <v>1782</v>
      </c>
      <c r="E15" s="1164" t="s">
        <v>3358</v>
      </c>
      <c r="F15" s="1165">
        <v>137262</v>
      </c>
      <c r="G15" s="1165">
        <v>177349</v>
      </c>
      <c r="H15" s="1165">
        <v>212078</v>
      </c>
      <c r="I15" s="1165">
        <v>252716</v>
      </c>
      <c r="J15" s="1165">
        <v>297120</v>
      </c>
      <c r="L15" s="323" t="s">
        <v>1782</v>
      </c>
      <c r="M15" s="323" t="s">
        <v>3358</v>
      </c>
      <c r="N15" s="1292">
        <f t="shared" ref="N15:R30" si="0">ROUNDDOWN(F15*1.1,0)</f>
        <v>150988</v>
      </c>
      <c r="O15" s="1292">
        <f t="shared" si="0"/>
        <v>195083</v>
      </c>
      <c r="P15" s="1292">
        <f t="shared" si="0"/>
        <v>233285</v>
      </c>
      <c r="Q15" s="1292">
        <f t="shared" si="0"/>
        <v>277987</v>
      </c>
      <c r="R15" s="1292">
        <f t="shared" si="0"/>
        <v>326832</v>
      </c>
      <c r="S15" s="323"/>
      <c r="T15" s="187"/>
      <c r="U15" s="187"/>
      <c r="V15" s="1144"/>
      <c r="W15" s="1144"/>
      <c r="X15" s="1144"/>
      <c r="AA15" s="585"/>
      <c r="AB15" s="585"/>
    </row>
    <row r="16" spans="1:28" s="302" customFormat="1" ht="11.45" customHeight="1">
      <c r="A16" s="190"/>
      <c r="C16" s="346"/>
      <c r="D16" s="1164" t="s">
        <v>1782</v>
      </c>
      <c r="E16" s="1164" t="s">
        <v>3355</v>
      </c>
      <c r="F16" s="1165">
        <v>107293</v>
      </c>
      <c r="G16" s="1165">
        <v>150210</v>
      </c>
      <c r="H16" s="1165">
        <v>193128</v>
      </c>
      <c r="I16" s="1165">
        <v>257504</v>
      </c>
      <c r="J16" s="1165">
        <v>321879</v>
      </c>
      <c r="L16" s="323" t="s">
        <v>1782</v>
      </c>
      <c r="M16" s="323" t="s">
        <v>3355</v>
      </c>
      <c r="N16" s="1292">
        <f t="shared" si="0"/>
        <v>118022</v>
      </c>
      <c r="O16" s="1292">
        <f t="shared" si="0"/>
        <v>165231</v>
      </c>
      <c r="P16" s="1292">
        <f t="shared" si="0"/>
        <v>212440</v>
      </c>
      <c r="Q16" s="1292">
        <f t="shared" si="0"/>
        <v>283254</v>
      </c>
      <c r="R16" s="1292">
        <f t="shared" si="0"/>
        <v>354066</v>
      </c>
      <c r="S16" s="323"/>
      <c r="T16" s="187"/>
      <c r="U16" s="187"/>
      <c r="V16" s="1144"/>
      <c r="W16" s="1144"/>
      <c r="X16" s="1144"/>
      <c r="AA16" s="585"/>
      <c r="AB16" s="585"/>
    </row>
    <row r="17" spans="1:28" s="302" customFormat="1" ht="11.45" customHeight="1">
      <c r="A17" s="190"/>
      <c r="C17" s="346"/>
      <c r="D17" s="1164" t="s">
        <v>1782</v>
      </c>
      <c r="E17" s="1164" t="s">
        <v>3353</v>
      </c>
      <c r="F17" s="1165">
        <v>121714</v>
      </c>
      <c r="G17" s="1165">
        <v>158836</v>
      </c>
      <c r="H17" s="1165">
        <v>192451</v>
      </c>
      <c r="I17" s="1165">
        <v>234909</v>
      </c>
      <c r="J17" s="1165">
        <v>278528</v>
      </c>
      <c r="L17" s="323" t="s">
        <v>1782</v>
      </c>
      <c r="M17" s="323" t="s">
        <v>3353</v>
      </c>
      <c r="N17" s="1292">
        <f t="shared" si="0"/>
        <v>133885</v>
      </c>
      <c r="O17" s="1292">
        <f t="shared" si="0"/>
        <v>174719</v>
      </c>
      <c r="P17" s="1292">
        <f t="shared" si="0"/>
        <v>211696</v>
      </c>
      <c r="Q17" s="1292">
        <f t="shared" si="0"/>
        <v>258399</v>
      </c>
      <c r="R17" s="1292">
        <f t="shared" si="0"/>
        <v>306380</v>
      </c>
      <c r="S17" s="323"/>
      <c r="T17" s="187"/>
      <c r="U17" s="187"/>
      <c r="V17" s="1144"/>
      <c r="W17" s="1144"/>
      <c r="X17" s="1144"/>
      <c r="AA17" s="585"/>
      <c r="AB17" s="585"/>
    </row>
    <row r="18" spans="1:28" s="302" customFormat="1" ht="11.45" customHeight="1">
      <c r="A18" s="190"/>
      <c r="C18" s="346"/>
      <c r="D18" s="1164" t="s">
        <v>1782</v>
      </c>
      <c r="E18" s="1164" t="s">
        <v>3354</v>
      </c>
      <c r="F18" s="1165">
        <v>107065</v>
      </c>
      <c r="G18" s="1165">
        <v>146199</v>
      </c>
      <c r="H18" s="1165">
        <v>185055</v>
      </c>
      <c r="I18" s="1165">
        <v>243836</v>
      </c>
      <c r="J18" s="1165">
        <v>302233</v>
      </c>
      <c r="L18" s="323" t="s">
        <v>1782</v>
      </c>
      <c r="M18" s="323" t="s">
        <v>3354</v>
      </c>
      <c r="N18" s="1292">
        <f t="shared" si="0"/>
        <v>117771</v>
      </c>
      <c r="O18" s="1292">
        <f t="shared" si="0"/>
        <v>160818</v>
      </c>
      <c r="P18" s="1292">
        <f t="shared" si="0"/>
        <v>203560</v>
      </c>
      <c r="Q18" s="1292">
        <f t="shared" si="0"/>
        <v>268219</v>
      </c>
      <c r="R18" s="1292">
        <f t="shared" si="0"/>
        <v>332456</v>
      </c>
      <c r="S18" s="323"/>
      <c r="T18" s="187"/>
      <c r="U18" s="187"/>
      <c r="V18" s="1144"/>
      <c r="W18" s="1144"/>
      <c r="X18" s="1144"/>
      <c r="AA18" s="585"/>
      <c r="AB18" s="585"/>
    </row>
    <row r="19" spans="1:28" s="302" customFormat="1" ht="11.45" customHeight="1">
      <c r="A19" s="190"/>
      <c r="C19" s="346"/>
      <c r="D19" s="1156" t="s">
        <v>166</v>
      </c>
      <c r="E19" s="1156" t="s">
        <v>3358</v>
      </c>
      <c r="F19" s="1157">
        <v>135505</v>
      </c>
      <c r="G19" s="1157">
        <v>175180</v>
      </c>
      <c r="H19" s="1157">
        <v>209551</v>
      </c>
      <c r="I19" s="1157">
        <v>249808</v>
      </c>
      <c r="J19" s="1157">
        <v>293789</v>
      </c>
      <c r="L19" s="323" t="s">
        <v>166</v>
      </c>
      <c r="M19" s="323" t="s">
        <v>3358</v>
      </c>
      <c r="N19" s="1292">
        <f t="shared" si="0"/>
        <v>149055</v>
      </c>
      <c r="O19" s="1292">
        <f t="shared" si="0"/>
        <v>192698</v>
      </c>
      <c r="P19" s="1292">
        <f t="shared" si="0"/>
        <v>230506</v>
      </c>
      <c r="Q19" s="1292">
        <f t="shared" si="0"/>
        <v>274788</v>
      </c>
      <c r="R19" s="1292">
        <f t="shared" si="0"/>
        <v>323167</v>
      </c>
      <c r="S19" s="323"/>
      <c r="T19" s="187"/>
      <c r="U19" s="187"/>
      <c r="V19" s="1144"/>
      <c r="W19" s="1144"/>
      <c r="X19" s="1144"/>
      <c r="AA19" s="585"/>
      <c r="AB19" s="585"/>
    </row>
    <row r="20" spans="1:28" s="302" customFormat="1" ht="11.45" customHeight="1">
      <c r="A20" s="190"/>
      <c r="C20" s="346"/>
      <c r="D20" s="1156" t="s">
        <v>166</v>
      </c>
      <c r="E20" s="1156" t="s">
        <v>3355</v>
      </c>
      <c r="F20" s="1157">
        <v>105897</v>
      </c>
      <c r="G20" s="1157">
        <v>148256</v>
      </c>
      <c r="H20" s="1157">
        <v>190615</v>
      </c>
      <c r="I20" s="1157">
        <v>254153</v>
      </c>
      <c r="J20" s="1157">
        <v>317691</v>
      </c>
      <c r="L20" s="323" t="s">
        <v>166</v>
      </c>
      <c r="M20" s="323" t="s">
        <v>3355</v>
      </c>
      <c r="N20" s="1292">
        <f t="shared" si="0"/>
        <v>116486</v>
      </c>
      <c r="O20" s="1292">
        <f t="shared" si="0"/>
        <v>163081</v>
      </c>
      <c r="P20" s="1292">
        <f t="shared" si="0"/>
        <v>209676</v>
      </c>
      <c r="Q20" s="1292">
        <f t="shared" si="0"/>
        <v>279568</v>
      </c>
      <c r="R20" s="1292">
        <f t="shared" si="0"/>
        <v>349460</v>
      </c>
      <c r="S20" s="323"/>
      <c r="T20" s="187"/>
      <c r="U20" s="187"/>
      <c r="V20" s="1144"/>
      <c r="W20" s="1144"/>
      <c r="X20" s="1144"/>
      <c r="AA20" s="585"/>
      <c r="AB20" s="585"/>
    </row>
    <row r="21" spans="1:28" s="302" customFormat="1" ht="11.45" customHeight="1">
      <c r="A21" s="190"/>
      <c r="C21" s="346"/>
      <c r="D21" s="1156" t="s">
        <v>166</v>
      </c>
      <c r="E21" s="1156" t="s">
        <v>3353</v>
      </c>
      <c r="F21" s="1157">
        <v>119770</v>
      </c>
      <c r="G21" s="1157">
        <v>156444</v>
      </c>
      <c r="H21" s="1157">
        <v>189688</v>
      </c>
      <c r="I21" s="1157">
        <v>231786</v>
      </c>
      <c r="J21" s="1157">
        <v>274973</v>
      </c>
      <c r="L21" s="323" t="s">
        <v>166</v>
      </c>
      <c r="M21" s="323" t="s">
        <v>3353</v>
      </c>
      <c r="N21" s="1292">
        <f t="shared" si="0"/>
        <v>131747</v>
      </c>
      <c r="O21" s="1292">
        <f t="shared" si="0"/>
        <v>172088</v>
      </c>
      <c r="P21" s="1292">
        <f t="shared" si="0"/>
        <v>208656</v>
      </c>
      <c r="Q21" s="1292">
        <f t="shared" si="0"/>
        <v>254964</v>
      </c>
      <c r="R21" s="1292">
        <f t="shared" si="0"/>
        <v>302470</v>
      </c>
      <c r="S21" s="323"/>
      <c r="T21" s="187"/>
      <c r="U21" s="187"/>
      <c r="V21" s="1144"/>
      <c r="W21" s="1144"/>
      <c r="X21" s="1144"/>
      <c r="AA21" s="585"/>
      <c r="AB21" s="585"/>
    </row>
    <row r="22" spans="1:28" s="302" customFormat="1" ht="11.45" customHeight="1">
      <c r="A22" s="190"/>
      <c r="C22" s="346"/>
      <c r="D22" s="1156" t="s">
        <v>166</v>
      </c>
      <c r="E22" s="1156" t="s">
        <v>3354</v>
      </c>
      <c r="F22" s="1157">
        <v>104962</v>
      </c>
      <c r="G22" s="1157">
        <v>143211</v>
      </c>
      <c r="H22" s="1157">
        <v>181178</v>
      </c>
      <c r="I22" s="1157">
        <v>238632</v>
      </c>
      <c r="J22" s="1157">
        <v>295697</v>
      </c>
      <c r="L22" s="323" t="s">
        <v>166</v>
      </c>
      <c r="M22" s="323" t="s">
        <v>3354</v>
      </c>
      <c r="N22" s="1292">
        <f t="shared" si="0"/>
        <v>115458</v>
      </c>
      <c r="O22" s="1292">
        <f t="shared" si="0"/>
        <v>157532</v>
      </c>
      <c r="P22" s="1292">
        <f t="shared" si="0"/>
        <v>199295</v>
      </c>
      <c r="Q22" s="1292">
        <f t="shared" si="0"/>
        <v>262495</v>
      </c>
      <c r="R22" s="1292">
        <f t="shared" si="0"/>
        <v>325266</v>
      </c>
      <c r="S22" s="323"/>
      <c r="T22" s="187"/>
      <c r="U22" s="187"/>
      <c r="V22" s="1144"/>
      <c r="W22" s="1144"/>
      <c r="X22" s="1144"/>
      <c r="AA22" s="585"/>
      <c r="AB22" s="585"/>
    </row>
    <row r="23" spans="1:28" s="302" customFormat="1" ht="11.45" customHeight="1">
      <c r="A23" s="190"/>
      <c r="C23" s="346"/>
      <c r="D23" s="1154" t="s">
        <v>1205</v>
      </c>
      <c r="E23" s="1154" t="s">
        <v>3358</v>
      </c>
      <c r="F23" s="1155">
        <v>147803</v>
      </c>
      <c r="G23" s="1155">
        <v>191097</v>
      </c>
      <c r="H23" s="1155">
        <v>228604</v>
      </c>
      <c r="I23" s="1155">
        <v>272539</v>
      </c>
      <c r="J23" s="1155">
        <v>320539</v>
      </c>
      <c r="L23" s="653" t="s">
        <v>1205</v>
      </c>
      <c r="M23" s="653" t="s">
        <v>3358</v>
      </c>
      <c r="N23" s="1292">
        <f t="shared" si="0"/>
        <v>162583</v>
      </c>
      <c r="O23" s="1292">
        <f t="shared" si="0"/>
        <v>210206</v>
      </c>
      <c r="P23" s="1292">
        <f t="shared" si="0"/>
        <v>251464</v>
      </c>
      <c r="Q23" s="1292">
        <f t="shared" si="0"/>
        <v>299792</v>
      </c>
      <c r="R23" s="1292">
        <f t="shared" si="0"/>
        <v>352592</v>
      </c>
      <c r="S23" s="323"/>
      <c r="T23" s="187"/>
      <c r="U23" s="187"/>
      <c r="V23" s="1144"/>
      <c r="W23" s="1144"/>
      <c r="X23" s="1144"/>
      <c r="AA23" s="585"/>
      <c r="AB23" s="585"/>
    </row>
    <row r="24" spans="1:28" s="302" customFormat="1" ht="11.45" customHeight="1">
      <c r="A24" s="190"/>
      <c r="C24" s="346"/>
      <c r="D24" s="1154" t="s">
        <v>1205</v>
      </c>
      <c r="E24" s="1154" t="s">
        <v>3355</v>
      </c>
      <c r="F24" s="1155">
        <v>115504</v>
      </c>
      <c r="G24" s="1155">
        <v>161705</v>
      </c>
      <c r="H24" s="1155">
        <v>207907</v>
      </c>
      <c r="I24" s="1155">
        <v>277209</v>
      </c>
      <c r="J24" s="1155">
        <v>346512</v>
      </c>
      <c r="L24" s="653" t="s">
        <v>1205</v>
      </c>
      <c r="M24" s="653" t="s">
        <v>3355</v>
      </c>
      <c r="N24" s="1292">
        <f t="shared" si="0"/>
        <v>127054</v>
      </c>
      <c r="O24" s="1292">
        <f t="shared" si="0"/>
        <v>177875</v>
      </c>
      <c r="P24" s="1292">
        <f t="shared" si="0"/>
        <v>228697</v>
      </c>
      <c r="Q24" s="1292">
        <f t="shared" si="0"/>
        <v>304929</v>
      </c>
      <c r="R24" s="1292">
        <f t="shared" si="0"/>
        <v>381163</v>
      </c>
      <c r="S24" s="323"/>
      <c r="T24" s="187"/>
      <c r="U24" s="187"/>
      <c r="V24" s="1144"/>
      <c r="W24" s="1144"/>
      <c r="X24" s="1144"/>
      <c r="AA24" s="585"/>
      <c r="AB24" s="585"/>
    </row>
    <row r="25" spans="1:28" s="302" customFormat="1" ht="11.45" customHeight="1">
      <c r="A25" s="190"/>
      <c r="C25" s="346"/>
      <c r="D25" s="1154" t="s">
        <v>1205</v>
      </c>
      <c r="E25" s="1154" t="s">
        <v>3353</v>
      </c>
      <c r="F25" s="1155">
        <v>130569</v>
      </c>
      <c r="G25" s="1155">
        <v>170576</v>
      </c>
      <c r="H25" s="1155">
        <v>206849</v>
      </c>
      <c r="I25" s="1155">
        <v>252801</v>
      </c>
      <c r="J25" s="1155">
        <v>299931</v>
      </c>
      <c r="L25" s="653" t="s">
        <v>1205</v>
      </c>
      <c r="M25" s="653" t="s">
        <v>3353</v>
      </c>
      <c r="N25" s="1292">
        <f t="shared" si="0"/>
        <v>143625</v>
      </c>
      <c r="O25" s="1292">
        <f t="shared" si="0"/>
        <v>187633</v>
      </c>
      <c r="P25" s="1292">
        <f t="shared" si="0"/>
        <v>227533</v>
      </c>
      <c r="Q25" s="1292">
        <f t="shared" si="0"/>
        <v>278081</v>
      </c>
      <c r="R25" s="1292">
        <f t="shared" si="0"/>
        <v>329924</v>
      </c>
      <c r="S25" s="323"/>
      <c r="T25" s="187"/>
      <c r="U25" s="187"/>
      <c r="V25" s="1144"/>
      <c r="W25" s="1144"/>
      <c r="X25" s="1144"/>
      <c r="AA25" s="585"/>
      <c r="AB25" s="585"/>
    </row>
    <row r="26" spans="1:28" s="302" customFormat="1" ht="11.45" customHeight="1">
      <c r="A26" s="190"/>
      <c r="C26" s="346"/>
      <c r="D26" s="1154" t="s">
        <v>1205</v>
      </c>
      <c r="E26" s="1154" t="s">
        <v>3354</v>
      </c>
      <c r="F26" s="1155">
        <v>114354</v>
      </c>
      <c r="G26" s="1155">
        <v>156004</v>
      </c>
      <c r="H26" s="1155">
        <v>197346</v>
      </c>
      <c r="I26" s="1155">
        <v>259909</v>
      </c>
      <c r="J26" s="1155">
        <v>322047</v>
      </c>
      <c r="L26" s="653" t="s">
        <v>1205</v>
      </c>
      <c r="M26" s="653" t="s">
        <v>3354</v>
      </c>
      <c r="N26" s="1292">
        <f t="shared" si="0"/>
        <v>125789</v>
      </c>
      <c r="O26" s="1292">
        <f t="shared" si="0"/>
        <v>171604</v>
      </c>
      <c r="P26" s="1292">
        <f t="shared" si="0"/>
        <v>217080</v>
      </c>
      <c r="Q26" s="1292">
        <f t="shared" si="0"/>
        <v>285899</v>
      </c>
      <c r="R26" s="1292">
        <f t="shared" si="0"/>
        <v>354251</v>
      </c>
      <c r="S26" s="323"/>
      <c r="T26" s="187"/>
      <c r="U26" s="187"/>
      <c r="V26" s="1144"/>
      <c r="W26" s="1144"/>
      <c r="X26" s="1144"/>
      <c r="AA26" s="585"/>
      <c r="AB26" s="585"/>
    </row>
    <row r="27" spans="1:28" s="302" customFormat="1" ht="11.45" customHeight="1">
      <c r="A27" s="190"/>
      <c r="C27" s="346"/>
      <c r="D27" s="1158" t="s">
        <v>1330</v>
      </c>
      <c r="E27" s="1158" t="s">
        <v>3358</v>
      </c>
      <c r="F27" s="1159">
        <v>137432</v>
      </c>
      <c r="G27" s="1159">
        <v>177418</v>
      </c>
      <c r="H27" s="1159">
        <v>212058</v>
      </c>
      <c r="I27" s="1159">
        <v>252539</v>
      </c>
      <c r="J27" s="1159">
        <v>296777</v>
      </c>
      <c r="L27" s="653" t="s">
        <v>1330</v>
      </c>
      <c r="M27" s="653" t="s">
        <v>3358</v>
      </c>
      <c r="N27" s="1292">
        <f t="shared" si="0"/>
        <v>151175</v>
      </c>
      <c r="O27" s="1292">
        <f t="shared" si="0"/>
        <v>195159</v>
      </c>
      <c r="P27" s="1292">
        <f t="shared" si="0"/>
        <v>233263</v>
      </c>
      <c r="Q27" s="1292">
        <f t="shared" si="0"/>
        <v>277792</v>
      </c>
      <c r="R27" s="1292">
        <f t="shared" si="0"/>
        <v>326454</v>
      </c>
      <c r="S27" s="323"/>
      <c r="T27" s="187"/>
      <c r="U27" s="187"/>
      <c r="V27" s="1144"/>
      <c r="W27" s="1144"/>
      <c r="X27" s="1144"/>
      <c r="AA27" s="585"/>
      <c r="AB27" s="585"/>
    </row>
    <row r="28" spans="1:28" s="302" customFormat="1" ht="11.45" customHeight="1">
      <c r="A28" s="190"/>
      <c r="C28" s="346"/>
      <c r="D28" s="1158" t="s">
        <v>1330</v>
      </c>
      <c r="E28" s="1158" t="s">
        <v>3355</v>
      </c>
      <c r="F28" s="1159">
        <v>107460</v>
      </c>
      <c r="G28" s="1159">
        <v>150444</v>
      </c>
      <c r="H28" s="1159">
        <v>193428</v>
      </c>
      <c r="I28" s="1159">
        <v>257905</v>
      </c>
      <c r="J28" s="1159">
        <v>322381</v>
      </c>
      <c r="L28" s="653" t="s">
        <v>1330</v>
      </c>
      <c r="M28" s="653" t="s">
        <v>3355</v>
      </c>
      <c r="N28" s="1292">
        <f t="shared" si="0"/>
        <v>118206</v>
      </c>
      <c r="O28" s="1292">
        <f t="shared" si="0"/>
        <v>165488</v>
      </c>
      <c r="P28" s="1292">
        <f t="shared" si="0"/>
        <v>212770</v>
      </c>
      <c r="Q28" s="1292">
        <f t="shared" si="0"/>
        <v>283695</v>
      </c>
      <c r="R28" s="1292">
        <f t="shared" si="0"/>
        <v>354619</v>
      </c>
      <c r="S28" s="323"/>
      <c r="T28" s="187"/>
      <c r="U28" s="187"/>
      <c r="V28" s="1144"/>
      <c r="W28" s="1144"/>
      <c r="X28" s="1144"/>
      <c r="AA28" s="585"/>
      <c r="AB28" s="585"/>
    </row>
    <row r="29" spans="1:28" s="302" customFormat="1" ht="11.45" customHeight="1">
      <c r="A29" s="190"/>
      <c r="C29" s="346"/>
      <c r="D29" s="1158" t="s">
        <v>1330</v>
      </c>
      <c r="E29" s="1158" t="s">
        <v>3353</v>
      </c>
      <c r="F29" s="1159">
        <v>122447</v>
      </c>
      <c r="G29" s="1159">
        <v>159574</v>
      </c>
      <c r="H29" s="1159">
        <v>193140</v>
      </c>
      <c r="I29" s="1159">
        <v>235376</v>
      </c>
      <c r="J29" s="1159">
        <v>278857</v>
      </c>
      <c r="L29" s="653" t="s">
        <v>1330</v>
      </c>
      <c r="M29" s="653" t="s">
        <v>3353</v>
      </c>
      <c r="N29" s="1292">
        <f t="shared" si="0"/>
        <v>134691</v>
      </c>
      <c r="O29" s="1292">
        <f t="shared" si="0"/>
        <v>175531</v>
      </c>
      <c r="P29" s="1292">
        <f t="shared" si="0"/>
        <v>212454</v>
      </c>
      <c r="Q29" s="1292">
        <f t="shared" si="0"/>
        <v>258913</v>
      </c>
      <c r="R29" s="1292">
        <f t="shared" si="0"/>
        <v>306742</v>
      </c>
      <c r="S29" s="323"/>
      <c r="T29" s="187"/>
      <c r="U29" s="187"/>
      <c r="V29" s="1144"/>
      <c r="W29" s="1144"/>
      <c r="X29" s="1144"/>
      <c r="AA29" s="585"/>
      <c r="AB29" s="585"/>
    </row>
    <row r="30" spans="1:28" s="302" customFormat="1" ht="11.45" customHeight="1">
      <c r="A30" s="190"/>
      <c r="C30" s="346"/>
      <c r="D30" s="1158" t="s">
        <v>1330</v>
      </c>
      <c r="E30" s="1158" t="s">
        <v>3354</v>
      </c>
      <c r="F30" s="1159">
        <v>108299</v>
      </c>
      <c r="G30" s="1159">
        <v>148060</v>
      </c>
      <c r="H30" s="1159">
        <v>187554</v>
      </c>
      <c r="I30" s="1159">
        <v>247273</v>
      </c>
      <c r="J30" s="1159">
        <v>306622</v>
      </c>
      <c r="L30" s="653" t="s">
        <v>1330</v>
      </c>
      <c r="M30" s="653" t="s">
        <v>3354</v>
      </c>
      <c r="N30" s="1292">
        <f t="shared" si="0"/>
        <v>119128</v>
      </c>
      <c r="O30" s="1292">
        <f t="shared" si="0"/>
        <v>162866</v>
      </c>
      <c r="P30" s="1292">
        <f t="shared" si="0"/>
        <v>206309</v>
      </c>
      <c r="Q30" s="1292">
        <f t="shared" si="0"/>
        <v>272000</v>
      </c>
      <c r="R30" s="1292">
        <f t="shared" si="0"/>
        <v>337284</v>
      </c>
      <c r="S30" s="323"/>
      <c r="T30" s="187"/>
      <c r="U30" s="187"/>
      <c r="V30" s="1144"/>
      <c r="W30" s="1144"/>
      <c r="X30" s="1144"/>
      <c r="AA30" s="585"/>
      <c r="AB30" s="585"/>
    </row>
    <row r="31" spans="1:28" s="302" customFormat="1" ht="11.45" customHeight="1">
      <c r="A31" s="190"/>
      <c r="C31" s="346"/>
      <c r="D31" s="1185" t="s">
        <v>1521</v>
      </c>
      <c r="E31" s="1185" t="s">
        <v>3358</v>
      </c>
      <c r="F31" s="973">
        <v>144345</v>
      </c>
      <c r="G31" s="973">
        <v>186781</v>
      </c>
      <c r="H31" s="973">
        <v>223544</v>
      </c>
      <c r="I31" s="973">
        <v>266662</v>
      </c>
      <c r="J31" s="973">
        <v>313764</v>
      </c>
      <c r="L31" s="1185" t="s">
        <v>1521</v>
      </c>
      <c r="M31" s="653" t="s">
        <v>3358</v>
      </c>
      <c r="N31" s="1292">
        <f t="shared" ref="N31:R34" si="1">ROUNDDOWN(F31*1.1,0)</f>
        <v>158779</v>
      </c>
      <c r="O31" s="1292">
        <f t="shared" si="1"/>
        <v>205459</v>
      </c>
      <c r="P31" s="1292">
        <f t="shared" si="1"/>
        <v>245898</v>
      </c>
      <c r="Q31" s="1292">
        <f t="shared" si="1"/>
        <v>293328</v>
      </c>
      <c r="R31" s="1292">
        <f t="shared" si="1"/>
        <v>345140</v>
      </c>
      <c r="S31" s="323"/>
      <c r="T31" s="187"/>
      <c r="U31" s="187"/>
      <c r="V31" s="1144"/>
      <c r="W31" s="1144"/>
      <c r="X31" s="1144"/>
      <c r="AA31" s="585"/>
      <c r="AB31" s="585"/>
    </row>
    <row r="32" spans="1:28" s="302" customFormat="1" ht="11.45" customHeight="1">
      <c r="A32" s="190"/>
      <c r="C32" s="346"/>
      <c r="D32" s="1185" t="s">
        <v>1521</v>
      </c>
      <c r="E32" s="1185" t="s">
        <v>3355</v>
      </c>
      <c r="F32" s="973">
        <v>112768</v>
      </c>
      <c r="G32" s="973">
        <v>157875</v>
      </c>
      <c r="H32" s="973">
        <v>202982</v>
      </c>
      <c r="I32" s="973">
        <v>270642</v>
      </c>
      <c r="J32" s="973">
        <v>338303</v>
      </c>
      <c r="L32" s="1185" t="s">
        <v>1521</v>
      </c>
      <c r="M32" s="653" t="s">
        <v>3355</v>
      </c>
      <c r="N32" s="1292">
        <f t="shared" si="1"/>
        <v>124044</v>
      </c>
      <c r="O32" s="1292">
        <f t="shared" si="1"/>
        <v>173662</v>
      </c>
      <c r="P32" s="1292">
        <f t="shared" si="1"/>
        <v>223280</v>
      </c>
      <c r="Q32" s="1292">
        <f t="shared" si="1"/>
        <v>297706</v>
      </c>
      <c r="R32" s="1292">
        <f t="shared" si="1"/>
        <v>372133</v>
      </c>
      <c r="S32" s="323"/>
      <c r="T32" s="187"/>
      <c r="U32" s="187"/>
      <c r="V32" s="1144"/>
      <c r="W32" s="1144"/>
      <c r="X32" s="1144"/>
      <c r="AA32" s="585"/>
      <c r="AB32" s="585"/>
    </row>
    <row r="33" spans="1:28" s="302" customFormat="1" ht="11.45" customHeight="1">
      <c r="A33" s="190"/>
      <c r="C33" s="346"/>
      <c r="D33" s="1185" t="s">
        <v>1521</v>
      </c>
      <c r="E33" s="1185" t="s">
        <v>3353</v>
      </c>
      <c r="F33" s="973">
        <v>126924</v>
      </c>
      <c r="G33" s="973">
        <v>166037</v>
      </c>
      <c r="H33" s="973">
        <v>201553</v>
      </c>
      <c r="I33" s="973">
        <v>246710</v>
      </c>
      <c r="J33" s="973">
        <v>292932</v>
      </c>
      <c r="L33" s="1185" t="s">
        <v>1521</v>
      </c>
      <c r="M33" s="653" t="s">
        <v>3353</v>
      </c>
      <c r="N33" s="1292">
        <f t="shared" si="1"/>
        <v>139616</v>
      </c>
      <c r="O33" s="1292">
        <f t="shared" si="1"/>
        <v>182640</v>
      </c>
      <c r="P33" s="1292">
        <f t="shared" si="1"/>
        <v>221708</v>
      </c>
      <c r="Q33" s="1292">
        <f t="shared" si="1"/>
        <v>271381</v>
      </c>
      <c r="R33" s="1292">
        <f t="shared" si="1"/>
        <v>322225</v>
      </c>
      <c r="S33" s="323"/>
      <c r="T33" s="187"/>
      <c r="U33" s="187"/>
      <c r="V33" s="1144"/>
      <c r="W33" s="1144"/>
      <c r="X33" s="1144"/>
      <c r="AA33" s="585"/>
      <c r="AB33" s="585"/>
    </row>
    <row r="34" spans="1:28" s="302" customFormat="1" ht="11.45" customHeight="1">
      <c r="A34" s="190"/>
      <c r="C34" s="346"/>
      <c r="D34" s="1185" t="s">
        <v>1521</v>
      </c>
      <c r="E34" s="1185" t="s">
        <v>3354</v>
      </c>
      <c r="F34" s="973">
        <v>110561</v>
      </c>
      <c r="G34" s="973">
        <v>150648</v>
      </c>
      <c r="H34" s="973">
        <v>190425</v>
      </c>
      <c r="I34" s="973">
        <v>250646</v>
      </c>
      <c r="J34" s="973">
        <v>310437</v>
      </c>
      <c r="L34" s="1185" t="s">
        <v>1521</v>
      </c>
      <c r="M34" s="653" t="s">
        <v>3354</v>
      </c>
      <c r="N34" s="1292">
        <f t="shared" si="1"/>
        <v>121617</v>
      </c>
      <c r="O34" s="1292">
        <f t="shared" si="1"/>
        <v>165712</v>
      </c>
      <c r="P34" s="1292">
        <f t="shared" si="1"/>
        <v>209467</v>
      </c>
      <c r="Q34" s="1292">
        <f t="shared" si="1"/>
        <v>275710</v>
      </c>
      <c r="R34" s="1292">
        <f t="shared" si="1"/>
        <v>341480</v>
      </c>
      <c r="S34" s="323"/>
      <c r="T34" s="187"/>
      <c r="U34" s="187"/>
      <c r="V34" s="1144"/>
      <c r="W34" s="1144"/>
      <c r="X34" s="1144"/>
      <c r="AA34" s="585"/>
      <c r="AB34" s="585"/>
    </row>
    <row r="35" spans="1:28" s="302" customFormat="1" ht="11.45" customHeight="1">
      <c r="A35" s="190"/>
      <c r="C35" s="346"/>
      <c r="D35" s="1160" t="s">
        <v>161</v>
      </c>
      <c r="E35" s="1160" t="s">
        <v>3358</v>
      </c>
      <c r="F35" s="1161">
        <v>136468</v>
      </c>
      <c r="G35" s="1161">
        <v>176299</v>
      </c>
      <c r="H35" s="1161">
        <v>210804</v>
      </c>
      <c r="I35" s="1161">
        <v>251173</v>
      </c>
      <c r="J35" s="1161">
        <v>295283</v>
      </c>
      <c r="L35" s="323" t="s">
        <v>161</v>
      </c>
      <c r="M35" s="323" t="s">
        <v>3358</v>
      </c>
      <c r="N35" s="1292">
        <f t="shared" ref="N35:R50" si="2">ROUNDDOWN(F35*1.1,0)</f>
        <v>150114</v>
      </c>
      <c r="O35" s="1292">
        <f t="shared" si="2"/>
        <v>193928</v>
      </c>
      <c r="P35" s="1292">
        <f t="shared" si="2"/>
        <v>231884</v>
      </c>
      <c r="Q35" s="1292">
        <f t="shared" si="2"/>
        <v>276290</v>
      </c>
      <c r="R35" s="1292">
        <f t="shared" si="2"/>
        <v>324811</v>
      </c>
      <c r="S35" s="323"/>
      <c r="T35" s="187"/>
      <c r="U35" s="187"/>
      <c r="V35" s="1144"/>
      <c r="W35" s="1144"/>
      <c r="X35" s="1144"/>
      <c r="AA35" s="585"/>
      <c r="AB35" s="585"/>
    </row>
    <row r="36" spans="1:28" s="302" customFormat="1" ht="11.45" customHeight="1">
      <c r="A36" s="190"/>
      <c r="C36" s="346"/>
      <c r="D36" s="1160" t="s">
        <v>161</v>
      </c>
      <c r="E36" s="1160" t="s">
        <v>3355</v>
      </c>
      <c r="F36" s="1161">
        <v>106679</v>
      </c>
      <c r="G36" s="1161">
        <v>149350</v>
      </c>
      <c r="H36" s="1161">
        <v>192022</v>
      </c>
      <c r="I36" s="1161">
        <v>256029</v>
      </c>
      <c r="J36" s="1161">
        <v>320036</v>
      </c>
      <c r="L36" s="323" t="s">
        <v>161</v>
      </c>
      <c r="M36" s="323" t="s">
        <v>3355</v>
      </c>
      <c r="N36" s="1292">
        <f t="shared" si="2"/>
        <v>117346</v>
      </c>
      <c r="O36" s="1292">
        <f t="shared" si="2"/>
        <v>164285</v>
      </c>
      <c r="P36" s="1292">
        <f t="shared" si="2"/>
        <v>211224</v>
      </c>
      <c r="Q36" s="1292">
        <f t="shared" si="2"/>
        <v>281631</v>
      </c>
      <c r="R36" s="1292">
        <f t="shared" si="2"/>
        <v>352039</v>
      </c>
      <c r="S36" s="323"/>
      <c r="T36" s="187"/>
      <c r="U36" s="187"/>
      <c r="V36" s="1144"/>
      <c r="W36" s="1144"/>
      <c r="X36" s="1144"/>
      <c r="AA36" s="585"/>
      <c r="AB36" s="585"/>
    </row>
    <row r="37" spans="1:28" s="302" customFormat="1" ht="11.45" customHeight="1">
      <c r="A37" s="190"/>
      <c r="C37" s="346"/>
      <c r="D37" s="1160" t="s">
        <v>161</v>
      </c>
      <c r="E37" s="1160" t="s">
        <v>3353</v>
      </c>
      <c r="F37" s="1161">
        <v>121108</v>
      </c>
      <c r="G37" s="1161">
        <v>158009</v>
      </c>
      <c r="H37" s="1161">
        <v>191414</v>
      </c>
      <c r="I37" s="1161">
        <v>233581</v>
      </c>
      <c r="J37" s="1161">
        <v>276915</v>
      </c>
      <c r="L37" s="323" t="s">
        <v>161</v>
      </c>
      <c r="M37" s="323" t="s">
        <v>3353</v>
      </c>
      <c r="N37" s="1292">
        <f t="shared" si="2"/>
        <v>133218</v>
      </c>
      <c r="O37" s="1292">
        <f t="shared" si="2"/>
        <v>173809</v>
      </c>
      <c r="P37" s="1292">
        <f t="shared" si="2"/>
        <v>210555</v>
      </c>
      <c r="Q37" s="1292">
        <f t="shared" si="2"/>
        <v>256939</v>
      </c>
      <c r="R37" s="1292">
        <f t="shared" si="2"/>
        <v>304606</v>
      </c>
      <c r="S37" s="323"/>
      <c r="T37" s="187"/>
      <c r="U37" s="187"/>
      <c r="V37" s="1144"/>
      <c r="W37" s="1144"/>
      <c r="X37" s="1144"/>
      <c r="AA37" s="585"/>
      <c r="AB37" s="585"/>
    </row>
    <row r="38" spans="1:28" s="302" customFormat="1" ht="11.45" customHeight="1">
      <c r="A38" s="190"/>
      <c r="C38" s="346"/>
      <c r="D38" s="1160" t="s">
        <v>161</v>
      </c>
      <c r="E38" s="1160" t="s">
        <v>3354</v>
      </c>
      <c r="F38" s="1161">
        <v>106630</v>
      </c>
      <c r="G38" s="1161">
        <v>145635</v>
      </c>
      <c r="H38" s="1161">
        <v>184366</v>
      </c>
      <c r="I38" s="1161">
        <v>242953</v>
      </c>
      <c r="J38" s="1161">
        <v>301159</v>
      </c>
      <c r="L38" s="323" t="s">
        <v>161</v>
      </c>
      <c r="M38" s="323" t="s">
        <v>3354</v>
      </c>
      <c r="N38" s="1292">
        <f t="shared" si="2"/>
        <v>117293</v>
      </c>
      <c r="O38" s="1292">
        <f t="shared" si="2"/>
        <v>160198</v>
      </c>
      <c r="P38" s="1292">
        <f t="shared" si="2"/>
        <v>202802</v>
      </c>
      <c r="Q38" s="1292">
        <f t="shared" si="2"/>
        <v>267248</v>
      </c>
      <c r="R38" s="1292">
        <f t="shared" si="2"/>
        <v>331274</v>
      </c>
      <c r="S38" s="323"/>
      <c r="T38" s="187"/>
      <c r="U38" s="187"/>
      <c r="V38" s="1144"/>
      <c r="W38" s="1144"/>
      <c r="X38" s="1144"/>
      <c r="AA38" s="585"/>
      <c r="AB38" s="585"/>
    </row>
    <row r="39" spans="1:28" s="302" customFormat="1" ht="11.45" customHeight="1">
      <c r="A39" s="190"/>
      <c r="C39" s="346"/>
      <c r="D39" s="1162" t="s">
        <v>1320</v>
      </c>
      <c r="E39" s="1162" t="s">
        <v>3358</v>
      </c>
      <c r="F39" s="1163">
        <v>138055</v>
      </c>
      <c r="G39" s="1163">
        <v>178400</v>
      </c>
      <c r="H39" s="1163">
        <v>213351</v>
      </c>
      <c r="I39" s="1163">
        <v>254259</v>
      </c>
      <c r="J39" s="1163">
        <v>298956</v>
      </c>
      <c r="L39" s="653" t="s">
        <v>1320</v>
      </c>
      <c r="M39" s="653" t="s">
        <v>3358</v>
      </c>
      <c r="N39" s="1292">
        <f t="shared" si="2"/>
        <v>151860</v>
      </c>
      <c r="O39" s="1292">
        <f t="shared" si="2"/>
        <v>196240</v>
      </c>
      <c r="P39" s="1292">
        <f t="shared" si="2"/>
        <v>234686</v>
      </c>
      <c r="Q39" s="1292">
        <f t="shared" si="2"/>
        <v>279684</v>
      </c>
      <c r="R39" s="1292">
        <f t="shared" si="2"/>
        <v>328851</v>
      </c>
      <c r="S39" s="323"/>
      <c r="T39" s="187"/>
      <c r="U39" s="187"/>
      <c r="V39" s="1144"/>
      <c r="W39" s="1144"/>
      <c r="X39" s="1144"/>
      <c r="AA39" s="585"/>
      <c r="AB39" s="585"/>
    </row>
    <row r="40" spans="1:28" s="302" customFormat="1" ht="11.45" customHeight="1">
      <c r="A40" s="190"/>
      <c r="C40" s="346"/>
      <c r="D40" s="1162" t="s">
        <v>1320</v>
      </c>
      <c r="E40" s="1162" t="s">
        <v>3355</v>
      </c>
      <c r="F40" s="1163">
        <v>107908</v>
      </c>
      <c r="G40" s="1163">
        <v>151071</v>
      </c>
      <c r="H40" s="1163">
        <v>194234</v>
      </c>
      <c r="I40" s="1163">
        <v>258978</v>
      </c>
      <c r="J40" s="1163">
        <v>323723</v>
      </c>
      <c r="L40" s="653" t="s">
        <v>1320</v>
      </c>
      <c r="M40" s="653" t="s">
        <v>3355</v>
      </c>
      <c r="N40" s="1292">
        <f t="shared" si="2"/>
        <v>118698</v>
      </c>
      <c r="O40" s="1292">
        <f t="shared" si="2"/>
        <v>166178</v>
      </c>
      <c r="P40" s="1292">
        <f t="shared" si="2"/>
        <v>213657</v>
      </c>
      <c r="Q40" s="1292">
        <f t="shared" si="2"/>
        <v>284875</v>
      </c>
      <c r="R40" s="1292">
        <f t="shared" si="2"/>
        <v>356095</v>
      </c>
      <c r="S40" s="323"/>
      <c r="T40" s="187"/>
      <c r="U40" s="187"/>
      <c r="V40" s="1144"/>
      <c r="W40" s="1144"/>
      <c r="X40" s="1144"/>
      <c r="AA40" s="585"/>
      <c r="AB40" s="585"/>
    </row>
    <row r="41" spans="1:28" s="302" customFormat="1" ht="11.45" customHeight="1">
      <c r="A41" s="190"/>
      <c r="C41" s="346"/>
      <c r="D41" s="1162" t="s">
        <v>1320</v>
      </c>
      <c r="E41" s="1162" t="s">
        <v>3353</v>
      </c>
      <c r="F41" s="1163">
        <v>122320</v>
      </c>
      <c r="G41" s="1163">
        <v>159663</v>
      </c>
      <c r="H41" s="1163">
        <v>193488</v>
      </c>
      <c r="I41" s="1163">
        <v>236238</v>
      </c>
      <c r="J41" s="1163">
        <v>280140</v>
      </c>
      <c r="L41" s="653" t="s">
        <v>1320</v>
      </c>
      <c r="M41" s="653" t="s">
        <v>3353</v>
      </c>
      <c r="N41" s="1292">
        <f t="shared" si="2"/>
        <v>134552</v>
      </c>
      <c r="O41" s="1292">
        <f t="shared" si="2"/>
        <v>175629</v>
      </c>
      <c r="P41" s="1292">
        <f t="shared" si="2"/>
        <v>212836</v>
      </c>
      <c r="Q41" s="1292">
        <f t="shared" si="2"/>
        <v>259861</v>
      </c>
      <c r="R41" s="1292">
        <f t="shared" si="2"/>
        <v>308154</v>
      </c>
      <c r="S41" s="323"/>
      <c r="T41" s="187"/>
      <c r="U41" s="187"/>
      <c r="V41" s="1144"/>
      <c r="W41" s="1144"/>
      <c r="X41" s="1144"/>
      <c r="AA41" s="585"/>
      <c r="AB41" s="585"/>
    </row>
    <row r="42" spans="1:28" s="302" customFormat="1" ht="11.45" customHeight="1">
      <c r="A42" s="190"/>
      <c r="C42" s="346"/>
      <c r="D42" s="1162" t="s">
        <v>1320</v>
      </c>
      <c r="E42" s="1162" t="s">
        <v>3354</v>
      </c>
      <c r="F42" s="1163">
        <v>107499</v>
      </c>
      <c r="G42" s="1163">
        <v>146762</v>
      </c>
      <c r="H42" s="1163">
        <v>185744</v>
      </c>
      <c r="I42" s="1163">
        <v>244720</v>
      </c>
      <c r="J42" s="1163">
        <v>303307</v>
      </c>
      <c r="L42" s="653" t="s">
        <v>1320</v>
      </c>
      <c r="M42" s="653" t="s">
        <v>3354</v>
      </c>
      <c r="N42" s="1292">
        <f t="shared" si="2"/>
        <v>118248</v>
      </c>
      <c r="O42" s="1292">
        <f t="shared" si="2"/>
        <v>161438</v>
      </c>
      <c r="P42" s="1292">
        <f t="shared" si="2"/>
        <v>204318</v>
      </c>
      <c r="Q42" s="1292">
        <f t="shared" si="2"/>
        <v>269192</v>
      </c>
      <c r="R42" s="1292">
        <f t="shared" si="2"/>
        <v>333637</v>
      </c>
      <c r="S42" s="323"/>
      <c r="T42" s="187"/>
      <c r="U42" s="187"/>
      <c r="V42" s="1144"/>
      <c r="W42" s="1144"/>
      <c r="X42" s="1144"/>
      <c r="AA42" s="585"/>
      <c r="AB42" s="585"/>
    </row>
    <row r="43" spans="1:28" s="302" customFormat="1" ht="11.45" customHeight="1">
      <c r="A43" s="190"/>
      <c r="C43" s="346"/>
      <c r="D43" s="1154" t="s">
        <v>1326</v>
      </c>
      <c r="E43" s="1154" t="s">
        <v>3358</v>
      </c>
      <c r="F43" s="1155">
        <v>141285</v>
      </c>
      <c r="G43" s="1155">
        <v>182625</v>
      </c>
      <c r="H43" s="1155">
        <v>218438</v>
      </c>
      <c r="I43" s="1155">
        <v>260372</v>
      </c>
      <c r="J43" s="1155">
        <v>306189</v>
      </c>
      <c r="L43" s="653" t="s">
        <v>1326</v>
      </c>
      <c r="M43" s="653" t="s">
        <v>3358</v>
      </c>
      <c r="N43" s="1292">
        <f t="shared" si="2"/>
        <v>155413</v>
      </c>
      <c r="O43" s="1292">
        <f t="shared" si="2"/>
        <v>200887</v>
      </c>
      <c r="P43" s="1292">
        <f t="shared" si="2"/>
        <v>240281</v>
      </c>
      <c r="Q43" s="1292">
        <f t="shared" si="2"/>
        <v>286409</v>
      </c>
      <c r="R43" s="1292">
        <f t="shared" si="2"/>
        <v>336807</v>
      </c>
      <c r="S43" s="323"/>
      <c r="T43" s="187"/>
      <c r="U43" s="187"/>
      <c r="V43" s="1144"/>
      <c r="W43" s="1144"/>
      <c r="X43" s="1144"/>
      <c r="AA43" s="585"/>
      <c r="AB43" s="585"/>
    </row>
    <row r="44" spans="1:28" s="302" customFormat="1" ht="11.45" customHeight="1">
      <c r="A44" s="190"/>
      <c r="C44" s="346"/>
      <c r="D44" s="1154" t="s">
        <v>1326</v>
      </c>
      <c r="E44" s="1154" t="s">
        <v>3355</v>
      </c>
      <c r="F44" s="1155">
        <v>110421</v>
      </c>
      <c r="G44" s="1155">
        <v>154590</v>
      </c>
      <c r="H44" s="1155">
        <v>198758</v>
      </c>
      <c r="I44" s="1155">
        <v>265011</v>
      </c>
      <c r="J44" s="1155">
        <v>331263</v>
      </c>
      <c r="L44" s="653" t="s">
        <v>1326</v>
      </c>
      <c r="M44" s="653" t="s">
        <v>3355</v>
      </c>
      <c r="N44" s="1292">
        <f t="shared" si="2"/>
        <v>121463</v>
      </c>
      <c r="O44" s="1292">
        <f t="shared" si="2"/>
        <v>170049</v>
      </c>
      <c r="P44" s="1292">
        <f t="shared" si="2"/>
        <v>218633</v>
      </c>
      <c r="Q44" s="1292">
        <f t="shared" si="2"/>
        <v>291512</v>
      </c>
      <c r="R44" s="1292">
        <f t="shared" si="2"/>
        <v>364389</v>
      </c>
      <c r="S44" s="323"/>
      <c r="T44" s="187"/>
      <c r="U44" s="187"/>
      <c r="V44" s="1144"/>
      <c r="W44" s="1144"/>
      <c r="X44" s="1144"/>
      <c r="AA44" s="585"/>
      <c r="AB44" s="585"/>
    </row>
    <row r="45" spans="1:28" s="302" customFormat="1" ht="11.45" customHeight="1">
      <c r="A45" s="190"/>
      <c r="C45" s="346"/>
      <c r="D45" s="1154" t="s">
        <v>1326</v>
      </c>
      <c r="E45" s="1154" t="s">
        <v>3353</v>
      </c>
      <c r="F45" s="1155">
        <v>124989</v>
      </c>
      <c r="G45" s="1155">
        <v>163219</v>
      </c>
      <c r="H45" s="1155">
        <v>197865</v>
      </c>
      <c r="I45" s="1155">
        <v>241707</v>
      </c>
      <c r="J45" s="1155">
        <v>286701</v>
      </c>
      <c r="L45" s="653" t="s">
        <v>1326</v>
      </c>
      <c r="M45" s="653" t="s">
        <v>3353</v>
      </c>
      <c r="N45" s="1292">
        <f t="shared" si="2"/>
        <v>137487</v>
      </c>
      <c r="O45" s="1292">
        <f t="shared" si="2"/>
        <v>179540</v>
      </c>
      <c r="P45" s="1292">
        <f t="shared" si="2"/>
        <v>217651</v>
      </c>
      <c r="Q45" s="1292">
        <f t="shared" si="2"/>
        <v>265877</v>
      </c>
      <c r="R45" s="1292">
        <f t="shared" si="2"/>
        <v>315371</v>
      </c>
      <c r="S45" s="323"/>
      <c r="T45" s="187"/>
      <c r="U45" s="187"/>
      <c r="V45" s="1144"/>
      <c r="W45" s="1144"/>
      <c r="X45" s="1144"/>
      <c r="AA45" s="585"/>
      <c r="AB45" s="585"/>
    </row>
    <row r="46" spans="1:28" s="302" customFormat="1" ht="11.45" customHeight="1">
      <c r="A46" s="190"/>
      <c r="C46" s="346"/>
      <c r="D46" s="1154" t="s">
        <v>1326</v>
      </c>
      <c r="E46" s="1154" t="s">
        <v>3354</v>
      </c>
      <c r="F46" s="1155">
        <v>109647</v>
      </c>
      <c r="G46" s="1155">
        <v>149636</v>
      </c>
      <c r="H46" s="1155">
        <v>189334</v>
      </c>
      <c r="I46" s="1155">
        <v>249402</v>
      </c>
      <c r="J46" s="1155">
        <v>309066</v>
      </c>
      <c r="L46" s="653" t="s">
        <v>1326</v>
      </c>
      <c r="M46" s="653" t="s">
        <v>3354</v>
      </c>
      <c r="N46" s="1292">
        <f t="shared" si="2"/>
        <v>120611</v>
      </c>
      <c r="O46" s="1292">
        <f t="shared" si="2"/>
        <v>164599</v>
      </c>
      <c r="P46" s="1292">
        <f t="shared" si="2"/>
        <v>208267</v>
      </c>
      <c r="Q46" s="1292">
        <f t="shared" si="2"/>
        <v>274342</v>
      </c>
      <c r="R46" s="1292">
        <f t="shared" si="2"/>
        <v>339972</v>
      </c>
      <c r="S46" s="323"/>
      <c r="T46" s="187"/>
      <c r="U46" s="187"/>
      <c r="V46" s="1144"/>
      <c r="W46" s="1144"/>
      <c r="X46" s="1144"/>
      <c r="AA46" s="585"/>
      <c r="AB46" s="585"/>
    </row>
    <row r="47" spans="1:28" s="302" customFormat="1" ht="11.45" customHeight="1">
      <c r="A47" s="190"/>
      <c r="C47" s="346"/>
      <c r="D47" s="1158" t="s">
        <v>1696</v>
      </c>
      <c r="E47" s="1158" t="s">
        <v>3358</v>
      </c>
      <c r="F47" s="1159">
        <v>129610</v>
      </c>
      <c r="G47" s="1159">
        <v>167690</v>
      </c>
      <c r="H47" s="1159">
        <v>200679</v>
      </c>
      <c r="I47" s="1159">
        <v>239361</v>
      </c>
      <c r="J47" s="1159">
        <v>281618</v>
      </c>
      <c r="L47" s="653" t="s">
        <v>1696</v>
      </c>
      <c r="M47" s="653" t="s">
        <v>3358</v>
      </c>
      <c r="N47" s="1292">
        <f t="shared" si="2"/>
        <v>142571</v>
      </c>
      <c r="O47" s="1292">
        <f t="shared" si="2"/>
        <v>184459</v>
      </c>
      <c r="P47" s="1292">
        <f t="shared" si="2"/>
        <v>220746</v>
      </c>
      <c r="Q47" s="1292">
        <f t="shared" si="2"/>
        <v>263297</v>
      </c>
      <c r="R47" s="1292">
        <f t="shared" si="2"/>
        <v>309779</v>
      </c>
      <c r="S47" s="323"/>
      <c r="T47" s="187"/>
      <c r="U47" s="187"/>
      <c r="V47" s="1144"/>
      <c r="W47" s="1144"/>
      <c r="X47" s="1144"/>
      <c r="AA47" s="585"/>
      <c r="AB47" s="585"/>
    </row>
    <row r="48" spans="1:28" s="302" customFormat="1" ht="11.45" customHeight="1">
      <c r="A48" s="190"/>
      <c r="C48" s="346"/>
      <c r="D48" s="1158" t="s">
        <v>1696</v>
      </c>
      <c r="E48" s="1158" t="s">
        <v>3355</v>
      </c>
      <c r="F48" s="1159">
        <v>101262</v>
      </c>
      <c r="G48" s="1159">
        <v>141766</v>
      </c>
      <c r="H48" s="1159">
        <v>182271</v>
      </c>
      <c r="I48" s="1159">
        <v>243028</v>
      </c>
      <c r="J48" s="1159">
        <v>303785</v>
      </c>
      <c r="L48" s="653" t="s">
        <v>1696</v>
      </c>
      <c r="M48" s="653" t="s">
        <v>3355</v>
      </c>
      <c r="N48" s="1292">
        <f t="shared" si="2"/>
        <v>111388</v>
      </c>
      <c r="O48" s="1292">
        <f t="shared" si="2"/>
        <v>155942</v>
      </c>
      <c r="P48" s="1292">
        <f t="shared" si="2"/>
        <v>200498</v>
      </c>
      <c r="Q48" s="1292">
        <f t="shared" si="2"/>
        <v>267330</v>
      </c>
      <c r="R48" s="1292">
        <f t="shared" si="2"/>
        <v>334163</v>
      </c>
      <c r="S48" s="323"/>
      <c r="T48" s="187"/>
      <c r="U48" s="187"/>
      <c r="V48" s="1144"/>
      <c r="W48" s="1144"/>
      <c r="X48" s="1144"/>
      <c r="AA48" s="585"/>
      <c r="AB48" s="585"/>
    </row>
    <row r="49" spans="1:28" s="302" customFormat="1" ht="11.45" customHeight="1">
      <c r="A49" s="190"/>
      <c r="C49" s="346"/>
      <c r="D49" s="1158" t="s">
        <v>1696</v>
      </c>
      <c r="E49" s="1158" t="s">
        <v>3353</v>
      </c>
      <c r="F49" s="1159">
        <v>114063</v>
      </c>
      <c r="G49" s="1159">
        <v>149176</v>
      </c>
      <c r="H49" s="1159">
        <v>181052</v>
      </c>
      <c r="I49" s="1159">
        <v>221554</v>
      </c>
      <c r="J49" s="1159">
        <v>263026</v>
      </c>
      <c r="L49" s="653" t="s">
        <v>1696</v>
      </c>
      <c r="M49" s="653" t="s">
        <v>3353</v>
      </c>
      <c r="N49" s="1292">
        <f t="shared" si="2"/>
        <v>125469</v>
      </c>
      <c r="O49" s="1292">
        <f t="shared" si="2"/>
        <v>164093</v>
      </c>
      <c r="P49" s="1292">
        <f t="shared" si="2"/>
        <v>199157</v>
      </c>
      <c r="Q49" s="1292">
        <f t="shared" si="2"/>
        <v>243709</v>
      </c>
      <c r="R49" s="1292">
        <f t="shared" si="2"/>
        <v>289328</v>
      </c>
      <c r="S49" s="323"/>
      <c r="T49" s="187"/>
      <c r="U49" s="187"/>
      <c r="V49" s="1144"/>
      <c r="W49" s="1144"/>
      <c r="X49" s="1144"/>
      <c r="AA49" s="585"/>
      <c r="AB49" s="585"/>
    </row>
    <row r="50" spans="1:28" s="302" customFormat="1" ht="11.45" customHeight="1">
      <c r="A50" s="190"/>
      <c r="C50" s="346"/>
      <c r="D50" s="1158" t="s">
        <v>1696</v>
      </c>
      <c r="E50" s="1158" t="s">
        <v>3354</v>
      </c>
      <c r="F50" s="1159">
        <v>99454</v>
      </c>
      <c r="G50" s="1159">
        <v>135544</v>
      </c>
      <c r="H50" s="1159">
        <v>171357</v>
      </c>
      <c r="I50" s="1159">
        <v>225572</v>
      </c>
      <c r="J50" s="1159">
        <v>279402</v>
      </c>
      <c r="L50" s="653" t="s">
        <v>1696</v>
      </c>
      <c r="M50" s="653" t="s">
        <v>3354</v>
      </c>
      <c r="N50" s="1292">
        <f t="shared" si="2"/>
        <v>109399</v>
      </c>
      <c r="O50" s="1292">
        <f t="shared" si="2"/>
        <v>149098</v>
      </c>
      <c r="P50" s="1292">
        <f t="shared" si="2"/>
        <v>188492</v>
      </c>
      <c r="Q50" s="1292">
        <f t="shared" si="2"/>
        <v>248129</v>
      </c>
      <c r="R50" s="1292">
        <f t="shared" si="2"/>
        <v>307342</v>
      </c>
      <c r="S50" s="323"/>
      <c r="T50" s="187"/>
      <c r="U50" s="187"/>
      <c r="V50" s="1144"/>
      <c r="W50" s="1144"/>
      <c r="X50" s="1144"/>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3558</v>
      </c>
      <c r="G52" s="190"/>
      <c r="H52" s="311"/>
      <c r="I52" s="187"/>
      <c r="J52" s="190"/>
      <c r="K52" s="312"/>
      <c r="L52" s="312"/>
      <c r="M52" s="312"/>
      <c r="N52" s="312"/>
      <c r="O52" s="190"/>
      <c r="P52" s="187"/>
      <c r="Q52" s="310"/>
      <c r="R52" s="310"/>
      <c r="S52" s="187"/>
      <c r="T52" s="187"/>
      <c r="U52" s="187"/>
      <c r="AA52" s="585"/>
      <c r="AB52" s="585"/>
    </row>
    <row r="53" spans="1:28" s="302" customFormat="1" ht="11.45" customHeight="1">
      <c r="A53" s="190"/>
      <c r="B53" s="190"/>
      <c r="C53" s="190"/>
      <c r="D53" s="187"/>
      <c r="E53" s="187"/>
      <c r="F53" s="190"/>
      <c r="G53" s="190"/>
      <c r="H53" s="187"/>
      <c r="I53" s="187"/>
      <c r="J53" s="309" t="s">
        <v>485</v>
      </c>
      <c r="K53" s="309" t="s">
        <v>2440</v>
      </c>
      <c r="L53" s="309" t="s">
        <v>2441</v>
      </c>
      <c r="M53" s="309" t="s">
        <v>2442</v>
      </c>
      <c r="N53" s="309" t="s">
        <v>2443</v>
      </c>
      <c r="O53" s="190"/>
      <c r="P53" s="187"/>
      <c r="Q53" s="191" t="s">
        <v>3044</v>
      </c>
      <c r="R53" s="191" t="s">
        <v>1730</v>
      </c>
      <c r="S53" s="308"/>
      <c r="T53" s="308"/>
      <c r="U53" s="187"/>
      <c r="V53" s="1144"/>
      <c r="W53" s="1144"/>
      <c r="X53" s="1144"/>
      <c r="AA53" s="585"/>
      <c r="AB53" s="585"/>
    </row>
    <row r="54" spans="1:28" s="302" customFormat="1" ht="11.45" customHeight="1">
      <c r="A54" s="190"/>
      <c r="B54" s="190"/>
      <c r="C54" s="190"/>
      <c r="D54" s="187"/>
      <c r="E54" s="187"/>
      <c r="F54" s="190" t="s">
        <v>3545</v>
      </c>
      <c r="G54" s="190"/>
      <c r="H54" s="187"/>
      <c r="I54" s="187"/>
      <c r="J54" s="740">
        <v>110481</v>
      </c>
      <c r="K54" s="740">
        <v>126647</v>
      </c>
      <c r="L54" s="740">
        <v>154003</v>
      </c>
      <c r="M54" s="740">
        <v>199229</v>
      </c>
      <c r="N54" s="740">
        <v>199229</v>
      </c>
      <c r="O54" s="190"/>
      <c r="P54" s="187"/>
      <c r="Q54" s="741">
        <v>1000</v>
      </c>
      <c r="R54" s="741">
        <v>0</v>
      </c>
      <c r="S54" s="323" t="s">
        <v>3544</v>
      </c>
      <c r="T54" s="308"/>
      <c r="U54" s="187"/>
      <c r="V54" s="1144"/>
      <c r="W54" s="1144"/>
      <c r="X54" s="1144"/>
      <c r="AA54" s="585"/>
      <c r="AB54" s="585"/>
    </row>
    <row r="55" spans="1:28" s="302" customFormat="1" ht="11.45" customHeight="1">
      <c r="A55" s="190"/>
      <c r="B55" s="190"/>
      <c r="C55" s="190"/>
      <c r="D55" s="187"/>
      <c r="E55" s="187"/>
      <c r="O55" s="190"/>
      <c r="T55" s="308"/>
      <c r="U55" s="187"/>
      <c r="V55" s="1144"/>
      <c r="W55" s="1144"/>
      <c r="X55" s="1144"/>
      <c r="AA55" s="585"/>
      <c r="AB55" s="585"/>
    </row>
    <row r="56" spans="1:28" s="302" customFormat="1" ht="11.45" customHeight="1">
      <c r="A56" s="303" t="s">
        <v>1727</v>
      </c>
      <c r="B56" s="303"/>
      <c r="C56" s="303"/>
      <c r="D56" s="187"/>
      <c r="E56" s="187"/>
      <c r="F56" s="303" t="s">
        <v>1728</v>
      </c>
      <c r="G56" s="303"/>
      <c r="H56" s="187"/>
      <c r="I56" s="187"/>
      <c r="J56" s="303" t="s">
        <v>1729</v>
      </c>
      <c r="K56" s="303"/>
      <c r="L56" s="303"/>
      <c r="M56" s="303"/>
      <c r="N56" s="303"/>
      <c r="O56" s="303"/>
      <c r="P56" s="187"/>
      <c r="Q56" s="191" t="s">
        <v>3044</v>
      </c>
      <c r="R56" s="191" t="s">
        <v>1730</v>
      </c>
      <c r="S56" s="323"/>
      <c r="T56" s="308"/>
      <c r="U56" s="187"/>
      <c r="V56" s="1144"/>
      <c r="W56" s="1144"/>
      <c r="X56" s="1144"/>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5" customHeight="1">
      <c r="A59" s="187"/>
      <c r="B59" s="190" t="s">
        <v>1195</v>
      </c>
      <c r="C59" s="190"/>
      <c r="D59" s="187"/>
      <c r="E59" s="187"/>
      <c r="F59" s="190" t="s">
        <v>1196</v>
      </c>
      <c r="G59" s="190" t="s">
        <v>3662</v>
      </c>
      <c r="H59" s="187"/>
      <c r="I59" s="187"/>
      <c r="J59" s="190" t="s">
        <v>1530</v>
      </c>
      <c r="K59" s="190"/>
      <c r="L59" s="190"/>
      <c r="M59" s="190"/>
      <c r="N59" s="190"/>
      <c r="O59" s="190"/>
      <c r="P59" s="187"/>
      <c r="Q59" s="1349">
        <v>5000</v>
      </c>
      <c r="R59" s="313" t="s">
        <v>1733</v>
      </c>
      <c r="S59" s="314"/>
      <c r="AA59" s="585"/>
      <c r="AB59" s="585"/>
    </row>
    <row r="60" spans="1:28" s="302" customFormat="1" ht="11.45" customHeight="1">
      <c r="A60" s="187"/>
      <c r="B60" s="190"/>
      <c r="C60" s="190"/>
      <c r="D60" s="187"/>
      <c r="E60" s="187"/>
      <c r="F60" s="190"/>
      <c r="G60" s="190" t="s">
        <v>3661</v>
      </c>
      <c r="H60" s="187"/>
      <c r="I60" s="187"/>
      <c r="J60" s="190" t="s">
        <v>1530</v>
      </c>
      <c r="K60" s="190"/>
      <c r="L60" s="190"/>
      <c r="M60" s="190"/>
      <c r="N60" s="190"/>
      <c r="O60" s="190"/>
      <c r="P60" s="187"/>
      <c r="Q60" s="1349">
        <v>4500</v>
      </c>
      <c r="R60" s="313" t="s">
        <v>1733</v>
      </c>
      <c r="S60" s="314"/>
      <c r="AA60" s="585"/>
      <c r="AB60" s="585"/>
    </row>
    <row r="61" spans="1:28" s="302" customFormat="1" ht="11.45" customHeight="1">
      <c r="A61" s="187"/>
      <c r="B61" s="190"/>
      <c r="C61" s="190"/>
      <c r="D61" s="187"/>
      <c r="E61" s="187"/>
      <c r="F61" s="190" t="s">
        <v>2599</v>
      </c>
      <c r="G61" s="190" t="s">
        <v>2613</v>
      </c>
      <c r="H61" s="187"/>
      <c r="I61" s="187"/>
      <c r="J61" s="190" t="s">
        <v>1530</v>
      </c>
      <c r="K61" s="190"/>
      <c r="L61" s="190"/>
      <c r="M61" s="190"/>
      <c r="N61" s="190"/>
      <c r="O61" s="190"/>
      <c r="P61" s="187"/>
      <c r="Q61" s="1349">
        <v>3750</v>
      </c>
      <c r="R61" s="313" t="s">
        <v>1733</v>
      </c>
      <c r="S61" s="314"/>
      <c r="AA61" s="585"/>
      <c r="AB61" s="585"/>
    </row>
    <row r="62" spans="1:28" s="302" customFormat="1" ht="11.45" customHeight="1">
      <c r="A62" s="190"/>
      <c r="B62" s="190"/>
      <c r="C62" s="190"/>
      <c r="D62" s="187"/>
      <c r="E62" s="187"/>
      <c r="G62" s="190" t="s">
        <v>2612</v>
      </c>
      <c r="H62" s="187"/>
      <c r="I62" s="187"/>
      <c r="J62" s="190" t="s">
        <v>1530</v>
      </c>
      <c r="K62" s="190"/>
      <c r="L62" s="190"/>
      <c r="M62" s="190"/>
      <c r="N62" s="190"/>
      <c r="O62" s="190"/>
      <c r="P62" s="187"/>
      <c r="Q62" s="1349">
        <v>3250</v>
      </c>
      <c r="R62" s="313" t="s">
        <v>1733</v>
      </c>
      <c r="S62" s="314"/>
      <c r="AA62" s="585"/>
      <c r="AB62" s="585"/>
    </row>
    <row r="63" spans="1:28" s="302" customFormat="1" ht="11.45" customHeight="1">
      <c r="A63" s="190"/>
      <c r="B63" s="190"/>
      <c r="C63" s="190"/>
      <c r="D63" s="187"/>
      <c r="E63" s="187"/>
      <c r="G63" s="190" t="s">
        <v>3948</v>
      </c>
      <c r="H63" s="187"/>
      <c r="I63" s="187"/>
      <c r="J63" s="190" t="s">
        <v>1530</v>
      </c>
      <c r="K63" s="190"/>
      <c r="L63" s="190"/>
      <c r="M63" s="190"/>
      <c r="N63" s="190"/>
      <c r="O63" s="190"/>
      <c r="P63" s="187"/>
      <c r="Q63" s="1349">
        <v>3000</v>
      </c>
      <c r="R63" s="313" t="s">
        <v>1733</v>
      </c>
      <c r="S63" s="314"/>
      <c r="T63" s="314"/>
      <c r="U63" s="314"/>
      <c r="AA63" s="585"/>
      <c r="AB63" s="585"/>
    </row>
    <row r="64" spans="1:28" s="302" customFormat="1" ht="11.45" customHeight="1">
      <c r="A64" s="190"/>
      <c r="B64" s="190" t="s">
        <v>1197</v>
      </c>
      <c r="C64" s="190"/>
      <c r="D64" s="187"/>
      <c r="E64" s="187"/>
      <c r="F64" s="190" t="s">
        <v>276</v>
      </c>
      <c r="G64" s="190"/>
      <c r="H64" s="187"/>
      <c r="I64" s="187"/>
      <c r="J64" s="190" t="s">
        <v>1530</v>
      </c>
      <c r="K64" s="190"/>
      <c r="L64" s="190"/>
      <c r="M64" s="190"/>
      <c r="N64" s="190"/>
      <c r="O64" s="190"/>
      <c r="P64" s="187"/>
      <c r="Q64" s="1350">
        <v>350</v>
      </c>
      <c r="R64" s="313" t="s">
        <v>1733</v>
      </c>
      <c r="S64" s="314"/>
      <c r="T64" s="314"/>
      <c r="U64" s="314"/>
      <c r="AA64" s="585"/>
      <c r="AB64" s="585"/>
    </row>
    <row r="65" spans="1:28" s="302" customFormat="1" ht="11.45" customHeight="1">
      <c r="A65" s="190"/>
      <c r="B65" s="190"/>
      <c r="C65" s="190"/>
      <c r="D65" s="187"/>
      <c r="E65" s="187"/>
      <c r="F65" s="190" t="s">
        <v>1198</v>
      </c>
      <c r="G65" s="190"/>
      <c r="H65" s="187"/>
      <c r="I65" s="187"/>
      <c r="J65" s="190" t="s">
        <v>1530</v>
      </c>
      <c r="K65" s="190"/>
      <c r="L65" s="190"/>
      <c r="M65" s="190"/>
      <c r="N65" s="190"/>
      <c r="O65" s="190"/>
      <c r="P65" s="187"/>
      <c r="Q65" s="1350">
        <v>250</v>
      </c>
      <c r="R65" s="313" t="s">
        <v>1733</v>
      </c>
      <c r="S65" s="314"/>
      <c r="T65" s="314"/>
      <c r="U65" s="314"/>
      <c r="AA65" s="585"/>
      <c r="AB65" s="585"/>
    </row>
    <row r="66" spans="1:28" s="302" customFormat="1" ht="11.45" customHeight="1">
      <c r="A66" s="190"/>
      <c r="B66" s="190"/>
      <c r="C66" s="190"/>
      <c r="D66" s="190"/>
      <c r="E66" s="187"/>
      <c r="F66" s="190" t="s">
        <v>3431</v>
      </c>
      <c r="G66" s="190"/>
      <c r="H66" s="187"/>
      <c r="I66" s="187"/>
      <c r="J66" s="190" t="s">
        <v>1530</v>
      </c>
      <c r="K66" s="190"/>
      <c r="L66" s="190"/>
      <c r="M66" s="190"/>
      <c r="N66" s="190"/>
      <c r="O66" s="190"/>
      <c r="P66" s="187"/>
      <c r="Q66" s="1350">
        <v>420</v>
      </c>
      <c r="R66" s="313" t="s">
        <v>1733</v>
      </c>
      <c r="S66" s="314"/>
      <c r="T66" s="314"/>
      <c r="U66" s="314"/>
      <c r="AA66" s="585"/>
      <c r="AB66" s="585"/>
    </row>
    <row r="67" spans="1:28" s="302" customFormat="1" ht="11.45" customHeight="1">
      <c r="A67" s="190"/>
      <c r="B67" s="190"/>
      <c r="C67" s="190"/>
      <c r="D67" s="190"/>
      <c r="E67" s="187"/>
      <c r="F67" s="190" t="s">
        <v>366</v>
      </c>
      <c r="G67" s="190"/>
      <c r="H67" s="187"/>
      <c r="I67" s="187"/>
      <c r="J67" s="190" t="s">
        <v>1530</v>
      </c>
      <c r="K67" s="190"/>
      <c r="L67" s="190"/>
      <c r="M67" s="190"/>
      <c r="N67" s="190"/>
      <c r="O67" s="190"/>
      <c r="P67" s="187"/>
      <c r="Q67" s="1350">
        <v>420</v>
      </c>
      <c r="R67" s="313" t="s">
        <v>1733</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5" customHeight="1">
      <c r="A70" s="190"/>
      <c r="B70" s="190" t="s">
        <v>760</v>
      </c>
      <c r="C70" s="190"/>
      <c r="D70" s="187"/>
      <c r="E70" s="187"/>
      <c r="F70" s="190" t="s">
        <v>276</v>
      </c>
      <c r="G70" s="190"/>
      <c r="H70" s="187"/>
      <c r="I70" s="187"/>
      <c r="J70" s="190" t="s">
        <v>3868</v>
      </c>
      <c r="K70" s="190"/>
      <c r="L70" s="190"/>
      <c r="M70" s="190"/>
      <c r="N70" s="190"/>
      <c r="O70" s="190"/>
      <c r="P70" s="187"/>
      <c r="Q70" s="1264">
        <v>25000</v>
      </c>
      <c r="R70" s="313" t="s">
        <v>507</v>
      </c>
      <c r="S70" s="314"/>
      <c r="T70" s="314"/>
      <c r="U70" s="314"/>
      <c r="AA70" s="585"/>
      <c r="AB70" s="585"/>
    </row>
    <row r="71" spans="1:28" s="302" customFormat="1" ht="11.45" customHeight="1">
      <c r="A71" s="190"/>
      <c r="B71" s="190" t="s">
        <v>1961</v>
      </c>
      <c r="C71" s="190"/>
      <c r="D71" s="187"/>
      <c r="E71" s="187"/>
      <c r="F71" s="190" t="s">
        <v>1198</v>
      </c>
      <c r="G71" s="190"/>
      <c r="H71" s="187"/>
      <c r="I71" s="187"/>
      <c r="J71" s="190" t="s">
        <v>3949</v>
      </c>
      <c r="K71" s="190"/>
      <c r="L71" s="190"/>
      <c r="M71" s="190"/>
      <c r="N71" s="190"/>
      <c r="O71" s="190"/>
      <c r="P71" s="187"/>
      <c r="Q71" s="1263" t="s">
        <v>970</v>
      </c>
      <c r="R71" s="1263">
        <v>0.05</v>
      </c>
      <c r="S71" s="314"/>
      <c r="T71" s="314"/>
      <c r="U71" s="314"/>
      <c r="AA71" s="585"/>
      <c r="AB71" s="585"/>
    </row>
    <row r="72" spans="1:28" s="302" customFormat="1" ht="11.45" customHeight="1">
      <c r="A72" s="190"/>
      <c r="B72" s="190"/>
      <c r="C72" s="190"/>
      <c r="D72" s="187"/>
      <c r="E72" s="187"/>
      <c r="F72" s="190" t="s">
        <v>276</v>
      </c>
      <c r="G72" s="190"/>
      <c r="H72" s="187"/>
      <c r="I72" s="187"/>
      <c r="J72" s="190" t="s">
        <v>3949</v>
      </c>
      <c r="K72" s="190"/>
      <c r="L72" s="190"/>
      <c r="M72" s="190"/>
      <c r="N72" s="190"/>
      <c r="O72" s="190"/>
      <c r="P72" s="187"/>
      <c r="Q72" s="1263" t="s">
        <v>970</v>
      </c>
      <c r="R72" s="1263">
        <v>0.1</v>
      </c>
      <c r="S72" s="314"/>
      <c r="T72" s="314"/>
      <c r="U72" s="314"/>
      <c r="AA72" s="585"/>
      <c r="AB72" s="585"/>
    </row>
    <row r="73" spans="1:28" s="302" customFormat="1" ht="11.45" customHeight="1">
      <c r="A73" s="190"/>
      <c r="B73" s="190" t="s">
        <v>2038</v>
      </c>
      <c r="C73" s="190"/>
      <c r="D73" s="187"/>
      <c r="E73" s="187"/>
      <c r="F73" s="190" t="s">
        <v>1733</v>
      </c>
      <c r="G73" s="190"/>
      <c r="H73" s="187"/>
      <c r="I73" s="187"/>
      <c r="J73" s="190" t="s">
        <v>3950</v>
      </c>
      <c r="K73" s="190"/>
      <c r="L73" s="190"/>
      <c r="M73" s="190"/>
      <c r="N73" s="190"/>
      <c r="O73" s="190"/>
      <c r="P73" s="187"/>
      <c r="Q73" s="313" t="s">
        <v>1733</v>
      </c>
      <c r="R73" s="1263">
        <v>0.06</v>
      </c>
      <c r="S73" s="314"/>
      <c r="T73" s="314"/>
      <c r="U73" s="314"/>
      <c r="AA73" s="585"/>
      <c r="AB73" s="585"/>
    </row>
    <row r="74" spans="1:28" s="302" customFormat="1" ht="11.45" customHeight="1">
      <c r="A74" s="190"/>
      <c r="B74" s="190" t="s">
        <v>2039</v>
      </c>
      <c r="C74" s="190"/>
      <c r="D74" s="187"/>
      <c r="E74" s="187"/>
      <c r="F74" s="190" t="s">
        <v>1733</v>
      </c>
      <c r="G74" s="190"/>
      <c r="H74" s="187"/>
      <c r="I74" s="187"/>
      <c r="J74" s="190" t="s">
        <v>3950</v>
      </c>
      <c r="K74" s="190"/>
      <c r="L74" s="190"/>
      <c r="M74" s="190"/>
      <c r="N74" s="190"/>
      <c r="O74" s="190"/>
      <c r="P74" s="187"/>
      <c r="Q74" s="313" t="s">
        <v>1733</v>
      </c>
      <c r="R74" s="1263">
        <v>0.02</v>
      </c>
      <c r="S74" s="314"/>
      <c r="T74" s="314"/>
      <c r="U74" s="314"/>
      <c r="AA74" s="585"/>
      <c r="AB74" s="585"/>
    </row>
    <row r="75" spans="1:28" s="302" customFormat="1" ht="11.45" customHeight="1">
      <c r="A75" s="190"/>
      <c r="B75" s="190" t="s">
        <v>2817</v>
      </c>
      <c r="C75" s="190"/>
      <c r="D75" s="187"/>
      <c r="E75" s="187"/>
      <c r="F75" s="190" t="s">
        <v>1733</v>
      </c>
      <c r="G75" s="190"/>
      <c r="H75" s="187"/>
      <c r="I75" s="187"/>
      <c r="J75" s="190" t="s">
        <v>3950</v>
      </c>
      <c r="K75" s="190"/>
      <c r="L75" s="190"/>
      <c r="M75" s="190"/>
      <c r="N75" s="190"/>
      <c r="O75" s="190"/>
      <c r="P75" s="187"/>
      <c r="Q75" s="313" t="s">
        <v>1733</v>
      </c>
      <c r="R75" s="1263">
        <v>0.06</v>
      </c>
      <c r="S75" s="314"/>
      <c r="T75" s="314"/>
      <c r="U75" s="314"/>
      <c r="AA75" s="585"/>
      <c r="AB75" s="585"/>
    </row>
    <row r="76" spans="1:28" s="302" customFormat="1" ht="11.45" customHeight="1">
      <c r="A76" s="190"/>
      <c r="B76" s="190" t="s">
        <v>1292</v>
      </c>
      <c r="C76" s="190"/>
      <c r="D76" s="187"/>
      <c r="E76" s="187"/>
      <c r="F76" s="190" t="s">
        <v>1127</v>
      </c>
      <c r="G76" s="190"/>
      <c r="H76" s="187"/>
      <c r="I76" s="187"/>
      <c r="J76" s="190"/>
      <c r="K76" s="190"/>
      <c r="L76" s="190"/>
      <c r="M76" s="190"/>
      <c r="N76" s="190"/>
      <c r="O76" s="190"/>
      <c r="P76" s="187"/>
      <c r="Q76" s="313" t="s">
        <v>1733</v>
      </c>
      <c r="R76" s="1277">
        <v>20000</v>
      </c>
      <c r="S76" s="314"/>
      <c r="T76" s="314"/>
      <c r="U76" s="314"/>
      <c r="AA76" s="585"/>
      <c r="AB76" s="585"/>
    </row>
    <row r="77" spans="1:28" s="302" customFormat="1" ht="11.45" customHeight="1">
      <c r="A77" s="187"/>
      <c r="B77" s="314" t="s">
        <v>3849</v>
      </c>
      <c r="C77" s="190"/>
      <c r="D77" s="190"/>
      <c r="E77" s="187"/>
      <c r="F77" s="192" t="s">
        <v>3479</v>
      </c>
      <c r="G77" s="190"/>
      <c r="H77" s="187"/>
      <c r="I77" s="187"/>
      <c r="J77" s="190" t="s">
        <v>1200</v>
      </c>
      <c r="K77" s="190"/>
      <c r="L77" s="190"/>
      <c r="M77" s="190"/>
      <c r="N77" s="190"/>
      <c r="O77" s="190"/>
      <c r="P77" s="187"/>
      <c r="Q77" s="4306">
        <v>1000</v>
      </c>
      <c r="R77" s="4307"/>
      <c r="S77" s="314"/>
      <c r="T77" s="314"/>
      <c r="U77" s="314"/>
      <c r="AA77" s="585"/>
      <c r="AB77" s="585"/>
    </row>
    <row r="78" spans="1:28" s="302" customFormat="1" ht="11.45" customHeight="1">
      <c r="A78" s="190"/>
      <c r="B78" s="190"/>
      <c r="C78" s="190"/>
      <c r="D78" s="190"/>
      <c r="E78" s="187"/>
      <c r="G78" s="190"/>
      <c r="H78" s="187"/>
      <c r="I78" s="187"/>
      <c r="J78" s="190" t="s">
        <v>1201</v>
      </c>
      <c r="K78" s="190"/>
      <c r="L78" s="190"/>
      <c r="M78" s="190"/>
      <c r="N78" s="190"/>
      <c r="O78" s="190"/>
      <c r="P78" s="187"/>
      <c r="Q78" s="4306">
        <v>500</v>
      </c>
      <c r="R78" s="4307"/>
      <c r="S78" s="314"/>
      <c r="T78" s="314"/>
      <c r="U78" s="314"/>
      <c r="AA78" s="585"/>
      <c r="AB78" s="585"/>
    </row>
    <row r="79" spans="1:28" s="302" customFormat="1" ht="11.45" customHeight="1">
      <c r="A79" s="190"/>
      <c r="B79" s="190"/>
      <c r="C79" s="190"/>
      <c r="D79" s="190"/>
      <c r="E79" s="187"/>
      <c r="F79" s="192" t="s">
        <v>3958</v>
      </c>
      <c r="G79" s="190"/>
      <c r="H79" s="187"/>
      <c r="I79" s="187"/>
      <c r="J79" s="192" t="s">
        <v>3954</v>
      </c>
      <c r="K79" s="190"/>
      <c r="L79" s="190"/>
      <c r="M79" s="190"/>
      <c r="N79" s="190"/>
      <c r="O79" s="190"/>
      <c r="P79" s="187"/>
      <c r="Q79" s="4306">
        <v>1500</v>
      </c>
      <c r="R79" s="4307"/>
      <c r="S79" s="314"/>
      <c r="T79" s="314"/>
      <c r="U79" s="314"/>
      <c r="AA79" s="585"/>
      <c r="AB79" s="585"/>
    </row>
    <row r="80" spans="1:28" s="302" customFormat="1" ht="11.45" customHeight="1">
      <c r="A80" s="190"/>
      <c r="B80" s="190"/>
      <c r="C80" s="190"/>
      <c r="D80" s="190"/>
      <c r="E80" s="187"/>
      <c r="G80" s="190"/>
      <c r="H80" s="187"/>
      <c r="I80" s="187"/>
      <c r="J80" s="192" t="s">
        <v>3955</v>
      </c>
      <c r="K80" s="190"/>
      <c r="L80" s="190"/>
      <c r="M80" s="190"/>
      <c r="N80" s="190"/>
      <c r="O80" s="190"/>
      <c r="P80" s="187"/>
      <c r="Q80" s="4306">
        <v>1500</v>
      </c>
      <c r="R80" s="4307"/>
      <c r="S80" s="314"/>
      <c r="T80" s="314"/>
      <c r="U80" s="314"/>
      <c r="AA80" s="585"/>
      <c r="AB80" s="585"/>
    </row>
    <row r="81" spans="1:28" s="302" customFormat="1" ht="11.45" customHeight="1">
      <c r="A81" s="190"/>
      <c r="B81" s="190"/>
      <c r="C81" s="190"/>
      <c r="D81" s="190"/>
      <c r="E81" s="187"/>
      <c r="G81" s="190"/>
      <c r="H81" s="187"/>
      <c r="I81" s="187"/>
      <c r="J81" s="192" t="s">
        <v>3956</v>
      </c>
      <c r="K81" s="190"/>
      <c r="L81" s="190"/>
      <c r="M81" s="190"/>
      <c r="N81" s="190"/>
      <c r="O81" s="190"/>
      <c r="P81" s="187"/>
      <c r="Q81" s="4306">
        <v>1500</v>
      </c>
      <c r="R81" s="4307"/>
      <c r="S81" s="314"/>
      <c r="T81" s="314"/>
      <c r="U81" s="314"/>
      <c r="AA81" s="585"/>
      <c r="AB81" s="585"/>
    </row>
    <row r="82" spans="1:28" s="302" customFormat="1" ht="11.45" customHeight="1">
      <c r="A82" s="190"/>
      <c r="B82" s="190"/>
      <c r="C82" s="190"/>
      <c r="D82" s="190"/>
      <c r="E82" s="187"/>
      <c r="G82" s="190"/>
      <c r="H82" s="187"/>
      <c r="I82" s="187"/>
      <c r="J82" s="192" t="s">
        <v>3957</v>
      </c>
      <c r="K82" s="190"/>
      <c r="L82" s="190"/>
      <c r="M82" s="190"/>
      <c r="N82" s="190"/>
      <c r="O82" s="190"/>
      <c r="P82" s="187"/>
      <c r="Q82" s="4306">
        <v>1500</v>
      </c>
      <c r="R82" s="4307"/>
      <c r="S82" s="314"/>
      <c r="T82" s="314"/>
      <c r="U82" s="314"/>
      <c r="AA82" s="585"/>
      <c r="AB82" s="585"/>
    </row>
    <row r="83" spans="1:28" s="302" customFormat="1" ht="11.45" customHeight="1">
      <c r="A83" s="190"/>
      <c r="B83" s="190"/>
      <c r="C83" s="190"/>
      <c r="D83" s="190"/>
      <c r="E83" s="187"/>
      <c r="F83" s="192" t="s">
        <v>4739</v>
      </c>
      <c r="G83" s="190"/>
      <c r="H83" s="187"/>
      <c r="I83" s="187"/>
      <c r="J83" s="190" t="s">
        <v>1200</v>
      </c>
      <c r="K83" s="190"/>
      <c r="L83" s="190"/>
      <c r="M83" s="190"/>
      <c r="N83" s="190"/>
      <c r="O83" s="190"/>
      <c r="P83" s="187"/>
      <c r="Q83" s="4306">
        <v>6500</v>
      </c>
      <c r="R83" s="4307"/>
      <c r="S83" s="314"/>
      <c r="T83" s="314"/>
      <c r="U83" s="314"/>
      <c r="AA83" s="585"/>
      <c r="AB83" s="585"/>
    </row>
    <row r="84" spans="1:28" s="302" customFormat="1" ht="11.45" customHeight="1">
      <c r="A84" s="190"/>
      <c r="B84" s="190"/>
      <c r="C84" s="190"/>
      <c r="D84" s="190"/>
      <c r="E84" s="187"/>
      <c r="F84" s="192" t="s">
        <v>4739</v>
      </c>
      <c r="G84" s="190"/>
      <c r="H84" s="187"/>
      <c r="I84" s="187"/>
      <c r="J84" s="190" t="s">
        <v>1201</v>
      </c>
      <c r="K84" s="190"/>
      <c r="L84" s="190"/>
      <c r="M84" s="190"/>
      <c r="N84" s="190"/>
      <c r="O84" s="190"/>
      <c r="P84" s="187"/>
      <c r="Q84" s="4306">
        <v>5500</v>
      </c>
      <c r="R84" s="4307"/>
      <c r="S84" s="314"/>
      <c r="T84" s="314"/>
      <c r="U84" s="314"/>
      <c r="AA84" s="585"/>
      <c r="AB84" s="585"/>
    </row>
    <row r="85" spans="1:28" s="302" customFormat="1" ht="11.45" customHeight="1">
      <c r="A85" s="190"/>
      <c r="B85" s="190"/>
      <c r="C85" s="190"/>
      <c r="D85" s="190"/>
      <c r="E85" s="187"/>
      <c r="F85" s="192" t="s">
        <v>3439</v>
      </c>
      <c r="G85" s="190"/>
      <c r="H85" s="187"/>
      <c r="I85" s="187"/>
      <c r="J85" s="190"/>
      <c r="K85" s="190"/>
      <c r="L85" s="190"/>
      <c r="M85" s="190"/>
      <c r="N85" s="190"/>
      <c r="O85" s="190"/>
      <c r="P85" s="187"/>
      <c r="Q85" s="4306">
        <v>5000</v>
      </c>
      <c r="R85" s="4307"/>
      <c r="S85" s="314"/>
      <c r="T85" s="314"/>
      <c r="U85" s="314"/>
      <c r="AA85" s="585"/>
      <c r="AB85" s="585"/>
    </row>
    <row r="86" spans="1:28" s="302" customFormat="1" ht="11.45" customHeight="1">
      <c r="A86" s="190"/>
      <c r="B86" s="190"/>
      <c r="C86" s="190"/>
      <c r="D86" s="190"/>
      <c r="E86" s="187"/>
      <c r="F86" s="192"/>
      <c r="G86" s="190" t="s">
        <v>4737</v>
      </c>
      <c r="H86" s="187"/>
      <c r="I86" s="187"/>
      <c r="J86" s="190" t="s">
        <v>4738</v>
      </c>
      <c r="K86" s="190"/>
      <c r="L86" s="190"/>
      <c r="M86" s="190"/>
      <c r="N86" s="190"/>
      <c r="O86" s="190"/>
      <c r="P86" s="187"/>
      <c r="Q86" s="4306">
        <v>500</v>
      </c>
      <c r="R86" s="4307"/>
      <c r="S86" s="314"/>
      <c r="T86" s="314"/>
      <c r="U86" s="314"/>
      <c r="AA86" s="585"/>
      <c r="AB86" s="585"/>
    </row>
    <row r="87" spans="1:28" s="302" customFormat="1" ht="11.45" customHeight="1">
      <c r="A87" s="190"/>
      <c r="B87" s="190"/>
      <c r="C87" s="190"/>
      <c r="D87" s="190"/>
      <c r="E87" s="187"/>
      <c r="F87" s="192" t="s">
        <v>3952</v>
      </c>
      <c r="G87" s="190"/>
      <c r="H87" s="187"/>
      <c r="I87" s="187"/>
      <c r="J87" s="190"/>
      <c r="K87" s="190"/>
      <c r="L87" s="190"/>
      <c r="M87" s="190"/>
      <c r="N87" s="190"/>
      <c r="O87" s="190"/>
      <c r="P87" s="187"/>
      <c r="Q87" s="4306">
        <v>1500</v>
      </c>
      <c r="R87" s="4307"/>
      <c r="S87" s="314"/>
      <c r="T87" s="314"/>
      <c r="U87" s="314"/>
      <c r="AA87" s="585"/>
      <c r="AB87" s="585"/>
    </row>
    <row r="88" spans="1:28" s="302" customFormat="1" ht="11.45" customHeight="1">
      <c r="A88" s="190"/>
      <c r="C88" s="190"/>
      <c r="D88" s="187"/>
      <c r="E88" s="187"/>
      <c r="F88" s="192" t="s">
        <v>948</v>
      </c>
      <c r="H88" s="190"/>
      <c r="I88" s="187"/>
      <c r="J88" s="190" t="s">
        <v>949</v>
      </c>
      <c r="K88" s="190"/>
      <c r="L88" s="190"/>
      <c r="M88" s="190"/>
      <c r="N88" s="190"/>
      <c r="O88" s="190"/>
      <c r="P88" s="187"/>
      <c r="Q88" s="4308">
        <v>0.08</v>
      </c>
      <c r="R88" s="4308"/>
      <c r="S88" s="314"/>
      <c r="T88" s="314"/>
      <c r="U88" s="314"/>
      <c r="AA88" s="585"/>
      <c r="AB88" s="585"/>
    </row>
    <row r="89" spans="1:28" s="302" customFormat="1" ht="11.45" customHeight="1">
      <c r="A89" s="190"/>
      <c r="C89" s="190"/>
      <c r="D89" s="187"/>
      <c r="E89" s="187"/>
      <c r="F89" s="192" t="s">
        <v>950</v>
      </c>
      <c r="H89" s="190"/>
      <c r="I89" s="187"/>
      <c r="J89" s="190" t="s">
        <v>949</v>
      </c>
      <c r="K89" s="190"/>
      <c r="L89" s="190"/>
      <c r="M89" s="190"/>
      <c r="N89" s="190"/>
      <c r="O89" s="190"/>
      <c r="P89" s="187"/>
      <c r="Q89" s="4308">
        <v>0.08</v>
      </c>
      <c r="R89" s="4308"/>
      <c r="S89" s="314"/>
      <c r="T89" s="314"/>
      <c r="U89" s="314"/>
      <c r="AA89" s="585"/>
      <c r="AB89" s="585"/>
    </row>
    <row r="90" spans="1:28" s="302" customFormat="1" ht="11.45" customHeight="1">
      <c r="A90" s="190"/>
      <c r="C90" s="190"/>
      <c r="D90" s="187"/>
      <c r="E90" s="187"/>
      <c r="F90" s="192" t="s">
        <v>4740</v>
      </c>
      <c r="H90" s="190"/>
      <c r="I90" s="187"/>
      <c r="J90" s="190"/>
      <c r="K90" s="190"/>
      <c r="L90" s="190"/>
      <c r="M90" s="190"/>
      <c r="N90" s="190"/>
      <c r="O90" s="190"/>
      <c r="P90" s="187"/>
      <c r="Q90" s="4306">
        <v>3000</v>
      </c>
      <c r="R90" s="4307"/>
      <c r="S90" s="314"/>
      <c r="T90" s="314"/>
      <c r="U90" s="314"/>
      <c r="AA90" s="585"/>
      <c r="AB90" s="585"/>
    </row>
    <row r="91" spans="1:28" s="302" customFormat="1" ht="11.45" customHeight="1">
      <c r="A91" s="190"/>
      <c r="C91" s="190"/>
      <c r="D91" s="187"/>
      <c r="E91" s="187"/>
      <c r="F91" s="192" t="s">
        <v>3867</v>
      </c>
      <c r="H91" s="190"/>
      <c r="I91" s="187"/>
      <c r="J91" s="190"/>
      <c r="K91" s="190"/>
      <c r="L91" s="190"/>
      <c r="M91" s="190"/>
      <c r="N91" s="190"/>
      <c r="O91" s="190"/>
      <c r="P91" s="187"/>
      <c r="Q91" s="4306">
        <v>1500</v>
      </c>
      <c r="R91" s="4307"/>
      <c r="S91" s="314"/>
      <c r="T91" s="314"/>
      <c r="U91" s="314"/>
      <c r="AA91" s="585"/>
      <c r="AB91" s="585"/>
    </row>
    <row r="92" spans="1:28" s="302" customFormat="1" ht="11.45" customHeight="1">
      <c r="A92" s="190"/>
      <c r="C92" s="190"/>
      <c r="D92" s="187"/>
      <c r="E92" s="187"/>
      <c r="F92" s="190" t="s">
        <v>951</v>
      </c>
      <c r="H92" s="190" t="s">
        <v>1611</v>
      </c>
      <c r="I92" s="187"/>
      <c r="J92" s="190" t="s">
        <v>1530</v>
      </c>
      <c r="K92" s="190"/>
      <c r="L92" s="190"/>
      <c r="M92" s="190"/>
      <c r="N92" s="190"/>
      <c r="O92" s="190"/>
      <c r="P92" s="187"/>
      <c r="Q92" s="4306">
        <v>800</v>
      </c>
      <c r="R92" s="4307"/>
      <c r="S92" s="314"/>
      <c r="T92" s="314"/>
      <c r="U92" s="314"/>
      <c r="AA92" s="585"/>
      <c r="AB92" s="585"/>
    </row>
    <row r="93" spans="1:28" s="302" customFormat="1" ht="11.45" customHeight="1">
      <c r="A93" s="190"/>
      <c r="C93" s="190"/>
      <c r="D93" s="187"/>
      <c r="E93" s="187"/>
      <c r="F93" s="190"/>
      <c r="H93" s="190"/>
      <c r="I93" s="190" t="s">
        <v>4741</v>
      </c>
      <c r="J93" s="190" t="s">
        <v>1530</v>
      </c>
      <c r="K93" s="190"/>
      <c r="L93" s="190"/>
      <c r="M93" s="190"/>
      <c r="N93" s="190"/>
      <c r="O93" s="190"/>
      <c r="P93" s="187"/>
      <c r="Q93" s="4306">
        <v>1000</v>
      </c>
      <c r="R93" s="4307"/>
      <c r="S93" s="314"/>
      <c r="T93" s="314"/>
      <c r="U93" s="314"/>
      <c r="AA93" s="585"/>
      <c r="AB93" s="585"/>
    </row>
    <row r="94" spans="1:28" s="302" customFormat="1" ht="11.45" customHeight="1">
      <c r="A94" s="190"/>
      <c r="B94" s="190"/>
      <c r="C94" s="190"/>
      <c r="D94" s="187"/>
      <c r="E94" s="187"/>
      <c r="H94" s="192" t="s">
        <v>2682</v>
      </c>
      <c r="I94" s="325"/>
      <c r="J94" s="192" t="s">
        <v>1530</v>
      </c>
      <c r="K94" s="192" t="s">
        <v>3885</v>
      </c>
      <c r="L94" s="192"/>
      <c r="M94" s="192"/>
      <c r="N94" s="192"/>
      <c r="O94" s="192"/>
      <c r="P94" s="325"/>
      <c r="Q94" s="4306">
        <v>800</v>
      </c>
      <c r="R94" s="4307"/>
      <c r="S94" s="314"/>
      <c r="T94" s="314"/>
      <c r="U94" s="314"/>
      <c r="AA94" s="585"/>
      <c r="AB94" s="585"/>
    </row>
    <row r="95" spans="1:28" s="302" customFormat="1" ht="11.45" customHeight="1">
      <c r="A95" s="190"/>
      <c r="B95" s="190"/>
      <c r="C95" s="190"/>
      <c r="D95" s="187"/>
      <c r="E95" s="187"/>
      <c r="H95" s="190" t="s">
        <v>2822</v>
      </c>
      <c r="I95" s="187"/>
      <c r="J95" s="190" t="s">
        <v>2681</v>
      </c>
      <c r="K95" s="190"/>
      <c r="L95" s="190"/>
      <c r="M95" s="190"/>
      <c r="N95" s="190"/>
      <c r="O95" s="190"/>
      <c r="P95" s="187"/>
      <c r="Q95" s="4306">
        <v>1500</v>
      </c>
      <c r="R95" s="4307"/>
      <c r="S95" s="314"/>
      <c r="T95" s="314"/>
      <c r="U95" s="314"/>
      <c r="AA95" s="585"/>
      <c r="AB95" s="585"/>
    </row>
    <row r="96" spans="1:28" s="302" customFormat="1" ht="11.45" customHeight="1">
      <c r="A96" s="190"/>
      <c r="B96" s="190"/>
      <c r="C96" s="190"/>
      <c r="D96" s="187"/>
      <c r="E96" s="187"/>
      <c r="F96" s="190" t="s">
        <v>4202</v>
      </c>
      <c r="I96" s="187"/>
      <c r="J96" s="190" t="s">
        <v>4743</v>
      </c>
      <c r="K96" s="190"/>
      <c r="L96" s="190"/>
      <c r="M96" s="190"/>
      <c r="N96" s="190"/>
      <c r="O96" s="190"/>
      <c r="P96" s="187"/>
      <c r="Q96" s="313">
        <v>750</v>
      </c>
      <c r="R96" s="313" t="s">
        <v>1733</v>
      </c>
      <c r="S96" s="314"/>
      <c r="T96" s="314"/>
      <c r="U96" s="314"/>
      <c r="AA96" s="585"/>
      <c r="AB96" s="585"/>
    </row>
    <row r="97" spans="1:28" s="302" customFormat="1" ht="11.45" customHeight="1">
      <c r="A97" s="190"/>
      <c r="B97" s="190"/>
      <c r="C97" s="190"/>
      <c r="D97" s="187"/>
      <c r="E97" s="187"/>
      <c r="F97" s="190" t="s">
        <v>4742</v>
      </c>
      <c r="I97" s="187"/>
      <c r="J97" s="190" t="s">
        <v>1763</v>
      </c>
      <c r="K97" s="190"/>
      <c r="L97" s="190"/>
      <c r="M97" s="190"/>
      <c r="N97" s="190"/>
      <c r="O97" s="190"/>
      <c r="P97" s="187"/>
      <c r="Q97" s="4306">
        <v>3000</v>
      </c>
      <c r="R97" s="4307"/>
      <c r="S97" s="314"/>
      <c r="T97" s="314"/>
      <c r="U97" s="314"/>
      <c r="AA97" s="585"/>
      <c r="AB97" s="585"/>
    </row>
    <row r="98" spans="1:28" s="302" customFormat="1" ht="11.45" customHeight="1">
      <c r="A98" s="190"/>
      <c r="B98" s="192"/>
      <c r="C98" s="190"/>
      <c r="D98" s="187"/>
      <c r="E98" s="187"/>
      <c r="F98" s="190" t="s">
        <v>3440</v>
      </c>
      <c r="I98" s="187"/>
      <c r="J98" s="190" t="s">
        <v>3441</v>
      </c>
      <c r="K98" s="190"/>
      <c r="L98" s="190" t="s">
        <v>2821</v>
      </c>
      <c r="M98" s="190"/>
      <c r="N98" s="190"/>
      <c r="O98" s="190"/>
      <c r="P98" s="187"/>
      <c r="Q98" s="4306">
        <v>75</v>
      </c>
      <c r="R98" s="4307"/>
      <c r="S98" s="314"/>
      <c r="T98" s="314"/>
      <c r="U98" s="314"/>
      <c r="AA98" s="585"/>
      <c r="AB98" s="585"/>
    </row>
    <row r="99" spans="1:28" s="302" customFormat="1" ht="13.5">
      <c r="A99" s="190"/>
      <c r="B99" s="190" t="s">
        <v>1862</v>
      </c>
      <c r="C99" s="190"/>
      <c r="D99" s="1351" t="s">
        <v>3951</v>
      </c>
      <c r="E99" s="187"/>
      <c r="F99" s="190"/>
      <c r="G99" s="190"/>
      <c r="H99" s="190"/>
      <c r="I99" s="187"/>
      <c r="J99" s="190" t="s">
        <v>1730</v>
      </c>
      <c r="K99" s="190"/>
      <c r="L99" s="190"/>
      <c r="M99" s="190"/>
      <c r="N99" s="190"/>
      <c r="O99" s="190"/>
      <c r="P99" s="187"/>
      <c r="Q99" s="4311">
        <v>1800000</v>
      </c>
      <c r="R99" s="4312"/>
      <c r="S99" s="314"/>
      <c r="T99" s="314"/>
      <c r="U99" s="314"/>
      <c r="AA99" s="585"/>
      <c r="AB99" s="585"/>
    </row>
    <row r="100" spans="1:28" s="302" customFormat="1" ht="13.5">
      <c r="A100" s="190"/>
      <c r="B100" s="190"/>
      <c r="C100" s="190"/>
      <c r="D100" s="187"/>
      <c r="E100" s="187"/>
      <c r="F100" s="190"/>
      <c r="G100" s="190"/>
      <c r="H100" s="190"/>
      <c r="I100" s="187"/>
      <c r="J100" s="190" t="s">
        <v>3417</v>
      </c>
      <c r="K100" s="190"/>
      <c r="L100" s="190"/>
      <c r="M100" s="190"/>
      <c r="N100" s="190"/>
      <c r="O100" s="190"/>
      <c r="P100" s="187"/>
      <c r="Q100" s="4311">
        <v>3500000</v>
      </c>
      <c r="R100" s="4312"/>
      <c r="S100" s="314"/>
      <c r="T100" s="314"/>
      <c r="U100" s="314"/>
      <c r="AA100" s="585"/>
      <c r="AB100" s="585"/>
    </row>
    <row r="101" spans="1:28" s="302" customFormat="1" ht="13.5" hidden="1">
      <c r="A101" s="190"/>
      <c r="B101" s="190"/>
      <c r="C101" s="190"/>
      <c r="D101" s="187"/>
      <c r="E101" s="187"/>
      <c r="F101" s="190" t="s">
        <v>1715</v>
      </c>
      <c r="G101" s="190"/>
      <c r="H101" s="190" t="s">
        <v>2295</v>
      </c>
      <c r="I101" s="187"/>
      <c r="J101" s="190" t="s">
        <v>975</v>
      </c>
      <c r="K101" s="190"/>
      <c r="L101" s="190"/>
      <c r="M101" s="190"/>
      <c r="N101" s="190"/>
      <c r="O101" s="190"/>
      <c r="P101" s="187"/>
      <c r="Q101" s="4309">
        <v>0.15</v>
      </c>
      <c r="R101" s="4310"/>
      <c r="S101" s="314"/>
      <c r="T101" s="314"/>
      <c r="U101" s="314"/>
      <c r="AA101" s="585"/>
      <c r="AB101" s="585"/>
    </row>
    <row r="102" spans="1:28" s="302" customFormat="1" ht="13.5" hidden="1">
      <c r="A102" s="190"/>
      <c r="B102" s="442"/>
      <c r="C102" s="190"/>
      <c r="D102" s="187"/>
      <c r="E102" s="187"/>
      <c r="F102" s="190"/>
      <c r="G102" s="190"/>
      <c r="H102" s="190" t="s">
        <v>3633</v>
      </c>
      <c r="I102" s="190" t="s">
        <v>972</v>
      </c>
      <c r="J102" s="190" t="s">
        <v>974</v>
      </c>
      <c r="K102" s="190"/>
      <c r="L102" s="190"/>
      <c r="M102" s="190"/>
      <c r="N102" s="190"/>
      <c r="O102" s="190"/>
      <c r="P102" s="187"/>
      <c r="Q102" s="4309">
        <v>0.15</v>
      </c>
      <c r="R102" s="4310"/>
      <c r="S102" s="314"/>
      <c r="T102" s="314"/>
      <c r="U102" s="314"/>
      <c r="AA102" s="585"/>
      <c r="AB102" s="585"/>
    </row>
    <row r="103" spans="1:28" s="302" customFormat="1" ht="13.5" hidden="1">
      <c r="A103" s="190"/>
      <c r="B103" s="442"/>
      <c r="C103" s="190"/>
      <c r="D103" s="187"/>
      <c r="E103" s="187"/>
      <c r="F103" s="190"/>
      <c r="G103" s="190"/>
      <c r="H103" s="190"/>
      <c r="I103" s="190" t="s">
        <v>973</v>
      </c>
      <c r="J103" s="190" t="s">
        <v>976</v>
      </c>
      <c r="K103" s="190"/>
      <c r="L103" s="190"/>
      <c r="M103" s="190"/>
      <c r="N103" s="190"/>
      <c r="O103" s="190"/>
      <c r="P103" s="187"/>
      <c r="Q103" s="4309">
        <v>0.15</v>
      </c>
      <c r="R103" s="4310"/>
      <c r="S103" s="314"/>
      <c r="T103" s="314"/>
      <c r="U103" s="314"/>
      <c r="AA103" s="585"/>
      <c r="AB103" s="585"/>
    </row>
    <row r="104" spans="1:28" s="302" customFormat="1" ht="13.5" hidden="1">
      <c r="A104" s="190"/>
      <c r="B104" s="442"/>
      <c r="C104" s="190"/>
      <c r="D104" s="187"/>
      <c r="E104" s="187"/>
      <c r="F104" s="190"/>
      <c r="G104" s="190"/>
      <c r="H104" s="190" t="s">
        <v>971</v>
      </c>
      <c r="I104" s="187"/>
      <c r="J104" s="190" t="s">
        <v>976</v>
      </c>
      <c r="K104" s="190"/>
      <c r="L104" s="190"/>
      <c r="M104" s="190"/>
      <c r="N104" s="190"/>
      <c r="O104" s="190"/>
      <c r="P104" s="187"/>
      <c r="Q104" s="4309">
        <v>0.15</v>
      </c>
      <c r="R104" s="4310"/>
      <c r="S104" s="314"/>
      <c r="T104" s="314"/>
      <c r="U104" s="314"/>
      <c r="AA104" s="585"/>
      <c r="AB104" s="585"/>
    </row>
    <row r="105" spans="1:28" s="302" customFormat="1" ht="13.5" hidden="1">
      <c r="A105" s="190"/>
      <c r="B105" s="442"/>
      <c r="C105" s="190"/>
      <c r="D105" s="187"/>
      <c r="E105" s="187"/>
      <c r="F105" s="190"/>
      <c r="G105" s="190"/>
      <c r="H105" s="190"/>
      <c r="I105" s="190" t="s">
        <v>977</v>
      </c>
      <c r="J105" s="190" t="s">
        <v>978</v>
      </c>
      <c r="K105" s="190"/>
      <c r="L105" s="190"/>
      <c r="M105" s="190"/>
      <c r="N105" s="190"/>
      <c r="O105" s="190"/>
      <c r="P105" s="187"/>
      <c r="Q105" s="4309">
        <v>0.15</v>
      </c>
      <c r="R105" s="4310"/>
      <c r="S105" s="314"/>
      <c r="T105" s="314"/>
      <c r="U105" s="314"/>
      <c r="AA105" s="585"/>
      <c r="AB105" s="585"/>
    </row>
    <row r="106" spans="1:28" s="302" customFormat="1" ht="13.5" hidden="1">
      <c r="A106" s="190"/>
      <c r="B106" s="442"/>
      <c r="C106" s="190"/>
      <c r="D106" s="187"/>
      <c r="E106" s="187"/>
      <c r="F106" s="190" t="s">
        <v>1759</v>
      </c>
      <c r="G106" s="190"/>
      <c r="H106" s="190"/>
      <c r="I106" s="187"/>
      <c r="J106" s="190" t="s">
        <v>2371</v>
      </c>
      <c r="K106" s="190"/>
      <c r="L106" s="190"/>
      <c r="M106" s="190"/>
      <c r="N106" s="190"/>
      <c r="O106" s="190"/>
      <c r="P106" s="187"/>
      <c r="Q106" s="4309">
        <v>0.15</v>
      </c>
      <c r="R106" s="4310"/>
      <c r="S106" s="314"/>
      <c r="T106" s="314"/>
      <c r="U106" s="314"/>
      <c r="AA106" s="585"/>
      <c r="AB106" s="585"/>
    </row>
    <row r="107" spans="1:28" s="302" customFormat="1" ht="13.5" hidden="1">
      <c r="A107" s="190"/>
      <c r="B107" s="442"/>
      <c r="C107" s="190"/>
      <c r="D107" s="187"/>
      <c r="E107" s="187"/>
      <c r="G107" s="190"/>
      <c r="H107" s="190"/>
      <c r="I107" s="187"/>
      <c r="J107" s="190" t="s">
        <v>2372</v>
      </c>
      <c r="K107" s="190"/>
      <c r="L107" s="190"/>
      <c r="M107" s="190"/>
      <c r="N107" s="190"/>
      <c r="O107" s="190"/>
      <c r="P107" s="187"/>
      <c r="Q107" s="4309" t="s">
        <v>2373</v>
      </c>
      <c r="R107" s="4310"/>
      <c r="S107" s="314"/>
      <c r="T107" s="314"/>
      <c r="U107" s="314"/>
      <c r="AA107" s="585"/>
      <c r="AB107" s="585"/>
    </row>
    <row r="108" spans="1:28" s="302" customFormat="1" ht="13.5">
      <c r="A108" s="190"/>
      <c r="B108" s="442"/>
      <c r="C108" s="190"/>
      <c r="D108" s="187"/>
      <c r="E108" s="187"/>
      <c r="F108" s="190" t="s">
        <v>2033</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2032</v>
      </c>
      <c r="G109" s="190"/>
      <c r="I109" s="187"/>
      <c r="J109" s="190"/>
      <c r="K109" s="190"/>
      <c r="L109" s="190"/>
      <c r="M109" s="190"/>
      <c r="N109" s="190"/>
      <c r="O109" s="190"/>
      <c r="P109" s="187"/>
      <c r="Q109" s="1263">
        <v>0</v>
      </c>
      <c r="R109" s="1263">
        <v>0.5</v>
      </c>
      <c r="S109" s="314"/>
      <c r="T109" s="314"/>
      <c r="U109" s="314"/>
      <c r="AA109" s="585"/>
      <c r="AB109" s="585"/>
    </row>
    <row r="110" spans="1:28" s="302" customFormat="1" ht="11.45"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45"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45" customHeight="1">
      <c r="A112" s="190"/>
      <c r="B112" s="444" t="s">
        <v>2034</v>
      </c>
      <c r="C112" s="190"/>
      <c r="D112" s="187"/>
      <c r="E112" s="187"/>
      <c r="F112" s="190"/>
      <c r="G112" s="190"/>
      <c r="I112" s="187"/>
      <c r="J112" s="190" t="s">
        <v>2035</v>
      </c>
      <c r="K112" s="190"/>
      <c r="L112" s="190"/>
      <c r="M112" s="190"/>
      <c r="N112" s="190"/>
      <c r="O112" s="190"/>
      <c r="P112" s="187"/>
      <c r="Q112" s="315">
        <v>3</v>
      </c>
      <c r="R112" s="313" t="s">
        <v>1733</v>
      </c>
      <c r="S112" s="314"/>
      <c r="T112" s="314"/>
      <c r="U112" s="314"/>
      <c r="AA112" s="585"/>
      <c r="AB112" s="585"/>
    </row>
    <row r="113" spans="1:28" s="302" customFormat="1" ht="11.45" customHeight="1">
      <c r="A113" s="190"/>
      <c r="B113" s="192" t="s">
        <v>3480</v>
      </c>
      <c r="C113" s="190"/>
      <c r="D113" s="187"/>
      <c r="E113" s="190"/>
      <c r="F113" s="190"/>
      <c r="G113" s="190"/>
      <c r="H113" s="187"/>
      <c r="I113" s="187"/>
      <c r="J113" s="190" t="s">
        <v>1763</v>
      </c>
      <c r="K113" s="190"/>
      <c r="L113" s="190"/>
      <c r="M113" s="190"/>
      <c r="N113" s="190"/>
      <c r="O113" s="190"/>
      <c r="P113" s="187"/>
      <c r="Q113" s="4306">
        <v>3000</v>
      </c>
      <c r="R113" s="4307"/>
      <c r="S113" s="314"/>
      <c r="T113" s="314"/>
      <c r="U113" s="314"/>
      <c r="AA113" s="585"/>
      <c r="AB113" s="585"/>
    </row>
    <row r="114" spans="1:28" s="302" customFormat="1" ht="11.45" customHeight="1">
      <c r="A114" s="190"/>
      <c r="B114" s="190"/>
      <c r="C114" s="190"/>
      <c r="D114" s="187"/>
      <c r="E114" s="187"/>
      <c r="O114" s="190"/>
      <c r="T114" s="308"/>
      <c r="U114" s="187"/>
      <c r="V114" s="1144"/>
      <c r="W114" s="1144"/>
      <c r="X114" s="1144"/>
      <c r="AA114" s="585"/>
      <c r="AB114" s="585"/>
    </row>
    <row r="115" spans="1:28" s="302" customFormat="1" ht="11.45" customHeight="1">
      <c r="A115" s="303" t="s">
        <v>1727</v>
      </c>
      <c r="B115" s="303"/>
      <c r="C115" s="303"/>
      <c r="D115" s="187"/>
      <c r="E115" s="187"/>
      <c r="F115" s="303" t="s">
        <v>1728</v>
      </c>
      <c r="G115" s="303"/>
      <c r="H115" s="187"/>
      <c r="I115" s="187"/>
      <c r="J115" s="303" t="s">
        <v>1729</v>
      </c>
      <c r="K115" s="303"/>
      <c r="L115" s="303"/>
      <c r="M115" s="303"/>
      <c r="N115" s="303"/>
      <c r="O115" s="303"/>
      <c r="P115" s="187"/>
      <c r="Q115" s="191" t="s">
        <v>3044</v>
      </c>
      <c r="R115" s="191" t="s">
        <v>1730</v>
      </c>
      <c r="S115" s="323"/>
      <c r="T115" s="308"/>
      <c r="U115" s="187"/>
      <c r="V115" s="1144"/>
      <c r="W115" s="1144"/>
      <c r="X115" s="1144"/>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5" customHeight="1">
      <c r="B119" s="316" t="s">
        <v>2411</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5" customHeight="1">
      <c r="A121" s="190"/>
      <c r="B121" s="190" t="s">
        <v>1765</v>
      </c>
      <c r="C121" s="190"/>
      <c r="D121" s="190"/>
      <c r="E121" s="190"/>
      <c r="F121" s="190"/>
      <c r="G121" s="190"/>
      <c r="H121" s="190"/>
      <c r="J121" s="190" t="s">
        <v>1766</v>
      </c>
      <c r="K121" s="190"/>
      <c r="L121" s="190"/>
      <c r="M121" s="190"/>
      <c r="N121" s="190"/>
      <c r="O121" s="190"/>
      <c r="Q121" s="4308">
        <v>0.02</v>
      </c>
      <c r="R121" s="4308"/>
      <c r="AA121" s="585"/>
      <c r="AB121" s="585"/>
    </row>
    <row r="122" spans="1:28" s="314" customFormat="1" ht="11.45" customHeight="1">
      <c r="A122" s="190"/>
      <c r="B122" s="190" t="s">
        <v>1767</v>
      </c>
      <c r="C122" s="190"/>
      <c r="D122" s="190"/>
      <c r="E122" s="190"/>
      <c r="F122" s="190"/>
      <c r="G122" s="190"/>
      <c r="H122" s="190"/>
      <c r="J122" s="190" t="s">
        <v>1766</v>
      </c>
      <c r="K122" s="190"/>
      <c r="L122" s="190"/>
      <c r="M122" s="190"/>
      <c r="N122" s="190"/>
      <c r="O122" s="190"/>
      <c r="Q122" s="4308">
        <v>7.0000000000000007E-2</v>
      </c>
      <c r="R122" s="4308"/>
      <c r="AA122" s="585"/>
      <c r="AB122" s="585"/>
    </row>
    <row r="123" spans="1:28" s="314" customFormat="1" ht="11.45" customHeight="1">
      <c r="A123" s="190"/>
      <c r="B123" s="190" t="s">
        <v>1768</v>
      </c>
      <c r="C123" s="190"/>
      <c r="D123" s="190"/>
      <c r="E123" s="190"/>
      <c r="F123" s="190"/>
      <c r="G123" s="190"/>
      <c r="H123" s="190"/>
      <c r="J123" s="190" t="s">
        <v>1766</v>
      </c>
      <c r="K123" s="190"/>
      <c r="L123" s="190"/>
      <c r="M123" s="190"/>
      <c r="N123" s="190"/>
      <c r="O123" s="190"/>
      <c r="Q123" s="4308">
        <v>7.0000000000000007E-2</v>
      </c>
      <c r="R123" s="4308"/>
      <c r="AA123" s="585"/>
      <c r="AB123" s="585"/>
    </row>
    <row r="124" spans="1:28" s="302" customFormat="1" ht="11.45" customHeight="1">
      <c r="A124" s="190"/>
      <c r="B124" s="190" t="s">
        <v>134</v>
      </c>
      <c r="C124" s="190"/>
      <c r="D124" s="187"/>
      <c r="E124" s="187"/>
      <c r="F124" s="187"/>
      <c r="G124" s="190"/>
      <c r="H124" s="187"/>
      <c r="I124" s="187"/>
      <c r="J124" s="190" t="s">
        <v>1766</v>
      </c>
      <c r="K124" s="190"/>
      <c r="L124" s="190"/>
      <c r="M124" s="190"/>
      <c r="N124" s="190"/>
      <c r="O124" s="190"/>
      <c r="P124" s="187"/>
      <c r="Q124" s="4308">
        <v>0.03</v>
      </c>
      <c r="R124" s="4308"/>
      <c r="S124" s="314"/>
      <c r="T124" s="314"/>
      <c r="U124" s="314"/>
      <c r="AA124" s="585"/>
      <c r="AB124" s="585"/>
    </row>
    <row r="125" spans="1:28" s="302" customFormat="1" ht="11.45" customHeight="1">
      <c r="A125" s="190"/>
      <c r="B125" s="190" t="s">
        <v>135</v>
      </c>
      <c r="C125" s="190"/>
      <c r="D125" s="187"/>
      <c r="E125" s="187"/>
      <c r="F125" s="187"/>
      <c r="G125" s="190"/>
      <c r="H125" s="187"/>
      <c r="I125" s="187"/>
      <c r="J125" s="190" t="s">
        <v>1766</v>
      </c>
      <c r="K125" s="190"/>
      <c r="L125" s="190"/>
      <c r="M125" s="190"/>
      <c r="N125" s="190"/>
      <c r="O125" s="190"/>
      <c r="P125" s="187"/>
      <c r="Q125" s="4308">
        <v>0.03</v>
      </c>
      <c r="R125" s="4308"/>
      <c r="S125" s="314"/>
      <c r="T125" s="314"/>
      <c r="U125" s="314"/>
      <c r="AA125" s="585"/>
      <c r="AB125" s="585"/>
    </row>
    <row r="126" spans="1:28" s="302" customFormat="1" ht="11.45" customHeight="1">
      <c r="A126" s="190"/>
      <c r="B126" s="190" t="s">
        <v>136</v>
      </c>
      <c r="C126" s="190"/>
      <c r="D126" s="187"/>
      <c r="E126" s="187"/>
      <c r="F126" s="187"/>
      <c r="G126" s="190"/>
      <c r="H126" s="187"/>
      <c r="I126" s="187"/>
      <c r="J126" s="190" t="s">
        <v>1766</v>
      </c>
      <c r="K126" s="190"/>
      <c r="L126" s="190"/>
      <c r="M126" s="190"/>
      <c r="N126" s="190"/>
      <c r="O126" s="190"/>
      <c r="P126" s="187"/>
      <c r="Q126" s="4308">
        <v>0</v>
      </c>
      <c r="R126" s="4308"/>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5" customHeight="1">
      <c r="A128" s="307" t="s">
        <v>2678</v>
      </c>
      <c r="B128" s="190"/>
      <c r="C128" s="190"/>
      <c r="D128" s="187"/>
      <c r="E128" s="187"/>
      <c r="F128" s="190" t="s">
        <v>508</v>
      </c>
      <c r="G128" s="190"/>
      <c r="H128" s="190" t="s">
        <v>2600</v>
      </c>
      <c r="I128" s="187"/>
      <c r="J128" s="190" t="s">
        <v>2680</v>
      </c>
      <c r="K128" s="190"/>
      <c r="L128" s="190"/>
      <c r="M128" s="190"/>
      <c r="N128" s="190"/>
      <c r="O128" s="190"/>
      <c r="P128" s="187"/>
      <c r="Q128" s="4308">
        <v>0.1</v>
      </c>
      <c r="R128" s="4308"/>
      <c r="S128" s="187"/>
      <c r="T128" s="187"/>
      <c r="U128" s="187"/>
      <c r="V128" s="1077"/>
      <c r="W128" s="1077"/>
      <c r="X128" s="191"/>
      <c r="AA128" s="585"/>
      <c r="AB128" s="585"/>
    </row>
    <row r="129" spans="1:28" s="302" customFormat="1" ht="11.45" customHeight="1">
      <c r="A129" s="307"/>
      <c r="B129" s="190"/>
      <c r="C129" s="190"/>
      <c r="D129" s="187"/>
      <c r="E129" s="187"/>
      <c r="F129" s="190"/>
      <c r="G129" s="190"/>
      <c r="H129" s="190" t="s">
        <v>3901</v>
      </c>
      <c r="I129" s="187"/>
      <c r="J129" s="190" t="s">
        <v>3902</v>
      </c>
      <c r="K129" s="190"/>
      <c r="L129" s="190"/>
      <c r="M129" s="190"/>
      <c r="N129" s="190"/>
      <c r="O129" s="190"/>
      <c r="P129" s="187"/>
      <c r="Q129" s="4305">
        <v>1000000</v>
      </c>
      <c r="R129" s="4305"/>
      <c r="S129" s="187"/>
      <c r="T129" s="187"/>
      <c r="U129" s="187"/>
      <c r="V129" s="1077"/>
      <c r="W129" s="1077"/>
      <c r="X129" s="191"/>
      <c r="AA129" s="585"/>
      <c r="AB129" s="585"/>
    </row>
    <row r="130" spans="1:28" s="302" customFormat="1" ht="11.45" customHeight="1">
      <c r="A130" s="190"/>
      <c r="B130" s="190"/>
      <c r="C130" s="190"/>
      <c r="D130" s="187"/>
      <c r="E130" s="187"/>
      <c r="F130" s="190"/>
      <c r="G130" s="190"/>
      <c r="H130" s="190" t="s">
        <v>3895</v>
      </c>
      <c r="I130" s="187"/>
      <c r="J130" s="190" t="s">
        <v>3903</v>
      </c>
      <c r="K130" s="190"/>
      <c r="L130" s="190"/>
      <c r="M130" s="190"/>
      <c r="N130" s="190"/>
      <c r="O130" s="190"/>
      <c r="P130" s="187"/>
      <c r="Q130" s="4305">
        <v>1500000</v>
      </c>
      <c r="R130" s="4305"/>
      <c r="S130" s="308"/>
      <c r="T130" s="308"/>
      <c r="U130" s="187"/>
      <c r="V130" s="1144"/>
      <c r="W130" s="1144"/>
      <c r="X130" s="1144"/>
      <c r="AA130" s="585"/>
      <c r="AB130" s="585"/>
    </row>
    <row r="131" spans="1:28" s="302" customFormat="1" ht="11.45" customHeight="1">
      <c r="A131" s="190"/>
      <c r="B131" s="190"/>
      <c r="C131" s="190"/>
      <c r="D131" s="187"/>
      <c r="E131" s="187"/>
      <c r="F131" s="190"/>
      <c r="G131" s="190"/>
      <c r="H131" s="190"/>
      <c r="I131" s="187"/>
      <c r="J131" s="190" t="s">
        <v>3904</v>
      </c>
      <c r="K131" s="190"/>
      <c r="L131" s="190"/>
      <c r="M131" s="190"/>
      <c r="N131" s="190"/>
      <c r="O131" s="190"/>
      <c r="P131" s="187"/>
      <c r="Q131" s="4305">
        <v>375000</v>
      </c>
      <c r="R131" s="4305"/>
      <c r="S131" s="308"/>
      <c r="T131" s="308"/>
      <c r="U131" s="187"/>
      <c r="V131" s="1144"/>
      <c r="W131" s="1144"/>
      <c r="X131" s="1144"/>
      <c r="AA131" s="585"/>
      <c r="AB131" s="585"/>
    </row>
    <row r="132" spans="1:28" s="302" customFormat="1" ht="11.45" customHeight="1">
      <c r="A132" s="190"/>
      <c r="B132" s="190"/>
      <c r="C132" s="190"/>
      <c r="D132" s="187"/>
      <c r="E132" s="187"/>
      <c r="F132" s="190"/>
      <c r="G132" s="190"/>
      <c r="H132" s="190" t="s">
        <v>4735</v>
      </c>
      <c r="I132" s="187"/>
      <c r="J132" s="190"/>
      <c r="K132" s="190"/>
      <c r="L132" s="190"/>
      <c r="M132" s="190"/>
      <c r="N132" s="190"/>
      <c r="O132" s="190"/>
      <c r="P132" s="187"/>
      <c r="Q132" s="4305"/>
      <c r="R132" s="4305"/>
      <c r="S132" s="308"/>
      <c r="T132" s="308"/>
      <c r="U132" s="187"/>
      <c r="V132" s="1144"/>
      <c r="W132" s="1144"/>
      <c r="X132" s="1144"/>
      <c r="AA132" s="585"/>
      <c r="AB132" s="585"/>
    </row>
    <row r="133" spans="1:28" s="302" customFormat="1" ht="11.45" customHeight="1">
      <c r="A133" s="190"/>
      <c r="B133" s="190"/>
      <c r="C133" s="190"/>
      <c r="D133" s="187"/>
      <c r="E133" s="187"/>
      <c r="F133" s="190" t="s">
        <v>2409</v>
      </c>
      <c r="G133" s="190"/>
      <c r="H133" s="190" t="s">
        <v>2679</v>
      </c>
      <c r="I133" s="187"/>
      <c r="J133" s="190" t="s">
        <v>3947</v>
      </c>
      <c r="K133" s="190"/>
      <c r="L133" s="190"/>
      <c r="M133" s="190"/>
      <c r="N133" s="190"/>
      <c r="O133" s="190"/>
      <c r="P133" s="187"/>
      <c r="Q133" s="4305">
        <v>4000000</v>
      </c>
      <c r="R133" s="4305"/>
      <c r="S133" s="308"/>
      <c r="T133" s="308"/>
      <c r="U133" s="187"/>
      <c r="V133" s="1144"/>
      <c r="W133" s="1144"/>
      <c r="X133" s="1144"/>
      <c r="AA133" s="585"/>
      <c r="AB133" s="585"/>
    </row>
    <row r="134" spans="1:28" s="302" customFormat="1" ht="11.4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4"/>
      <c r="W134" s="1144"/>
      <c r="X134" s="1144"/>
      <c r="AA134" s="585"/>
      <c r="AB134" s="585"/>
    </row>
    <row r="135" spans="1:28" ht="4.5" customHeight="1"/>
    <row r="136" spans="1:28">
      <c r="A136" s="307" t="s">
        <v>2818</v>
      </c>
      <c r="F136" s="190" t="s">
        <v>2599</v>
      </c>
      <c r="G136" s="190"/>
      <c r="H136" s="187"/>
      <c r="I136" s="187"/>
      <c r="J136" s="190" t="s">
        <v>4736</v>
      </c>
      <c r="K136" s="190"/>
      <c r="L136" s="190"/>
      <c r="M136" s="190"/>
      <c r="N136" s="190"/>
      <c r="O136" s="190"/>
      <c r="P136" s="187"/>
      <c r="Q136" s="4308">
        <v>0.35</v>
      </c>
      <c r="R136" s="4308"/>
    </row>
    <row r="137" spans="1:28" s="302" customFormat="1" ht="12.75" customHeight="1">
      <c r="A137" s="307"/>
      <c r="B137" s="190"/>
      <c r="C137" s="190"/>
      <c r="D137" s="187"/>
      <c r="E137" s="187"/>
      <c r="F137" s="190" t="s">
        <v>2819</v>
      </c>
      <c r="G137" s="190"/>
      <c r="H137" s="187"/>
      <c r="I137" s="187"/>
      <c r="J137" s="190" t="s">
        <v>2680</v>
      </c>
      <c r="K137" s="190"/>
      <c r="L137" s="190"/>
      <c r="M137" s="190"/>
      <c r="N137" s="190"/>
      <c r="O137" s="190"/>
      <c r="P137" s="187"/>
      <c r="Q137" s="4308" t="s">
        <v>2820</v>
      </c>
      <c r="R137" s="4308"/>
      <c r="S137" s="187"/>
      <c r="T137" s="187"/>
      <c r="U137" s="187"/>
      <c r="V137" s="1077"/>
      <c r="W137" s="1077"/>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7"/>
      <c r="W138" s="1077"/>
      <c r="X138" s="191"/>
      <c r="AA138" s="585"/>
      <c r="AB138" s="585"/>
    </row>
    <row r="139" spans="1:28" s="302" customFormat="1" ht="12.75" customHeight="1">
      <c r="A139" s="307" t="s">
        <v>3690</v>
      </c>
      <c r="B139" s="190"/>
      <c r="C139" s="190"/>
      <c r="D139" s="187"/>
      <c r="E139" s="187"/>
      <c r="F139" s="190" t="s">
        <v>3693</v>
      </c>
      <c r="G139" s="190"/>
      <c r="H139" s="187"/>
      <c r="I139" s="187"/>
      <c r="J139" s="190" t="s">
        <v>3694</v>
      </c>
      <c r="K139" s="190"/>
      <c r="L139" s="190"/>
      <c r="M139" s="190"/>
      <c r="N139" s="190"/>
      <c r="O139" s="190"/>
      <c r="P139" s="187"/>
      <c r="Q139" s="4308">
        <v>0.05</v>
      </c>
      <c r="R139" s="4308"/>
      <c r="S139" s="187"/>
      <c r="T139" s="187"/>
      <c r="U139" s="187"/>
      <c r="V139" s="1077"/>
      <c r="W139" s="1077"/>
      <c r="X139" s="191"/>
      <c r="AA139" s="585"/>
      <c r="AB139" s="585"/>
    </row>
    <row r="140" spans="1:28" s="302" customFormat="1" ht="12.75" customHeight="1">
      <c r="A140" s="307"/>
      <c r="B140" s="190"/>
      <c r="C140" s="190"/>
      <c r="D140" s="187"/>
      <c r="E140" s="187"/>
      <c r="F140" s="190"/>
      <c r="G140" s="190" t="s">
        <v>3691</v>
      </c>
      <c r="H140" s="187"/>
      <c r="I140" s="187"/>
      <c r="J140" s="190" t="s">
        <v>3695</v>
      </c>
      <c r="K140" s="190"/>
      <c r="L140" s="190"/>
      <c r="M140" s="190"/>
      <c r="N140" s="190"/>
      <c r="O140" s="190"/>
      <c r="P140" s="187"/>
      <c r="Q140" s="4308">
        <v>0.4</v>
      </c>
      <c r="R140" s="4308"/>
      <c r="S140" s="187"/>
      <c r="T140" s="187"/>
      <c r="U140" s="187"/>
      <c r="V140" s="1077"/>
      <c r="W140" s="1077"/>
      <c r="X140" s="191"/>
      <c r="AA140" s="585"/>
      <c r="AB140" s="585"/>
    </row>
    <row r="141" spans="1:28" s="302" customFormat="1" ht="12.75" customHeight="1">
      <c r="A141" s="307"/>
      <c r="B141" s="190"/>
      <c r="C141" s="190"/>
      <c r="D141" s="187"/>
      <c r="E141" s="187"/>
      <c r="F141" s="190" t="s">
        <v>3692</v>
      </c>
      <c r="G141" s="190"/>
      <c r="H141" s="187"/>
      <c r="I141" s="187"/>
      <c r="J141" s="190" t="s">
        <v>3694</v>
      </c>
      <c r="K141" s="190"/>
      <c r="L141" s="190"/>
      <c r="M141" s="190"/>
      <c r="N141" s="190"/>
      <c r="O141" s="190"/>
      <c r="P141" s="187"/>
      <c r="Q141" s="4308">
        <v>0.02</v>
      </c>
      <c r="R141" s="4308"/>
      <c r="S141" s="187"/>
      <c r="T141" s="187"/>
      <c r="U141" s="187"/>
      <c r="V141" s="1077"/>
      <c r="W141" s="1077"/>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7"/>
      <c r="W142" s="1077"/>
      <c r="X142" s="191"/>
      <c r="AA142" s="585"/>
      <c r="AB142" s="585"/>
    </row>
    <row r="143" spans="1:28" ht="13.35" customHeight="1">
      <c r="C143" s="190"/>
      <c r="D143" s="187"/>
      <c r="E143" s="319"/>
      <c r="F143" s="319"/>
      <c r="G143" s="319"/>
      <c r="H143" s="319"/>
      <c r="I143" s="319"/>
    </row>
    <row r="144" spans="1:28" ht="13.5">
      <c r="C144" s="190"/>
      <c r="D144" s="187"/>
      <c r="J144" s="439" t="s">
        <v>804</v>
      </c>
      <c r="K144" s="439"/>
      <c r="L144" s="300"/>
    </row>
    <row r="145" spans="2:30" ht="13.5">
      <c r="C145" s="190"/>
      <c r="D145" s="187"/>
      <c r="J145" s="440" t="s">
        <v>807</v>
      </c>
      <c r="K145" s="440" t="s">
        <v>805</v>
      </c>
      <c r="L145" s="441" t="s">
        <v>806</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13" t="s">
        <v>4182</v>
      </c>
      <c r="E154" s="314"/>
      <c r="F154" s="314"/>
    </row>
    <row r="155" spans="2:30" ht="10.5" customHeight="1">
      <c r="C155" s="4313"/>
      <c r="E155" s="314"/>
      <c r="F155" s="314"/>
    </row>
    <row r="156" spans="2:30" ht="10.5" customHeight="1">
      <c r="C156" s="4313"/>
      <c r="D156" s="1524" t="s">
        <v>4730</v>
      </c>
      <c r="E156" s="699"/>
      <c r="F156" s="314"/>
    </row>
    <row r="157" spans="2:30" ht="39.75" customHeight="1">
      <c r="C157" s="555" t="s">
        <v>1279</v>
      </c>
      <c r="D157" s="438" t="s">
        <v>1035</v>
      </c>
      <c r="E157" s="314"/>
      <c r="F157" s="637" t="s">
        <v>1799</v>
      </c>
      <c r="G157" s="637" t="s">
        <v>1207</v>
      </c>
      <c r="H157" s="637" t="s">
        <v>1208</v>
      </c>
      <c r="I157" s="638" t="s">
        <v>1209</v>
      </c>
      <c r="J157" s="638" t="s">
        <v>1150</v>
      </c>
      <c r="K157" s="637" t="s">
        <v>425</v>
      </c>
      <c r="L157" s="639" t="s">
        <v>1157</v>
      </c>
      <c r="M157" s="639" t="s">
        <v>2767</v>
      </c>
      <c r="N157" s="639" t="s">
        <v>3893</v>
      </c>
      <c r="O157" s="639" t="s">
        <v>4294</v>
      </c>
      <c r="P157" s="637" t="s">
        <v>2402</v>
      </c>
      <c r="Q157" s="637"/>
      <c r="R157" s="190"/>
      <c r="S157" s="448"/>
      <c r="T157" s="640" t="s">
        <v>618</v>
      </c>
      <c r="U157" s="641" t="s">
        <v>619</v>
      </c>
      <c r="W157" s="670" t="s">
        <v>3388</v>
      </c>
      <c r="Z157" s="495"/>
      <c r="AA157" s="495"/>
      <c r="AB157" s="27"/>
      <c r="AC157" s="585"/>
      <c r="AD157" s="585"/>
    </row>
    <row r="158" spans="2:30" ht="10.5" customHeight="1">
      <c r="B158" s="314"/>
      <c r="C158" s="436" t="s">
        <v>1782</v>
      </c>
      <c r="D158" s="508">
        <v>53400</v>
      </c>
      <c r="E158" s="314"/>
      <c r="F158" s="314" t="s">
        <v>839</v>
      </c>
      <c r="G158" s="1166" t="s">
        <v>1210</v>
      </c>
      <c r="H158" s="1166" t="s">
        <v>1211</v>
      </c>
      <c r="I158" s="1167" t="s">
        <v>1212</v>
      </c>
      <c r="J158" s="1167" t="s">
        <v>2612</v>
      </c>
      <c r="K158" s="1168" t="s">
        <v>1158</v>
      </c>
      <c r="L158" s="1169" t="s">
        <v>423</v>
      </c>
      <c r="M158" s="1339" t="s">
        <v>2599</v>
      </c>
      <c r="N158" s="1339" t="s">
        <v>1326</v>
      </c>
      <c r="O158" s="1600" t="s">
        <v>4295</v>
      </c>
      <c r="P158" s="642" t="s">
        <v>1522</v>
      </c>
      <c r="Q158" s="323"/>
      <c r="R158" s="190"/>
      <c r="S158" s="448"/>
      <c r="T158" s="572" t="s">
        <v>2403</v>
      </c>
      <c r="U158" s="572" t="s">
        <v>1951</v>
      </c>
      <c r="W158" s="495" t="s">
        <v>2403</v>
      </c>
      <c r="X158" s="495" t="s">
        <v>3389</v>
      </c>
      <c r="Z158" s="495"/>
      <c r="AA158" s="27"/>
      <c r="AB158" s="27"/>
      <c r="AC158" s="1072"/>
      <c r="AD158" s="585"/>
    </row>
    <row r="159" spans="2:30" ht="10.5" customHeight="1">
      <c r="B159" s="314"/>
      <c r="C159" s="436" t="s">
        <v>1212</v>
      </c>
      <c r="D159" s="508">
        <v>48500</v>
      </c>
      <c r="E159" s="314"/>
      <c r="F159" s="314" t="s">
        <v>838</v>
      </c>
      <c r="G159" s="1166" t="s">
        <v>1777</v>
      </c>
      <c r="H159" s="1166" t="s">
        <v>1211</v>
      </c>
      <c r="I159" s="1167" t="s">
        <v>1778</v>
      </c>
      <c r="J159" s="1167" t="s">
        <v>2612</v>
      </c>
      <c r="K159" s="1168" t="s">
        <v>1159</v>
      </c>
      <c r="L159" s="1169" t="s">
        <v>423</v>
      </c>
      <c r="M159" s="1339" t="s">
        <v>2599</v>
      </c>
      <c r="N159" s="1339" t="s">
        <v>1696</v>
      </c>
      <c r="O159" s="1600" t="s">
        <v>4296</v>
      </c>
      <c r="P159" s="642" t="s">
        <v>1524</v>
      </c>
      <c r="Q159" s="323"/>
      <c r="R159" s="190"/>
      <c r="S159" s="448"/>
      <c r="T159" s="572" t="s">
        <v>1523</v>
      </c>
      <c r="U159" s="572" t="s">
        <v>2486</v>
      </c>
      <c r="W159" s="495" t="s">
        <v>1523</v>
      </c>
      <c r="X159" s="495" t="s">
        <v>3389</v>
      </c>
      <c r="Z159" s="495"/>
      <c r="AA159" s="27"/>
      <c r="AB159" s="27"/>
      <c r="AC159" s="1072"/>
      <c r="AD159" s="585"/>
    </row>
    <row r="160" spans="2:30" ht="10.5" customHeight="1">
      <c r="B160" s="314"/>
      <c r="C160" s="436" t="s">
        <v>1036</v>
      </c>
      <c r="D160" s="508">
        <v>58900</v>
      </c>
      <c r="E160" s="314"/>
      <c r="F160" s="314" t="s">
        <v>841</v>
      </c>
      <c r="G160" s="1166" t="s">
        <v>1779</v>
      </c>
      <c r="H160" s="1166" t="s">
        <v>1211</v>
      </c>
      <c r="I160" s="1167" t="s">
        <v>1780</v>
      </c>
      <c r="J160" s="1167" t="s">
        <v>2612</v>
      </c>
      <c r="K160" s="1168" t="s">
        <v>1160</v>
      </c>
      <c r="L160" s="1169" t="s">
        <v>423</v>
      </c>
      <c r="M160" s="1339" t="s">
        <v>2599</v>
      </c>
      <c r="N160" s="1339" t="s">
        <v>1696</v>
      </c>
      <c r="O160" s="1600" t="s">
        <v>4297</v>
      </c>
      <c r="P160" s="642" t="s">
        <v>462</v>
      </c>
      <c r="Q160" s="323"/>
      <c r="R160" s="190"/>
      <c r="S160" s="448"/>
      <c r="T160" s="572" t="s">
        <v>945</v>
      </c>
      <c r="U160" s="572" t="s">
        <v>1314</v>
      </c>
      <c r="W160" s="495" t="s">
        <v>945</v>
      </c>
      <c r="X160" s="495" t="s">
        <v>3389</v>
      </c>
      <c r="Z160" s="495"/>
      <c r="AA160" s="27"/>
      <c r="AB160" s="27"/>
      <c r="AC160" s="1072"/>
      <c r="AD160" s="585"/>
    </row>
    <row r="161" spans="2:30" ht="10.5" customHeight="1">
      <c r="B161" s="314"/>
      <c r="C161" s="436" t="s">
        <v>1778</v>
      </c>
      <c r="D161" s="508">
        <v>40100</v>
      </c>
      <c r="E161" s="314"/>
      <c r="F161" s="314" t="s">
        <v>840</v>
      </c>
      <c r="G161" s="1166" t="s">
        <v>1781</v>
      </c>
      <c r="H161" s="1166" t="s">
        <v>1211</v>
      </c>
      <c r="I161" s="1170" t="s">
        <v>1782</v>
      </c>
      <c r="J161" s="1170" t="s">
        <v>2613</v>
      </c>
      <c r="K161" s="1168" t="s">
        <v>1161</v>
      </c>
      <c r="L161" s="1169" t="s">
        <v>424</v>
      </c>
      <c r="M161" s="1339" t="s">
        <v>1196</v>
      </c>
      <c r="N161" s="1339" t="s">
        <v>1782</v>
      </c>
      <c r="O161" s="1600" t="s">
        <v>4298</v>
      </c>
      <c r="P161" s="642" t="s">
        <v>2080</v>
      </c>
      <c r="Q161" s="323"/>
      <c r="R161" s="190"/>
      <c r="S161" s="448"/>
      <c r="T161" s="572" t="s">
        <v>463</v>
      </c>
      <c r="U161" s="572" t="s">
        <v>2529</v>
      </c>
      <c r="W161" s="495" t="s">
        <v>2081</v>
      </c>
      <c r="X161" s="495" t="s">
        <v>3389</v>
      </c>
      <c r="Z161" s="495"/>
      <c r="AA161" s="27"/>
      <c r="AB161" s="27"/>
      <c r="AC161" s="1072"/>
      <c r="AD161" s="585"/>
    </row>
    <row r="162" spans="2:30" ht="10.5" customHeight="1">
      <c r="B162" s="314"/>
      <c r="C162" s="436" t="s">
        <v>764</v>
      </c>
      <c r="D162" s="508">
        <v>74800</v>
      </c>
      <c r="E162" s="314"/>
      <c r="F162" s="314" t="s">
        <v>842</v>
      </c>
      <c r="G162" s="1166" t="s">
        <v>1783</v>
      </c>
      <c r="H162" s="1166" t="s">
        <v>1211</v>
      </c>
      <c r="I162" s="1170" t="s">
        <v>156</v>
      </c>
      <c r="J162" s="1170" t="s">
        <v>2612</v>
      </c>
      <c r="K162" s="1168" t="s">
        <v>1162</v>
      </c>
      <c r="L162" s="1169" t="s">
        <v>423</v>
      </c>
      <c r="M162" s="1339" t="s">
        <v>2599</v>
      </c>
      <c r="N162" s="1339" t="s">
        <v>1320</v>
      </c>
      <c r="O162" s="1600" t="s">
        <v>4299</v>
      </c>
      <c r="P162" s="642" t="s">
        <v>2082</v>
      </c>
      <c r="Q162" s="323"/>
      <c r="R162" s="190"/>
      <c r="S162" s="448"/>
      <c r="T162" s="572" t="s">
        <v>2081</v>
      </c>
      <c r="U162" s="572" t="s">
        <v>332</v>
      </c>
      <c r="W162" s="495" t="s">
        <v>2085</v>
      </c>
      <c r="X162" s="495" t="s">
        <v>3389</v>
      </c>
      <c r="Z162" s="495"/>
      <c r="AA162" s="27"/>
      <c r="AB162" s="27"/>
      <c r="AC162" s="1072"/>
      <c r="AD162" s="585"/>
    </row>
    <row r="163" spans="2:30" ht="10.5" customHeight="1">
      <c r="B163" s="314"/>
      <c r="C163" s="436" t="s">
        <v>765</v>
      </c>
      <c r="D163" s="508">
        <v>62300</v>
      </c>
      <c r="E163" s="314"/>
      <c r="F163" s="314" t="s">
        <v>843</v>
      </c>
      <c r="G163" s="1166" t="s">
        <v>1310</v>
      </c>
      <c r="H163" s="1166" t="s">
        <v>1311</v>
      </c>
      <c r="I163" s="1167" t="s">
        <v>1312</v>
      </c>
      <c r="J163" s="1167" t="s">
        <v>2612</v>
      </c>
      <c r="K163" s="1168" t="s">
        <v>1823</v>
      </c>
      <c r="L163" s="1169" t="s">
        <v>423</v>
      </c>
      <c r="M163" s="1339" t="s">
        <v>2599</v>
      </c>
      <c r="N163" s="1339" t="s">
        <v>166</v>
      </c>
      <c r="O163" s="1600" t="s">
        <v>4300</v>
      </c>
      <c r="P163" s="642" t="s">
        <v>2084</v>
      </c>
      <c r="Q163" s="323"/>
      <c r="R163" s="190"/>
      <c r="S163" s="448"/>
      <c r="T163" s="572" t="s">
        <v>2083</v>
      </c>
      <c r="U163" s="572" t="s">
        <v>184</v>
      </c>
      <c r="W163" s="495" t="s">
        <v>1782</v>
      </c>
      <c r="X163" s="495" t="s">
        <v>3389</v>
      </c>
      <c r="Z163" s="495"/>
      <c r="AA163" s="27"/>
      <c r="AB163" s="27"/>
      <c r="AC163" s="1072"/>
      <c r="AD163" s="585"/>
    </row>
    <row r="164" spans="2:30" ht="10.5" customHeight="1">
      <c r="B164" s="314"/>
      <c r="C164" s="436" t="s">
        <v>1780</v>
      </c>
      <c r="D164" s="508">
        <v>51200</v>
      </c>
      <c r="E164" s="314"/>
      <c r="F164" s="314" t="s">
        <v>844</v>
      </c>
      <c r="G164" s="1166" t="s">
        <v>1313</v>
      </c>
      <c r="H164" s="1166" t="s">
        <v>1311</v>
      </c>
      <c r="I164" s="1170" t="s">
        <v>764</v>
      </c>
      <c r="J164" s="1170" t="s">
        <v>2613</v>
      </c>
      <c r="K164" s="1168" t="s">
        <v>2576</v>
      </c>
      <c r="L164" s="1169" t="s">
        <v>424</v>
      </c>
      <c r="M164" s="1339" t="s">
        <v>1196</v>
      </c>
      <c r="N164" s="1339" t="s">
        <v>1205</v>
      </c>
      <c r="O164" s="1600" t="s">
        <v>4301</v>
      </c>
      <c r="P164" s="642" t="s">
        <v>2086</v>
      </c>
      <c r="Q164" s="323"/>
      <c r="R164" s="190"/>
      <c r="S164" s="448"/>
      <c r="T164" s="572" t="s">
        <v>2085</v>
      </c>
      <c r="U164" s="572" t="s">
        <v>112</v>
      </c>
      <c r="W164" s="495" t="s">
        <v>444</v>
      </c>
      <c r="X164" s="495" t="s">
        <v>3389</v>
      </c>
      <c r="Z164" s="495"/>
      <c r="AA164" s="27"/>
      <c r="AB164" s="27"/>
      <c r="AC164" s="1072"/>
      <c r="AD164" s="585"/>
    </row>
    <row r="165" spans="2:30" ht="10.5" customHeight="1">
      <c r="B165" s="314"/>
      <c r="C165" s="436" t="s">
        <v>156</v>
      </c>
      <c r="D165" s="508">
        <v>51500</v>
      </c>
      <c r="E165" s="314"/>
      <c r="F165" s="314" t="s">
        <v>846</v>
      </c>
      <c r="G165" s="1166" t="s">
        <v>1314</v>
      </c>
      <c r="H165" s="1166" t="s">
        <v>1311</v>
      </c>
      <c r="I165" s="1170" t="s">
        <v>764</v>
      </c>
      <c r="J165" s="1170" t="s">
        <v>2613</v>
      </c>
      <c r="K165" s="1168" t="s">
        <v>2576</v>
      </c>
      <c r="L165" s="1169" t="s">
        <v>424</v>
      </c>
      <c r="M165" s="1339" t="s">
        <v>1196</v>
      </c>
      <c r="N165" s="1339" t="s">
        <v>1205</v>
      </c>
      <c r="O165" s="1600" t="s">
        <v>4302</v>
      </c>
      <c r="P165" s="642" t="s">
        <v>2088</v>
      </c>
      <c r="Q165" s="323"/>
      <c r="R165" s="190"/>
      <c r="S165" s="448"/>
      <c r="T165" s="572" t="s">
        <v>2087</v>
      </c>
      <c r="U165" s="572" t="s">
        <v>1317</v>
      </c>
      <c r="W165" s="495" t="s">
        <v>446</v>
      </c>
      <c r="X165" s="495" t="s">
        <v>3389</v>
      </c>
      <c r="Z165" s="495"/>
      <c r="AA165" s="27"/>
      <c r="AB165" s="27"/>
      <c r="AC165" s="1072"/>
      <c r="AD165" s="585"/>
    </row>
    <row r="166" spans="2:30" ht="10.5" customHeight="1">
      <c r="B166" s="314"/>
      <c r="C166" s="436" t="s">
        <v>1312</v>
      </c>
      <c r="D166" s="508">
        <v>53300</v>
      </c>
      <c r="E166" s="314"/>
      <c r="F166" s="314" t="s">
        <v>845</v>
      </c>
      <c r="G166" s="1166" t="s">
        <v>1315</v>
      </c>
      <c r="H166" s="1166" t="s">
        <v>1211</v>
      </c>
      <c r="I166" s="1167" t="s">
        <v>1316</v>
      </c>
      <c r="J166" s="1167" t="s">
        <v>2612</v>
      </c>
      <c r="K166" s="1168" t="s">
        <v>2577</v>
      </c>
      <c r="L166" s="1169" t="s">
        <v>423</v>
      </c>
      <c r="M166" s="1339" t="s">
        <v>2599</v>
      </c>
      <c r="N166" s="1339" t="s">
        <v>1782</v>
      </c>
      <c r="O166" s="1600" t="s">
        <v>4303</v>
      </c>
      <c r="P166" s="642" t="s">
        <v>1962</v>
      </c>
      <c r="Q166" s="601"/>
      <c r="R166" s="190"/>
      <c r="S166" s="448"/>
      <c r="T166" s="572" t="s">
        <v>1782</v>
      </c>
      <c r="U166" s="572" t="s">
        <v>955</v>
      </c>
      <c r="W166" s="495" t="s">
        <v>1848</v>
      </c>
      <c r="X166" s="495" t="s">
        <v>3389</v>
      </c>
      <c r="Z166" s="495"/>
      <c r="AA166" s="27"/>
      <c r="AB166" s="27"/>
      <c r="AC166" s="1072"/>
      <c r="AD166" s="585"/>
    </row>
    <row r="167" spans="2:30" ht="10.5" customHeight="1">
      <c r="B167" s="314"/>
      <c r="C167" s="437" t="s">
        <v>1039</v>
      </c>
      <c r="D167" s="508">
        <v>38200</v>
      </c>
      <c r="E167" s="314"/>
      <c r="F167" s="314" t="s">
        <v>847</v>
      </c>
      <c r="G167" s="1166" t="s">
        <v>1317</v>
      </c>
      <c r="H167" s="1166" t="s">
        <v>1211</v>
      </c>
      <c r="I167" s="1167" t="s">
        <v>1318</v>
      </c>
      <c r="J167" s="1167" t="s">
        <v>2612</v>
      </c>
      <c r="K167" s="1168" t="s">
        <v>2578</v>
      </c>
      <c r="L167" s="1169" t="s">
        <v>423</v>
      </c>
      <c r="M167" s="1339" t="s">
        <v>2599</v>
      </c>
      <c r="N167" s="1339" t="s">
        <v>1696</v>
      </c>
      <c r="O167" s="1600" t="s">
        <v>4304</v>
      </c>
      <c r="P167" s="642" t="s">
        <v>180</v>
      </c>
      <c r="Q167" s="601"/>
      <c r="R167" s="314"/>
      <c r="S167" s="448"/>
      <c r="T167" s="572" t="s">
        <v>1963</v>
      </c>
      <c r="U167" s="572" t="s">
        <v>429</v>
      </c>
      <c r="W167" s="495" t="s">
        <v>2548</v>
      </c>
      <c r="X167" s="495" t="s">
        <v>3389</v>
      </c>
      <c r="Z167" s="495"/>
      <c r="AA167" s="27"/>
      <c r="AB167" s="27"/>
      <c r="AC167" s="1072"/>
      <c r="AD167" s="585"/>
    </row>
    <row r="168" spans="2:30" ht="10.5" customHeight="1">
      <c r="B168" s="314"/>
      <c r="C168" s="437" t="s">
        <v>1318</v>
      </c>
      <c r="D168" s="508">
        <v>44300</v>
      </c>
      <c r="E168" s="314"/>
      <c r="F168" s="314" t="s">
        <v>848</v>
      </c>
      <c r="G168" s="1166" t="s">
        <v>1319</v>
      </c>
      <c r="H168" s="1166" t="s">
        <v>1796</v>
      </c>
      <c r="I168" s="1170" t="s">
        <v>1320</v>
      </c>
      <c r="J168" s="1170" t="s">
        <v>2613</v>
      </c>
      <c r="K168" s="1168" t="s">
        <v>2579</v>
      </c>
      <c r="L168" s="1169" t="s">
        <v>424</v>
      </c>
      <c r="M168" s="1339" t="s">
        <v>1196</v>
      </c>
      <c r="N168" s="1339" t="s">
        <v>1320</v>
      </c>
      <c r="O168" s="1600" t="s">
        <v>4305</v>
      </c>
      <c r="P168" s="642" t="s">
        <v>182</v>
      </c>
      <c r="Q168" s="601"/>
      <c r="R168" s="190"/>
      <c r="S168" s="448"/>
      <c r="T168" s="572" t="s">
        <v>181</v>
      </c>
      <c r="U168" s="572" t="s">
        <v>1456</v>
      </c>
      <c r="W168" s="495" t="s">
        <v>2554</v>
      </c>
      <c r="X168" s="495" t="s">
        <v>3389</v>
      </c>
      <c r="Z168" s="495"/>
      <c r="AA168" s="27"/>
      <c r="AB168" s="27"/>
      <c r="AC168" s="1072"/>
      <c r="AD168" s="585"/>
    </row>
    <row r="169" spans="2:30" ht="10.5" customHeight="1">
      <c r="B169" s="314"/>
      <c r="C169" s="437" t="s">
        <v>1322</v>
      </c>
      <c r="D169" s="508">
        <v>53100</v>
      </c>
      <c r="E169" s="314"/>
      <c r="F169" s="314" t="s">
        <v>849</v>
      </c>
      <c r="G169" s="1166" t="s">
        <v>1321</v>
      </c>
      <c r="H169" s="1166" t="s">
        <v>1211</v>
      </c>
      <c r="I169" s="1170" t="s">
        <v>1322</v>
      </c>
      <c r="J169" s="1170" t="s">
        <v>2612</v>
      </c>
      <c r="K169" s="1168" t="s">
        <v>2580</v>
      </c>
      <c r="L169" s="1169" t="s">
        <v>423</v>
      </c>
      <c r="M169" s="1339" t="s">
        <v>2599</v>
      </c>
      <c r="N169" s="1339" t="s">
        <v>1320</v>
      </c>
      <c r="O169" s="1600" t="s">
        <v>4306</v>
      </c>
      <c r="P169" s="642" t="s">
        <v>443</v>
      </c>
      <c r="Q169" s="323"/>
      <c r="R169" s="190"/>
      <c r="S169" s="448"/>
      <c r="T169" s="572" t="s">
        <v>183</v>
      </c>
      <c r="U169" s="572" t="s">
        <v>2399</v>
      </c>
      <c r="W169" s="495" t="s">
        <v>2559</v>
      </c>
      <c r="X169" s="495" t="s">
        <v>3389</v>
      </c>
      <c r="Z169" s="495"/>
      <c r="AA169" s="27"/>
      <c r="AB169" s="27"/>
      <c r="AC169" s="1072"/>
      <c r="AD169" s="585"/>
    </row>
    <row r="170" spans="2:30" ht="10.5" customHeight="1">
      <c r="B170" s="314"/>
      <c r="C170" s="436" t="s">
        <v>11</v>
      </c>
      <c r="D170" s="508">
        <v>53000</v>
      </c>
      <c r="E170" s="314"/>
      <c r="F170" s="314" t="s">
        <v>853</v>
      </c>
      <c r="G170" s="1166" t="s">
        <v>1323</v>
      </c>
      <c r="H170" s="1166" t="s">
        <v>1211</v>
      </c>
      <c r="I170" s="1167" t="s">
        <v>11</v>
      </c>
      <c r="J170" s="1167" t="s">
        <v>2613</v>
      </c>
      <c r="K170" s="1168" t="s">
        <v>2581</v>
      </c>
      <c r="L170" s="1169" t="s">
        <v>424</v>
      </c>
      <c r="M170" s="1339" t="s">
        <v>1196</v>
      </c>
      <c r="N170" s="1339" t="s">
        <v>1696</v>
      </c>
      <c r="O170" s="1600" t="s">
        <v>4307</v>
      </c>
      <c r="P170" s="642" t="s">
        <v>445</v>
      </c>
      <c r="Q170" s="323"/>
      <c r="R170" s="190"/>
      <c r="S170" s="448"/>
      <c r="T170" s="572" t="s">
        <v>444</v>
      </c>
      <c r="U170" s="572" t="s">
        <v>1779</v>
      </c>
      <c r="W170" s="495" t="s">
        <v>166</v>
      </c>
      <c r="X170" s="495" t="s">
        <v>3389</v>
      </c>
      <c r="Z170" s="495"/>
      <c r="AA170" s="27"/>
      <c r="AB170" s="27"/>
      <c r="AC170" s="1072"/>
      <c r="AD170" s="585"/>
    </row>
    <row r="171" spans="2:30" ht="10.5" customHeight="1">
      <c r="B171" s="314"/>
      <c r="C171" s="437" t="s">
        <v>1328</v>
      </c>
      <c r="D171" s="508">
        <v>46900</v>
      </c>
      <c r="E171" s="314"/>
      <c r="F171" s="314" t="s">
        <v>850</v>
      </c>
      <c r="G171" s="1166" t="s">
        <v>1324</v>
      </c>
      <c r="H171" s="1166" t="s">
        <v>1211</v>
      </c>
      <c r="I171" s="1167" t="s">
        <v>1696</v>
      </c>
      <c r="J171" s="1167" t="s">
        <v>2613</v>
      </c>
      <c r="K171" s="1168" t="s">
        <v>2582</v>
      </c>
      <c r="L171" s="1169" t="s">
        <v>424</v>
      </c>
      <c r="M171" s="1339" t="s">
        <v>1196</v>
      </c>
      <c r="N171" s="1339" t="s">
        <v>1696</v>
      </c>
      <c r="O171" s="1600" t="s">
        <v>4308</v>
      </c>
      <c r="P171" s="642" t="s">
        <v>447</v>
      </c>
      <c r="Q171" s="323"/>
      <c r="R171" s="190"/>
      <c r="S171" s="448"/>
      <c r="T171" s="572" t="s">
        <v>446</v>
      </c>
      <c r="U171" s="572" t="s">
        <v>1206</v>
      </c>
      <c r="W171" s="495" t="s">
        <v>1205</v>
      </c>
      <c r="X171" s="495" t="s">
        <v>3389</v>
      </c>
      <c r="Z171" s="495"/>
      <c r="AA171" s="27"/>
      <c r="AB171" s="27"/>
      <c r="AC171" s="1072"/>
      <c r="AD171" s="585"/>
    </row>
    <row r="172" spans="2:30" ht="10.5" customHeight="1">
      <c r="B172" s="314"/>
      <c r="C172" s="436" t="s">
        <v>1037</v>
      </c>
      <c r="D172" s="508">
        <v>56600</v>
      </c>
      <c r="E172" s="314"/>
      <c r="F172" s="314" t="s">
        <v>851</v>
      </c>
      <c r="G172" s="1166" t="s">
        <v>1325</v>
      </c>
      <c r="H172" s="1166" t="s">
        <v>1211</v>
      </c>
      <c r="I172" s="1170" t="s">
        <v>1326</v>
      </c>
      <c r="J172" s="1170" t="s">
        <v>2613</v>
      </c>
      <c r="K172" s="1168" t="s">
        <v>1463</v>
      </c>
      <c r="L172" s="1169" t="s">
        <v>424</v>
      </c>
      <c r="M172" s="1339" t="s">
        <v>1196</v>
      </c>
      <c r="N172" s="1339" t="s">
        <v>1326</v>
      </c>
      <c r="O172" s="1600" t="s">
        <v>4309</v>
      </c>
      <c r="P172" s="642" t="s">
        <v>449</v>
      </c>
      <c r="Q172" s="323"/>
      <c r="R172" s="190"/>
      <c r="S172" s="448"/>
      <c r="T172" s="572" t="s">
        <v>448</v>
      </c>
      <c r="U172" s="572" t="s">
        <v>184</v>
      </c>
      <c r="W172" s="495" t="s">
        <v>2071</v>
      </c>
      <c r="X172" s="495" t="s">
        <v>3389</v>
      </c>
      <c r="Z172" s="495"/>
      <c r="AA172" s="27"/>
      <c r="AB172" s="27"/>
      <c r="AC172" s="1072"/>
      <c r="AD172" s="585"/>
    </row>
    <row r="173" spans="2:30" ht="10.5" customHeight="1">
      <c r="B173" s="314"/>
      <c r="C173" s="437" t="s">
        <v>1333</v>
      </c>
      <c r="D173" s="508">
        <v>35000</v>
      </c>
      <c r="E173" s="314"/>
      <c r="F173" s="314" t="s">
        <v>852</v>
      </c>
      <c r="G173" s="1166" t="s">
        <v>1327</v>
      </c>
      <c r="H173" s="1166" t="s">
        <v>1211</v>
      </c>
      <c r="I173" s="1170" t="s">
        <v>1328</v>
      </c>
      <c r="J173" s="1170" t="s">
        <v>2612</v>
      </c>
      <c r="K173" s="1168" t="s">
        <v>2597</v>
      </c>
      <c r="L173" s="1169" t="s">
        <v>423</v>
      </c>
      <c r="M173" s="1339" t="s">
        <v>2599</v>
      </c>
      <c r="N173" s="1339" t="s">
        <v>1326</v>
      </c>
      <c r="O173" s="1600" t="s">
        <v>4310</v>
      </c>
      <c r="P173" s="642" t="s">
        <v>2262</v>
      </c>
      <c r="Q173" s="323"/>
      <c r="R173" s="190"/>
      <c r="S173" s="448"/>
      <c r="T173" s="572" t="s">
        <v>450</v>
      </c>
      <c r="U173" s="572" t="s">
        <v>122</v>
      </c>
      <c r="W173" s="495" t="s">
        <v>1330</v>
      </c>
      <c r="X173" s="495" t="s">
        <v>3389</v>
      </c>
      <c r="Z173" s="495"/>
      <c r="AA173" s="27"/>
      <c r="AB173" s="27"/>
      <c r="AC173" s="1072"/>
      <c r="AD173" s="585"/>
    </row>
    <row r="174" spans="2:30" ht="10.5" customHeight="1">
      <c r="B174" s="314"/>
      <c r="C174" s="437" t="s">
        <v>730</v>
      </c>
      <c r="D174" s="508">
        <v>63800</v>
      </c>
      <c r="E174" s="314"/>
      <c r="F174" s="314" t="s">
        <v>854</v>
      </c>
      <c r="G174" s="1166" t="s">
        <v>1329</v>
      </c>
      <c r="H174" s="1166" t="s">
        <v>1211</v>
      </c>
      <c r="I174" s="1170" t="s">
        <v>765</v>
      </c>
      <c r="J174" s="1170" t="s">
        <v>2613</v>
      </c>
      <c r="K174" s="1168" t="s">
        <v>2598</v>
      </c>
      <c r="L174" s="1169" t="s">
        <v>424</v>
      </c>
      <c r="M174" s="1339" t="s">
        <v>2599</v>
      </c>
      <c r="N174" s="1339" t="s">
        <v>1330</v>
      </c>
      <c r="O174" s="1600" t="s">
        <v>4311</v>
      </c>
      <c r="P174" s="642" t="s">
        <v>2264</v>
      </c>
      <c r="Q174" s="323"/>
      <c r="R174" s="190"/>
      <c r="S174" s="448"/>
      <c r="T174" s="572" t="s">
        <v>2263</v>
      </c>
      <c r="U174" s="572" t="s">
        <v>2487</v>
      </c>
      <c r="W174" s="495" t="s">
        <v>2074</v>
      </c>
      <c r="X174" s="495" t="s">
        <v>3389</v>
      </c>
      <c r="Z174" s="495"/>
      <c r="AA174" s="27"/>
      <c r="AB174" s="27"/>
      <c r="AC174" s="1072"/>
      <c r="AD174" s="585"/>
    </row>
    <row r="175" spans="2:30" ht="10.5" customHeight="1">
      <c r="B175" s="314"/>
      <c r="C175" s="437" t="s">
        <v>732</v>
      </c>
      <c r="D175" s="508">
        <v>37200</v>
      </c>
      <c r="E175" s="314"/>
      <c r="F175" s="314" t="s">
        <v>855</v>
      </c>
      <c r="G175" s="1166" t="s">
        <v>1331</v>
      </c>
      <c r="H175" s="1166" t="s">
        <v>1311</v>
      </c>
      <c r="I175" s="1170" t="s">
        <v>1037</v>
      </c>
      <c r="J175" s="1170" t="s">
        <v>2613</v>
      </c>
      <c r="K175" s="1168" t="s">
        <v>1257</v>
      </c>
      <c r="L175" s="1169" t="s">
        <v>424</v>
      </c>
      <c r="M175" s="1339" t="s">
        <v>2599</v>
      </c>
      <c r="N175" s="1339" t="s">
        <v>1205</v>
      </c>
      <c r="O175" s="1600" t="s">
        <v>4312</v>
      </c>
      <c r="P175" s="642" t="s">
        <v>368</v>
      </c>
      <c r="Q175" s="323"/>
      <c r="R175" s="190"/>
      <c r="S175" s="448"/>
      <c r="T175" s="572" t="s">
        <v>1848</v>
      </c>
      <c r="U175" s="572" t="s">
        <v>2177</v>
      </c>
      <c r="W175" s="495" t="s">
        <v>2107</v>
      </c>
      <c r="X175" s="495" t="s">
        <v>3389</v>
      </c>
      <c r="Z175" s="495"/>
      <c r="AA175" s="27"/>
      <c r="AB175" s="27"/>
      <c r="AC175" s="1072"/>
      <c r="AD175" s="585"/>
    </row>
    <row r="176" spans="2:30" ht="10.5" customHeight="1">
      <c r="B176" s="314"/>
      <c r="C176" s="436" t="s">
        <v>158</v>
      </c>
      <c r="D176" s="508">
        <v>55400</v>
      </c>
      <c r="E176" s="314"/>
      <c r="F176" s="314" t="s">
        <v>856</v>
      </c>
      <c r="G176" s="1166" t="s">
        <v>1332</v>
      </c>
      <c r="H176" s="1166" t="s">
        <v>1211</v>
      </c>
      <c r="I176" s="1167" t="s">
        <v>1333</v>
      </c>
      <c r="J176" s="1167" t="s">
        <v>2612</v>
      </c>
      <c r="K176" s="1168" t="s">
        <v>1258</v>
      </c>
      <c r="L176" s="1169" t="s">
        <v>423</v>
      </c>
      <c r="M176" s="1339" t="s">
        <v>2599</v>
      </c>
      <c r="N176" s="1339" t="s">
        <v>1782</v>
      </c>
      <c r="O176" s="1600" t="s">
        <v>4313</v>
      </c>
      <c r="P176" s="642" t="s">
        <v>370</v>
      </c>
      <c r="Q176" s="323"/>
      <c r="R176" s="190"/>
      <c r="S176" s="448"/>
      <c r="T176" s="572" t="s">
        <v>369</v>
      </c>
      <c r="U176" s="572" t="s">
        <v>2177</v>
      </c>
      <c r="W176" s="495" t="s">
        <v>2111</v>
      </c>
      <c r="X176" s="495" t="s">
        <v>3389</v>
      </c>
      <c r="Z176" s="495"/>
      <c r="AA176" s="27"/>
      <c r="AB176" s="27"/>
      <c r="AC176" s="1072"/>
      <c r="AD176" s="585"/>
    </row>
    <row r="177" spans="2:30" ht="10.5" customHeight="1">
      <c r="B177" s="314"/>
      <c r="C177" s="436" t="s">
        <v>1521</v>
      </c>
      <c r="D177" s="508">
        <v>61700</v>
      </c>
      <c r="E177" s="314"/>
      <c r="F177" s="314" t="s">
        <v>859</v>
      </c>
      <c r="G177" s="1166" t="s">
        <v>1334</v>
      </c>
      <c r="H177" s="1166" t="s">
        <v>1211</v>
      </c>
      <c r="I177" s="1170" t="s">
        <v>730</v>
      </c>
      <c r="J177" s="1170" t="s">
        <v>2612</v>
      </c>
      <c r="K177" s="1168" t="s">
        <v>1259</v>
      </c>
      <c r="L177" s="1169" t="s">
        <v>423</v>
      </c>
      <c r="M177" s="1339" t="s">
        <v>2599</v>
      </c>
      <c r="N177" s="1339" t="s">
        <v>1696</v>
      </c>
      <c r="O177" s="1600" t="s">
        <v>4314</v>
      </c>
      <c r="P177" s="642" t="s">
        <v>2545</v>
      </c>
      <c r="Q177" s="323"/>
      <c r="R177" s="190"/>
      <c r="S177" s="448"/>
      <c r="T177" s="572" t="s">
        <v>1210</v>
      </c>
      <c r="U177" s="572" t="s">
        <v>2528</v>
      </c>
      <c r="W177" s="495" t="s">
        <v>1783</v>
      </c>
      <c r="X177" s="495" t="s">
        <v>3389</v>
      </c>
      <c r="Z177" s="495"/>
      <c r="AA177" s="27"/>
      <c r="AB177" s="27"/>
      <c r="AC177" s="1072"/>
      <c r="AD177" s="585"/>
    </row>
    <row r="178" spans="2:30" ht="10.5" customHeight="1">
      <c r="B178" s="314"/>
      <c r="C178" s="436" t="s">
        <v>163</v>
      </c>
      <c r="D178" s="508">
        <v>42900</v>
      </c>
      <c r="E178" s="314"/>
      <c r="F178" s="314" t="s">
        <v>858</v>
      </c>
      <c r="G178" s="1166" t="s">
        <v>731</v>
      </c>
      <c r="H178" s="1166" t="s">
        <v>1211</v>
      </c>
      <c r="I178" s="1167" t="s">
        <v>732</v>
      </c>
      <c r="J178" s="1167" t="s">
        <v>2612</v>
      </c>
      <c r="K178" s="1168" t="s">
        <v>1711</v>
      </c>
      <c r="L178" s="1169" t="s">
        <v>423</v>
      </c>
      <c r="M178" s="1339" t="s">
        <v>2599</v>
      </c>
      <c r="N178" s="1339" t="s">
        <v>1326</v>
      </c>
      <c r="O178" s="1600" t="s">
        <v>4315</v>
      </c>
      <c r="P178" s="642" t="s">
        <v>2547</v>
      </c>
      <c r="Q178" s="323"/>
      <c r="R178" s="190"/>
      <c r="S178" s="448"/>
      <c r="T178" s="572" t="s">
        <v>2546</v>
      </c>
      <c r="U178" s="572" t="s">
        <v>2533</v>
      </c>
      <c r="W178" s="495" t="s">
        <v>1007</v>
      </c>
      <c r="X178" s="495" t="s">
        <v>3389</v>
      </c>
      <c r="Z178" s="495"/>
      <c r="AA178" s="27"/>
      <c r="AB178" s="27"/>
      <c r="AC178" s="1072"/>
      <c r="AD178" s="585"/>
    </row>
    <row r="179" spans="2:30" ht="10.5" customHeight="1">
      <c r="B179" s="314"/>
      <c r="C179" s="436" t="s">
        <v>2482</v>
      </c>
      <c r="D179" s="508">
        <v>30600</v>
      </c>
      <c r="E179" s="314"/>
      <c r="F179" s="314" t="s">
        <v>857</v>
      </c>
      <c r="G179" s="1166" t="s">
        <v>733</v>
      </c>
      <c r="H179" s="1166" t="s">
        <v>1311</v>
      </c>
      <c r="I179" s="1170" t="s">
        <v>764</v>
      </c>
      <c r="J179" s="1170" t="s">
        <v>2613</v>
      </c>
      <c r="K179" s="1168" t="s">
        <v>2576</v>
      </c>
      <c r="L179" s="1169" t="s">
        <v>424</v>
      </c>
      <c r="M179" s="1339" t="s">
        <v>1196</v>
      </c>
      <c r="N179" s="1339" t="s">
        <v>1205</v>
      </c>
      <c r="O179" s="1600" t="s">
        <v>4316</v>
      </c>
      <c r="P179" s="642" t="s">
        <v>2549</v>
      </c>
      <c r="Q179" s="323"/>
      <c r="R179" s="190"/>
      <c r="S179" s="448"/>
      <c r="T179" s="572" t="s">
        <v>2548</v>
      </c>
      <c r="U179" s="572" t="s">
        <v>1097</v>
      </c>
      <c r="W179" s="495" t="s">
        <v>2445</v>
      </c>
      <c r="X179" s="495" t="s">
        <v>3389</v>
      </c>
      <c r="Z179" s="495"/>
      <c r="AA179" s="27"/>
      <c r="AB179" s="27"/>
      <c r="AC179" s="1072"/>
      <c r="AD179" s="585"/>
    </row>
    <row r="180" spans="2:30" ht="10.5" customHeight="1">
      <c r="B180" s="314"/>
      <c r="C180" s="437" t="s">
        <v>2485</v>
      </c>
      <c r="D180" s="508">
        <v>43100</v>
      </c>
      <c r="E180" s="314"/>
      <c r="F180" s="314" t="s">
        <v>860</v>
      </c>
      <c r="G180" s="1166" t="s">
        <v>1520</v>
      </c>
      <c r="H180" s="1166" t="s">
        <v>1311</v>
      </c>
      <c r="I180" s="1170" t="s">
        <v>1521</v>
      </c>
      <c r="J180" s="1170" t="s">
        <v>2613</v>
      </c>
      <c r="K180" s="1168" t="s">
        <v>1680</v>
      </c>
      <c r="L180" s="1169" t="s">
        <v>424</v>
      </c>
      <c r="M180" s="1339" t="s">
        <v>2599</v>
      </c>
      <c r="N180" s="1339" t="s">
        <v>1521</v>
      </c>
      <c r="O180" s="1600" t="s">
        <v>4317</v>
      </c>
      <c r="P180" s="642" t="s">
        <v>2551</v>
      </c>
      <c r="Q180" s="323"/>
      <c r="R180" s="190"/>
      <c r="S180" s="448"/>
      <c r="T180" s="572" t="s">
        <v>2550</v>
      </c>
      <c r="U180" s="572" t="s">
        <v>323</v>
      </c>
      <c r="W180" s="495" t="s">
        <v>2447</v>
      </c>
      <c r="X180" s="495" t="s">
        <v>3389</v>
      </c>
      <c r="Z180" s="495"/>
      <c r="AA180" s="27"/>
      <c r="AB180" s="27"/>
      <c r="AC180" s="1072"/>
      <c r="AD180" s="585"/>
    </row>
    <row r="181" spans="2:30" ht="10.5" customHeight="1">
      <c r="B181" s="314"/>
      <c r="C181" s="437" t="s">
        <v>2488</v>
      </c>
      <c r="D181" s="508">
        <v>44200</v>
      </c>
      <c r="E181" s="314"/>
      <c r="F181" s="314" t="s">
        <v>861</v>
      </c>
      <c r="G181" s="1166" t="s">
        <v>157</v>
      </c>
      <c r="H181" s="1166" t="s">
        <v>1211</v>
      </c>
      <c r="I181" s="1167" t="s">
        <v>158</v>
      </c>
      <c r="J181" s="1167" t="s">
        <v>2612</v>
      </c>
      <c r="K181" s="1168" t="s">
        <v>1681</v>
      </c>
      <c r="L181" s="1169" t="s">
        <v>423</v>
      </c>
      <c r="M181" s="1339" t="s">
        <v>2599</v>
      </c>
      <c r="N181" s="1339" t="s">
        <v>1696</v>
      </c>
      <c r="O181" s="1600" t="s">
        <v>4318</v>
      </c>
      <c r="P181" s="642" t="s">
        <v>2553</v>
      </c>
      <c r="Q181" s="323"/>
      <c r="R181" s="190"/>
      <c r="S181" s="448"/>
      <c r="T181" s="572" t="s">
        <v>2552</v>
      </c>
      <c r="U181" s="572" t="s">
        <v>2484</v>
      </c>
      <c r="W181" s="495" t="s">
        <v>2449</v>
      </c>
      <c r="X181" s="495" t="s">
        <v>3389</v>
      </c>
      <c r="Z181" s="495"/>
      <c r="AA181" s="27"/>
      <c r="AB181" s="27"/>
      <c r="AC181" s="1072"/>
      <c r="AD181" s="585"/>
    </row>
    <row r="182" spans="2:30" ht="10.5" customHeight="1">
      <c r="B182" s="314"/>
      <c r="C182" s="437" t="s">
        <v>2527</v>
      </c>
      <c r="D182" s="508">
        <v>40600</v>
      </c>
      <c r="E182" s="314"/>
      <c r="F182" s="314" t="s">
        <v>1341</v>
      </c>
      <c r="G182" s="1166" t="s">
        <v>159</v>
      </c>
      <c r="H182" s="1166" t="s">
        <v>1796</v>
      </c>
      <c r="I182" s="1170" t="s">
        <v>1326</v>
      </c>
      <c r="J182" s="1170" t="s">
        <v>2613</v>
      </c>
      <c r="K182" s="1168" t="s">
        <v>1463</v>
      </c>
      <c r="L182" s="1169" t="s">
        <v>424</v>
      </c>
      <c r="M182" s="1339" t="s">
        <v>1196</v>
      </c>
      <c r="N182" s="1339" t="s">
        <v>1326</v>
      </c>
      <c r="O182" s="1600" t="s">
        <v>4319</v>
      </c>
      <c r="P182" s="642" t="s">
        <v>2555</v>
      </c>
      <c r="Q182" s="323"/>
      <c r="R182" s="190"/>
      <c r="S182" s="448"/>
      <c r="T182" s="572" t="s">
        <v>2554</v>
      </c>
      <c r="U182" s="572" t="s">
        <v>1332</v>
      </c>
      <c r="W182" s="495" t="s">
        <v>2452</v>
      </c>
      <c r="X182" s="495" t="s">
        <v>3389</v>
      </c>
      <c r="Z182" s="495"/>
      <c r="AA182" s="27"/>
      <c r="AB182" s="27"/>
      <c r="AC182" s="1072"/>
      <c r="AD182" s="585"/>
    </row>
    <row r="183" spans="2:30" ht="10.5" customHeight="1">
      <c r="B183" s="314"/>
      <c r="C183" s="436" t="s">
        <v>161</v>
      </c>
      <c r="D183" s="508">
        <v>56000</v>
      </c>
      <c r="E183" s="314"/>
      <c r="F183" s="314" t="s">
        <v>862</v>
      </c>
      <c r="G183" s="1166" t="s">
        <v>160</v>
      </c>
      <c r="H183" s="1166" t="s">
        <v>1211</v>
      </c>
      <c r="I183" s="1170" t="s">
        <v>161</v>
      </c>
      <c r="J183" s="1170" t="s">
        <v>2613</v>
      </c>
      <c r="K183" s="1168" t="s">
        <v>1682</v>
      </c>
      <c r="L183" s="1169" t="s">
        <v>424</v>
      </c>
      <c r="M183" s="1339" t="s">
        <v>2599</v>
      </c>
      <c r="N183" s="1339" t="s">
        <v>161</v>
      </c>
      <c r="O183" s="1600" t="s">
        <v>4320</v>
      </c>
      <c r="P183" s="642" t="s">
        <v>2556</v>
      </c>
      <c r="Q183" s="323"/>
      <c r="R183" s="190"/>
      <c r="S183" s="448"/>
      <c r="T183" s="572" t="s">
        <v>2557</v>
      </c>
      <c r="U183" s="572" t="s">
        <v>2591</v>
      </c>
      <c r="W183" s="495" t="s">
        <v>2231</v>
      </c>
      <c r="X183" s="495" t="s">
        <v>3389</v>
      </c>
      <c r="Z183" s="495"/>
      <c r="AA183" s="27"/>
      <c r="AB183" s="27"/>
      <c r="AC183" s="1072"/>
      <c r="AD183" s="585"/>
    </row>
    <row r="184" spans="2:30" ht="10.5" customHeight="1">
      <c r="B184" s="314"/>
      <c r="C184" s="437" t="s">
        <v>2530</v>
      </c>
      <c r="D184" s="508">
        <v>43800</v>
      </c>
      <c r="E184" s="314"/>
      <c r="F184" s="314" t="s">
        <v>1342</v>
      </c>
      <c r="G184" s="1166" t="s">
        <v>162</v>
      </c>
      <c r="H184" s="1166" t="s">
        <v>1311</v>
      </c>
      <c r="I184" s="1167" t="s">
        <v>163</v>
      </c>
      <c r="J184" s="1167" t="s">
        <v>2612</v>
      </c>
      <c r="K184" s="1168" t="s">
        <v>1683</v>
      </c>
      <c r="L184" s="1169" t="s">
        <v>423</v>
      </c>
      <c r="M184" s="1339" t="s">
        <v>2599</v>
      </c>
      <c r="N184" s="1339" t="s">
        <v>1521</v>
      </c>
      <c r="O184" s="1600" t="s">
        <v>4321</v>
      </c>
      <c r="P184" s="642" t="s">
        <v>2558</v>
      </c>
      <c r="Q184" s="323"/>
      <c r="R184" s="190"/>
      <c r="S184" s="448"/>
      <c r="T184" s="572" t="s">
        <v>2559</v>
      </c>
      <c r="U184" s="572" t="s">
        <v>1917</v>
      </c>
      <c r="W184" s="495" t="s">
        <v>2331</v>
      </c>
      <c r="X184" s="495" t="s">
        <v>3389</v>
      </c>
      <c r="Z184" s="495"/>
      <c r="AA184" s="27"/>
      <c r="AB184" s="27"/>
      <c r="AC184" s="1072"/>
      <c r="AD184" s="585"/>
    </row>
    <row r="185" spans="2:30" ht="10.5" customHeight="1">
      <c r="B185" s="314"/>
      <c r="C185" s="437" t="s">
        <v>193</v>
      </c>
      <c r="D185" s="508">
        <v>43200</v>
      </c>
      <c r="E185" s="314"/>
      <c r="F185" s="314" t="s">
        <v>1349</v>
      </c>
      <c r="G185" s="1166" t="s">
        <v>164</v>
      </c>
      <c r="H185" s="1166" t="s">
        <v>1311</v>
      </c>
      <c r="I185" s="1170" t="s">
        <v>764</v>
      </c>
      <c r="J185" s="1170" t="s">
        <v>2613</v>
      </c>
      <c r="K185" s="1168" t="s">
        <v>2576</v>
      </c>
      <c r="L185" s="1169" t="s">
        <v>424</v>
      </c>
      <c r="M185" s="1339" t="s">
        <v>1196</v>
      </c>
      <c r="N185" s="1339" t="s">
        <v>1205</v>
      </c>
      <c r="O185" s="1600" t="s">
        <v>4322</v>
      </c>
      <c r="P185" s="642" t="s">
        <v>417</v>
      </c>
      <c r="Q185" s="323"/>
      <c r="R185" s="190"/>
      <c r="S185" s="448"/>
      <c r="T185" s="572" t="s">
        <v>166</v>
      </c>
      <c r="U185" s="572" t="s">
        <v>165</v>
      </c>
      <c r="W185" s="495" t="s">
        <v>305</v>
      </c>
      <c r="X185" s="495" t="s">
        <v>3389</v>
      </c>
      <c r="Z185" s="495"/>
      <c r="AA185" s="27"/>
      <c r="AB185" s="27"/>
      <c r="AC185" s="1072"/>
      <c r="AD185" s="585"/>
    </row>
    <row r="186" spans="2:30" ht="10.5" customHeight="1">
      <c r="B186" s="314"/>
      <c r="C186" s="437" t="s">
        <v>335</v>
      </c>
      <c r="D186" s="508">
        <v>55000</v>
      </c>
      <c r="E186" s="314"/>
      <c r="F186" s="314" t="s">
        <v>1350</v>
      </c>
      <c r="G186" s="1166" t="s">
        <v>165</v>
      </c>
      <c r="H186" s="1166" t="s">
        <v>1311</v>
      </c>
      <c r="I186" s="1167" t="s">
        <v>2043</v>
      </c>
      <c r="J186" s="1167" t="s">
        <v>2613</v>
      </c>
      <c r="K186" s="1168" t="s">
        <v>620</v>
      </c>
      <c r="L186" s="1169" t="s">
        <v>424</v>
      </c>
      <c r="M186" s="1340" t="s">
        <v>1196</v>
      </c>
      <c r="N186" s="1340" t="s">
        <v>166</v>
      </c>
      <c r="O186" s="1600" t="s">
        <v>4323</v>
      </c>
      <c r="P186" s="642" t="s">
        <v>418</v>
      </c>
      <c r="Q186" s="323"/>
      <c r="R186" s="314"/>
      <c r="S186" s="448"/>
      <c r="T186" s="572" t="s">
        <v>1205</v>
      </c>
      <c r="U186" s="572" t="s">
        <v>1206</v>
      </c>
      <c r="W186" s="495" t="s">
        <v>11</v>
      </c>
      <c r="X186" s="495" t="s">
        <v>3389</v>
      </c>
      <c r="Z186" s="495"/>
      <c r="AA186" s="27"/>
      <c r="AB186" s="27"/>
      <c r="AC186" s="1072"/>
      <c r="AD186" s="585"/>
    </row>
    <row r="187" spans="2:30" ht="10.5" customHeight="1">
      <c r="B187" s="314"/>
      <c r="C187" s="436" t="s">
        <v>197</v>
      </c>
      <c r="D187" s="508">
        <v>44000</v>
      </c>
      <c r="E187" s="314"/>
      <c r="F187" s="314" t="s">
        <v>1343</v>
      </c>
      <c r="G187" s="1166" t="s">
        <v>2481</v>
      </c>
      <c r="H187" s="1166" t="s">
        <v>1211</v>
      </c>
      <c r="I187" s="1167" t="s">
        <v>2482</v>
      </c>
      <c r="J187" s="1167" t="s">
        <v>2612</v>
      </c>
      <c r="K187" s="1168" t="s">
        <v>621</v>
      </c>
      <c r="L187" s="1169" t="s">
        <v>423</v>
      </c>
      <c r="M187" s="1340" t="s">
        <v>2599</v>
      </c>
      <c r="N187" s="1340" t="s">
        <v>1782</v>
      </c>
      <c r="O187" s="1600" t="s">
        <v>4324</v>
      </c>
      <c r="P187" s="642" t="s">
        <v>778</v>
      </c>
      <c r="Q187" s="601"/>
      <c r="R187" s="190"/>
      <c r="S187" s="448"/>
      <c r="T187" s="572" t="s">
        <v>779</v>
      </c>
      <c r="U187" s="572" t="s">
        <v>196</v>
      </c>
      <c r="W187" s="495" t="s">
        <v>13</v>
      </c>
      <c r="X187" s="495" t="s">
        <v>3389</v>
      </c>
      <c r="Z187" s="495"/>
      <c r="AA187" s="27"/>
      <c r="AB187" s="27"/>
      <c r="AC187" s="1072"/>
      <c r="AD187" s="585"/>
    </row>
    <row r="188" spans="2:30" ht="10.5" customHeight="1">
      <c r="B188" s="314"/>
      <c r="C188" s="436" t="s">
        <v>952</v>
      </c>
      <c r="D188" s="508">
        <v>46300</v>
      </c>
      <c r="E188" s="314"/>
      <c r="F188" s="314" t="s">
        <v>1345</v>
      </c>
      <c r="G188" s="1166" t="s">
        <v>2483</v>
      </c>
      <c r="H188" s="1166" t="s">
        <v>1796</v>
      </c>
      <c r="I188" s="1170" t="s">
        <v>764</v>
      </c>
      <c r="J188" s="1170" t="s">
        <v>2613</v>
      </c>
      <c r="K188" s="1168" t="s">
        <v>2576</v>
      </c>
      <c r="L188" s="1169" t="s">
        <v>424</v>
      </c>
      <c r="M188" s="1339" t="s">
        <v>1196</v>
      </c>
      <c r="N188" s="1339" t="s">
        <v>1205</v>
      </c>
      <c r="O188" s="1600" t="s">
        <v>4325</v>
      </c>
      <c r="P188" s="642" t="s">
        <v>780</v>
      </c>
      <c r="Q188" s="601"/>
      <c r="R188" s="190"/>
      <c r="S188" s="448"/>
      <c r="T188" s="572" t="s">
        <v>2071</v>
      </c>
      <c r="U188" s="572" t="s">
        <v>1313</v>
      </c>
      <c r="W188" s="495" t="s">
        <v>59</v>
      </c>
      <c r="X188" s="495" t="s">
        <v>3389</v>
      </c>
      <c r="Z188" s="495"/>
      <c r="AA188" s="27"/>
      <c r="AB188" s="27"/>
      <c r="AC188" s="1072"/>
      <c r="AD188" s="585"/>
    </row>
    <row r="189" spans="2:30" ht="10.5" customHeight="1">
      <c r="B189" s="314"/>
      <c r="C189" s="437" t="s">
        <v>954</v>
      </c>
      <c r="D189" s="508">
        <v>38800</v>
      </c>
      <c r="E189" s="314"/>
      <c r="F189" s="314" t="s">
        <v>1346</v>
      </c>
      <c r="G189" s="1166" t="s">
        <v>2484</v>
      </c>
      <c r="H189" s="1166" t="s">
        <v>1211</v>
      </c>
      <c r="I189" s="1167" t="s">
        <v>2485</v>
      </c>
      <c r="J189" s="1167" t="s">
        <v>2612</v>
      </c>
      <c r="K189" s="1168" t="s">
        <v>622</v>
      </c>
      <c r="L189" s="1169" t="s">
        <v>423</v>
      </c>
      <c r="M189" s="1340" t="s">
        <v>2599</v>
      </c>
      <c r="N189" s="1340" t="s">
        <v>1696</v>
      </c>
      <c r="O189" s="1600" t="s">
        <v>4326</v>
      </c>
      <c r="P189" s="642" t="s">
        <v>2072</v>
      </c>
      <c r="Q189" s="601"/>
      <c r="R189" s="190"/>
      <c r="S189" s="448"/>
      <c r="T189" s="572" t="s">
        <v>1330</v>
      </c>
      <c r="U189" s="572" t="s">
        <v>1109</v>
      </c>
      <c r="W189" s="495" t="s">
        <v>61</v>
      </c>
      <c r="X189" s="495" t="s">
        <v>3389</v>
      </c>
      <c r="Z189" s="495"/>
      <c r="AA189" s="27"/>
      <c r="AB189" s="27"/>
      <c r="AC189" s="1072"/>
      <c r="AD189" s="585"/>
    </row>
    <row r="190" spans="2:30" ht="10.5" customHeight="1">
      <c r="B190" s="314"/>
      <c r="C190" s="436" t="s">
        <v>875</v>
      </c>
      <c r="D190" s="508">
        <v>42400</v>
      </c>
      <c r="E190" s="314"/>
      <c r="F190" s="314" t="s">
        <v>1347</v>
      </c>
      <c r="G190" s="1166" t="s">
        <v>2486</v>
      </c>
      <c r="H190" s="1166" t="s">
        <v>1796</v>
      </c>
      <c r="I190" s="1170" t="s">
        <v>764</v>
      </c>
      <c r="J190" s="1170" t="s">
        <v>2613</v>
      </c>
      <c r="K190" s="1168" t="s">
        <v>2576</v>
      </c>
      <c r="L190" s="1169" t="s">
        <v>424</v>
      </c>
      <c r="M190" s="1339" t="s">
        <v>1196</v>
      </c>
      <c r="N190" s="1339" t="s">
        <v>1205</v>
      </c>
      <c r="O190" s="1600" t="s">
        <v>4327</v>
      </c>
      <c r="P190" s="642" t="s">
        <v>2073</v>
      </c>
      <c r="Q190" s="601"/>
      <c r="R190" s="190"/>
      <c r="S190" s="448"/>
      <c r="T190" s="572" t="s">
        <v>2074</v>
      </c>
      <c r="U190" s="572" t="s">
        <v>2486</v>
      </c>
      <c r="W190" s="495" t="s">
        <v>352</v>
      </c>
      <c r="X190" s="495" t="s">
        <v>3389</v>
      </c>
      <c r="Z190" s="495"/>
      <c r="AA190" s="27"/>
      <c r="AB190" s="27"/>
      <c r="AC190" s="1072"/>
      <c r="AD190" s="585"/>
    </row>
    <row r="191" spans="2:30" ht="10.5" customHeight="1">
      <c r="B191" s="314"/>
      <c r="C191" s="437" t="s">
        <v>879</v>
      </c>
      <c r="D191" s="508">
        <v>43800</v>
      </c>
      <c r="E191" s="314"/>
      <c r="F191" s="314" t="s">
        <v>1344</v>
      </c>
      <c r="G191" s="1166" t="s">
        <v>2487</v>
      </c>
      <c r="H191" s="1166" t="s">
        <v>1211</v>
      </c>
      <c r="I191" s="1167" t="s">
        <v>2488</v>
      </c>
      <c r="J191" s="1167" t="s">
        <v>2612</v>
      </c>
      <c r="K191" s="1168" t="s">
        <v>623</v>
      </c>
      <c r="L191" s="1169" t="s">
        <v>423</v>
      </c>
      <c r="M191" s="1340" t="s">
        <v>2599</v>
      </c>
      <c r="N191" s="1340" t="s">
        <v>1696</v>
      </c>
      <c r="O191" s="1600" t="s">
        <v>4328</v>
      </c>
      <c r="P191" s="642" t="s">
        <v>2075</v>
      </c>
      <c r="Q191" s="601"/>
      <c r="R191" s="190"/>
      <c r="S191" s="448"/>
      <c r="T191" s="572" t="s">
        <v>1999</v>
      </c>
      <c r="U191" s="572" t="s">
        <v>2173</v>
      </c>
      <c r="W191" s="495" t="s">
        <v>356</v>
      </c>
      <c r="X191" s="495" t="s">
        <v>3389</v>
      </c>
      <c r="Z191" s="495"/>
      <c r="AA191" s="27"/>
      <c r="AB191" s="27"/>
      <c r="AC191" s="1072"/>
      <c r="AD191" s="585"/>
    </row>
    <row r="192" spans="2:30" ht="10.5" customHeight="1">
      <c r="B192" s="314"/>
      <c r="C192" s="437" t="s">
        <v>2243</v>
      </c>
      <c r="D192" s="508">
        <v>41900</v>
      </c>
      <c r="E192" s="314"/>
      <c r="F192" s="314" t="s">
        <v>1348</v>
      </c>
      <c r="G192" s="1166" t="s">
        <v>2489</v>
      </c>
      <c r="H192" s="1166" t="s">
        <v>1211</v>
      </c>
      <c r="I192" s="1167" t="s">
        <v>2527</v>
      </c>
      <c r="J192" s="1167" t="s">
        <v>2612</v>
      </c>
      <c r="K192" s="1168" t="s">
        <v>624</v>
      </c>
      <c r="L192" s="1169" t="s">
        <v>423</v>
      </c>
      <c r="M192" s="1340" t="s">
        <v>2599</v>
      </c>
      <c r="N192" s="1340" t="s">
        <v>1782</v>
      </c>
      <c r="O192" s="1600" t="s">
        <v>4329</v>
      </c>
      <c r="P192" s="642" t="s">
        <v>2106</v>
      </c>
      <c r="Q192" s="601"/>
      <c r="R192" s="190"/>
      <c r="S192" s="448"/>
      <c r="T192" s="572" t="s">
        <v>2076</v>
      </c>
      <c r="U192" s="572" t="s">
        <v>328</v>
      </c>
      <c r="W192" s="495" t="s">
        <v>2290</v>
      </c>
      <c r="X192" s="495" t="s">
        <v>3389</v>
      </c>
      <c r="Z192" s="495"/>
      <c r="AA192" s="27"/>
      <c r="AB192" s="27"/>
      <c r="AC192" s="1072"/>
      <c r="AD192" s="585"/>
    </row>
    <row r="193" spans="2:30" ht="10.5" customHeight="1">
      <c r="B193" s="314"/>
      <c r="C193" s="437" t="s">
        <v>654</v>
      </c>
      <c r="D193" s="508">
        <v>44700</v>
      </c>
      <c r="E193" s="314"/>
      <c r="F193" s="314" t="s">
        <v>1351</v>
      </c>
      <c r="G193" s="1166" t="s">
        <v>2528</v>
      </c>
      <c r="H193" s="1166" t="s">
        <v>1311</v>
      </c>
      <c r="I193" s="1170" t="s">
        <v>765</v>
      </c>
      <c r="J193" s="1170" t="s">
        <v>2613</v>
      </c>
      <c r="K193" s="1168" t="s">
        <v>2598</v>
      </c>
      <c r="L193" s="1169" t="s">
        <v>424</v>
      </c>
      <c r="M193" s="1339" t="s">
        <v>2599</v>
      </c>
      <c r="N193" s="1339" t="s">
        <v>1330</v>
      </c>
      <c r="O193" s="1600" t="s">
        <v>4330</v>
      </c>
      <c r="P193" s="642" t="s">
        <v>2108</v>
      </c>
      <c r="Q193" s="601"/>
      <c r="R193" s="190"/>
      <c r="S193" s="448"/>
      <c r="T193" s="572" t="s">
        <v>2107</v>
      </c>
      <c r="U193" s="572" t="s">
        <v>628</v>
      </c>
      <c r="W193" s="495" t="s">
        <v>1332</v>
      </c>
      <c r="X193" s="495" t="s">
        <v>3389</v>
      </c>
      <c r="Z193" s="495"/>
      <c r="AA193" s="27"/>
      <c r="AB193" s="27"/>
      <c r="AC193" s="1072"/>
      <c r="AD193" s="585"/>
    </row>
    <row r="194" spans="2:30" ht="10.5" customHeight="1">
      <c r="B194" s="314"/>
      <c r="C194" s="437" t="s">
        <v>656</v>
      </c>
      <c r="D194" s="508">
        <v>48400</v>
      </c>
      <c r="E194" s="314"/>
      <c r="F194" s="314" t="s">
        <v>1352</v>
      </c>
      <c r="G194" s="1166" t="s">
        <v>2529</v>
      </c>
      <c r="H194" s="1166" t="s">
        <v>1211</v>
      </c>
      <c r="I194" s="1167" t="s">
        <v>2530</v>
      </c>
      <c r="J194" s="1167" t="s">
        <v>2612</v>
      </c>
      <c r="K194" s="1168" t="s">
        <v>625</v>
      </c>
      <c r="L194" s="1169" t="s">
        <v>423</v>
      </c>
      <c r="M194" s="1340" t="s">
        <v>2599</v>
      </c>
      <c r="N194" s="1340" t="s">
        <v>1696</v>
      </c>
      <c r="O194" s="1600" t="s">
        <v>4331</v>
      </c>
      <c r="P194" s="642" t="s">
        <v>2110</v>
      </c>
      <c r="Q194" s="601"/>
      <c r="R194" s="190"/>
      <c r="S194" s="448"/>
      <c r="T194" s="572" t="s">
        <v>2109</v>
      </c>
      <c r="U194" s="572" t="s">
        <v>1633</v>
      </c>
      <c r="W194" s="495" t="s">
        <v>1560</v>
      </c>
      <c r="X194" s="495" t="s">
        <v>3389</v>
      </c>
      <c r="Z194" s="495"/>
      <c r="AA194" s="27"/>
      <c r="AB194" s="27"/>
      <c r="AC194" s="1072"/>
      <c r="AD194" s="585"/>
    </row>
    <row r="195" spans="2:30" ht="10.5" customHeight="1">
      <c r="B195" s="314"/>
      <c r="C195" s="437" t="s">
        <v>661</v>
      </c>
      <c r="D195" s="508">
        <v>44700</v>
      </c>
      <c r="E195" s="314"/>
      <c r="F195" s="314" t="s">
        <v>1353</v>
      </c>
      <c r="G195" s="1166" t="s">
        <v>2531</v>
      </c>
      <c r="H195" s="1166" t="s">
        <v>1211</v>
      </c>
      <c r="I195" s="1170" t="s">
        <v>764</v>
      </c>
      <c r="J195" s="1170" t="s">
        <v>2613</v>
      </c>
      <c r="K195" s="1168" t="s">
        <v>2576</v>
      </c>
      <c r="L195" s="1169" t="s">
        <v>424</v>
      </c>
      <c r="M195" s="1339" t="s">
        <v>1196</v>
      </c>
      <c r="N195" s="1339" t="s">
        <v>1205</v>
      </c>
      <c r="O195" s="1600" t="s">
        <v>4332</v>
      </c>
      <c r="P195" s="642" t="s">
        <v>2112</v>
      </c>
      <c r="Q195" s="601"/>
      <c r="R195" s="190"/>
      <c r="S195" s="448"/>
      <c r="T195" s="572" t="s">
        <v>2111</v>
      </c>
      <c r="U195" s="572" t="s">
        <v>196</v>
      </c>
      <c r="W195" s="495" t="s">
        <v>1564</v>
      </c>
      <c r="X195" s="495" t="s">
        <v>3389</v>
      </c>
      <c r="Z195" s="495"/>
      <c r="AA195" s="27"/>
      <c r="AB195" s="27"/>
      <c r="AC195" s="1072"/>
      <c r="AD195" s="585"/>
    </row>
    <row r="196" spans="2:30" ht="10.5" customHeight="1">
      <c r="B196" s="314"/>
      <c r="C196" s="437" t="s">
        <v>1221</v>
      </c>
      <c r="D196" s="508">
        <v>64200</v>
      </c>
      <c r="E196" s="314"/>
      <c r="F196" s="314" t="s">
        <v>1354</v>
      </c>
      <c r="G196" s="1166" t="s">
        <v>2532</v>
      </c>
      <c r="H196" s="1166" t="s">
        <v>1311</v>
      </c>
      <c r="I196" s="1170" t="s">
        <v>1320</v>
      </c>
      <c r="J196" s="1170" t="s">
        <v>2613</v>
      </c>
      <c r="K196" s="1168" t="s">
        <v>2579</v>
      </c>
      <c r="L196" s="1169" t="s">
        <v>424</v>
      </c>
      <c r="M196" s="1339" t="s">
        <v>2599</v>
      </c>
      <c r="N196" s="1339" t="s">
        <v>1320</v>
      </c>
      <c r="O196" s="1600" t="s">
        <v>4333</v>
      </c>
      <c r="P196" s="642" t="s">
        <v>2539</v>
      </c>
      <c r="Q196" s="601"/>
      <c r="R196" s="190"/>
      <c r="S196" s="448"/>
      <c r="T196" s="572" t="s">
        <v>1783</v>
      </c>
      <c r="U196" s="572" t="s">
        <v>122</v>
      </c>
      <c r="W196" s="495" t="s">
        <v>1745</v>
      </c>
      <c r="X196" s="495" t="s">
        <v>3389</v>
      </c>
      <c r="Z196" s="495"/>
      <c r="AA196" s="27"/>
      <c r="AB196" s="27"/>
      <c r="AC196" s="1072"/>
      <c r="AD196" s="585"/>
    </row>
    <row r="197" spans="2:30" ht="10.5" customHeight="1">
      <c r="B197" s="314"/>
      <c r="C197" s="437" t="s">
        <v>663</v>
      </c>
      <c r="D197" s="508">
        <v>51500</v>
      </c>
      <c r="E197" s="314"/>
      <c r="F197" s="314" t="s">
        <v>1355</v>
      </c>
      <c r="G197" s="1166" t="s">
        <v>2533</v>
      </c>
      <c r="H197" s="1166" t="s">
        <v>1211</v>
      </c>
      <c r="I197" s="1167" t="s">
        <v>193</v>
      </c>
      <c r="J197" s="1167" t="s">
        <v>2612</v>
      </c>
      <c r="K197" s="1168" t="s">
        <v>626</v>
      </c>
      <c r="L197" s="1169" t="s">
        <v>423</v>
      </c>
      <c r="M197" s="1340" t="s">
        <v>2599</v>
      </c>
      <c r="N197" s="1340" t="s">
        <v>1782</v>
      </c>
      <c r="O197" s="1600" t="s">
        <v>4334</v>
      </c>
      <c r="P197" s="642" t="s">
        <v>1006</v>
      </c>
      <c r="Q197" s="601"/>
      <c r="R197" s="190"/>
      <c r="S197" s="448"/>
      <c r="T197" s="572" t="s">
        <v>2540</v>
      </c>
      <c r="U197" s="572" t="s">
        <v>164</v>
      </c>
      <c r="W197" s="495" t="s">
        <v>1022</v>
      </c>
      <c r="X197" s="495" t="s">
        <v>3389</v>
      </c>
      <c r="Z197" s="495"/>
      <c r="AA197" s="27"/>
      <c r="AB197" s="27"/>
      <c r="AC197" s="1072"/>
      <c r="AD197" s="585"/>
    </row>
    <row r="198" spans="2:30" ht="10.5" customHeight="1">
      <c r="B198" s="314"/>
      <c r="C198" s="437" t="s">
        <v>665</v>
      </c>
      <c r="D198" s="508">
        <v>52100</v>
      </c>
      <c r="E198" s="314"/>
      <c r="F198" s="314" t="s">
        <v>1356</v>
      </c>
      <c r="G198" s="1166" t="s">
        <v>194</v>
      </c>
      <c r="H198" s="1166" t="s">
        <v>1311</v>
      </c>
      <c r="I198" s="1170" t="s">
        <v>1521</v>
      </c>
      <c r="J198" s="1170" t="s">
        <v>2613</v>
      </c>
      <c r="K198" s="1168" t="s">
        <v>1680</v>
      </c>
      <c r="L198" s="1169" t="s">
        <v>424</v>
      </c>
      <c r="M198" s="1339" t="s">
        <v>2599</v>
      </c>
      <c r="N198" s="1339" t="s">
        <v>1521</v>
      </c>
      <c r="O198" s="1600" t="s">
        <v>4335</v>
      </c>
      <c r="P198" s="642" t="s">
        <v>2002</v>
      </c>
      <c r="Q198" s="601"/>
      <c r="R198" s="190"/>
      <c r="S198" s="448"/>
      <c r="T198" s="572" t="s">
        <v>1007</v>
      </c>
      <c r="U198" s="572" t="s">
        <v>429</v>
      </c>
      <c r="W198" s="495" t="s">
        <v>1025</v>
      </c>
      <c r="X198" s="495" t="s">
        <v>3389</v>
      </c>
      <c r="Z198" s="495"/>
      <c r="AA198" s="27"/>
      <c r="AB198" s="27"/>
      <c r="AC198" s="1072"/>
      <c r="AD198" s="585"/>
    </row>
    <row r="199" spans="2:30" ht="10.5" customHeight="1">
      <c r="B199" s="314"/>
      <c r="C199" s="437" t="s">
        <v>668</v>
      </c>
      <c r="D199" s="508">
        <v>48600</v>
      </c>
      <c r="E199" s="314"/>
      <c r="F199" s="314" t="s">
        <v>1357</v>
      </c>
      <c r="G199" s="1166" t="s">
        <v>195</v>
      </c>
      <c r="H199" s="1166" t="s">
        <v>1311</v>
      </c>
      <c r="I199" s="1170" t="s">
        <v>764</v>
      </c>
      <c r="J199" s="1170" t="s">
        <v>2613</v>
      </c>
      <c r="K199" s="1168" t="s">
        <v>2576</v>
      </c>
      <c r="L199" s="1169" t="s">
        <v>424</v>
      </c>
      <c r="M199" s="1339" t="s">
        <v>1196</v>
      </c>
      <c r="N199" s="1339" t="s">
        <v>1205</v>
      </c>
      <c r="O199" s="1600" t="s">
        <v>4336</v>
      </c>
      <c r="P199" s="642" t="s">
        <v>15</v>
      </c>
      <c r="Q199" s="601"/>
      <c r="R199" s="190"/>
      <c r="S199" s="448"/>
      <c r="T199" s="572" t="s">
        <v>1314</v>
      </c>
      <c r="U199" s="572" t="s">
        <v>328</v>
      </c>
      <c r="W199" s="495" t="s">
        <v>1758</v>
      </c>
      <c r="X199" s="495" t="s">
        <v>3389</v>
      </c>
      <c r="Z199" s="495"/>
      <c r="AA199" s="27"/>
      <c r="AB199" s="27"/>
      <c r="AC199" s="1072"/>
      <c r="AD199" s="585"/>
    </row>
    <row r="200" spans="2:30" ht="10.5" customHeight="1">
      <c r="B200" s="314"/>
      <c r="C200" s="437" t="s">
        <v>670</v>
      </c>
      <c r="D200" s="508">
        <v>41100</v>
      </c>
      <c r="E200" s="314"/>
      <c r="F200" s="314" t="s">
        <v>1358</v>
      </c>
      <c r="G200" s="1166" t="s">
        <v>196</v>
      </c>
      <c r="H200" s="1166" t="s">
        <v>1211</v>
      </c>
      <c r="I200" s="1167" t="s">
        <v>197</v>
      </c>
      <c r="J200" s="1167" t="s">
        <v>2612</v>
      </c>
      <c r="K200" s="1168" t="s">
        <v>627</v>
      </c>
      <c r="L200" s="1169" t="s">
        <v>423</v>
      </c>
      <c r="M200" s="1340" t="s">
        <v>2599</v>
      </c>
      <c r="N200" s="1340" t="s">
        <v>1782</v>
      </c>
      <c r="O200" s="1600" t="s">
        <v>4337</v>
      </c>
      <c r="P200" s="642" t="s">
        <v>2235</v>
      </c>
      <c r="Q200" s="601"/>
      <c r="R200" s="190"/>
      <c r="S200" s="448"/>
      <c r="T200" s="572" t="s">
        <v>16</v>
      </c>
      <c r="U200" s="572" t="s">
        <v>1666</v>
      </c>
      <c r="W200" s="495" t="s">
        <v>2064</v>
      </c>
      <c r="X200" s="495" t="s">
        <v>3389</v>
      </c>
      <c r="Z200" s="495"/>
      <c r="AA200" s="27"/>
      <c r="AB200" s="27"/>
      <c r="AC200" s="1072"/>
      <c r="AD200" s="585"/>
    </row>
    <row r="201" spans="2:30" ht="10.5" customHeight="1">
      <c r="B201" s="314"/>
      <c r="C201" s="437" t="s">
        <v>672</v>
      </c>
      <c r="D201" s="508">
        <v>55300</v>
      </c>
      <c r="E201" s="314"/>
      <c r="F201" s="314" t="s">
        <v>1359</v>
      </c>
      <c r="G201" s="1166" t="s">
        <v>198</v>
      </c>
      <c r="H201" s="1166" t="s">
        <v>1796</v>
      </c>
      <c r="I201" s="1170" t="s">
        <v>764</v>
      </c>
      <c r="J201" s="1170" t="s">
        <v>2613</v>
      </c>
      <c r="K201" s="1168" t="s">
        <v>2576</v>
      </c>
      <c r="L201" s="1169" t="s">
        <v>424</v>
      </c>
      <c r="M201" s="1339" t="s">
        <v>1196</v>
      </c>
      <c r="N201" s="1339" t="s">
        <v>1205</v>
      </c>
      <c r="O201" s="1600" t="s">
        <v>4338</v>
      </c>
      <c r="P201" s="642" t="s">
        <v>2237</v>
      </c>
      <c r="Q201" s="601"/>
      <c r="R201" s="190"/>
      <c r="S201" s="448"/>
      <c r="T201" s="572" t="s">
        <v>2236</v>
      </c>
      <c r="U201" s="572" t="s">
        <v>1210</v>
      </c>
      <c r="W201" s="495" t="s">
        <v>2066</v>
      </c>
      <c r="X201" s="495" t="s">
        <v>3389</v>
      </c>
      <c r="Z201" s="495"/>
      <c r="AA201" s="27"/>
      <c r="AB201" s="27"/>
      <c r="AC201" s="1072"/>
      <c r="AD201" s="585"/>
    </row>
    <row r="202" spans="2:30" ht="10.5" customHeight="1">
      <c r="B202" s="314"/>
      <c r="C202" s="437" t="s">
        <v>123</v>
      </c>
      <c r="D202" s="508">
        <v>52100</v>
      </c>
      <c r="E202" s="314"/>
      <c r="F202" s="314" t="s">
        <v>1360</v>
      </c>
      <c r="G202" s="1166" t="s">
        <v>199</v>
      </c>
      <c r="H202" s="1166" t="s">
        <v>1211</v>
      </c>
      <c r="I202" s="1167" t="s">
        <v>952</v>
      </c>
      <c r="J202" s="1167" t="s">
        <v>2612</v>
      </c>
      <c r="K202" s="1168" t="s">
        <v>1958</v>
      </c>
      <c r="L202" s="1169" t="s">
        <v>423</v>
      </c>
      <c r="M202" s="1340" t="s">
        <v>2599</v>
      </c>
      <c r="N202" s="1340" t="s">
        <v>1320</v>
      </c>
      <c r="O202" s="1600" t="s">
        <v>4339</v>
      </c>
      <c r="P202" s="642" t="s">
        <v>2239</v>
      </c>
      <c r="Q202" s="601"/>
      <c r="R202" s="190"/>
      <c r="S202" s="448"/>
      <c r="T202" s="643" t="s">
        <v>2238</v>
      </c>
      <c r="U202" s="643" t="s">
        <v>2244</v>
      </c>
      <c r="W202" s="495" t="s">
        <v>676</v>
      </c>
      <c r="X202" s="495" t="s">
        <v>3389</v>
      </c>
      <c r="Z202" s="495"/>
      <c r="AA202" s="27"/>
      <c r="AB202" s="27"/>
      <c r="AC202" s="1073"/>
      <c r="AD202" s="585"/>
    </row>
    <row r="203" spans="2:30" ht="10.5" customHeight="1">
      <c r="B203" s="314"/>
      <c r="C203" s="437" t="s">
        <v>313</v>
      </c>
      <c r="D203" s="508">
        <v>33600</v>
      </c>
      <c r="E203" s="314"/>
      <c r="F203" s="314" t="s">
        <v>1362</v>
      </c>
      <c r="G203" s="1166" t="s">
        <v>953</v>
      </c>
      <c r="H203" s="1166" t="s">
        <v>1211</v>
      </c>
      <c r="I203" s="1167" t="s">
        <v>954</v>
      </c>
      <c r="J203" s="1167" t="s">
        <v>2612</v>
      </c>
      <c r="K203" s="1168" t="s">
        <v>1959</v>
      </c>
      <c r="L203" s="1169" t="s">
        <v>423</v>
      </c>
      <c r="M203" s="1340" t="s">
        <v>2599</v>
      </c>
      <c r="N203" s="1340" t="s">
        <v>1782</v>
      </c>
      <c r="O203" s="1600" t="s">
        <v>4340</v>
      </c>
      <c r="P203" s="642" t="s">
        <v>2269</v>
      </c>
      <c r="Q203" s="601"/>
      <c r="R203" s="190"/>
      <c r="S203" s="448"/>
      <c r="T203" s="572" t="s">
        <v>2561</v>
      </c>
      <c r="U203" s="572" t="s">
        <v>628</v>
      </c>
      <c r="W203" s="495" t="s">
        <v>1247</v>
      </c>
      <c r="X203" s="495" t="s">
        <v>3389</v>
      </c>
      <c r="Z203" s="495"/>
      <c r="AA203" s="27"/>
      <c r="AB203" s="27"/>
      <c r="AC203" s="1072"/>
      <c r="AD203" s="585"/>
    </row>
    <row r="204" spans="2:30" ht="10.5" customHeight="1">
      <c r="B204" s="314"/>
      <c r="C204" s="437" t="s">
        <v>766</v>
      </c>
      <c r="D204" s="508">
        <v>56500</v>
      </c>
      <c r="E204" s="314"/>
      <c r="F204" s="314" t="s">
        <v>1361</v>
      </c>
      <c r="G204" s="1166" t="s">
        <v>955</v>
      </c>
      <c r="H204" s="1166" t="s">
        <v>1211</v>
      </c>
      <c r="I204" s="1170" t="s">
        <v>1782</v>
      </c>
      <c r="J204" s="1170" t="s">
        <v>2613</v>
      </c>
      <c r="K204" s="1168" t="s">
        <v>1161</v>
      </c>
      <c r="L204" s="1169" t="s">
        <v>424</v>
      </c>
      <c r="M204" s="1340" t="s">
        <v>1196</v>
      </c>
      <c r="N204" s="1340" t="s">
        <v>1782</v>
      </c>
      <c r="O204" s="1600" t="s">
        <v>4341</v>
      </c>
      <c r="P204" s="642" t="s">
        <v>1773</v>
      </c>
      <c r="Q204" s="601"/>
      <c r="R204" s="190"/>
      <c r="S204" s="448"/>
      <c r="T204" s="572" t="s">
        <v>2240</v>
      </c>
      <c r="U204" s="572" t="s">
        <v>121</v>
      </c>
      <c r="W204" s="495" t="s">
        <v>1249</v>
      </c>
      <c r="X204" s="495" t="s">
        <v>3389</v>
      </c>
      <c r="Z204" s="495"/>
      <c r="AA204" s="27"/>
      <c r="AB204" s="27"/>
      <c r="AC204" s="1072"/>
      <c r="AD204" s="585"/>
    </row>
    <row r="205" spans="2:30" ht="10.5" customHeight="1">
      <c r="B205" s="314"/>
      <c r="C205" s="437" t="s">
        <v>317</v>
      </c>
      <c r="D205" s="508">
        <v>49200</v>
      </c>
      <c r="E205" s="314"/>
      <c r="F205" s="314" t="s">
        <v>1363</v>
      </c>
      <c r="G205" s="1166" t="s">
        <v>873</v>
      </c>
      <c r="H205" s="1166" t="s">
        <v>1311</v>
      </c>
      <c r="I205" s="1170" t="s">
        <v>764</v>
      </c>
      <c r="J205" s="1170" t="s">
        <v>2613</v>
      </c>
      <c r="K205" s="1168" t="s">
        <v>2576</v>
      </c>
      <c r="L205" s="1169" t="s">
        <v>424</v>
      </c>
      <c r="M205" s="1339" t="s">
        <v>1196</v>
      </c>
      <c r="N205" s="1339" t="s">
        <v>1205</v>
      </c>
      <c r="O205" s="1600" t="s">
        <v>4342</v>
      </c>
      <c r="P205" s="642" t="s">
        <v>1775</v>
      </c>
      <c r="Q205" s="601"/>
      <c r="R205" s="190"/>
      <c r="S205" s="448"/>
      <c r="T205" s="572" t="s">
        <v>1749</v>
      </c>
      <c r="U205" s="572" t="s">
        <v>2489</v>
      </c>
      <c r="W205" s="495" t="s">
        <v>2483</v>
      </c>
      <c r="X205" s="495" t="s">
        <v>3389</v>
      </c>
      <c r="Z205" s="495"/>
      <c r="AA205" s="27"/>
      <c r="AB205" s="27"/>
      <c r="AC205" s="1072"/>
      <c r="AD205" s="585"/>
    </row>
    <row r="206" spans="2:30" ht="10.5" customHeight="1">
      <c r="B206" s="314"/>
      <c r="C206" s="437" t="s">
        <v>1038</v>
      </c>
      <c r="D206" s="508">
        <v>40500</v>
      </c>
      <c r="E206" s="314"/>
      <c r="F206" s="314" t="s">
        <v>1365</v>
      </c>
      <c r="G206" s="1166" t="s">
        <v>874</v>
      </c>
      <c r="H206" s="1166" t="s">
        <v>1211</v>
      </c>
      <c r="I206" s="1167" t="s">
        <v>875</v>
      </c>
      <c r="J206" s="1167" t="s">
        <v>2612</v>
      </c>
      <c r="K206" s="1168" t="s">
        <v>1960</v>
      </c>
      <c r="L206" s="1169" t="s">
        <v>423</v>
      </c>
      <c r="M206" s="1340" t="s">
        <v>2599</v>
      </c>
      <c r="N206" s="1340" t="s">
        <v>1782</v>
      </c>
      <c r="O206" s="1600" t="s">
        <v>4343</v>
      </c>
      <c r="P206" s="642" t="s">
        <v>2158</v>
      </c>
      <c r="Q206" s="601"/>
      <c r="R206" s="190"/>
      <c r="S206" s="448"/>
      <c r="T206" s="572" t="s">
        <v>1774</v>
      </c>
      <c r="U206" s="572" t="s">
        <v>1313</v>
      </c>
      <c r="W206" s="495" t="s">
        <v>2493</v>
      </c>
      <c r="X206" s="495" t="s">
        <v>3389</v>
      </c>
      <c r="Z206" s="495"/>
      <c r="AA206" s="27"/>
      <c r="AB206" s="27"/>
      <c r="AC206" s="1072"/>
      <c r="AD206" s="585"/>
    </row>
    <row r="207" spans="2:30" ht="10.5" customHeight="1">
      <c r="B207" s="314"/>
      <c r="C207" s="437" t="s">
        <v>322</v>
      </c>
      <c r="D207" s="508">
        <v>48500</v>
      </c>
      <c r="E207" s="314"/>
      <c r="F207" s="314" t="s">
        <v>1364</v>
      </c>
      <c r="G207" s="1166" t="s">
        <v>876</v>
      </c>
      <c r="H207" s="1166" t="s">
        <v>1211</v>
      </c>
      <c r="I207" s="1167" t="s">
        <v>1696</v>
      </c>
      <c r="J207" s="1167" t="s">
        <v>2613</v>
      </c>
      <c r="K207" s="1168" t="s">
        <v>2582</v>
      </c>
      <c r="L207" s="1169" t="s">
        <v>424</v>
      </c>
      <c r="M207" s="1339" t="s">
        <v>2599</v>
      </c>
      <c r="N207" s="1339" t="s">
        <v>1696</v>
      </c>
      <c r="O207" s="1600" t="s">
        <v>4344</v>
      </c>
      <c r="P207" s="642" t="s">
        <v>2159</v>
      </c>
      <c r="Q207" s="601"/>
      <c r="R207" s="190"/>
      <c r="S207" s="448"/>
      <c r="T207" s="572" t="s">
        <v>1776</v>
      </c>
      <c r="U207" s="572" t="s">
        <v>2008</v>
      </c>
      <c r="W207" s="495" t="s">
        <v>87</v>
      </c>
      <c r="X207" s="495" t="s">
        <v>3389</v>
      </c>
      <c r="Z207" s="495"/>
      <c r="AA207" s="27"/>
      <c r="AB207" s="27"/>
      <c r="AC207" s="1072"/>
      <c r="AD207" s="585"/>
    </row>
    <row r="208" spans="2:30" ht="10.5" customHeight="1">
      <c r="B208" s="314"/>
      <c r="C208" s="436" t="s">
        <v>324</v>
      </c>
      <c r="D208" s="508">
        <v>65600</v>
      </c>
      <c r="E208" s="314"/>
      <c r="F208" s="314" t="s">
        <v>1366</v>
      </c>
      <c r="G208" s="1166" t="s">
        <v>877</v>
      </c>
      <c r="H208" s="1166" t="s">
        <v>1211</v>
      </c>
      <c r="I208" s="1170" t="s">
        <v>1326</v>
      </c>
      <c r="J208" s="1170" t="s">
        <v>2613</v>
      </c>
      <c r="K208" s="1168" t="s">
        <v>1463</v>
      </c>
      <c r="L208" s="1169" t="s">
        <v>424</v>
      </c>
      <c r="M208" s="1339" t="s">
        <v>2599</v>
      </c>
      <c r="N208" s="1339" t="s">
        <v>1326</v>
      </c>
      <c r="O208" s="1600" t="s">
        <v>4345</v>
      </c>
      <c r="P208" s="642" t="s">
        <v>2444</v>
      </c>
      <c r="Q208" s="323"/>
      <c r="R208" s="190"/>
      <c r="S208" s="448"/>
      <c r="T208" s="572" t="s">
        <v>825</v>
      </c>
      <c r="U208" s="572" t="s">
        <v>2588</v>
      </c>
      <c r="W208" s="495" t="s">
        <v>1234</v>
      </c>
      <c r="X208" s="495" t="s">
        <v>3389</v>
      </c>
      <c r="Z208" s="495"/>
      <c r="AA208" s="27"/>
      <c r="AB208" s="27"/>
      <c r="AC208" s="1072"/>
      <c r="AD208" s="1072"/>
    </row>
    <row r="209" spans="2:30" ht="10.5" customHeight="1">
      <c r="B209" s="314"/>
      <c r="C209" s="437" t="s">
        <v>327</v>
      </c>
      <c r="D209" s="508">
        <v>43100</v>
      </c>
      <c r="E209" s="314"/>
      <c r="F209" s="644"/>
      <c r="G209" s="1166" t="s">
        <v>878</v>
      </c>
      <c r="H209" s="1166" t="s">
        <v>1311</v>
      </c>
      <c r="I209" s="1167" t="s">
        <v>879</v>
      </c>
      <c r="J209" s="1167" t="s">
        <v>2612</v>
      </c>
      <c r="K209" s="1168" t="s">
        <v>1335</v>
      </c>
      <c r="L209" s="1169" t="s">
        <v>423</v>
      </c>
      <c r="M209" s="1340" t="s">
        <v>2599</v>
      </c>
      <c r="N209" s="1340" t="s">
        <v>166</v>
      </c>
      <c r="O209" s="1600" t="s">
        <v>4346</v>
      </c>
      <c r="P209" s="642" t="s">
        <v>2446</v>
      </c>
      <c r="Q209" s="323"/>
      <c r="R209" s="190"/>
      <c r="S209" s="448"/>
      <c r="T209" s="572" t="s">
        <v>2160</v>
      </c>
      <c r="U209" s="572" t="s">
        <v>2590</v>
      </c>
      <c r="W209" s="495" t="s">
        <v>161</v>
      </c>
      <c r="X209" s="495" t="s">
        <v>3389</v>
      </c>
      <c r="Z209" s="495"/>
      <c r="AA209" s="27"/>
      <c r="AB209" s="27"/>
      <c r="AC209" s="1072"/>
      <c r="AD209" s="585"/>
    </row>
    <row r="210" spans="2:30" ht="10.5" customHeight="1">
      <c r="B210" s="314"/>
      <c r="C210" s="436" t="s">
        <v>329</v>
      </c>
      <c r="D210" s="508">
        <v>38600</v>
      </c>
      <c r="E210" s="314"/>
      <c r="F210" s="644"/>
      <c r="G210" s="1166" t="s">
        <v>2242</v>
      </c>
      <c r="H210" s="1166" t="s">
        <v>1211</v>
      </c>
      <c r="I210" s="1167" t="s">
        <v>2243</v>
      </c>
      <c r="J210" s="1167" t="s">
        <v>2612</v>
      </c>
      <c r="K210" s="1168" t="s">
        <v>1336</v>
      </c>
      <c r="L210" s="1169" t="s">
        <v>423</v>
      </c>
      <c r="M210" s="1340" t="s">
        <v>2599</v>
      </c>
      <c r="N210" s="1340" t="s">
        <v>1330</v>
      </c>
      <c r="O210" s="1600" t="s">
        <v>4347</v>
      </c>
      <c r="P210" s="642" t="s">
        <v>2448</v>
      </c>
      <c r="Q210" s="323"/>
      <c r="R210" s="190"/>
      <c r="S210" s="448"/>
      <c r="T210" s="643" t="s">
        <v>2445</v>
      </c>
      <c r="U210" s="643" t="s">
        <v>1094</v>
      </c>
      <c r="W210" s="495" t="s">
        <v>895</v>
      </c>
      <c r="X210" s="495" t="s">
        <v>3389</v>
      </c>
      <c r="Z210" s="495"/>
      <c r="AA210" s="27"/>
      <c r="AB210" s="27"/>
      <c r="AC210" s="1073"/>
      <c r="AD210" s="585"/>
    </row>
    <row r="211" spans="2:30" ht="10.5" customHeight="1">
      <c r="B211" s="314"/>
      <c r="C211" s="437" t="s">
        <v>331</v>
      </c>
      <c r="D211" s="508">
        <v>32700</v>
      </c>
      <c r="E211" s="314"/>
      <c r="F211" s="644"/>
      <c r="G211" s="1166" t="s">
        <v>2244</v>
      </c>
      <c r="H211" s="1166" t="s">
        <v>1211</v>
      </c>
      <c r="I211" s="1167" t="s">
        <v>654</v>
      </c>
      <c r="J211" s="1167" t="s">
        <v>2612</v>
      </c>
      <c r="K211" s="1168" t="s">
        <v>1337</v>
      </c>
      <c r="L211" s="1169" t="s">
        <v>423</v>
      </c>
      <c r="M211" s="1340" t="s">
        <v>2599</v>
      </c>
      <c r="N211" s="1340" t="s">
        <v>1326</v>
      </c>
      <c r="O211" s="1600" t="s">
        <v>4348</v>
      </c>
      <c r="P211" s="642" t="s">
        <v>2450</v>
      </c>
      <c r="Q211" s="323"/>
      <c r="R211" s="190"/>
      <c r="S211" s="448"/>
      <c r="T211" s="572" t="s">
        <v>2562</v>
      </c>
      <c r="U211" s="572" t="s">
        <v>319</v>
      </c>
      <c r="W211" s="495" t="s">
        <v>2140</v>
      </c>
      <c r="X211" s="495" t="s">
        <v>3389</v>
      </c>
      <c r="Z211" s="495"/>
      <c r="AA211" s="27"/>
      <c r="AB211" s="27"/>
      <c r="AC211" s="1072"/>
      <c r="AD211" s="1076"/>
    </row>
    <row r="212" spans="2:30" ht="10.5" customHeight="1">
      <c r="B212" s="314"/>
      <c r="C212" s="437" t="s">
        <v>333</v>
      </c>
      <c r="D212" s="508">
        <v>46900</v>
      </c>
      <c r="E212" s="314"/>
      <c r="F212" s="644"/>
      <c r="G212" s="1166" t="s">
        <v>655</v>
      </c>
      <c r="H212" s="1166" t="s">
        <v>1311</v>
      </c>
      <c r="I212" s="1167" t="s">
        <v>656</v>
      </c>
      <c r="J212" s="1167" t="s">
        <v>2612</v>
      </c>
      <c r="K212" s="1168" t="s">
        <v>1338</v>
      </c>
      <c r="L212" s="1169" t="s">
        <v>423</v>
      </c>
      <c r="M212" s="1340" t="s">
        <v>2599</v>
      </c>
      <c r="N212" s="1340" t="s">
        <v>1205</v>
      </c>
      <c r="O212" s="1600" t="s">
        <v>4349</v>
      </c>
      <c r="P212" s="642" t="s">
        <v>2451</v>
      </c>
      <c r="Q212" s="323"/>
      <c r="R212" s="190"/>
      <c r="S212" s="448"/>
      <c r="T212" s="572" t="s">
        <v>2447</v>
      </c>
      <c r="U212" s="572" t="s">
        <v>1920</v>
      </c>
      <c r="W212" s="495" t="s">
        <v>2058</v>
      </c>
      <c r="X212" s="495" t="s">
        <v>3389</v>
      </c>
      <c r="Z212" s="495"/>
      <c r="AA212" s="27"/>
      <c r="AB212" s="27"/>
      <c r="AC212" s="1072"/>
      <c r="AD212" s="585"/>
    </row>
    <row r="213" spans="2:30" ht="10.5" customHeight="1">
      <c r="B213" s="314"/>
      <c r="C213" s="437" t="s">
        <v>767</v>
      </c>
      <c r="D213" s="508">
        <v>52100</v>
      </c>
      <c r="E213" s="314"/>
      <c r="F213" s="644"/>
      <c r="G213" s="1166" t="s">
        <v>657</v>
      </c>
      <c r="H213" s="1166" t="s">
        <v>1311</v>
      </c>
      <c r="I213" s="1170" t="s">
        <v>764</v>
      </c>
      <c r="J213" s="1170" t="s">
        <v>2613</v>
      </c>
      <c r="K213" s="1168" t="s">
        <v>2576</v>
      </c>
      <c r="L213" s="1169" t="s">
        <v>424</v>
      </c>
      <c r="M213" s="1339" t="s">
        <v>1196</v>
      </c>
      <c r="N213" s="1339" t="s">
        <v>1205</v>
      </c>
      <c r="O213" s="1600" t="s">
        <v>4350</v>
      </c>
      <c r="P213" s="642" t="s">
        <v>2230</v>
      </c>
      <c r="Q213" s="323"/>
      <c r="R213" s="190"/>
      <c r="S213" s="448"/>
      <c r="T213" s="572" t="s">
        <v>2449</v>
      </c>
      <c r="U213" s="572" t="s">
        <v>874</v>
      </c>
      <c r="W213" s="495" t="s">
        <v>599</v>
      </c>
      <c r="X213" s="495" t="s">
        <v>3389</v>
      </c>
      <c r="Z213" s="495"/>
      <c r="AA213" s="27"/>
      <c r="AB213" s="27"/>
      <c r="AC213" s="1072"/>
      <c r="AD213" s="585"/>
    </row>
    <row r="214" spans="2:30" ht="10.5" customHeight="1">
      <c r="B214" s="314"/>
      <c r="C214" s="437" t="s">
        <v>1454</v>
      </c>
      <c r="D214" s="508">
        <v>44200</v>
      </c>
      <c r="E214" s="314"/>
      <c r="F214" s="644"/>
      <c r="G214" s="1166" t="s">
        <v>658</v>
      </c>
      <c r="H214" s="1166" t="s">
        <v>1311</v>
      </c>
      <c r="I214" s="1170" t="s">
        <v>2268</v>
      </c>
      <c r="J214" s="1170" t="s">
        <v>2613</v>
      </c>
      <c r="K214" s="1168" t="s">
        <v>1339</v>
      </c>
      <c r="L214" s="1169" t="s">
        <v>424</v>
      </c>
      <c r="M214" s="1340" t="s">
        <v>1196</v>
      </c>
      <c r="N214" s="1340" t="s">
        <v>1205</v>
      </c>
      <c r="O214" s="1600" t="s">
        <v>4351</v>
      </c>
      <c r="P214" s="642" t="s">
        <v>708</v>
      </c>
      <c r="Q214" s="323"/>
      <c r="R214" s="190"/>
      <c r="S214" s="448"/>
      <c r="T214" s="572" t="s">
        <v>2452</v>
      </c>
      <c r="U214" s="572" t="s">
        <v>159</v>
      </c>
      <c r="W214" s="495" t="s">
        <v>601</v>
      </c>
      <c r="X214" s="495" t="s">
        <v>3389</v>
      </c>
      <c r="Z214" s="495"/>
      <c r="AA214" s="27"/>
      <c r="AB214" s="27"/>
      <c r="AC214" s="1072"/>
      <c r="AD214" s="585"/>
    </row>
    <row r="215" spans="2:30" ht="10.5" customHeight="1">
      <c r="B215" s="314"/>
      <c r="C215" s="437" t="s">
        <v>1458</v>
      </c>
      <c r="D215" s="508">
        <v>45700</v>
      </c>
      <c r="E215" s="314"/>
      <c r="F215" s="644"/>
      <c r="G215" s="1166" t="s">
        <v>659</v>
      </c>
      <c r="H215" s="1166" t="s">
        <v>1311</v>
      </c>
      <c r="I215" s="1170" t="s">
        <v>764</v>
      </c>
      <c r="J215" s="1170" t="s">
        <v>2613</v>
      </c>
      <c r="K215" s="1168" t="s">
        <v>2576</v>
      </c>
      <c r="L215" s="1169" t="s">
        <v>424</v>
      </c>
      <c r="M215" s="1339" t="s">
        <v>1196</v>
      </c>
      <c r="N215" s="1339" t="s">
        <v>1205</v>
      </c>
      <c r="O215" s="1600" t="s">
        <v>4352</v>
      </c>
      <c r="P215" s="642" t="s">
        <v>710</v>
      </c>
      <c r="Q215" s="323"/>
      <c r="R215" s="190"/>
      <c r="S215" s="448"/>
      <c r="T215" s="572" t="s">
        <v>2231</v>
      </c>
      <c r="U215" s="572" t="s">
        <v>655</v>
      </c>
      <c r="W215" s="495" t="s">
        <v>2532</v>
      </c>
      <c r="X215" s="495" t="s">
        <v>3389</v>
      </c>
      <c r="Z215" s="495"/>
      <c r="AA215" s="27"/>
      <c r="AB215" s="27"/>
      <c r="AC215" s="1072"/>
      <c r="AD215" s="585"/>
    </row>
    <row r="216" spans="2:30" ht="10.5" customHeight="1">
      <c r="B216" s="314"/>
      <c r="C216" s="437" t="s">
        <v>1460</v>
      </c>
      <c r="D216" s="508">
        <v>56600</v>
      </c>
      <c r="E216" s="314"/>
      <c r="F216" s="644"/>
      <c r="G216" s="1166" t="s">
        <v>660</v>
      </c>
      <c r="H216" s="1166" t="s">
        <v>1311</v>
      </c>
      <c r="I216" s="1170" t="s">
        <v>661</v>
      </c>
      <c r="J216" s="1170" t="s">
        <v>2612</v>
      </c>
      <c r="K216" s="1168" t="s">
        <v>1340</v>
      </c>
      <c r="L216" s="1169" t="s">
        <v>423</v>
      </c>
      <c r="M216" s="1340" t="s">
        <v>2599</v>
      </c>
      <c r="N216" s="1340" t="s">
        <v>166</v>
      </c>
      <c r="O216" s="1600" t="s">
        <v>4353</v>
      </c>
      <c r="P216" s="642" t="s">
        <v>712</v>
      </c>
      <c r="Q216" s="323"/>
      <c r="R216" s="190"/>
      <c r="S216" s="448"/>
      <c r="T216" s="572" t="s">
        <v>709</v>
      </c>
      <c r="U216" s="572" t="s">
        <v>2481</v>
      </c>
      <c r="W216" s="495" t="s">
        <v>605</v>
      </c>
      <c r="X216" s="495" t="s">
        <v>3389</v>
      </c>
      <c r="Z216" s="495"/>
      <c r="AA216" s="27"/>
      <c r="AB216" s="27"/>
      <c r="AC216" s="1072"/>
      <c r="AD216" s="585"/>
    </row>
    <row r="217" spans="2:30" ht="10.5" customHeight="1">
      <c r="B217" s="314"/>
      <c r="C217" s="437" t="s">
        <v>177</v>
      </c>
      <c r="D217" s="508">
        <v>60100</v>
      </c>
      <c r="E217" s="314"/>
      <c r="F217" s="644"/>
      <c r="G217" s="1166" t="s">
        <v>1206</v>
      </c>
      <c r="H217" s="1166" t="s">
        <v>1796</v>
      </c>
      <c r="I217" s="1170" t="s">
        <v>764</v>
      </c>
      <c r="J217" s="1170" t="s">
        <v>2613</v>
      </c>
      <c r="K217" s="1168" t="s">
        <v>2576</v>
      </c>
      <c r="L217" s="1169" t="s">
        <v>424</v>
      </c>
      <c r="M217" s="1339" t="s">
        <v>1196</v>
      </c>
      <c r="N217" s="1339" t="s">
        <v>1205</v>
      </c>
      <c r="O217" s="1600" t="s">
        <v>4354</v>
      </c>
      <c r="P217" s="642" t="s">
        <v>714</v>
      </c>
      <c r="Q217" s="323"/>
      <c r="R217" s="190"/>
      <c r="S217" s="448"/>
      <c r="T217" s="572" t="s">
        <v>711</v>
      </c>
      <c r="U217" s="572" t="s">
        <v>1109</v>
      </c>
      <c r="W217" s="495" t="s">
        <v>546</v>
      </c>
      <c r="X217" s="495" t="s">
        <v>3389</v>
      </c>
      <c r="Z217" s="495"/>
      <c r="AA217" s="27"/>
      <c r="AB217" s="27"/>
      <c r="AC217" s="1072"/>
      <c r="AD217" s="585"/>
    </row>
    <row r="218" spans="2:30" ht="10.5" customHeight="1">
      <c r="B218" s="314"/>
      <c r="C218" s="437" t="s">
        <v>1320</v>
      </c>
      <c r="D218" s="508">
        <v>53600</v>
      </c>
      <c r="E218" s="314"/>
      <c r="F218" s="644"/>
      <c r="G218" s="1166" t="s">
        <v>662</v>
      </c>
      <c r="H218" s="1166" t="s">
        <v>1311</v>
      </c>
      <c r="I218" s="1167" t="s">
        <v>663</v>
      </c>
      <c r="J218" s="1167" t="s">
        <v>2612</v>
      </c>
      <c r="K218" s="1168" t="s">
        <v>239</v>
      </c>
      <c r="L218" s="1169" t="s">
        <v>423</v>
      </c>
      <c r="M218" s="1340" t="s">
        <v>2599</v>
      </c>
      <c r="N218" s="1340" t="s">
        <v>1205</v>
      </c>
      <c r="O218" s="1600" t="s">
        <v>4355</v>
      </c>
      <c r="P218" s="642" t="s">
        <v>2222</v>
      </c>
      <c r="Q218" s="323"/>
      <c r="R218" s="190"/>
      <c r="S218" s="448"/>
      <c r="T218" s="643" t="s">
        <v>713</v>
      </c>
      <c r="U218" s="643" t="s">
        <v>2590</v>
      </c>
      <c r="W218" s="495" t="s">
        <v>746</v>
      </c>
      <c r="X218" s="495" t="s">
        <v>3389</v>
      </c>
      <c r="Z218" s="495"/>
      <c r="AA218" s="27"/>
      <c r="AB218" s="27"/>
      <c r="AC218" s="1073"/>
      <c r="AD218" s="585"/>
    </row>
    <row r="219" spans="2:30" ht="10.5" customHeight="1">
      <c r="B219" s="314"/>
      <c r="C219" s="437" t="s">
        <v>178</v>
      </c>
      <c r="D219" s="508">
        <v>40400</v>
      </c>
      <c r="E219" s="314"/>
      <c r="F219" s="644"/>
      <c r="G219" s="1166" t="s">
        <v>664</v>
      </c>
      <c r="H219" s="1166" t="s">
        <v>1311</v>
      </c>
      <c r="I219" s="1170" t="s">
        <v>665</v>
      </c>
      <c r="J219" s="1170" t="s">
        <v>2612</v>
      </c>
      <c r="K219" s="1168" t="s">
        <v>240</v>
      </c>
      <c r="L219" s="1169" t="s">
        <v>423</v>
      </c>
      <c r="M219" s="1340" t="s">
        <v>2599</v>
      </c>
      <c r="N219" s="1340" t="s">
        <v>1330</v>
      </c>
      <c r="O219" s="1600" t="s">
        <v>4356</v>
      </c>
      <c r="P219" s="642" t="s">
        <v>2223</v>
      </c>
      <c r="Q219" s="323"/>
      <c r="R219" s="190"/>
      <c r="S219" s="448"/>
      <c r="T219" s="572" t="s">
        <v>2563</v>
      </c>
      <c r="U219" s="572" t="s">
        <v>2483</v>
      </c>
      <c r="W219" s="495" t="s">
        <v>37</v>
      </c>
      <c r="X219" s="495" t="s">
        <v>3389</v>
      </c>
      <c r="Z219" s="495"/>
      <c r="AA219" s="27"/>
      <c r="AB219" s="27"/>
      <c r="AC219" s="1072"/>
      <c r="AD219" s="585"/>
    </row>
    <row r="220" spans="2:30" ht="10.5" customHeight="1">
      <c r="B220" s="314"/>
      <c r="C220" s="437" t="s">
        <v>769</v>
      </c>
      <c r="D220" s="508">
        <v>47600</v>
      </c>
      <c r="E220" s="314"/>
      <c r="F220" s="644"/>
      <c r="G220" s="1166" t="s">
        <v>666</v>
      </c>
      <c r="H220" s="1166" t="s">
        <v>1796</v>
      </c>
      <c r="I220" s="1167" t="s">
        <v>11</v>
      </c>
      <c r="J220" s="1167" t="s">
        <v>2613</v>
      </c>
      <c r="K220" s="1168" t="s">
        <v>2581</v>
      </c>
      <c r="L220" s="1169" t="s">
        <v>424</v>
      </c>
      <c r="M220" s="1340" t="s">
        <v>1196</v>
      </c>
      <c r="N220" s="1340" t="s">
        <v>1326</v>
      </c>
      <c r="O220" s="1600" t="s">
        <v>4357</v>
      </c>
      <c r="P220" s="642" t="s">
        <v>2225</v>
      </c>
      <c r="Q220" s="323"/>
      <c r="R220" s="190"/>
      <c r="S220" s="448"/>
      <c r="T220" s="572" t="s">
        <v>2224</v>
      </c>
      <c r="U220" s="572" t="s">
        <v>1666</v>
      </c>
      <c r="W220" s="495" t="s">
        <v>1967</v>
      </c>
      <c r="X220" s="495" t="s">
        <v>3389</v>
      </c>
      <c r="Z220" s="495"/>
      <c r="AA220" s="27"/>
      <c r="AB220" s="27"/>
      <c r="AC220" s="1072"/>
      <c r="AD220" s="585"/>
    </row>
    <row r="221" spans="2:30" ht="10.5" customHeight="1">
      <c r="B221" s="314"/>
      <c r="C221" s="437" t="s">
        <v>1632</v>
      </c>
      <c r="D221" s="508">
        <v>47400</v>
      </c>
      <c r="E221" s="314"/>
      <c r="F221" s="644"/>
      <c r="G221" s="1166" t="s">
        <v>667</v>
      </c>
      <c r="H221" s="1166" t="s">
        <v>1311</v>
      </c>
      <c r="I221" s="1167" t="s">
        <v>668</v>
      </c>
      <c r="J221" s="1167" t="s">
        <v>2612</v>
      </c>
      <c r="K221" s="1168" t="s">
        <v>241</v>
      </c>
      <c r="L221" s="1169" t="s">
        <v>423</v>
      </c>
      <c r="M221" s="1340" t="s">
        <v>2599</v>
      </c>
      <c r="N221" s="1340" t="s">
        <v>1205</v>
      </c>
      <c r="O221" s="1600" t="s">
        <v>4358</v>
      </c>
      <c r="P221" s="642" t="s">
        <v>684</v>
      </c>
      <c r="Q221" s="323"/>
      <c r="R221" s="190"/>
      <c r="S221" s="448"/>
      <c r="T221" s="572" t="s">
        <v>2226</v>
      </c>
      <c r="U221" s="572" t="s">
        <v>2584</v>
      </c>
      <c r="W221" s="495" t="s">
        <v>335</v>
      </c>
      <c r="X221" s="495" t="s">
        <v>3389</v>
      </c>
      <c r="Z221" s="495"/>
      <c r="AA221" s="27"/>
      <c r="AB221" s="27"/>
      <c r="AC221" s="1072"/>
      <c r="AD221" s="585"/>
    </row>
    <row r="222" spans="2:30" ht="10.5" customHeight="1">
      <c r="B222" s="314"/>
      <c r="C222" s="437" t="s">
        <v>1634</v>
      </c>
      <c r="D222" s="508">
        <v>44600</v>
      </c>
      <c r="E222" s="314"/>
      <c r="F222" s="644"/>
      <c r="G222" s="1166" t="s">
        <v>669</v>
      </c>
      <c r="H222" s="1166" t="s">
        <v>1211</v>
      </c>
      <c r="I222" s="1167" t="s">
        <v>670</v>
      </c>
      <c r="J222" s="1167" t="s">
        <v>2612</v>
      </c>
      <c r="K222" s="1168" t="s">
        <v>403</v>
      </c>
      <c r="L222" s="1169" t="s">
        <v>423</v>
      </c>
      <c r="M222" s="1340" t="s">
        <v>2599</v>
      </c>
      <c r="N222" s="1340" t="s">
        <v>1782</v>
      </c>
      <c r="O222" s="1600" t="s">
        <v>4359</v>
      </c>
      <c r="P222" s="642" t="s">
        <v>789</v>
      </c>
      <c r="Q222" s="323"/>
      <c r="R222" s="190"/>
      <c r="S222" s="448"/>
      <c r="T222" s="572" t="s">
        <v>685</v>
      </c>
      <c r="U222" s="572" t="s">
        <v>733</v>
      </c>
      <c r="W222" s="495" t="s">
        <v>343</v>
      </c>
      <c r="X222" s="495" t="s">
        <v>3389</v>
      </c>
      <c r="Z222" s="495"/>
      <c r="AA222" s="27"/>
      <c r="AB222" s="27"/>
      <c r="AC222" s="1072"/>
      <c r="AD222" s="585"/>
    </row>
    <row r="223" spans="2:30" ht="10.5" customHeight="1">
      <c r="B223" s="314"/>
      <c r="C223" s="437" t="s">
        <v>2042</v>
      </c>
      <c r="D223" s="508">
        <v>60900</v>
      </c>
      <c r="E223" s="314"/>
      <c r="F223" s="644"/>
      <c r="G223" s="1166" t="s">
        <v>671</v>
      </c>
      <c r="H223" s="1166" t="s">
        <v>1311</v>
      </c>
      <c r="I223" s="1167" t="s">
        <v>672</v>
      </c>
      <c r="J223" s="1167" t="s">
        <v>2612</v>
      </c>
      <c r="K223" s="1168" t="s">
        <v>404</v>
      </c>
      <c r="L223" s="1169" t="s">
        <v>423</v>
      </c>
      <c r="M223" s="1340" t="s">
        <v>2599</v>
      </c>
      <c r="N223" s="1340" t="s">
        <v>166</v>
      </c>
      <c r="O223" s="1600" t="s">
        <v>4360</v>
      </c>
      <c r="P223" s="642" t="s">
        <v>2271</v>
      </c>
      <c r="Q223" s="323"/>
      <c r="R223" s="190"/>
      <c r="S223" s="448"/>
      <c r="T223" s="572" t="s">
        <v>2270</v>
      </c>
      <c r="U223" s="572" t="s">
        <v>316</v>
      </c>
      <c r="W223" s="495" t="s">
        <v>195</v>
      </c>
      <c r="X223" s="495" t="s">
        <v>3389</v>
      </c>
      <c r="Z223" s="495"/>
      <c r="AA223" s="27"/>
      <c r="AB223" s="27"/>
      <c r="AC223" s="1072"/>
      <c r="AD223" s="585"/>
    </row>
    <row r="224" spans="2:30" ht="10.5" customHeight="1">
      <c r="B224" s="314"/>
      <c r="C224" s="437" t="s">
        <v>185</v>
      </c>
      <c r="D224" s="508">
        <v>44600</v>
      </c>
      <c r="E224" s="314"/>
      <c r="F224" s="644"/>
      <c r="G224" s="1166" t="s">
        <v>121</v>
      </c>
      <c r="H224" s="1166" t="s">
        <v>1311</v>
      </c>
      <c r="I224" s="1170" t="s">
        <v>764</v>
      </c>
      <c r="J224" s="1170" t="s">
        <v>2613</v>
      </c>
      <c r="K224" s="1168" t="s">
        <v>2576</v>
      </c>
      <c r="L224" s="1169" t="s">
        <v>424</v>
      </c>
      <c r="M224" s="1339" t="s">
        <v>1196</v>
      </c>
      <c r="N224" s="1339" t="s">
        <v>1205</v>
      </c>
      <c r="O224" s="1600" t="s">
        <v>4361</v>
      </c>
      <c r="P224" s="642" t="s">
        <v>2300</v>
      </c>
      <c r="Q224" s="323"/>
      <c r="R224" s="190"/>
      <c r="S224" s="448"/>
      <c r="T224" s="572" t="s">
        <v>2331</v>
      </c>
      <c r="U224" s="572" t="s">
        <v>878</v>
      </c>
      <c r="W224" s="495" t="s">
        <v>2155</v>
      </c>
      <c r="X224" s="495" t="s">
        <v>3389</v>
      </c>
      <c r="Z224" s="495"/>
      <c r="AA224" s="27"/>
      <c r="AB224" s="27"/>
      <c r="AC224" s="1072"/>
      <c r="AD224" s="585"/>
    </row>
    <row r="225" spans="2:30" ht="10.5" customHeight="1">
      <c r="B225" s="314"/>
      <c r="C225" s="436" t="s">
        <v>2585</v>
      </c>
      <c r="D225" s="508">
        <v>59200</v>
      </c>
      <c r="E225" s="314"/>
      <c r="F225" s="644"/>
      <c r="G225" s="1166" t="s">
        <v>122</v>
      </c>
      <c r="H225" s="1166" t="s">
        <v>1311</v>
      </c>
      <c r="I225" s="1167" t="s">
        <v>123</v>
      </c>
      <c r="J225" s="1167" t="s">
        <v>2612</v>
      </c>
      <c r="K225" s="1168" t="s">
        <v>405</v>
      </c>
      <c r="L225" s="1169" t="s">
        <v>423</v>
      </c>
      <c r="M225" s="1340" t="s">
        <v>2599</v>
      </c>
      <c r="N225" s="1340" t="s">
        <v>166</v>
      </c>
      <c r="O225" s="1600" t="s">
        <v>4362</v>
      </c>
      <c r="P225" s="642" t="s">
        <v>45</v>
      </c>
      <c r="Q225" s="323"/>
      <c r="R225" s="190"/>
      <c r="S225" s="448"/>
      <c r="T225" s="572" t="s">
        <v>46</v>
      </c>
      <c r="U225" s="572" t="s">
        <v>323</v>
      </c>
      <c r="W225" s="495" t="s">
        <v>196</v>
      </c>
      <c r="X225" s="495" t="s">
        <v>3389</v>
      </c>
      <c r="Z225" s="495"/>
      <c r="AA225" s="27"/>
      <c r="AB225" s="27"/>
      <c r="AC225" s="1075"/>
      <c r="AD225" s="585"/>
    </row>
    <row r="226" spans="2:30" ht="10.5" customHeight="1">
      <c r="B226" s="314"/>
      <c r="C226" s="437" t="s">
        <v>2587</v>
      </c>
      <c r="D226" s="508">
        <v>48100</v>
      </c>
      <c r="E226" s="314"/>
      <c r="F226" s="644"/>
      <c r="G226" s="1166" t="s">
        <v>311</v>
      </c>
      <c r="H226" s="1166" t="s">
        <v>1311</v>
      </c>
      <c r="I226" s="1167" t="s">
        <v>1221</v>
      </c>
      <c r="J226" s="1167" t="s">
        <v>2613</v>
      </c>
      <c r="K226" s="1168" t="s">
        <v>406</v>
      </c>
      <c r="L226" s="1169" t="s">
        <v>424</v>
      </c>
      <c r="M226" s="1340" t="s">
        <v>1196</v>
      </c>
      <c r="N226" s="1340" t="s">
        <v>1205</v>
      </c>
      <c r="O226" s="1600" t="s">
        <v>4363</v>
      </c>
      <c r="P226" s="642" t="s">
        <v>633</v>
      </c>
      <c r="Q226" s="323"/>
      <c r="R226" s="190"/>
      <c r="S226" s="448"/>
      <c r="T226" s="572" t="s">
        <v>634</v>
      </c>
      <c r="U226" s="572" t="s">
        <v>2592</v>
      </c>
      <c r="W226" s="495" t="s">
        <v>382</v>
      </c>
      <c r="X226" s="495" t="s">
        <v>3389</v>
      </c>
      <c r="Z226" s="495"/>
      <c r="AA226" s="27"/>
      <c r="AB226" s="27"/>
      <c r="AC226" s="1072"/>
      <c r="AD226" s="585"/>
    </row>
    <row r="227" spans="2:30" ht="10.5" customHeight="1">
      <c r="B227" s="314"/>
      <c r="C227" s="437" t="s">
        <v>1092</v>
      </c>
      <c r="D227" s="508">
        <v>56400</v>
      </c>
      <c r="E227" s="314"/>
      <c r="F227" s="644"/>
      <c r="G227" s="1171" t="s">
        <v>312</v>
      </c>
      <c r="H227" s="1166" t="s">
        <v>1311</v>
      </c>
      <c r="I227" s="1167" t="s">
        <v>313</v>
      </c>
      <c r="J227" s="1167" t="s">
        <v>2612</v>
      </c>
      <c r="K227" s="1168" t="s">
        <v>407</v>
      </c>
      <c r="L227" s="1169" t="s">
        <v>423</v>
      </c>
      <c r="M227" s="1340" t="s">
        <v>2599</v>
      </c>
      <c r="N227" s="1340" t="s">
        <v>1320</v>
      </c>
      <c r="O227" s="1600" t="s">
        <v>4364</v>
      </c>
      <c r="P227" s="642" t="s">
        <v>304</v>
      </c>
      <c r="Q227" s="323"/>
      <c r="R227" s="190"/>
      <c r="S227" s="448"/>
      <c r="T227" s="572" t="s">
        <v>305</v>
      </c>
      <c r="U227" s="572" t="s">
        <v>314</v>
      </c>
      <c r="W227" s="495" t="s">
        <v>873</v>
      </c>
      <c r="X227" s="495" t="s">
        <v>3389</v>
      </c>
      <c r="Z227" s="495"/>
      <c r="AA227" s="27"/>
      <c r="AB227" s="27"/>
      <c r="AC227" s="1072"/>
      <c r="AD227" s="585"/>
    </row>
    <row r="228" spans="2:30" ht="10.5" customHeight="1">
      <c r="B228" s="314"/>
      <c r="C228" s="437" t="s">
        <v>1095</v>
      </c>
      <c r="D228" s="508">
        <v>50800</v>
      </c>
      <c r="E228" s="314"/>
      <c r="F228" s="644"/>
      <c r="G228" s="1166" t="s">
        <v>314</v>
      </c>
      <c r="H228" s="1166" t="s">
        <v>1311</v>
      </c>
      <c r="I228" s="1170" t="s">
        <v>766</v>
      </c>
      <c r="J228" s="1170" t="s">
        <v>2613</v>
      </c>
      <c r="K228" s="1168" t="s">
        <v>408</v>
      </c>
      <c r="L228" s="1169" t="s">
        <v>424</v>
      </c>
      <c r="M228" s="1339" t="s">
        <v>2599</v>
      </c>
      <c r="N228" s="1339" t="s">
        <v>1205</v>
      </c>
      <c r="O228" s="1600" t="s">
        <v>4365</v>
      </c>
      <c r="P228" s="642" t="s">
        <v>2369</v>
      </c>
      <c r="Q228" s="323"/>
      <c r="R228" s="190"/>
      <c r="S228" s="448"/>
      <c r="T228" s="572" t="s">
        <v>2370</v>
      </c>
      <c r="U228" s="572" t="s">
        <v>196</v>
      </c>
      <c r="W228" s="495" t="s">
        <v>1924</v>
      </c>
      <c r="X228" s="495" t="s">
        <v>3389</v>
      </c>
      <c r="Z228" s="495"/>
      <c r="AA228" s="27"/>
      <c r="AB228" s="27"/>
      <c r="AC228" s="1072"/>
      <c r="AD228" s="585"/>
    </row>
    <row r="229" spans="2:30" ht="10.5" customHeight="1">
      <c r="B229" s="314"/>
      <c r="C229" s="437" t="s">
        <v>1098</v>
      </c>
      <c r="D229" s="508">
        <v>51300</v>
      </c>
      <c r="E229" s="314"/>
      <c r="F229" s="644"/>
      <c r="G229" s="1166" t="s">
        <v>315</v>
      </c>
      <c r="H229" s="1166" t="s">
        <v>1211</v>
      </c>
      <c r="I229" s="1170" t="s">
        <v>161</v>
      </c>
      <c r="J229" s="1170" t="s">
        <v>2613</v>
      </c>
      <c r="K229" s="1168" t="s">
        <v>1682</v>
      </c>
      <c r="L229" s="1169" t="s">
        <v>424</v>
      </c>
      <c r="M229" s="1339" t="s">
        <v>2599</v>
      </c>
      <c r="N229" s="1339" t="s">
        <v>161</v>
      </c>
      <c r="O229" s="1600" t="s">
        <v>4366</v>
      </c>
      <c r="P229" s="642" t="s">
        <v>2392</v>
      </c>
      <c r="Q229" s="323"/>
      <c r="R229" s="190"/>
      <c r="S229" s="448"/>
      <c r="T229" s="572" t="s">
        <v>2393</v>
      </c>
      <c r="U229" s="572" t="s">
        <v>1665</v>
      </c>
      <c r="W229" s="495" t="s">
        <v>1928</v>
      </c>
      <c r="X229" s="495" t="s">
        <v>3389</v>
      </c>
      <c r="Z229" s="495"/>
      <c r="AA229" s="27"/>
      <c r="AB229" s="27"/>
      <c r="AC229" s="1072"/>
      <c r="AD229" s="585"/>
    </row>
    <row r="230" spans="2:30" ht="10.5" customHeight="1">
      <c r="B230" s="314"/>
      <c r="C230" s="436" t="s">
        <v>1100</v>
      </c>
      <c r="D230" s="508">
        <v>48500</v>
      </c>
      <c r="E230" s="314"/>
      <c r="F230" s="644"/>
      <c r="G230" s="1166" t="s">
        <v>316</v>
      </c>
      <c r="H230" s="1166" t="s">
        <v>1311</v>
      </c>
      <c r="I230" s="1167" t="s">
        <v>317</v>
      </c>
      <c r="J230" s="1167" t="s">
        <v>2612</v>
      </c>
      <c r="K230" s="1168" t="s">
        <v>409</v>
      </c>
      <c r="L230" s="1169" t="s">
        <v>423</v>
      </c>
      <c r="M230" s="1340" t="s">
        <v>2599</v>
      </c>
      <c r="N230" s="1340" t="s">
        <v>166</v>
      </c>
      <c r="O230" s="1600" t="s">
        <v>4367</v>
      </c>
      <c r="P230" s="642" t="s">
        <v>2394</v>
      </c>
      <c r="Q230" s="323"/>
      <c r="R230" s="190"/>
      <c r="S230" s="448"/>
      <c r="T230" s="572" t="s">
        <v>2848</v>
      </c>
      <c r="U230" s="572" t="s">
        <v>628</v>
      </c>
      <c r="W230" s="495" t="s">
        <v>717</v>
      </c>
      <c r="X230" s="495" t="s">
        <v>3389</v>
      </c>
      <c r="Z230" s="495"/>
      <c r="AA230" s="27"/>
      <c r="AB230" s="27"/>
      <c r="AC230" s="1072"/>
      <c r="AD230" s="585"/>
    </row>
    <row r="231" spans="2:30" ht="10.5" customHeight="1">
      <c r="B231" s="314"/>
      <c r="C231" s="437" t="s">
        <v>1102</v>
      </c>
      <c r="D231" s="508">
        <v>58600</v>
      </c>
      <c r="E231" s="314"/>
      <c r="F231" s="644"/>
      <c r="G231" s="1166" t="s">
        <v>318</v>
      </c>
      <c r="H231" s="1166" t="s">
        <v>1211</v>
      </c>
      <c r="I231" s="1170" t="s">
        <v>764</v>
      </c>
      <c r="J231" s="1170" t="s">
        <v>2613</v>
      </c>
      <c r="K231" s="1168" t="s">
        <v>2576</v>
      </c>
      <c r="L231" s="1169" t="s">
        <v>424</v>
      </c>
      <c r="M231" s="1339" t="s">
        <v>1196</v>
      </c>
      <c r="N231" s="1339" t="s">
        <v>1205</v>
      </c>
      <c r="O231" s="1600" t="s">
        <v>4368</v>
      </c>
      <c r="P231" s="642" t="s">
        <v>2395</v>
      </c>
      <c r="Q231" s="323"/>
      <c r="R231" s="190"/>
      <c r="S231" s="448"/>
      <c r="T231" s="572" t="s">
        <v>629</v>
      </c>
      <c r="U231" s="572" t="s">
        <v>1327</v>
      </c>
      <c r="W231" s="495" t="s">
        <v>1140</v>
      </c>
      <c r="X231" s="495" t="s">
        <v>3389</v>
      </c>
      <c r="Z231" s="495"/>
      <c r="AA231" s="27"/>
      <c r="AB231" s="27"/>
      <c r="AC231" s="1072"/>
      <c r="AD231" s="585"/>
    </row>
    <row r="232" spans="2:30" ht="10.5" customHeight="1">
      <c r="B232" s="314"/>
      <c r="C232" s="437" t="s">
        <v>1104</v>
      </c>
      <c r="D232" s="508">
        <v>37400</v>
      </c>
      <c r="E232" s="314"/>
      <c r="F232" s="644"/>
      <c r="G232" s="1166" t="s">
        <v>319</v>
      </c>
      <c r="H232" s="1166" t="s">
        <v>1311</v>
      </c>
      <c r="I232" s="1170" t="s">
        <v>764</v>
      </c>
      <c r="J232" s="1170" t="s">
        <v>2613</v>
      </c>
      <c r="K232" s="1168" t="s">
        <v>2576</v>
      </c>
      <c r="L232" s="1169" t="s">
        <v>424</v>
      </c>
      <c r="M232" s="1339" t="s">
        <v>1196</v>
      </c>
      <c r="N232" s="1339" t="s">
        <v>1205</v>
      </c>
      <c r="O232" s="1600" t="s">
        <v>4369</v>
      </c>
      <c r="P232" s="642" t="s">
        <v>2361</v>
      </c>
      <c r="Q232" s="323"/>
      <c r="R232" s="190"/>
      <c r="S232" s="448"/>
      <c r="T232" s="572" t="s">
        <v>1324</v>
      </c>
      <c r="U232" s="572" t="s">
        <v>657</v>
      </c>
      <c r="W232" s="495" t="s">
        <v>1142</v>
      </c>
      <c r="X232" s="495" t="s">
        <v>3389</v>
      </c>
      <c r="Z232" s="495"/>
      <c r="AA232" s="27"/>
      <c r="AB232" s="27"/>
      <c r="AC232" s="1072"/>
      <c r="AD232" s="585"/>
    </row>
    <row r="233" spans="2:30" ht="10.5" customHeight="1">
      <c r="B233" s="314"/>
      <c r="C233" s="437" t="s">
        <v>1106</v>
      </c>
      <c r="D233" s="508">
        <v>49900</v>
      </c>
      <c r="E233" s="314"/>
      <c r="F233" s="644"/>
      <c r="G233" s="1166" t="s">
        <v>320</v>
      </c>
      <c r="H233" s="1166" t="s">
        <v>1311</v>
      </c>
      <c r="I233" s="1170" t="s">
        <v>1709</v>
      </c>
      <c r="J233" s="1170" t="s">
        <v>2613</v>
      </c>
      <c r="K233" s="1168" t="s">
        <v>410</v>
      </c>
      <c r="L233" s="1169" t="s">
        <v>424</v>
      </c>
      <c r="M233" s="1340" t="s">
        <v>1196</v>
      </c>
      <c r="N233" s="1340" t="s">
        <v>1320</v>
      </c>
      <c r="O233" s="1600" t="s">
        <v>4370</v>
      </c>
      <c r="P233" s="642" t="s">
        <v>10</v>
      </c>
      <c r="Q233" s="323"/>
      <c r="R233" s="190"/>
      <c r="S233" s="448"/>
      <c r="T233" s="572" t="s">
        <v>2362</v>
      </c>
      <c r="U233" s="572" t="s">
        <v>2487</v>
      </c>
      <c r="W233" s="495" t="s">
        <v>1144</v>
      </c>
      <c r="X233" s="495" t="s">
        <v>3389</v>
      </c>
      <c r="Z233" s="495"/>
      <c r="AA233" s="27"/>
      <c r="AB233" s="27"/>
      <c r="AC233" s="1072"/>
      <c r="AD233" s="585"/>
    </row>
    <row r="234" spans="2:30" ht="10.5" customHeight="1">
      <c r="B234" s="314"/>
      <c r="C234" s="436" t="s">
        <v>1108</v>
      </c>
      <c r="D234" s="508">
        <v>37100</v>
      </c>
      <c r="E234" s="314"/>
      <c r="F234" s="644"/>
      <c r="G234" s="1166" t="s">
        <v>321</v>
      </c>
      <c r="H234" s="1166" t="s">
        <v>1211</v>
      </c>
      <c r="I234" s="1167" t="s">
        <v>322</v>
      </c>
      <c r="J234" s="1167" t="s">
        <v>2612</v>
      </c>
      <c r="K234" s="1168" t="s">
        <v>648</v>
      </c>
      <c r="L234" s="1169" t="s">
        <v>423</v>
      </c>
      <c r="M234" s="1340" t="s">
        <v>2599</v>
      </c>
      <c r="N234" s="1340" t="s">
        <v>1782</v>
      </c>
      <c r="O234" s="1600" t="s">
        <v>4371</v>
      </c>
      <c r="P234" s="642" t="s">
        <v>12</v>
      </c>
      <c r="Q234" s="323"/>
      <c r="R234" s="190"/>
      <c r="S234" s="448"/>
      <c r="T234" s="572" t="s">
        <v>11</v>
      </c>
      <c r="U234" s="572" t="s">
        <v>666</v>
      </c>
      <c r="W234" s="495" t="s">
        <v>2514</v>
      </c>
      <c r="X234" s="495" t="s">
        <v>3389</v>
      </c>
      <c r="Z234" s="495"/>
      <c r="AA234" s="27"/>
      <c r="AB234" s="27"/>
      <c r="AC234" s="1072"/>
      <c r="AD234" s="585"/>
    </row>
    <row r="235" spans="2:30" ht="10.5" customHeight="1">
      <c r="B235" s="314"/>
      <c r="C235" s="436" t="s">
        <v>2268</v>
      </c>
      <c r="D235" s="508">
        <v>54400</v>
      </c>
      <c r="E235" s="314"/>
      <c r="F235" s="644"/>
      <c r="G235" s="1166" t="s">
        <v>323</v>
      </c>
      <c r="H235" s="1166" t="s">
        <v>1311</v>
      </c>
      <c r="I235" s="1167" t="s">
        <v>324</v>
      </c>
      <c r="J235" s="1167" t="s">
        <v>2612</v>
      </c>
      <c r="K235" s="1168" t="s">
        <v>649</v>
      </c>
      <c r="L235" s="1169" t="s">
        <v>423</v>
      </c>
      <c r="M235" s="1340" t="s">
        <v>2599</v>
      </c>
      <c r="N235" s="1340" t="s">
        <v>1205</v>
      </c>
      <c r="O235" s="1600" t="s">
        <v>4372</v>
      </c>
      <c r="P235" s="642" t="s">
        <v>56</v>
      </c>
      <c r="Q235" s="323"/>
      <c r="R235" s="190"/>
      <c r="S235" s="448"/>
      <c r="T235" s="572" t="s">
        <v>13</v>
      </c>
      <c r="U235" s="572" t="s">
        <v>314</v>
      </c>
      <c r="W235" s="495" t="s">
        <v>455</v>
      </c>
      <c r="X235" s="495" t="s">
        <v>3389</v>
      </c>
      <c r="Z235" s="495"/>
      <c r="AA235" s="27"/>
      <c r="AB235" s="27"/>
      <c r="AC235" s="1072"/>
      <c r="AD235" s="585"/>
    </row>
    <row r="236" spans="2:30" ht="10.5" customHeight="1">
      <c r="B236" s="314"/>
      <c r="C236" s="437" t="s">
        <v>1326</v>
      </c>
      <c r="D236" s="508">
        <v>65200</v>
      </c>
      <c r="E236" s="314"/>
      <c r="F236" s="644"/>
      <c r="G236" s="1166" t="s">
        <v>325</v>
      </c>
      <c r="H236" s="1166" t="s">
        <v>1311</v>
      </c>
      <c r="I236" s="1170" t="s">
        <v>764</v>
      </c>
      <c r="J236" s="1170" t="s">
        <v>2613</v>
      </c>
      <c r="K236" s="1168" t="s">
        <v>2576</v>
      </c>
      <c r="L236" s="1169" t="s">
        <v>424</v>
      </c>
      <c r="M236" s="1339" t="s">
        <v>1196</v>
      </c>
      <c r="N236" s="1339" t="s">
        <v>1205</v>
      </c>
      <c r="O236" s="1600" t="s">
        <v>4373</v>
      </c>
      <c r="P236" s="642" t="s">
        <v>58</v>
      </c>
      <c r="Q236" s="323"/>
      <c r="R236" s="190"/>
      <c r="S236" s="448"/>
      <c r="T236" s="572" t="s">
        <v>57</v>
      </c>
      <c r="U236" s="572" t="s">
        <v>2584</v>
      </c>
      <c r="W236" s="495" t="s">
        <v>301</v>
      </c>
      <c r="X236" s="495" t="s">
        <v>3389</v>
      </c>
      <c r="Z236" s="495"/>
      <c r="AA236" s="27"/>
      <c r="AB236" s="27"/>
      <c r="AC236" s="1072"/>
      <c r="AD236" s="585"/>
    </row>
    <row r="237" spans="2:30" ht="10.5" customHeight="1">
      <c r="B237" s="314"/>
      <c r="C237" s="437" t="s">
        <v>2167</v>
      </c>
      <c r="D237" s="508">
        <v>51700</v>
      </c>
      <c r="E237" s="314"/>
      <c r="F237" s="644"/>
      <c r="G237" s="1166" t="s">
        <v>326</v>
      </c>
      <c r="H237" s="1166" t="s">
        <v>1211</v>
      </c>
      <c r="I237" s="1167" t="s">
        <v>327</v>
      </c>
      <c r="J237" s="1167" t="s">
        <v>2612</v>
      </c>
      <c r="K237" s="1168" t="s">
        <v>650</v>
      </c>
      <c r="L237" s="1169" t="s">
        <v>423</v>
      </c>
      <c r="M237" s="1340" t="s">
        <v>2599</v>
      </c>
      <c r="N237" s="1340" t="s">
        <v>1696</v>
      </c>
      <c r="O237" s="1600" t="s">
        <v>4374</v>
      </c>
      <c r="P237" s="642" t="s">
        <v>60</v>
      </c>
      <c r="Q237" s="323"/>
      <c r="R237" s="190"/>
      <c r="S237" s="448"/>
      <c r="T237" s="572" t="s">
        <v>59</v>
      </c>
      <c r="U237" s="572" t="s">
        <v>357</v>
      </c>
      <c r="W237" s="495" t="s">
        <v>1825</v>
      </c>
      <c r="X237" s="495" t="s">
        <v>3389</v>
      </c>
      <c r="Z237" s="495"/>
      <c r="AA237" s="27"/>
      <c r="AB237" s="27"/>
      <c r="AC237" s="1072"/>
      <c r="AD237" s="585"/>
    </row>
    <row r="238" spans="2:30" ht="10.5" customHeight="1">
      <c r="B238" s="314"/>
      <c r="C238" s="437" t="s">
        <v>2169</v>
      </c>
      <c r="D238" s="508">
        <v>46800</v>
      </c>
      <c r="E238" s="314"/>
      <c r="F238" s="644"/>
      <c r="G238" s="1166" t="s">
        <v>328</v>
      </c>
      <c r="H238" s="1166" t="s">
        <v>1211</v>
      </c>
      <c r="I238" s="1167" t="s">
        <v>329</v>
      </c>
      <c r="J238" s="1167" t="s">
        <v>2612</v>
      </c>
      <c r="K238" s="1168" t="s">
        <v>264</v>
      </c>
      <c r="L238" s="1169" t="s">
        <v>423</v>
      </c>
      <c r="M238" s="1340" t="s">
        <v>2599</v>
      </c>
      <c r="N238" s="1340" t="s">
        <v>1330</v>
      </c>
      <c r="O238" s="1600" t="s">
        <v>4375</v>
      </c>
      <c r="P238" s="642" t="s">
        <v>351</v>
      </c>
      <c r="Q238" s="323"/>
      <c r="R238" s="190"/>
      <c r="S238" s="448"/>
      <c r="T238" s="572" t="s">
        <v>61</v>
      </c>
      <c r="U238" s="572" t="s">
        <v>121</v>
      </c>
      <c r="W238" s="495" t="s">
        <v>1827</v>
      </c>
      <c r="X238" s="495" t="s">
        <v>3389</v>
      </c>
      <c r="Z238" s="495"/>
      <c r="AA238" s="27"/>
      <c r="AB238" s="27"/>
      <c r="AC238" s="1072"/>
      <c r="AD238" s="585"/>
    </row>
    <row r="239" spans="2:30" ht="10.5" customHeight="1">
      <c r="B239" s="314"/>
      <c r="C239" s="437" t="s">
        <v>2171</v>
      </c>
      <c r="D239" s="508">
        <v>45600</v>
      </c>
      <c r="E239" s="314"/>
      <c r="F239" s="644"/>
      <c r="G239" s="1166" t="s">
        <v>330</v>
      </c>
      <c r="H239" s="1166" t="s">
        <v>1211</v>
      </c>
      <c r="I239" s="1167" t="s">
        <v>331</v>
      </c>
      <c r="J239" s="1167" t="s">
        <v>2612</v>
      </c>
      <c r="K239" s="1168" t="s">
        <v>265</v>
      </c>
      <c r="L239" s="1169" t="s">
        <v>423</v>
      </c>
      <c r="M239" s="1340" t="s">
        <v>2599</v>
      </c>
      <c r="N239" s="1340" t="s">
        <v>1330</v>
      </c>
      <c r="O239" s="1600" t="s">
        <v>4376</v>
      </c>
      <c r="P239" s="642" t="s">
        <v>353</v>
      </c>
      <c r="Q239" s="323"/>
      <c r="R239" s="190"/>
      <c r="S239" s="448"/>
      <c r="T239" s="572" t="s">
        <v>352</v>
      </c>
      <c r="U239" s="572" t="s">
        <v>2185</v>
      </c>
      <c r="W239" s="495" t="s">
        <v>1895</v>
      </c>
      <c r="X239" s="495" t="s">
        <v>3389</v>
      </c>
      <c r="Z239" s="495"/>
      <c r="AA239" s="27"/>
      <c r="AB239" s="27"/>
      <c r="AC239" s="1072"/>
      <c r="AD239" s="585"/>
    </row>
    <row r="240" spans="2:30" ht="10.5" customHeight="1">
      <c r="B240" s="314"/>
      <c r="C240" s="437" t="s">
        <v>2174</v>
      </c>
      <c r="D240" s="508">
        <v>53200</v>
      </c>
      <c r="E240" s="314"/>
      <c r="F240" s="644"/>
      <c r="G240" s="1166" t="s">
        <v>332</v>
      </c>
      <c r="H240" s="1166" t="s">
        <v>1211</v>
      </c>
      <c r="I240" s="1167" t="s">
        <v>333</v>
      </c>
      <c r="J240" s="1167" t="s">
        <v>2612</v>
      </c>
      <c r="K240" s="1168" t="s">
        <v>266</v>
      </c>
      <c r="L240" s="1169" t="s">
        <v>423</v>
      </c>
      <c r="M240" s="1340" t="s">
        <v>2599</v>
      </c>
      <c r="N240" s="1340" t="s">
        <v>1320</v>
      </c>
      <c r="O240" s="1600" t="s">
        <v>4377</v>
      </c>
      <c r="P240" s="642" t="s">
        <v>355</v>
      </c>
      <c r="Q240" s="323"/>
      <c r="R240" s="190"/>
      <c r="S240" s="448"/>
      <c r="T240" s="572" t="s">
        <v>354</v>
      </c>
      <c r="U240" s="572" t="s">
        <v>953</v>
      </c>
      <c r="W240" s="495" t="s">
        <v>2244</v>
      </c>
      <c r="X240" s="495" t="s">
        <v>3389</v>
      </c>
      <c r="Z240" s="495"/>
      <c r="AA240" s="27"/>
      <c r="AB240" s="27"/>
      <c r="AC240" s="1072"/>
      <c r="AD240" s="585"/>
    </row>
    <row r="241" spans="2:30" ht="10.5" customHeight="1">
      <c r="B241" s="314"/>
      <c r="C241" s="436" t="s">
        <v>2176</v>
      </c>
      <c r="D241" s="508">
        <v>29000</v>
      </c>
      <c r="E241" s="314"/>
      <c r="F241" s="644"/>
      <c r="G241" s="1166" t="s">
        <v>428</v>
      </c>
      <c r="H241" s="1166" t="s">
        <v>1211</v>
      </c>
      <c r="I241" s="1170" t="s">
        <v>1320</v>
      </c>
      <c r="J241" s="1170" t="s">
        <v>2613</v>
      </c>
      <c r="K241" s="1168" t="s">
        <v>2579</v>
      </c>
      <c r="L241" s="1169" t="s">
        <v>424</v>
      </c>
      <c r="M241" s="1339" t="s">
        <v>2599</v>
      </c>
      <c r="N241" s="1339" t="s">
        <v>1320</v>
      </c>
      <c r="O241" s="1600" t="s">
        <v>4378</v>
      </c>
      <c r="P241" s="642" t="s">
        <v>2289</v>
      </c>
      <c r="Q241" s="323"/>
      <c r="R241" s="190"/>
      <c r="S241" s="448"/>
      <c r="T241" s="572" t="s">
        <v>356</v>
      </c>
      <c r="U241" s="572" t="s">
        <v>1091</v>
      </c>
      <c r="W241" s="495" t="s">
        <v>420</v>
      </c>
      <c r="X241" s="495" t="s">
        <v>3389</v>
      </c>
      <c r="Z241" s="495"/>
      <c r="AA241" s="27"/>
      <c r="AB241" s="27"/>
      <c r="AC241" s="1072"/>
      <c r="AD241" s="585"/>
    </row>
    <row r="242" spans="2:30" ht="10.5" customHeight="1">
      <c r="B242" s="314"/>
      <c r="C242" s="436" t="s">
        <v>2178</v>
      </c>
      <c r="D242" s="508">
        <v>41200</v>
      </c>
      <c r="E242" s="314"/>
      <c r="F242" s="644"/>
      <c r="G242" s="1166" t="s">
        <v>429</v>
      </c>
      <c r="H242" s="1166" t="s">
        <v>1311</v>
      </c>
      <c r="I242" s="1170" t="s">
        <v>767</v>
      </c>
      <c r="J242" s="1170" t="s">
        <v>2613</v>
      </c>
      <c r="K242" s="1168" t="s">
        <v>267</v>
      </c>
      <c r="L242" s="1169" t="s">
        <v>424</v>
      </c>
      <c r="M242" s="1339" t="s">
        <v>2599</v>
      </c>
      <c r="N242" s="1339" t="s">
        <v>1205</v>
      </c>
      <c r="O242" s="1600" t="s">
        <v>4379</v>
      </c>
      <c r="P242" s="642" t="s">
        <v>2291</v>
      </c>
      <c r="Q242" s="323"/>
      <c r="R242" s="190"/>
      <c r="S242" s="448"/>
      <c r="T242" s="572" t="s">
        <v>630</v>
      </c>
      <c r="U242" s="572" t="s">
        <v>1453</v>
      </c>
      <c r="W242" s="495" t="s">
        <v>2281</v>
      </c>
      <c r="X242" s="495" t="s">
        <v>3389</v>
      </c>
      <c r="Z242" s="495"/>
      <c r="AA242" s="27"/>
      <c r="AB242" s="27"/>
      <c r="AC242" s="1072"/>
      <c r="AD242" s="585"/>
    </row>
    <row r="243" spans="2:30" ht="10.5" customHeight="1">
      <c r="B243" s="314"/>
      <c r="C243" s="437" t="s">
        <v>2180</v>
      </c>
      <c r="D243" s="508">
        <v>45700</v>
      </c>
      <c r="E243" s="314"/>
      <c r="F243" s="644"/>
      <c r="G243" s="1166" t="s">
        <v>1452</v>
      </c>
      <c r="H243" s="1166" t="s">
        <v>1211</v>
      </c>
      <c r="I243" s="1167" t="s">
        <v>1696</v>
      </c>
      <c r="J243" s="1167" t="s">
        <v>2613</v>
      </c>
      <c r="K243" s="1168" t="s">
        <v>2582</v>
      </c>
      <c r="L243" s="1169" t="s">
        <v>424</v>
      </c>
      <c r="M243" s="1339" t="s">
        <v>2599</v>
      </c>
      <c r="N243" s="1339" t="s">
        <v>1696</v>
      </c>
      <c r="O243" s="1600" t="s">
        <v>4380</v>
      </c>
      <c r="P243" s="642" t="s">
        <v>2292</v>
      </c>
      <c r="Q243" s="323"/>
      <c r="R243" s="190"/>
      <c r="S243" s="448"/>
      <c r="T243" s="572" t="s">
        <v>2290</v>
      </c>
      <c r="U243" s="572" t="s">
        <v>669</v>
      </c>
      <c r="W243" s="495" t="s">
        <v>3379</v>
      </c>
      <c r="X243" s="495" t="s">
        <v>3389</v>
      </c>
      <c r="Z243" s="495"/>
      <c r="AA243" s="27"/>
      <c r="AB243" s="27"/>
      <c r="AC243" s="1072"/>
      <c r="AD243" s="585"/>
    </row>
    <row r="244" spans="2:30" ht="10.5" customHeight="1">
      <c r="B244" s="314"/>
      <c r="C244" s="437" t="s">
        <v>2182</v>
      </c>
      <c r="D244" s="508">
        <v>39200</v>
      </c>
      <c r="E244" s="314"/>
      <c r="F244" s="644"/>
      <c r="G244" s="1166" t="s">
        <v>1453</v>
      </c>
      <c r="H244" s="1166" t="s">
        <v>1311</v>
      </c>
      <c r="I244" s="1167" t="s">
        <v>1454</v>
      </c>
      <c r="J244" s="1167" t="s">
        <v>2612</v>
      </c>
      <c r="K244" s="1168" t="s">
        <v>268</v>
      </c>
      <c r="L244" s="1169" t="s">
        <v>423</v>
      </c>
      <c r="M244" s="1340" t="s">
        <v>2599</v>
      </c>
      <c r="N244" s="1340" t="s">
        <v>1320</v>
      </c>
      <c r="O244" s="1600" t="s">
        <v>4381</v>
      </c>
      <c r="P244" s="642" t="s">
        <v>2293</v>
      </c>
      <c r="Q244" s="323"/>
      <c r="R244" s="190"/>
      <c r="S244" s="448"/>
      <c r="T244" s="572" t="s">
        <v>1332</v>
      </c>
      <c r="U244" s="572" t="s">
        <v>667</v>
      </c>
      <c r="W244" s="495" t="s">
        <v>674</v>
      </c>
      <c r="X244" s="495" t="s">
        <v>3389</v>
      </c>
      <c r="Z244" s="495"/>
      <c r="AA244" s="27"/>
      <c r="AB244" s="27"/>
      <c r="AC244" s="1072"/>
      <c r="AD244" s="585"/>
    </row>
    <row r="245" spans="2:30" ht="10.5" customHeight="1">
      <c r="B245" s="314"/>
      <c r="C245" s="437" t="s">
        <v>2184</v>
      </c>
      <c r="D245" s="508">
        <v>46300</v>
      </c>
      <c r="E245" s="314"/>
      <c r="F245" s="644"/>
      <c r="G245" s="1166" t="s">
        <v>1455</v>
      </c>
      <c r="H245" s="1166" t="s">
        <v>1211</v>
      </c>
      <c r="I245" s="1170" t="s">
        <v>1782</v>
      </c>
      <c r="J245" s="1170" t="s">
        <v>2613</v>
      </c>
      <c r="K245" s="1168" t="s">
        <v>1161</v>
      </c>
      <c r="L245" s="1169" t="s">
        <v>424</v>
      </c>
      <c r="M245" s="1339" t="s">
        <v>2599</v>
      </c>
      <c r="N245" s="1339" t="s">
        <v>1782</v>
      </c>
      <c r="O245" s="1600" t="s">
        <v>4382</v>
      </c>
      <c r="P245" s="642" t="s">
        <v>1559</v>
      </c>
      <c r="Q245" s="323"/>
      <c r="R245" s="190"/>
      <c r="S245" s="448"/>
      <c r="T245" s="572" t="s">
        <v>2849</v>
      </c>
      <c r="U245" s="572" t="s">
        <v>669</v>
      </c>
      <c r="W245" s="495" t="s">
        <v>2388</v>
      </c>
      <c r="X245" s="495" t="s">
        <v>3389</v>
      </c>
      <c r="Z245" s="495"/>
      <c r="AA245" s="27"/>
      <c r="AB245" s="27"/>
      <c r="AC245" s="1072"/>
      <c r="AD245" s="585"/>
    </row>
    <row r="246" spans="2:30" ht="10.5" customHeight="1">
      <c r="B246" s="314"/>
      <c r="C246" s="437" t="s">
        <v>870</v>
      </c>
      <c r="D246" s="508">
        <v>37300</v>
      </c>
      <c r="E246" s="314"/>
      <c r="F246" s="644"/>
      <c r="G246" s="1166" t="s">
        <v>1456</v>
      </c>
      <c r="H246" s="1166" t="s">
        <v>1211</v>
      </c>
      <c r="I246" s="1167" t="s">
        <v>768</v>
      </c>
      <c r="J246" s="1167" t="s">
        <v>2613</v>
      </c>
      <c r="K246" s="1168" t="s">
        <v>269</v>
      </c>
      <c r="L246" s="1169" t="s">
        <v>424</v>
      </c>
      <c r="M246" s="1340" t="s">
        <v>1196</v>
      </c>
      <c r="N246" s="1340" t="s">
        <v>1326</v>
      </c>
      <c r="O246" s="1600" t="s">
        <v>4383</v>
      </c>
      <c r="P246" s="642" t="s">
        <v>1561</v>
      </c>
      <c r="Q246" s="323"/>
      <c r="R246" s="190"/>
      <c r="S246" s="448"/>
      <c r="T246" s="572" t="s">
        <v>2294</v>
      </c>
      <c r="U246" s="572" t="s">
        <v>104</v>
      </c>
      <c r="W246" s="495" t="s">
        <v>220</v>
      </c>
      <c r="X246" s="495" t="s">
        <v>3389</v>
      </c>
      <c r="Z246" s="495"/>
      <c r="AA246" s="27"/>
      <c r="AB246" s="27"/>
      <c r="AC246" s="1072"/>
      <c r="AD246" s="585"/>
    </row>
    <row r="247" spans="2:30" ht="10.5" customHeight="1">
      <c r="B247" s="314"/>
      <c r="C247" s="437" t="s">
        <v>872</v>
      </c>
      <c r="D247" s="508">
        <v>32200</v>
      </c>
      <c r="E247" s="314"/>
      <c r="F247" s="644"/>
      <c r="G247" s="1166" t="s">
        <v>1457</v>
      </c>
      <c r="H247" s="1166" t="s">
        <v>1311</v>
      </c>
      <c r="I247" s="1167" t="s">
        <v>1458</v>
      </c>
      <c r="J247" s="1167" t="s">
        <v>2613</v>
      </c>
      <c r="K247" s="1168" t="s">
        <v>3742</v>
      </c>
      <c r="L247" s="1169" t="s">
        <v>424</v>
      </c>
      <c r="M247" s="1340" t="s">
        <v>2599</v>
      </c>
      <c r="N247" s="1340" t="s">
        <v>1330</v>
      </c>
      <c r="O247" s="1600" t="s">
        <v>4384</v>
      </c>
      <c r="P247" s="642" t="s">
        <v>1563</v>
      </c>
      <c r="Q247" s="323"/>
      <c r="R247" s="190"/>
      <c r="S247" s="448"/>
      <c r="T247" s="572" t="s">
        <v>1560</v>
      </c>
      <c r="U247" s="572" t="s">
        <v>1633</v>
      </c>
      <c r="W247" s="495" t="s">
        <v>659</v>
      </c>
      <c r="X247" s="495" t="s">
        <v>3389</v>
      </c>
      <c r="Z247" s="495"/>
      <c r="AA247" s="27"/>
      <c r="AB247" s="27"/>
      <c r="AC247" s="1072"/>
      <c r="AD247" s="585"/>
    </row>
    <row r="248" spans="2:30" ht="10.5" customHeight="1">
      <c r="B248" s="314"/>
      <c r="C248" s="437" t="s">
        <v>1667</v>
      </c>
      <c r="D248" s="508">
        <v>47300</v>
      </c>
      <c r="E248" s="314"/>
      <c r="F248" s="644"/>
      <c r="G248" s="1166" t="s">
        <v>1459</v>
      </c>
      <c r="H248" s="1166" t="s">
        <v>1211</v>
      </c>
      <c r="I248" s="1167" t="s">
        <v>1460</v>
      </c>
      <c r="J248" s="1167" t="s">
        <v>2613</v>
      </c>
      <c r="K248" s="1168" t="s">
        <v>693</v>
      </c>
      <c r="L248" s="1169" t="s">
        <v>424</v>
      </c>
      <c r="M248" s="1339" t="s">
        <v>2599</v>
      </c>
      <c r="N248" s="1339" t="s">
        <v>1326</v>
      </c>
      <c r="O248" s="1600" t="s">
        <v>4385</v>
      </c>
      <c r="P248" s="642" t="s">
        <v>1565</v>
      </c>
      <c r="Q248" s="323"/>
      <c r="R248" s="190"/>
      <c r="S248" s="448"/>
      <c r="T248" s="572" t="s">
        <v>2564</v>
      </c>
      <c r="U248" s="572" t="s">
        <v>628</v>
      </c>
      <c r="W248" s="495" t="s">
        <v>234</v>
      </c>
      <c r="X248" s="495" t="s">
        <v>3389</v>
      </c>
      <c r="Z248" s="495"/>
      <c r="AA248" s="27"/>
      <c r="AB248" s="27"/>
      <c r="AC248" s="1072"/>
      <c r="AD248" s="585"/>
    </row>
    <row r="249" spans="2:30" ht="10.5" customHeight="1">
      <c r="B249" s="314"/>
      <c r="C249" s="437" t="s">
        <v>1908</v>
      </c>
      <c r="D249" s="508">
        <v>49900</v>
      </c>
      <c r="E249" s="314"/>
      <c r="F249" s="644"/>
      <c r="G249" s="1166" t="s">
        <v>175</v>
      </c>
      <c r="H249" s="1166" t="s">
        <v>1211</v>
      </c>
      <c r="I249" s="1167" t="s">
        <v>1696</v>
      </c>
      <c r="J249" s="1167" t="s">
        <v>2613</v>
      </c>
      <c r="K249" s="1168" t="s">
        <v>2582</v>
      </c>
      <c r="L249" s="1169" t="s">
        <v>424</v>
      </c>
      <c r="M249" s="1340" t="s">
        <v>1196</v>
      </c>
      <c r="N249" s="1340" t="s">
        <v>1696</v>
      </c>
      <c r="O249" s="1600" t="s">
        <v>4386</v>
      </c>
      <c r="P249" s="642" t="s">
        <v>1567</v>
      </c>
      <c r="Q249" s="323"/>
      <c r="R249" s="190"/>
      <c r="S249" s="448"/>
      <c r="T249" s="572" t="s">
        <v>1562</v>
      </c>
      <c r="U249" s="572" t="s">
        <v>660</v>
      </c>
      <c r="W249" s="495" t="s">
        <v>660</v>
      </c>
      <c r="X249" s="495" t="s">
        <v>3389</v>
      </c>
      <c r="Z249" s="495"/>
      <c r="AA249" s="27"/>
      <c r="AB249" s="27"/>
      <c r="AC249" s="1072"/>
      <c r="AD249" s="585"/>
    </row>
    <row r="250" spans="2:30" ht="10.5" customHeight="1">
      <c r="B250" s="314"/>
      <c r="C250" s="436" t="s">
        <v>1910</v>
      </c>
      <c r="D250" s="508">
        <v>48700</v>
      </c>
      <c r="E250" s="314"/>
      <c r="F250" s="644"/>
      <c r="G250" s="1166" t="s">
        <v>176</v>
      </c>
      <c r="H250" s="1166" t="s">
        <v>1311</v>
      </c>
      <c r="I250" s="1170" t="s">
        <v>177</v>
      </c>
      <c r="J250" s="1170" t="s">
        <v>2612</v>
      </c>
      <c r="K250" s="1168" t="s">
        <v>694</v>
      </c>
      <c r="L250" s="1169" t="s">
        <v>423</v>
      </c>
      <c r="M250" s="1340" t="s">
        <v>2599</v>
      </c>
      <c r="N250" s="1340" t="s">
        <v>1205</v>
      </c>
      <c r="O250" s="1600" t="s">
        <v>4387</v>
      </c>
      <c r="P250" s="642" t="s">
        <v>1742</v>
      </c>
      <c r="Q250" s="323"/>
      <c r="R250" s="190"/>
      <c r="S250" s="448"/>
      <c r="T250" s="572" t="s">
        <v>2850</v>
      </c>
      <c r="U250" s="572" t="s">
        <v>2242</v>
      </c>
      <c r="W250" s="495" t="s">
        <v>787</v>
      </c>
      <c r="X250" s="495" t="s">
        <v>3389</v>
      </c>
      <c r="Z250" s="495"/>
      <c r="AA250" s="27"/>
      <c r="AB250" s="27"/>
      <c r="AC250" s="1072"/>
      <c r="AD250" s="585"/>
    </row>
    <row r="251" spans="2:30" ht="10.5" customHeight="1">
      <c r="B251" s="314"/>
      <c r="C251" s="436" t="s">
        <v>1912</v>
      </c>
      <c r="D251" s="508">
        <v>50200</v>
      </c>
      <c r="E251" s="314"/>
      <c r="F251" s="644"/>
      <c r="G251" s="1166" t="s">
        <v>1320</v>
      </c>
      <c r="H251" s="1166" t="s">
        <v>1211</v>
      </c>
      <c r="I251" s="1167" t="s">
        <v>178</v>
      </c>
      <c r="J251" s="1167" t="s">
        <v>2612</v>
      </c>
      <c r="K251" s="1168" t="s">
        <v>695</v>
      </c>
      <c r="L251" s="1169" t="s">
        <v>423</v>
      </c>
      <c r="M251" s="1340" t="s">
        <v>2599</v>
      </c>
      <c r="N251" s="1340" t="s">
        <v>1320</v>
      </c>
      <c r="O251" s="1600" t="s">
        <v>4388</v>
      </c>
      <c r="P251" s="642" t="s">
        <v>1744</v>
      </c>
      <c r="Q251" s="323"/>
      <c r="R251" s="190"/>
      <c r="S251" s="448"/>
      <c r="T251" s="572" t="s">
        <v>1564</v>
      </c>
      <c r="U251" s="572" t="s">
        <v>164</v>
      </c>
      <c r="W251" s="495" t="s">
        <v>3380</v>
      </c>
      <c r="X251" s="495" t="s">
        <v>3389</v>
      </c>
      <c r="Z251" s="495"/>
      <c r="AA251" s="27"/>
      <c r="AB251" s="27"/>
      <c r="AC251" s="1072"/>
      <c r="AD251" s="585"/>
    </row>
    <row r="252" spans="2:30" ht="10.5" customHeight="1">
      <c r="B252" s="314"/>
      <c r="C252" s="436" t="s">
        <v>1914</v>
      </c>
      <c r="D252" s="508">
        <v>55400</v>
      </c>
      <c r="E252" s="314"/>
      <c r="F252" s="644"/>
      <c r="G252" s="1166" t="s">
        <v>179</v>
      </c>
      <c r="H252" s="1166" t="s">
        <v>1311</v>
      </c>
      <c r="I252" s="1167" t="s">
        <v>2043</v>
      </c>
      <c r="J252" s="1167" t="s">
        <v>2613</v>
      </c>
      <c r="K252" s="1168" t="s">
        <v>620</v>
      </c>
      <c r="L252" s="1169" t="s">
        <v>424</v>
      </c>
      <c r="M252" s="1339" t="s">
        <v>2599</v>
      </c>
      <c r="N252" s="1339" t="s">
        <v>166</v>
      </c>
      <c r="O252" s="1600" t="s">
        <v>4389</v>
      </c>
      <c r="P252" s="642" t="s">
        <v>1746</v>
      </c>
      <c r="Q252" s="323"/>
      <c r="R252" s="190"/>
      <c r="S252" s="448"/>
      <c r="T252" s="572" t="s">
        <v>1566</v>
      </c>
      <c r="U252" s="572" t="s">
        <v>1313</v>
      </c>
      <c r="W252" s="495" t="s">
        <v>3381</v>
      </c>
      <c r="X252" s="495" t="s">
        <v>3389</v>
      </c>
      <c r="Z252" s="495"/>
      <c r="AA252" s="27"/>
      <c r="AB252" s="27"/>
      <c r="AC252" s="1072"/>
      <c r="AD252" s="585"/>
    </row>
    <row r="253" spans="2:30" ht="10.5" customHeight="1">
      <c r="B253" s="314"/>
      <c r="C253" s="436" t="s">
        <v>1916</v>
      </c>
      <c r="D253" s="508">
        <v>50500</v>
      </c>
      <c r="E253" s="314"/>
      <c r="F253" s="644"/>
      <c r="G253" s="1166" t="s">
        <v>357</v>
      </c>
      <c r="H253" s="1166" t="s">
        <v>1211</v>
      </c>
      <c r="I253" s="1170" t="s">
        <v>161</v>
      </c>
      <c r="J253" s="1170" t="s">
        <v>2613</v>
      </c>
      <c r="K253" s="1168" t="s">
        <v>1682</v>
      </c>
      <c r="L253" s="1169" t="s">
        <v>424</v>
      </c>
      <c r="M253" s="1339" t="s">
        <v>2599</v>
      </c>
      <c r="N253" s="1339" t="s">
        <v>161</v>
      </c>
      <c r="O253" s="1600" t="s">
        <v>4390</v>
      </c>
      <c r="P253" s="642" t="s">
        <v>1023</v>
      </c>
      <c r="Q253" s="323"/>
      <c r="R253" s="190"/>
      <c r="S253" s="448"/>
      <c r="T253" s="572" t="s">
        <v>1568</v>
      </c>
      <c r="U253" s="572" t="s">
        <v>179</v>
      </c>
      <c r="W253" s="495" t="s">
        <v>1221</v>
      </c>
      <c r="X253" s="495" t="s">
        <v>3389</v>
      </c>
      <c r="Z253" s="495"/>
      <c r="AA253" s="27"/>
      <c r="AB253" s="27"/>
      <c r="AC253" s="1072"/>
      <c r="AD253" s="585"/>
    </row>
    <row r="254" spans="2:30" ht="10.5" customHeight="1">
      <c r="B254" s="314"/>
      <c r="C254" s="436" t="s">
        <v>1918</v>
      </c>
      <c r="D254" s="508">
        <v>40200</v>
      </c>
      <c r="E254" s="314"/>
      <c r="F254" s="644"/>
      <c r="G254" s="1166" t="s">
        <v>1876</v>
      </c>
      <c r="H254" s="1166" t="s">
        <v>1311</v>
      </c>
      <c r="I254" s="1170" t="s">
        <v>765</v>
      </c>
      <c r="J254" s="1170" t="s">
        <v>2613</v>
      </c>
      <c r="K254" s="1168" t="s">
        <v>2598</v>
      </c>
      <c r="L254" s="1169" t="s">
        <v>424</v>
      </c>
      <c r="M254" s="1339" t="s">
        <v>2599</v>
      </c>
      <c r="N254" s="1339" t="s">
        <v>1330</v>
      </c>
      <c r="O254" s="1600" t="s">
        <v>4391</v>
      </c>
      <c r="P254" s="642" t="s">
        <v>1024</v>
      </c>
      <c r="Q254" s="323"/>
      <c r="R254" s="190"/>
      <c r="S254" s="448"/>
      <c r="T254" s="572" t="s">
        <v>1743</v>
      </c>
      <c r="U254" s="572" t="s">
        <v>660</v>
      </c>
      <c r="W254" s="495" t="s">
        <v>680</v>
      </c>
      <c r="X254" s="495" t="s">
        <v>3389</v>
      </c>
      <c r="Z254" s="495"/>
      <c r="AA254" s="27"/>
      <c r="AB254" s="27"/>
      <c r="AC254" s="1072"/>
      <c r="AD254" s="585"/>
    </row>
    <row r="255" spans="2:30" ht="10.5" customHeight="1">
      <c r="B255" s="314"/>
      <c r="C255" s="437" t="s">
        <v>1921</v>
      </c>
      <c r="D255" s="508">
        <v>53000</v>
      </c>
      <c r="E255" s="314"/>
      <c r="F255" s="644"/>
      <c r="G255" s="1166" t="s">
        <v>1877</v>
      </c>
      <c r="H255" s="1166" t="s">
        <v>1211</v>
      </c>
      <c r="I255" s="1167" t="s">
        <v>11</v>
      </c>
      <c r="J255" s="1167" t="s">
        <v>2613</v>
      </c>
      <c r="K255" s="1168" t="s">
        <v>2581</v>
      </c>
      <c r="L255" s="1169" t="s">
        <v>424</v>
      </c>
      <c r="M255" s="1339" t="s">
        <v>2599</v>
      </c>
      <c r="N255" s="1339" t="s">
        <v>1326</v>
      </c>
      <c r="O255" s="1600" t="s">
        <v>4392</v>
      </c>
      <c r="P255" s="642" t="s">
        <v>236</v>
      </c>
      <c r="Q255" s="323"/>
      <c r="R255" s="190"/>
      <c r="S255" s="448"/>
      <c r="T255" s="572" t="s">
        <v>1745</v>
      </c>
      <c r="U255" s="572" t="s">
        <v>733</v>
      </c>
      <c r="W255" s="495" t="s">
        <v>667</v>
      </c>
      <c r="X255" s="495" t="s">
        <v>3389</v>
      </c>
      <c r="Z255" s="495"/>
      <c r="AA255" s="27"/>
      <c r="AB255" s="27"/>
      <c r="AC255" s="1072"/>
      <c r="AD255" s="585"/>
    </row>
    <row r="256" spans="2:30" ht="10.5" customHeight="1">
      <c r="B256" s="314"/>
      <c r="C256" s="436" t="s">
        <v>2006</v>
      </c>
      <c r="D256" s="508">
        <v>48700</v>
      </c>
      <c r="E256" s="314"/>
      <c r="F256" s="644"/>
      <c r="G256" s="1166" t="s">
        <v>1878</v>
      </c>
      <c r="H256" s="1166" t="s">
        <v>1211</v>
      </c>
      <c r="I256" s="1170" t="s">
        <v>769</v>
      </c>
      <c r="J256" s="1170" t="s">
        <v>2613</v>
      </c>
      <c r="K256" s="1168" t="s">
        <v>696</v>
      </c>
      <c r="L256" s="1169" t="s">
        <v>424</v>
      </c>
      <c r="M256" s="1339" t="s">
        <v>2599</v>
      </c>
      <c r="N256" s="1339" t="s">
        <v>1205</v>
      </c>
      <c r="O256" s="1600" t="s">
        <v>4393</v>
      </c>
      <c r="P256" s="642" t="s">
        <v>238</v>
      </c>
      <c r="Q256" s="323"/>
      <c r="R256" s="190"/>
      <c r="S256" s="448"/>
      <c r="T256" s="572" t="s">
        <v>1022</v>
      </c>
      <c r="U256" s="572" t="s">
        <v>1314</v>
      </c>
      <c r="W256" s="495" t="s">
        <v>981</v>
      </c>
      <c r="X256" s="495" t="s">
        <v>3389</v>
      </c>
      <c r="Z256" s="495"/>
      <c r="AA256" s="27"/>
      <c r="AB256" s="27"/>
      <c r="AC256" s="1072"/>
      <c r="AD256" s="585"/>
    </row>
    <row r="257" spans="2:30" ht="10.5" customHeight="1">
      <c r="B257" s="314"/>
      <c r="C257" s="436" t="s">
        <v>1696</v>
      </c>
      <c r="D257" s="508">
        <v>49500</v>
      </c>
      <c r="E257" s="314"/>
      <c r="F257" s="644"/>
      <c r="G257" s="1166" t="s">
        <v>1631</v>
      </c>
      <c r="H257" s="1166" t="s">
        <v>1211</v>
      </c>
      <c r="I257" s="1167" t="s">
        <v>1632</v>
      </c>
      <c r="J257" s="1167" t="s">
        <v>2612</v>
      </c>
      <c r="K257" s="1168" t="s">
        <v>697</v>
      </c>
      <c r="L257" s="1169" t="s">
        <v>423</v>
      </c>
      <c r="M257" s="1340" t="s">
        <v>2599</v>
      </c>
      <c r="N257" s="1340" t="s">
        <v>1782</v>
      </c>
      <c r="O257" s="1600" t="s">
        <v>4394</v>
      </c>
      <c r="P257" s="642" t="s">
        <v>1263</v>
      </c>
      <c r="Q257" s="323"/>
      <c r="R257" s="190"/>
      <c r="S257" s="448"/>
      <c r="T257" s="572" t="s">
        <v>1025</v>
      </c>
      <c r="U257" s="572" t="s">
        <v>658</v>
      </c>
      <c r="W257" s="495" t="s">
        <v>985</v>
      </c>
      <c r="X257" s="495" t="s">
        <v>3389</v>
      </c>
      <c r="Z257" s="495"/>
      <c r="AA257" s="27"/>
      <c r="AB257" s="27"/>
      <c r="AC257" s="1072"/>
      <c r="AD257" s="585"/>
    </row>
    <row r="258" spans="2:30" ht="10.5" customHeight="1">
      <c r="B258" s="314"/>
      <c r="C258" s="437" t="s">
        <v>103</v>
      </c>
      <c r="D258" s="508">
        <v>45300</v>
      </c>
      <c r="E258" s="314"/>
      <c r="F258" s="644"/>
      <c r="G258" s="1166" t="s">
        <v>1633</v>
      </c>
      <c r="H258" s="1166" t="s">
        <v>1211</v>
      </c>
      <c r="I258" s="1167" t="s">
        <v>1634</v>
      </c>
      <c r="J258" s="1167" t="s">
        <v>2612</v>
      </c>
      <c r="K258" s="1168" t="s">
        <v>698</v>
      </c>
      <c r="L258" s="1169" t="s">
        <v>423</v>
      </c>
      <c r="M258" s="1340" t="s">
        <v>2599</v>
      </c>
      <c r="N258" s="1340" t="s">
        <v>1782</v>
      </c>
      <c r="O258" s="1600" t="s">
        <v>4395</v>
      </c>
      <c r="P258" s="642" t="s">
        <v>2059</v>
      </c>
      <c r="Q258" s="323"/>
      <c r="R258" s="190"/>
      <c r="S258" s="448"/>
      <c r="T258" s="572" t="s">
        <v>237</v>
      </c>
      <c r="U258" s="572" t="s">
        <v>2529</v>
      </c>
      <c r="W258" s="495" t="s">
        <v>987</v>
      </c>
      <c r="X258" s="495" t="s">
        <v>3389</v>
      </c>
      <c r="Z258" s="495"/>
      <c r="AA258" s="27"/>
      <c r="AB258" s="27"/>
      <c r="AC258" s="1072"/>
      <c r="AD258" s="585"/>
    </row>
    <row r="259" spans="2:30" ht="10.5" customHeight="1">
      <c r="B259" s="314"/>
      <c r="C259" s="436" t="s">
        <v>1709</v>
      </c>
      <c r="D259" s="508">
        <v>67000</v>
      </c>
      <c r="E259" s="314"/>
      <c r="F259" s="644"/>
      <c r="G259" s="1166" t="s">
        <v>1635</v>
      </c>
      <c r="H259" s="1166" t="s">
        <v>1311</v>
      </c>
      <c r="I259" s="1170" t="s">
        <v>2042</v>
      </c>
      <c r="J259" s="1170" t="s">
        <v>2613</v>
      </c>
      <c r="K259" s="1168" t="s">
        <v>699</v>
      </c>
      <c r="L259" s="1169" t="s">
        <v>424</v>
      </c>
      <c r="M259" s="1339" t="s">
        <v>2599</v>
      </c>
      <c r="N259" s="1339" t="s">
        <v>1205</v>
      </c>
      <c r="O259" s="1600" t="s">
        <v>4396</v>
      </c>
      <c r="P259" s="642" t="s">
        <v>2061</v>
      </c>
      <c r="Q259" s="323"/>
      <c r="R259" s="190"/>
      <c r="S259" s="448"/>
      <c r="T259" s="572" t="s">
        <v>2851</v>
      </c>
      <c r="U259" s="572" t="s">
        <v>874</v>
      </c>
      <c r="W259" s="495" t="s">
        <v>574</v>
      </c>
      <c r="X259" s="495" t="s">
        <v>3389</v>
      </c>
      <c r="Z259" s="495"/>
      <c r="AA259" s="27"/>
      <c r="AB259" s="27"/>
      <c r="AC259" s="1072"/>
      <c r="AD259" s="585"/>
    </row>
    <row r="260" spans="2:30" ht="10.5" customHeight="1">
      <c r="B260" s="314"/>
      <c r="C260" s="436" t="s">
        <v>105</v>
      </c>
      <c r="D260" s="508">
        <v>39700</v>
      </c>
      <c r="F260" s="644"/>
      <c r="G260" s="1166" t="s">
        <v>184</v>
      </c>
      <c r="H260" s="1166" t="s">
        <v>1211</v>
      </c>
      <c r="I260" s="1167" t="s">
        <v>185</v>
      </c>
      <c r="J260" s="1167" t="s">
        <v>2612</v>
      </c>
      <c r="K260" s="1168" t="s">
        <v>700</v>
      </c>
      <c r="L260" s="1169" t="s">
        <v>423</v>
      </c>
      <c r="M260" s="1340" t="s">
        <v>2599</v>
      </c>
      <c r="N260" s="1340" t="s">
        <v>1326</v>
      </c>
      <c r="O260" s="1600" t="s">
        <v>4397</v>
      </c>
      <c r="P260" s="642" t="s">
        <v>2063</v>
      </c>
      <c r="Q260" s="323"/>
      <c r="R260" s="190"/>
      <c r="S260" s="448"/>
      <c r="T260" s="643" t="s">
        <v>1758</v>
      </c>
      <c r="U260" s="643" t="s">
        <v>1097</v>
      </c>
      <c r="W260" s="495" t="s">
        <v>372</v>
      </c>
      <c r="X260" s="495" t="s">
        <v>3389</v>
      </c>
      <c r="Z260" s="495"/>
      <c r="AA260" s="27"/>
      <c r="AB260" s="27"/>
      <c r="AC260" s="1072"/>
      <c r="AD260" s="585"/>
    </row>
    <row r="261" spans="2:30" ht="10.5" customHeight="1">
      <c r="B261" s="314"/>
      <c r="C261" s="436" t="s">
        <v>107</v>
      </c>
      <c r="D261" s="508">
        <v>49600</v>
      </c>
      <c r="F261" s="644"/>
      <c r="G261" s="1166" t="s">
        <v>2584</v>
      </c>
      <c r="H261" s="1166" t="s">
        <v>1311</v>
      </c>
      <c r="I261" s="1170" t="s">
        <v>2585</v>
      </c>
      <c r="J261" s="1167" t="s">
        <v>2613</v>
      </c>
      <c r="K261" s="1168" t="s">
        <v>3741</v>
      </c>
      <c r="L261" s="1169" t="s">
        <v>424</v>
      </c>
      <c r="M261" s="1340" t="s">
        <v>2599</v>
      </c>
      <c r="N261" s="1340" t="s">
        <v>1205</v>
      </c>
      <c r="O261" s="1600" t="s">
        <v>4398</v>
      </c>
      <c r="P261" s="642" t="s">
        <v>2065</v>
      </c>
      <c r="Q261" s="323"/>
      <c r="R261" s="190"/>
      <c r="S261" s="448"/>
      <c r="T261" s="572" t="s">
        <v>2060</v>
      </c>
      <c r="U261" s="572" t="s">
        <v>320</v>
      </c>
      <c r="W261" s="495" t="s">
        <v>1595</v>
      </c>
      <c r="X261" s="495" t="s">
        <v>3389</v>
      </c>
      <c r="Z261" s="495"/>
      <c r="AA261" s="27"/>
      <c r="AB261" s="27"/>
      <c r="AC261" s="1073"/>
      <c r="AD261" s="585"/>
    </row>
    <row r="262" spans="2:30" ht="10.5" customHeight="1">
      <c r="B262" s="314"/>
      <c r="C262" s="436" t="s">
        <v>109</v>
      </c>
      <c r="D262" s="508">
        <v>51300</v>
      </c>
      <c r="F262" s="644"/>
      <c r="G262" s="1166" t="s">
        <v>2586</v>
      </c>
      <c r="H262" s="1166" t="s">
        <v>1311</v>
      </c>
      <c r="I262" s="1167" t="s">
        <v>2587</v>
      </c>
      <c r="J262" s="1167" t="s">
        <v>2613</v>
      </c>
      <c r="K262" s="1168" t="s">
        <v>1952</v>
      </c>
      <c r="L262" s="1169" t="s">
        <v>424</v>
      </c>
      <c r="M262" s="1339" t="s">
        <v>2599</v>
      </c>
      <c r="N262" s="1339" t="s">
        <v>1205</v>
      </c>
      <c r="O262" s="1600" t="s">
        <v>4399</v>
      </c>
      <c r="P262" s="642" t="s">
        <v>2067</v>
      </c>
      <c r="Q262" s="323"/>
      <c r="R262" s="190"/>
      <c r="S262" s="448"/>
      <c r="T262" s="572" t="s">
        <v>2062</v>
      </c>
      <c r="U262" s="572" t="s">
        <v>318</v>
      </c>
      <c r="W262" s="495" t="s">
        <v>1009</v>
      </c>
      <c r="X262" s="495" t="s">
        <v>3389</v>
      </c>
      <c r="Z262" s="495"/>
      <c r="AA262" s="27"/>
      <c r="AB262" s="27"/>
      <c r="AC262" s="1072"/>
      <c r="AD262" s="585"/>
    </row>
    <row r="263" spans="2:30" ht="10.5" customHeight="1">
      <c r="B263" s="314"/>
      <c r="C263" s="436" t="s">
        <v>111</v>
      </c>
      <c r="D263" s="508">
        <v>51500</v>
      </c>
      <c r="F263" s="644"/>
      <c r="G263" s="1166" t="s">
        <v>2588</v>
      </c>
      <c r="H263" s="1166" t="s">
        <v>1796</v>
      </c>
      <c r="I263" s="1170" t="s">
        <v>161</v>
      </c>
      <c r="J263" s="1170" t="s">
        <v>2613</v>
      </c>
      <c r="K263" s="1168" t="s">
        <v>1682</v>
      </c>
      <c r="L263" s="1169" t="s">
        <v>424</v>
      </c>
      <c r="M263" s="1340" t="s">
        <v>1196</v>
      </c>
      <c r="N263" s="1340" t="s">
        <v>161</v>
      </c>
      <c r="O263" s="1600" t="s">
        <v>4400</v>
      </c>
      <c r="P263" s="642" t="s">
        <v>2069</v>
      </c>
      <c r="Q263" s="323"/>
      <c r="R263" s="190"/>
      <c r="S263" s="448"/>
      <c r="T263" s="572" t="s">
        <v>2064</v>
      </c>
      <c r="U263" s="572" t="s">
        <v>628</v>
      </c>
      <c r="W263" s="495" t="s">
        <v>1011</v>
      </c>
      <c r="X263" s="495" t="s">
        <v>3389</v>
      </c>
      <c r="Z263" s="495"/>
      <c r="AA263" s="27"/>
      <c r="AB263" s="27"/>
      <c r="AC263" s="1072"/>
      <c r="AD263" s="585"/>
    </row>
    <row r="264" spans="2:30" ht="10.5" customHeight="1">
      <c r="B264" s="314"/>
      <c r="C264" s="436" t="s">
        <v>113</v>
      </c>
      <c r="D264" s="508">
        <v>34600</v>
      </c>
      <c r="F264" s="644"/>
      <c r="G264" s="1166" t="s">
        <v>2589</v>
      </c>
      <c r="H264" s="1166" t="s">
        <v>1311</v>
      </c>
      <c r="I264" s="1170" t="s">
        <v>764</v>
      </c>
      <c r="J264" s="1170" t="s">
        <v>2613</v>
      </c>
      <c r="K264" s="1168" t="s">
        <v>2576</v>
      </c>
      <c r="L264" s="1169" t="s">
        <v>424</v>
      </c>
      <c r="M264" s="1339" t="s">
        <v>1196</v>
      </c>
      <c r="N264" s="1339" t="s">
        <v>1205</v>
      </c>
      <c r="O264" s="1600" t="s">
        <v>4401</v>
      </c>
      <c r="P264" s="642" t="s">
        <v>675</v>
      </c>
      <c r="Q264" s="323"/>
      <c r="R264" s="190"/>
      <c r="S264" s="448"/>
      <c r="T264" s="572" t="s">
        <v>2066</v>
      </c>
      <c r="U264" s="572" t="s">
        <v>2586</v>
      </c>
      <c r="W264" s="495" t="s">
        <v>1679</v>
      </c>
      <c r="X264" s="495" t="s">
        <v>3389</v>
      </c>
      <c r="Z264" s="495"/>
      <c r="AA264" s="27"/>
      <c r="AB264" s="27"/>
      <c r="AC264" s="1072"/>
      <c r="AD264" s="585"/>
    </row>
    <row r="265" spans="2:30" ht="10.5" customHeight="1">
      <c r="B265" s="314"/>
      <c r="C265" s="436" t="s">
        <v>115</v>
      </c>
      <c r="D265" s="508">
        <v>50500</v>
      </c>
      <c r="F265" s="644"/>
      <c r="G265" s="1166" t="s">
        <v>2590</v>
      </c>
      <c r="H265" s="1166" t="s">
        <v>1311</v>
      </c>
      <c r="I265" s="1167" t="s">
        <v>2043</v>
      </c>
      <c r="J265" s="1167" t="s">
        <v>2613</v>
      </c>
      <c r="K265" s="1168" t="s">
        <v>620</v>
      </c>
      <c r="L265" s="1169" t="s">
        <v>424</v>
      </c>
      <c r="M265" s="1339" t="s">
        <v>2599</v>
      </c>
      <c r="N265" s="1339" t="s">
        <v>166</v>
      </c>
      <c r="O265" s="1600" t="s">
        <v>4402</v>
      </c>
      <c r="P265" s="642" t="s">
        <v>2328</v>
      </c>
      <c r="Q265" s="323"/>
      <c r="R265" s="190"/>
      <c r="S265" s="448"/>
      <c r="T265" s="572" t="s">
        <v>4744</v>
      </c>
      <c r="U265" s="572" t="s">
        <v>1206</v>
      </c>
      <c r="W265" s="495" t="s">
        <v>866</v>
      </c>
      <c r="X265" s="495" t="s">
        <v>3389</v>
      </c>
      <c r="Z265" s="495"/>
      <c r="AA265" s="27"/>
      <c r="AB265" s="27"/>
      <c r="AC265" s="1072"/>
      <c r="AD265" s="585"/>
    </row>
    <row r="266" spans="2:30" ht="10.5" customHeight="1">
      <c r="B266" s="314"/>
      <c r="C266" s="436" t="s">
        <v>2396</v>
      </c>
      <c r="D266" s="508">
        <v>43700</v>
      </c>
      <c r="F266" s="644"/>
      <c r="G266" s="1166" t="s">
        <v>2591</v>
      </c>
      <c r="H266" s="1166" t="s">
        <v>1311</v>
      </c>
      <c r="I266" s="1167" t="s">
        <v>2043</v>
      </c>
      <c r="J266" s="1167" t="s">
        <v>2613</v>
      </c>
      <c r="K266" s="1168" t="s">
        <v>620</v>
      </c>
      <c r="L266" s="1169" t="s">
        <v>424</v>
      </c>
      <c r="M266" s="1339" t="s">
        <v>2599</v>
      </c>
      <c r="N266" s="1339" t="s">
        <v>166</v>
      </c>
      <c r="O266" s="1600" t="s">
        <v>4403</v>
      </c>
      <c r="P266" s="642" t="s">
        <v>2329</v>
      </c>
      <c r="Q266" s="323"/>
      <c r="R266" s="190"/>
      <c r="S266" s="448"/>
      <c r="T266" s="572" t="s">
        <v>2565</v>
      </c>
      <c r="U266" s="572" t="s">
        <v>2007</v>
      </c>
      <c r="W266" s="495" t="s">
        <v>1740</v>
      </c>
      <c r="X266" s="495" t="s">
        <v>3389</v>
      </c>
      <c r="Z266" s="495"/>
      <c r="AA266" s="27"/>
      <c r="AB266" s="27"/>
      <c r="AC266" s="1072"/>
      <c r="AD266" s="585"/>
    </row>
    <row r="267" spans="2:30" ht="10.5" customHeight="1">
      <c r="B267" s="314"/>
      <c r="C267" s="436" t="s">
        <v>2398</v>
      </c>
      <c r="D267" s="508">
        <v>46700</v>
      </c>
      <c r="F267" s="644"/>
      <c r="G267" s="1166" t="s">
        <v>2592</v>
      </c>
      <c r="H267" s="1166" t="s">
        <v>1311</v>
      </c>
      <c r="I267" s="1170" t="s">
        <v>764</v>
      </c>
      <c r="J267" s="1170" t="s">
        <v>2613</v>
      </c>
      <c r="K267" s="1168" t="s">
        <v>2576</v>
      </c>
      <c r="L267" s="1169" t="s">
        <v>424</v>
      </c>
      <c r="M267" s="1339" t="s">
        <v>1196</v>
      </c>
      <c r="N267" s="1339" t="s">
        <v>1205</v>
      </c>
      <c r="O267" s="1600" t="s">
        <v>4404</v>
      </c>
      <c r="P267" s="642" t="s">
        <v>1246</v>
      </c>
      <c r="Q267" s="323"/>
      <c r="R267" s="190"/>
      <c r="S267" s="448"/>
      <c r="T267" s="572" t="s">
        <v>2068</v>
      </c>
      <c r="U267" s="572" t="s">
        <v>199</v>
      </c>
      <c r="W267" s="495" t="s">
        <v>631</v>
      </c>
      <c r="X267" s="495" t="s">
        <v>3389</v>
      </c>
      <c r="Z267" s="495"/>
      <c r="AA267" s="27"/>
      <c r="AB267" s="27"/>
      <c r="AC267" s="1072"/>
      <c r="AD267" s="585"/>
    </row>
    <row r="268" spans="2:30" ht="10.5" customHeight="1">
      <c r="B268" s="314"/>
      <c r="C268" s="436" t="s">
        <v>2400</v>
      </c>
      <c r="D268" s="508">
        <v>48000</v>
      </c>
      <c r="F268" s="644"/>
      <c r="G268" s="1166" t="s">
        <v>1091</v>
      </c>
      <c r="H268" s="1166" t="s">
        <v>1311</v>
      </c>
      <c r="I268" s="1170" t="s">
        <v>1092</v>
      </c>
      <c r="J268" s="1170" t="s">
        <v>2613</v>
      </c>
      <c r="K268" s="1168" t="s">
        <v>1953</v>
      </c>
      <c r="L268" s="1169" t="s">
        <v>424</v>
      </c>
      <c r="M268" s="1340" t="s">
        <v>2599</v>
      </c>
      <c r="N268" s="1340" t="s">
        <v>1320</v>
      </c>
      <c r="O268" s="1600" t="s">
        <v>4405</v>
      </c>
      <c r="P268" s="642" t="s">
        <v>1248</v>
      </c>
      <c r="Q268" s="323"/>
      <c r="R268" s="190"/>
      <c r="S268" s="448"/>
      <c r="T268" s="572" t="s">
        <v>2852</v>
      </c>
      <c r="U268" s="572" t="s">
        <v>662</v>
      </c>
      <c r="W268" s="495" t="s">
        <v>2288</v>
      </c>
      <c r="X268" s="495" t="s">
        <v>3389</v>
      </c>
      <c r="Z268" s="495"/>
      <c r="AA268" s="27"/>
      <c r="AB268" s="27"/>
      <c r="AC268" s="1072"/>
      <c r="AD268" s="585"/>
    </row>
    <row r="269" spans="2:30" ht="10.5" customHeight="1">
      <c r="F269" s="644"/>
      <c r="G269" s="1166" t="s">
        <v>1093</v>
      </c>
      <c r="H269" s="1166" t="s">
        <v>1311</v>
      </c>
      <c r="I269" s="1170" t="s">
        <v>764</v>
      </c>
      <c r="J269" s="1170" t="s">
        <v>2613</v>
      </c>
      <c r="K269" s="1168" t="s">
        <v>2576</v>
      </c>
      <c r="L269" s="1169" t="s">
        <v>424</v>
      </c>
      <c r="M269" s="1339" t="s">
        <v>1196</v>
      </c>
      <c r="N269" s="1339" t="s">
        <v>1205</v>
      </c>
      <c r="O269" s="1600" t="s">
        <v>4406</v>
      </c>
      <c r="P269" s="642" t="s">
        <v>1250</v>
      </c>
      <c r="Q269" s="323"/>
      <c r="R269" s="190"/>
      <c r="S269" s="448"/>
      <c r="T269" s="572" t="s">
        <v>2070</v>
      </c>
      <c r="U269" s="572" t="s">
        <v>199</v>
      </c>
      <c r="W269" s="495" t="s">
        <v>1033</v>
      </c>
      <c r="X269" s="495" t="s">
        <v>3389</v>
      </c>
      <c r="AA269" s="27"/>
      <c r="AB269" s="27"/>
      <c r="AC269" s="1072"/>
      <c r="AD269" s="585"/>
    </row>
    <row r="270" spans="2:30" ht="10.5" customHeight="1">
      <c r="F270" s="644"/>
      <c r="G270" s="1166" t="s">
        <v>1094</v>
      </c>
      <c r="H270" s="1166" t="s">
        <v>1211</v>
      </c>
      <c r="I270" s="1167" t="s">
        <v>1095</v>
      </c>
      <c r="J270" s="1167" t="s">
        <v>2612</v>
      </c>
      <c r="K270" s="1168" t="s">
        <v>1954</v>
      </c>
      <c r="L270" s="1169" t="s">
        <v>423</v>
      </c>
      <c r="M270" s="1340" t="s">
        <v>2599</v>
      </c>
      <c r="N270" s="1340" t="s">
        <v>1696</v>
      </c>
      <c r="O270" s="1600" t="s">
        <v>4407</v>
      </c>
      <c r="P270" s="642" t="s">
        <v>1251</v>
      </c>
      <c r="Q270" s="323"/>
      <c r="R270" s="190"/>
      <c r="S270" s="448"/>
      <c r="T270" s="572" t="s">
        <v>676</v>
      </c>
      <c r="U270" s="572" t="s">
        <v>2007</v>
      </c>
      <c r="W270" s="495" t="s">
        <v>1944</v>
      </c>
      <c r="X270" s="495" t="s">
        <v>3389</v>
      </c>
      <c r="AA270" s="27"/>
      <c r="AB270" s="27"/>
      <c r="AC270" s="1072"/>
      <c r="AD270" s="585"/>
    </row>
    <row r="271" spans="2:30" ht="10.5" customHeight="1">
      <c r="F271" s="644"/>
      <c r="G271" s="1166" t="s">
        <v>1096</v>
      </c>
      <c r="H271" s="1166" t="s">
        <v>1311</v>
      </c>
      <c r="I271" s="1170" t="s">
        <v>764</v>
      </c>
      <c r="J271" s="1170" t="s">
        <v>2613</v>
      </c>
      <c r="K271" s="1168" t="s">
        <v>2576</v>
      </c>
      <c r="L271" s="1169" t="s">
        <v>424</v>
      </c>
      <c r="M271" s="1339" t="s">
        <v>1196</v>
      </c>
      <c r="N271" s="1339" t="s">
        <v>1205</v>
      </c>
      <c r="O271" s="1600" t="s">
        <v>4408</v>
      </c>
      <c r="P271" s="642" t="s">
        <v>1253</v>
      </c>
      <c r="Q271" s="323"/>
      <c r="R271" s="190"/>
      <c r="S271" s="448"/>
      <c r="T271" s="572" t="s">
        <v>2330</v>
      </c>
      <c r="U271" s="572" t="s">
        <v>122</v>
      </c>
      <c r="W271" s="495" t="s">
        <v>492</v>
      </c>
      <c r="X271" s="495" t="s">
        <v>3389</v>
      </c>
      <c r="AA271" s="27"/>
      <c r="AB271" s="27"/>
      <c r="AC271" s="1072"/>
      <c r="AD271" s="585"/>
    </row>
    <row r="272" spans="2:30" ht="10.5" customHeight="1">
      <c r="F272" s="644"/>
      <c r="G272" s="1166" t="s">
        <v>1097</v>
      </c>
      <c r="H272" s="1166" t="s">
        <v>1311</v>
      </c>
      <c r="I272" s="1167" t="s">
        <v>1098</v>
      </c>
      <c r="J272" s="1167" t="s">
        <v>2612</v>
      </c>
      <c r="K272" s="1168" t="s">
        <v>1955</v>
      </c>
      <c r="L272" s="1169" t="s">
        <v>423</v>
      </c>
      <c r="M272" s="1340" t="s">
        <v>2599</v>
      </c>
      <c r="N272" s="1340" t="s">
        <v>1205</v>
      </c>
      <c r="O272" s="1600" t="s">
        <v>4409</v>
      </c>
      <c r="P272" s="642" t="s">
        <v>2494</v>
      </c>
      <c r="Q272" s="323"/>
      <c r="R272" s="190"/>
      <c r="S272" s="448"/>
      <c r="T272" s="572" t="s">
        <v>1247</v>
      </c>
      <c r="U272" s="572" t="s">
        <v>628</v>
      </c>
      <c r="W272" s="495" t="s">
        <v>1646</v>
      </c>
      <c r="X272" s="495" t="s">
        <v>3389</v>
      </c>
      <c r="AA272" s="27"/>
      <c r="AB272" s="27"/>
      <c r="AC272" s="1072"/>
      <c r="AD272" s="585"/>
    </row>
    <row r="273" spans="6:30" ht="10.5" customHeight="1">
      <c r="F273" s="644"/>
      <c r="G273" s="1166" t="s">
        <v>1099</v>
      </c>
      <c r="H273" s="1166" t="s">
        <v>1211</v>
      </c>
      <c r="I273" s="1170" t="s">
        <v>1100</v>
      </c>
      <c r="J273" s="1170" t="s">
        <v>2613</v>
      </c>
      <c r="K273" s="1168" t="s">
        <v>1956</v>
      </c>
      <c r="L273" s="1169" t="s">
        <v>424</v>
      </c>
      <c r="M273" s="1340" t="s">
        <v>2599</v>
      </c>
      <c r="N273" s="1340" t="s">
        <v>1320</v>
      </c>
      <c r="O273" s="1600" t="s">
        <v>4410</v>
      </c>
      <c r="P273" s="642" t="s">
        <v>82</v>
      </c>
      <c r="Q273" s="323"/>
      <c r="R273" s="190"/>
      <c r="S273" s="448"/>
      <c r="T273" s="572" t="s">
        <v>1249</v>
      </c>
      <c r="U273" s="572" t="s">
        <v>2244</v>
      </c>
      <c r="W273" s="495" t="s">
        <v>943</v>
      </c>
      <c r="X273" s="495" t="s">
        <v>3389</v>
      </c>
      <c r="AA273" s="27"/>
      <c r="AB273" s="27"/>
      <c r="AC273" s="1072"/>
      <c r="AD273" s="585"/>
    </row>
    <row r="274" spans="6:30" ht="10.5" customHeight="1">
      <c r="F274" s="644"/>
      <c r="G274" s="1166" t="s">
        <v>1101</v>
      </c>
      <c r="H274" s="1166" t="s">
        <v>1311</v>
      </c>
      <c r="I274" s="1170" t="s">
        <v>1102</v>
      </c>
      <c r="J274" s="1170" t="s">
        <v>2612</v>
      </c>
      <c r="K274" s="1168" t="s">
        <v>1957</v>
      </c>
      <c r="L274" s="1169" t="s">
        <v>423</v>
      </c>
      <c r="M274" s="1340" t="s">
        <v>2599</v>
      </c>
      <c r="N274" s="1340" t="s">
        <v>1205</v>
      </c>
      <c r="O274" s="1600" t="s">
        <v>4411</v>
      </c>
      <c r="P274" s="642" t="s">
        <v>83</v>
      </c>
      <c r="Q274" s="323"/>
      <c r="R274" s="190"/>
      <c r="S274" s="448"/>
      <c r="T274" s="572" t="s">
        <v>2483</v>
      </c>
      <c r="U274" s="572" t="s">
        <v>1105</v>
      </c>
      <c r="W274" s="495" t="s">
        <v>2307</v>
      </c>
      <c r="X274" s="495" t="s">
        <v>3389</v>
      </c>
      <c r="AA274" s="27"/>
      <c r="AB274" s="27"/>
      <c r="AC274" s="1072"/>
      <c r="AD274" s="585"/>
    </row>
    <row r="275" spans="6:30" ht="10.5" customHeight="1">
      <c r="F275" s="644"/>
      <c r="G275" s="1166" t="s">
        <v>1103</v>
      </c>
      <c r="H275" s="1166" t="s">
        <v>1211</v>
      </c>
      <c r="I275" s="1167" t="s">
        <v>1104</v>
      </c>
      <c r="J275" s="1167" t="s">
        <v>2612</v>
      </c>
      <c r="K275" s="1168" t="s">
        <v>1784</v>
      </c>
      <c r="L275" s="1169" t="s">
        <v>423</v>
      </c>
      <c r="M275" s="1340" t="s">
        <v>2599</v>
      </c>
      <c r="N275" s="1340" t="s">
        <v>161</v>
      </c>
      <c r="O275" s="1600" t="s">
        <v>4412</v>
      </c>
      <c r="P275" s="642" t="s">
        <v>84</v>
      </c>
      <c r="Q275" s="323"/>
      <c r="R275" s="190"/>
      <c r="S275" s="448"/>
      <c r="T275" s="572" t="s">
        <v>1252</v>
      </c>
      <c r="U275" s="572" t="s">
        <v>311</v>
      </c>
      <c r="W275" s="495" t="s">
        <v>323</v>
      </c>
      <c r="X275" s="495" t="s">
        <v>3389</v>
      </c>
      <c r="AA275" s="27"/>
      <c r="AB275" s="27"/>
      <c r="AC275" s="1072"/>
      <c r="AD275" s="585"/>
    </row>
    <row r="276" spans="6:30" ht="10.5" customHeight="1">
      <c r="F276" s="644"/>
      <c r="G276" s="1166" t="s">
        <v>1105</v>
      </c>
      <c r="H276" s="1166" t="s">
        <v>1311</v>
      </c>
      <c r="I276" s="1167" t="s">
        <v>1106</v>
      </c>
      <c r="J276" s="1167" t="s">
        <v>2612</v>
      </c>
      <c r="K276" s="1168" t="s">
        <v>1785</v>
      </c>
      <c r="L276" s="1169" t="s">
        <v>423</v>
      </c>
      <c r="M276" s="1340" t="s">
        <v>2599</v>
      </c>
      <c r="N276" s="1340" t="s">
        <v>166</v>
      </c>
      <c r="O276" s="1600" t="s">
        <v>4413</v>
      </c>
      <c r="P276" s="642" t="s">
        <v>86</v>
      </c>
      <c r="Q276" s="323"/>
      <c r="R276" s="190"/>
      <c r="S276" s="448"/>
      <c r="T276" s="572" t="s">
        <v>2493</v>
      </c>
      <c r="U276" s="572" t="s">
        <v>114</v>
      </c>
      <c r="W276" s="495" t="s">
        <v>325</v>
      </c>
      <c r="X276" s="495" t="s">
        <v>3389</v>
      </c>
      <c r="AA276" s="27"/>
      <c r="AB276" s="27"/>
      <c r="AC276" s="1072"/>
      <c r="AD276" s="585"/>
    </row>
    <row r="277" spans="6:30" ht="10.5" customHeight="1">
      <c r="F277" s="644"/>
      <c r="G277" s="1166" t="s">
        <v>1107</v>
      </c>
      <c r="H277" s="1166" t="s">
        <v>1211</v>
      </c>
      <c r="I277" s="1167" t="s">
        <v>1108</v>
      </c>
      <c r="J277" s="1167" t="s">
        <v>2612</v>
      </c>
      <c r="K277" s="1168" t="s">
        <v>1786</v>
      </c>
      <c r="L277" s="1169" t="s">
        <v>423</v>
      </c>
      <c r="M277" s="1340" t="s">
        <v>2599</v>
      </c>
      <c r="N277" s="1340" t="s">
        <v>1782</v>
      </c>
      <c r="O277" s="1600" t="s">
        <v>4414</v>
      </c>
      <c r="P277" s="642" t="s">
        <v>1227</v>
      </c>
      <c r="Q277" s="323"/>
      <c r="R277" s="190"/>
      <c r="S277" s="448"/>
      <c r="T277" s="572" t="s">
        <v>81</v>
      </c>
      <c r="U277" s="572" t="s">
        <v>196</v>
      </c>
      <c r="W277" s="495" t="s">
        <v>328</v>
      </c>
      <c r="X277" s="495" t="s">
        <v>3389</v>
      </c>
      <c r="AA277" s="27"/>
      <c r="AB277" s="27"/>
      <c r="AC277" s="1072"/>
      <c r="AD277" s="585"/>
    </row>
    <row r="278" spans="6:30" ht="10.5" customHeight="1">
      <c r="F278" s="644"/>
      <c r="G278" s="1166" t="s">
        <v>1109</v>
      </c>
      <c r="H278" s="1166" t="s">
        <v>1796</v>
      </c>
      <c r="I278" s="1170" t="s">
        <v>765</v>
      </c>
      <c r="J278" s="1170" t="s">
        <v>2613</v>
      </c>
      <c r="K278" s="1168" t="s">
        <v>2598</v>
      </c>
      <c r="L278" s="1169" t="s">
        <v>424</v>
      </c>
      <c r="M278" s="1340" t="s">
        <v>1196</v>
      </c>
      <c r="N278" s="1340" t="s">
        <v>1330</v>
      </c>
      <c r="O278" s="1600" t="s">
        <v>4415</v>
      </c>
      <c r="P278" s="642" t="s">
        <v>1229</v>
      </c>
      <c r="Q278" s="323"/>
      <c r="R278" s="190"/>
      <c r="S278" s="448"/>
      <c r="T278" s="572" t="s">
        <v>85</v>
      </c>
      <c r="U278" s="572" t="s">
        <v>2183</v>
      </c>
      <c r="W278" s="495" t="s">
        <v>1756</v>
      </c>
      <c r="X278" s="495" t="s">
        <v>3389</v>
      </c>
      <c r="AA278" s="27"/>
      <c r="AB278" s="27"/>
      <c r="AC278" s="1072"/>
      <c r="AD278" s="585"/>
    </row>
    <row r="279" spans="6:30" ht="10.5" customHeight="1">
      <c r="F279" s="644"/>
      <c r="G279" s="1166" t="s">
        <v>1110</v>
      </c>
      <c r="H279" s="1166" t="s">
        <v>1311</v>
      </c>
      <c r="I279" s="1170" t="s">
        <v>764</v>
      </c>
      <c r="J279" s="1170" t="s">
        <v>2613</v>
      </c>
      <c r="K279" s="1168" t="s">
        <v>2576</v>
      </c>
      <c r="L279" s="1169" t="s">
        <v>424</v>
      </c>
      <c r="M279" s="1339" t="s">
        <v>1196</v>
      </c>
      <c r="N279" s="1339" t="s">
        <v>1205</v>
      </c>
      <c r="O279" s="1600" t="s">
        <v>4416</v>
      </c>
      <c r="P279" s="642" t="s">
        <v>1231</v>
      </c>
      <c r="Q279" s="323"/>
      <c r="R279" s="190"/>
      <c r="S279" s="448"/>
      <c r="T279" s="572" t="s">
        <v>87</v>
      </c>
      <c r="U279" s="572" t="s">
        <v>1321</v>
      </c>
      <c r="W279" s="495" t="s">
        <v>691</v>
      </c>
      <c r="X279" s="495" t="s">
        <v>3389</v>
      </c>
      <c r="AA279" s="27"/>
      <c r="AB279" s="27"/>
      <c r="AC279" s="1072"/>
      <c r="AD279" s="585"/>
    </row>
    <row r="280" spans="6:30" ht="10.5" customHeight="1">
      <c r="F280" s="644"/>
      <c r="G280" s="1166" t="s">
        <v>1111</v>
      </c>
      <c r="H280" s="1166" t="s">
        <v>1211</v>
      </c>
      <c r="I280" s="1167" t="s">
        <v>2167</v>
      </c>
      <c r="J280" s="1167" t="s">
        <v>2612</v>
      </c>
      <c r="K280" s="1168" t="s">
        <v>1787</v>
      </c>
      <c r="L280" s="1169" t="s">
        <v>423</v>
      </c>
      <c r="M280" s="1340" t="s">
        <v>2599</v>
      </c>
      <c r="N280" s="1340" t="s">
        <v>161</v>
      </c>
      <c r="O280" s="1600" t="s">
        <v>4417</v>
      </c>
      <c r="P280" s="642" t="s">
        <v>1233</v>
      </c>
      <c r="Q280" s="323"/>
      <c r="R280" s="190"/>
      <c r="S280" s="448"/>
      <c r="T280" s="572" t="s">
        <v>1228</v>
      </c>
      <c r="U280" s="572" t="s">
        <v>1950</v>
      </c>
      <c r="W280" s="495" t="s">
        <v>2353</v>
      </c>
      <c r="X280" s="495" t="s">
        <v>3389</v>
      </c>
      <c r="AA280" s="27"/>
      <c r="AB280" s="27"/>
      <c r="AC280" s="1072"/>
      <c r="AD280" s="585"/>
    </row>
    <row r="281" spans="6:30" ht="10.5" customHeight="1">
      <c r="F281" s="644"/>
      <c r="G281" s="1166" t="s">
        <v>2168</v>
      </c>
      <c r="H281" s="1166" t="s">
        <v>1211</v>
      </c>
      <c r="I281" s="1167" t="s">
        <v>2169</v>
      </c>
      <c r="J281" s="1167" t="s">
        <v>2612</v>
      </c>
      <c r="K281" s="1168" t="s">
        <v>1788</v>
      </c>
      <c r="L281" s="1169" t="s">
        <v>423</v>
      </c>
      <c r="M281" s="1340" t="s">
        <v>2599</v>
      </c>
      <c r="N281" s="1340" t="s">
        <v>1326</v>
      </c>
      <c r="O281" s="1600" t="s">
        <v>4418</v>
      </c>
      <c r="P281" s="642" t="s">
        <v>1235</v>
      </c>
      <c r="Q281" s="323"/>
      <c r="R281" s="190"/>
      <c r="S281" s="448"/>
      <c r="T281" s="572" t="s">
        <v>1230</v>
      </c>
      <c r="U281" s="572" t="s">
        <v>179</v>
      </c>
      <c r="W281" s="495" t="s">
        <v>475</v>
      </c>
      <c r="X281" s="495" t="s">
        <v>3389</v>
      </c>
      <c r="AA281" s="27"/>
      <c r="AB281" s="27"/>
      <c r="AC281" s="1072"/>
      <c r="AD281" s="585"/>
    </row>
    <row r="282" spans="6:30" ht="10.5" customHeight="1">
      <c r="F282" s="644"/>
      <c r="G282" s="1166" t="s">
        <v>1608</v>
      </c>
      <c r="H282" s="1166" t="s">
        <v>1608</v>
      </c>
      <c r="I282" s="1166" t="s">
        <v>1608</v>
      </c>
      <c r="J282" s="1167"/>
      <c r="K282" s="1168"/>
      <c r="L282" s="1169"/>
      <c r="M282" s="1166" t="s">
        <v>1608</v>
      </c>
      <c r="N282" s="1166" t="s">
        <v>1608</v>
      </c>
      <c r="O282" s="1600" t="s">
        <v>4419</v>
      </c>
      <c r="P282" s="642" t="s">
        <v>1237</v>
      </c>
      <c r="Q282" s="323"/>
      <c r="R282" s="190"/>
      <c r="S282" s="448"/>
      <c r="T282" s="572" t="s">
        <v>1232</v>
      </c>
      <c r="U282" s="572" t="s">
        <v>1107</v>
      </c>
      <c r="W282" s="495" t="s">
        <v>3382</v>
      </c>
      <c r="X282" s="495" t="s">
        <v>3389</v>
      </c>
      <c r="AA282" s="27"/>
      <c r="AB282" s="27"/>
      <c r="AC282" s="1072"/>
      <c r="AD282" s="585"/>
    </row>
    <row r="283" spans="6:30" ht="10.5" customHeight="1">
      <c r="F283" s="644"/>
      <c r="G283" s="1166" t="s">
        <v>2170</v>
      </c>
      <c r="H283" s="1166" t="s">
        <v>1211</v>
      </c>
      <c r="I283" s="1170" t="s">
        <v>2171</v>
      </c>
      <c r="J283" s="1167" t="s">
        <v>2612</v>
      </c>
      <c r="K283" s="1168" t="s">
        <v>456</v>
      </c>
      <c r="L283" s="1169" t="s">
        <v>423</v>
      </c>
      <c r="M283" s="1340" t="s">
        <v>2599</v>
      </c>
      <c r="N283" s="1340" t="s">
        <v>1782</v>
      </c>
      <c r="O283" s="1600" t="s">
        <v>4420</v>
      </c>
      <c r="P283" s="642" t="s">
        <v>891</v>
      </c>
      <c r="Q283" s="323"/>
      <c r="R283" s="190"/>
      <c r="S283" s="448"/>
      <c r="T283" s="643" t="s">
        <v>1234</v>
      </c>
      <c r="U283" s="643" t="s">
        <v>1206</v>
      </c>
      <c r="W283" s="495" t="s">
        <v>3383</v>
      </c>
      <c r="X283" s="495" t="s">
        <v>3389</v>
      </c>
      <c r="AA283" s="27"/>
      <c r="AB283" s="27"/>
      <c r="AC283" s="1072"/>
      <c r="AD283" s="585"/>
    </row>
    <row r="284" spans="6:30" ht="10.5" customHeight="1">
      <c r="F284" s="644"/>
      <c r="G284" s="1166" t="s">
        <v>2172</v>
      </c>
      <c r="H284" s="1166" t="s">
        <v>1211</v>
      </c>
      <c r="I284" s="1170" t="s">
        <v>764</v>
      </c>
      <c r="J284" s="1170" t="s">
        <v>2613</v>
      </c>
      <c r="K284" s="1168" t="s">
        <v>2576</v>
      </c>
      <c r="L284" s="1169" t="s">
        <v>424</v>
      </c>
      <c r="M284" s="1339" t="s">
        <v>1196</v>
      </c>
      <c r="N284" s="1340" t="s">
        <v>1205</v>
      </c>
      <c r="O284" s="1600" t="s">
        <v>4421</v>
      </c>
      <c r="P284" s="642" t="s">
        <v>892</v>
      </c>
      <c r="Q284" s="323"/>
      <c r="R284" s="190"/>
      <c r="S284" s="448"/>
      <c r="T284" s="572" t="s">
        <v>1236</v>
      </c>
      <c r="U284" s="572" t="s">
        <v>2183</v>
      </c>
      <c r="W284" s="495" t="s">
        <v>78</v>
      </c>
      <c r="X284" s="495" t="s">
        <v>3389</v>
      </c>
      <c r="AA284" s="27"/>
      <c r="AB284" s="27"/>
      <c r="AC284" s="1073"/>
      <c r="AD284" s="585"/>
    </row>
    <row r="285" spans="6:30" ht="10.5" customHeight="1">
      <c r="F285" s="644"/>
      <c r="G285" s="1166" t="s">
        <v>2173</v>
      </c>
      <c r="H285" s="1166" t="s">
        <v>1311</v>
      </c>
      <c r="I285" s="1170" t="s">
        <v>2174</v>
      </c>
      <c r="J285" s="1170" t="s">
        <v>2612</v>
      </c>
      <c r="K285" s="1168" t="s">
        <v>221</v>
      </c>
      <c r="L285" s="1169" t="s">
        <v>423</v>
      </c>
      <c r="M285" s="1340" t="s">
        <v>2599</v>
      </c>
      <c r="N285" s="1339" t="s">
        <v>166</v>
      </c>
      <c r="O285" s="1600" t="s">
        <v>4422</v>
      </c>
      <c r="P285" s="642" t="s">
        <v>894</v>
      </c>
      <c r="Q285" s="323"/>
      <c r="R285" s="190"/>
      <c r="S285" s="448"/>
      <c r="T285" s="572" t="s">
        <v>2489</v>
      </c>
      <c r="U285" s="572" t="s">
        <v>1631</v>
      </c>
      <c r="W285" s="495" t="s">
        <v>2413</v>
      </c>
      <c r="X285" s="495" t="s">
        <v>3389</v>
      </c>
      <c r="AA285" s="27"/>
      <c r="AB285" s="27"/>
      <c r="AC285" s="1072"/>
      <c r="AD285" s="585"/>
    </row>
    <row r="286" spans="6:30" ht="10.5" customHeight="1">
      <c r="F286" s="644"/>
      <c r="G286" s="1166" t="s">
        <v>2175</v>
      </c>
      <c r="H286" s="1166" t="s">
        <v>1211</v>
      </c>
      <c r="I286" s="1167" t="s">
        <v>2176</v>
      </c>
      <c r="J286" s="1170" t="s">
        <v>2612</v>
      </c>
      <c r="K286" s="1168" t="s">
        <v>1421</v>
      </c>
      <c r="L286" s="1169" t="s">
        <v>423</v>
      </c>
      <c r="M286" s="1340" t="s">
        <v>2599</v>
      </c>
      <c r="N286" s="1340" t="s">
        <v>161</v>
      </c>
      <c r="O286" s="1600" t="s">
        <v>4423</v>
      </c>
      <c r="P286" s="642" t="s">
        <v>896</v>
      </c>
      <c r="Q286" s="323"/>
      <c r="R286" s="190"/>
      <c r="S286" s="448"/>
      <c r="T286" s="572" t="s">
        <v>161</v>
      </c>
      <c r="U286" s="572" t="s">
        <v>2588</v>
      </c>
      <c r="W286" s="495" t="s">
        <v>613</v>
      </c>
      <c r="X286" s="495" t="s">
        <v>3389</v>
      </c>
      <c r="AA286" s="27"/>
      <c r="AB286" s="27"/>
      <c r="AC286" s="1072"/>
      <c r="AD286" s="585"/>
    </row>
    <row r="287" spans="6:30" ht="10.5" customHeight="1">
      <c r="F287" s="644"/>
      <c r="G287" s="1166" t="s">
        <v>2177</v>
      </c>
      <c r="H287" s="1166" t="s">
        <v>1796</v>
      </c>
      <c r="I287" s="1167" t="s">
        <v>2178</v>
      </c>
      <c r="J287" s="1167" t="s">
        <v>2612</v>
      </c>
      <c r="K287" s="1168" t="s">
        <v>1422</v>
      </c>
      <c r="L287" s="1169" t="s">
        <v>423</v>
      </c>
      <c r="M287" s="1340" t="s">
        <v>2599</v>
      </c>
      <c r="N287" s="1340" t="s">
        <v>1782</v>
      </c>
      <c r="O287" s="1600" t="s">
        <v>4424</v>
      </c>
      <c r="P287" s="642" t="s">
        <v>2138</v>
      </c>
      <c r="Q287" s="323"/>
      <c r="R287" s="190"/>
      <c r="S287" s="448"/>
      <c r="T287" s="572" t="s">
        <v>893</v>
      </c>
      <c r="U287" s="572" t="s">
        <v>179</v>
      </c>
      <c r="W287" s="495" t="s">
        <v>967</v>
      </c>
      <c r="X287" s="495" t="s">
        <v>3389</v>
      </c>
      <c r="AA287" s="27"/>
      <c r="AB287" s="27"/>
      <c r="AC287" s="1072"/>
      <c r="AD287" s="585"/>
    </row>
    <row r="288" spans="6:30" ht="10.5" customHeight="1">
      <c r="F288" s="644"/>
      <c r="G288" s="1166" t="s">
        <v>2179</v>
      </c>
      <c r="H288" s="1166" t="s">
        <v>1211</v>
      </c>
      <c r="I288" s="1167" t="s">
        <v>2180</v>
      </c>
      <c r="J288" s="1167" t="s">
        <v>2612</v>
      </c>
      <c r="K288" s="1168" t="s">
        <v>1423</v>
      </c>
      <c r="L288" s="1169" t="s">
        <v>423</v>
      </c>
      <c r="M288" s="1340" t="s">
        <v>2599</v>
      </c>
      <c r="N288" s="1340" t="s">
        <v>161</v>
      </c>
      <c r="O288" s="1600" t="s">
        <v>4425</v>
      </c>
      <c r="P288" s="642" t="s">
        <v>2139</v>
      </c>
      <c r="Q288" s="323"/>
      <c r="R288" s="190"/>
      <c r="S288" s="448"/>
      <c r="T288" s="572" t="s">
        <v>895</v>
      </c>
      <c r="U288" s="572" t="s">
        <v>323</v>
      </c>
      <c r="W288" s="495" t="s">
        <v>1492</v>
      </c>
      <c r="X288" s="495" t="s">
        <v>3389</v>
      </c>
      <c r="AA288" s="27"/>
      <c r="AB288" s="27"/>
      <c r="AC288" s="1072"/>
      <c r="AD288" s="585"/>
    </row>
    <row r="289" spans="6:30" ht="10.5" customHeight="1">
      <c r="F289" s="644"/>
      <c r="G289" s="1166" t="s">
        <v>2181</v>
      </c>
      <c r="H289" s="1166" t="s">
        <v>1311</v>
      </c>
      <c r="I289" s="1167" t="s">
        <v>2182</v>
      </c>
      <c r="J289" s="1167" t="s">
        <v>2612</v>
      </c>
      <c r="K289" s="1168" t="s">
        <v>2012</v>
      </c>
      <c r="L289" s="1169" t="s">
        <v>423</v>
      </c>
      <c r="M289" s="1340" t="s">
        <v>2599</v>
      </c>
      <c r="N289" s="1340" t="s">
        <v>166</v>
      </c>
      <c r="O289" s="1600" t="s">
        <v>4426</v>
      </c>
      <c r="P289" s="642" t="s">
        <v>2055</v>
      </c>
      <c r="Q289" s="323"/>
      <c r="R289" s="190"/>
      <c r="S289" s="448"/>
      <c r="T289" s="643" t="s">
        <v>897</v>
      </c>
      <c r="U289" s="643" t="s">
        <v>1096</v>
      </c>
      <c r="W289" s="495" t="s">
        <v>2337</v>
      </c>
      <c r="X289" s="495" t="s">
        <v>3389</v>
      </c>
      <c r="AA289" s="27"/>
      <c r="AB289" s="27"/>
      <c r="AC289" s="1072"/>
      <c r="AD289" s="585"/>
    </row>
    <row r="290" spans="6:30" ht="10.5" customHeight="1">
      <c r="F290" s="644"/>
      <c r="G290" s="1166" t="s">
        <v>2183</v>
      </c>
      <c r="H290" s="1166" t="s">
        <v>1211</v>
      </c>
      <c r="I290" s="1167" t="s">
        <v>2184</v>
      </c>
      <c r="J290" s="1167" t="s">
        <v>2612</v>
      </c>
      <c r="K290" s="1168" t="s">
        <v>2013</v>
      </c>
      <c r="L290" s="1169" t="s">
        <v>423</v>
      </c>
      <c r="M290" s="1340" t="s">
        <v>2599</v>
      </c>
      <c r="N290" s="1340" t="s">
        <v>1326</v>
      </c>
      <c r="O290" s="1600" t="s">
        <v>4427</v>
      </c>
      <c r="P290" s="642" t="s">
        <v>2057</v>
      </c>
      <c r="Q290" s="323"/>
      <c r="R290" s="190"/>
      <c r="S290" s="448"/>
      <c r="T290" s="572" t="s">
        <v>2566</v>
      </c>
      <c r="U290" s="572" t="s">
        <v>2483</v>
      </c>
      <c r="W290" s="495" t="s">
        <v>821</v>
      </c>
      <c r="X290" s="495" t="s">
        <v>3389</v>
      </c>
      <c r="AA290" s="27"/>
      <c r="AB290" s="27"/>
      <c r="AC290" s="1073"/>
      <c r="AD290" s="585"/>
    </row>
    <row r="291" spans="6:30" ht="10.5" customHeight="1">
      <c r="F291" s="644"/>
      <c r="G291" s="1166" t="s">
        <v>2185</v>
      </c>
      <c r="H291" s="1166" t="s">
        <v>1211</v>
      </c>
      <c r="I291" s="1167" t="s">
        <v>870</v>
      </c>
      <c r="J291" s="1167" t="s">
        <v>2612</v>
      </c>
      <c r="K291" s="1168" t="s">
        <v>2014</v>
      </c>
      <c r="L291" s="1169" t="s">
        <v>423</v>
      </c>
      <c r="M291" s="1340" t="s">
        <v>2599</v>
      </c>
      <c r="N291" s="1340" t="s">
        <v>161</v>
      </c>
      <c r="O291" s="1600" t="s">
        <v>4428</v>
      </c>
      <c r="P291" s="642" t="s">
        <v>597</v>
      </c>
      <c r="Q291" s="323"/>
      <c r="R291" s="190"/>
      <c r="S291" s="448"/>
      <c r="T291" s="572" t="s">
        <v>2140</v>
      </c>
      <c r="U291" s="572" t="s">
        <v>1110</v>
      </c>
      <c r="W291" s="495" t="s">
        <v>824</v>
      </c>
      <c r="X291" s="495" t="s">
        <v>3389</v>
      </c>
      <c r="AA291" s="27"/>
      <c r="AB291" s="27"/>
      <c r="AC291" s="1072"/>
      <c r="AD291" s="585"/>
    </row>
    <row r="292" spans="6:30" ht="10.5" customHeight="1">
      <c r="F292" s="644"/>
      <c r="G292" s="1166" t="s">
        <v>871</v>
      </c>
      <c r="H292" s="1166" t="s">
        <v>1211</v>
      </c>
      <c r="I292" s="1167" t="s">
        <v>872</v>
      </c>
      <c r="J292" s="1167" t="s">
        <v>2612</v>
      </c>
      <c r="K292" s="1168" t="s">
        <v>2015</v>
      </c>
      <c r="L292" s="1169" t="s">
        <v>423</v>
      </c>
      <c r="M292" s="1340" t="s">
        <v>2599</v>
      </c>
      <c r="N292" s="1340" t="s">
        <v>1782</v>
      </c>
      <c r="O292" s="1600" t="s">
        <v>4429</v>
      </c>
      <c r="P292" s="642" t="s">
        <v>598</v>
      </c>
      <c r="Q292" s="323"/>
      <c r="R292" s="190"/>
      <c r="S292" s="448"/>
      <c r="T292" s="572" t="s">
        <v>2056</v>
      </c>
      <c r="U292" s="572" t="s">
        <v>1666</v>
      </c>
      <c r="W292" s="495" t="s">
        <v>1509</v>
      </c>
      <c r="X292" s="495" t="s">
        <v>3389</v>
      </c>
      <c r="AA292" s="27"/>
      <c r="AB292" s="27"/>
      <c r="AC292" s="1072"/>
      <c r="AD292" s="585"/>
    </row>
    <row r="293" spans="6:30" ht="10.5" customHeight="1">
      <c r="F293" s="644"/>
      <c r="G293" s="1166" t="s">
        <v>1665</v>
      </c>
      <c r="H293" s="1166" t="s">
        <v>1211</v>
      </c>
      <c r="I293" s="1170" t="s">
        <v>1782</v>
      </c>
      <c r="J293" s="1167" t="s">
        <v>2613</v>
      </c>
      <c r="K293" s="1168" t="s">
        <v>1161</v>
      </c>
      <c r="L293" s="1169" t="s">
        <v>424</v>
      </c>
      <c r="M293" s="1339" t="s">
        <v>2599</v>
      </c>
      <c r="N293" s="1340" t="s">
        <v>1782</v>
      </c>
      <c r="O293" s="1600" t="s">
        <v>4430</v>
      </c>
      <c r="P293" s="642" t="s">
        <v>600</v>
      </c>
      <c r="Q293" s="323"/>
      <c r="R293" s="190"/>
      <c r="S293" s="448"/>
      <c r="T293" s="572" t="s">
        <v>2058</v>
      </c>
      <c r="U293" s="572" t="s">
        <v>2533</v>
      </c>
      <c r="W293" s="495" t="s">
        <v>483</v>
      </c>
      <c r="X293" s="495" t="s">
        <v>3389</v>
      </c>
      <c r="AA293" s="27"/>
      <c r="AB293" s="27"/>
      <c r="AC293" s="1072"/>
      <c r="AD293" s="585"/>
    </row>
    <row r="294" spans="6:30" ht="10.5" customHeight="1">
      <c r="F294" s="644"/>
      <c r="G294" s="1166" t="s">
        <v>1666</v>
      </c>
      <c r="H294" s="1166" t="s">
        <v>1211</v>
      </c>
      <c r="I294" s="1170" t="s">
        <v>1667</v>
      </c>
      <c r="J294" s="1170" t="s">
        <v>2612</v>
      </c>
      <c r="K294" s="1168" t="s">
        <v>2016</v>
      </c>
      <c r="L294" s="1169" t="s">
        <v>423</v>
      </c>
      <c r="M294" s="1340" t="s">
        <v>2599</v>
      </c>
      <c r="N294" s="1339" t="s">
        <v>1696</v>
      </c>
      <c r="O294" s="1600" t="s">
        <v>4431</v>
      </c>
      <c r="P294" s="642" t="s">
        <v>602</v>
      </c>
      <c r="Q294" s="323"/>
      <c r="R294" s="190"/>
      <c r="S294" s="448"/>
      <c r="T294" s="572" t="s">
        <v>826</v>
      </c>
      <c r="U294" s="572" t="s">
        <v>318</v>
      </c>
      <c r="W294" s="495" t="s">
        <v>1393</v>
      </c>
      <c r="X294" s="495" t="s">
        <v>3389</v>
      </c>
      <c r="AA294" s="27"/>
      <c r="AB294" s="27"/>
      <c r="AC294" s="1072"/>
      <c r="AD294" s="585"/>
    </row>
    <row r="295" spans="6:30" ht="10.5" customHeight="1">
      <c r="F295" s="644"/>
      <c r="G295" s="1166" t="s">
        <v>1668</v>
      </c>
      <c r="H295" s="1166" t="s">
        <v>1211</v>
      </c>
      <c r="I295" s="1170" t="s">
        <v>1908</v>
      </c>
      <c r="J295" s="1170" t="s">
        <v>2612</v>
      </c>
      <c r="K295" s="1168" t="s">
        <v>1165</v>
      </c>
      <c r="L295" s="1169" t="s">
        <v>423</v>
      </c>
      <c r="M295" s="1340" t="s">
        <v>2599</v>
      </c>
      <c r="N295" s="1340" t="s">
        <v>1782</v>
      </c>
      <c r="O295" s="1600" t="s">
        <v>4432</v>
      </c>
      <c r="P295" s="642" t="s">
        <v>603</v>
      </c>
      <c r="Q295" s="323"/>
      <c r="R295" s="190"/>
      <c r="S295" s="448"/>
      <c r="T295" s="572" t="s">
        <v>599</v>
      </c>
      <c r="U295" s="572" t="s">
        <v>122</v>
      </c>
      <c r="W295" s="495" t="s">
        <v>1395</v>
      </c>
      <c r="X295" s="495" t="s">
        <v>3389</v>
      </c>
      <c r="AA295" s="27"/>
      <c r="AB295" s="27"/>
      <c r="AC295" s="1072"/>
      <c r="AD295" s="1076"/>
    </row>
    <row r="296" spans="6:30" ht="10.5" customHeight="1">
      <c r="F296" s="644"/>
      <c r="G296" s="1166" t="s">
        <v>1909</v>
      </c>
      <c r="H296" s="1166" t="s">
        <v>1211</v>
      </c>
      <c r="I296" s="1170" t="s">
        <v>1910</v>
      </c>
      <c r="J296" s="1170" t="s">
        <v>2612</v>
      </c>
      <c r="K296" s="1168" t="s">
        <v>1166</v>
      </c>
      <c r="L296" s="1169" t="s">
        <v>423</v>
      </c>
      <c r="M296" s="1340" t="s">
        <v>2599</v>
      </c>
      <c r="N296" s="1340" t="s">
        <v>1326</v>
      </c>
      <c r="O296" s="1600" t="s">
        <v>4433</v>
      </c>
      <c r="P296" s="642" t="s">
        <v>604</v>
      </c>
      <c r="Q296" s="323"/>
      <c r="R296" s="190"/>
      <c r="S296" s="448"/>
      <c r="T296" s="572" t="s">
        <v>2567</v>
      </c>
      <c r="U296" s="572" t="s">
        <v>1327</v>
      </c>
      <c r="W296" s="495" t="s">
        <v>2492</v>
      </c>
      <c r="X296" s="495" t="s">
        <v>3389</v>
      </c>
      <c r="AA296" s="27"/>
      <c r="AB296" s="27"/>
      <c r="AC296" s="1072"/>
      <c r="AD296" s="585"/>
    </row>
    <row r="297" spans="6:30" ht="10.5" customHeight="1">
      <c r="F297" s="644"/>
      <c r="G297" s="1166" t="s">
        <v>1911</v>
      </c>
      <c r="H297" s="1166" t="s">
        <v>1311</v>
      </c>
      <c r="I297" s="1170" t="s">
        <v>1912</v>
      </c>
      <c r="J297" s="1170" t="s">
        <v>2612</v>
      </c>
      <c r="K297" s="1168" t="s">
        <v>1167</v>
      </c>
      <c r="L297" s="1169" t="s">
        <v>423</v>
      </c>
      <c r="M297" s="1340" t="s">
        <v>2599</v>
      </c>
      <c r="N297" s="1340" t="s">
        <v>166</v>
      </c>
      <c r="O297" s="1600" t="s">
        <v>4434</v>
      </c>
      <c r="P297" s="642" t="s">
        <v>606</v>
      </c>
      <c r="Q297" s="323"/>
      <c r="R297" s="190"/>
      <c r="S297" s="448"/>
      <c r="T297" s="572" t="s">
        <v>601</v>
      </c>
      <c r="U297" s="572" t="s">
        <v>2589</v>
      </c>
      <c r="W297" s="495" t="s">
        <v>1057</v>
      </c>
      <c r="X297" s="495" t="s">
        <v>3389</v>
      </c>
      <c r="AA297" s="27"/>
      <c r="AB297" s="27"/>
      <c r="AC297" s="1072"/>
      <c r="AD297" s="585"/>
    </row>
    <row r="298" spans="6:30" ht="10.5" customHeight="1">
      <c r="F298" s="644"/>
      <c r="G298" s="1166" t="s">
        <v>1913</v>
      </c>
      <c r="H298" s="1166" t="s">
        <v>1211</v>
      </c>
      <c r="I298" s="1170" t="s">
        <v>1914</v>
      </c>
      <c r="J298" s="1170" t="s">
        <v>2612</v>
      </c>
      <c r="K298" s="1168" t="s">
        <v>1168</v>
      </c>
      <c r="L298" s="1169" t="s">
        <v>423</v>
      </c>
      <c r="M298" s="1340" t="s">
        <v>2599</v>
      </c>
      <c r="N298" s="1340" t="s">
        <v>1320</v>
      </c>
      <c r="O298" s="1600" t="s">
        <v>4435</v>
      </c>
      <c r="P298" s="642" t="s">
        <v>608</v>
      </c>
      <c r="Q298" s="323"/>
      <c r="R298" s="190"/>
      <c r="S298" s="448"/>
      <c r="T298" s="572" t="s">
        <v>2532</v>
      </c>
      <c r="U298" s="572" t="s">
        <v>2591</v>
      </c>
      <c r="W298" s="495" t="s">
        <v>1320</v>
      </c>
      <c r="X298" s="495" t="s">
        <v>3389</v>
      </c>
      <c r="AA298" s="27"/>
      <c r="AB298" s="27"/>
      <c r="AC298" s="1072"/>
      <c r="AD298" s="585"/>
    </row>
    <row r="299" spans="6:30" ht="10.5" customHeight="1">
      <c r="F299" s="644"/>
      <c r="G299" s="1166" t="s">
        <v>1915</v>
      </c>
      <c r="H299" s="1166" t="s">
        <v>1211</v>
      </c>
      <c r="I299" s="1167" t="s">
        <v>1916</v>
      </c>
      <c r="J299" s="1170" t="s">
        <v>2612</v>
      </c>
      <c r="K299" s="1168" t="s">
        <v>1169</v>
      </c>
      <c r="L299" s="1169" t="s">
        <v>423</v>
      </c>
      <c r="M299" s="1340" t="s">
        <v>2599</v>
      </c>
      <c r="N299" s="1340" t="s">
        <v>1205</v>
      </c>
      <c r="O299" s="1600" t="s">
        <v>4436</v>
      </c>
      <c r="P299" s="642" t="s">
        <v>547</v>
      </c>
      <c r="Q299" s="323"/>
      <c r="R299" s="190"/>
      <c r="S299" s="448"/>
      <c r="T299" s="572" t="s">
        <v>605</v>
      </c>
      <c r="U299" s="572" t="s">
        <v>2181</v>
      </c>
      <c r="W299" s="495" t="s">
        <v>179</v>
      </c>
      <c r="X299" s="495" t="s">
        <v>3389</v>
      </c>
      <c r="AA299" s="27"/>
      <c r="AB299" s="27"/>
      <c r="AC299" s="1072"/>
      <c r="AD299" s="585"/>
    </row>
    <row r="300" spans="6:30" ht="10.5" customHeight="1">
      <c r="F300" s="644"/>
      <c r="G300" s="1166" t="s">
        <v>1917</v>
      </c>
      <c r="H300" s="1166" t="s">
        <v>1211</v>
      </c>
      <c r="I300" s="1170" t="s">
        <v>1918</v>
      </c>
      <c r="J300" s="1167" t="s">
        <v>2612</v>
      </c>
      <c r="K300" s="1168" t="s">
        <v>1170</v>
      </c>
      <c r="L300" s="1169" t="s">
        <v>423</v>
      </c>
      <c r="M300" s="1340" t="s">
        <v>2599</v>
      </c>
      <c r="N300" s="1340" t="s">
        <v>1782</v>
      </c>
      <c r="O300" s="1600" t="s">
        <v>4437</v>
      </c>
      <c r="P300" s="642" t="s">
        <v>1156</v>
      </c>
      <c r="Q300" s="323"/>
      <c r="R300" s="190"/>
      <c r="S300" s="448"/>
      <c r="T300" s="572" t="s">
        <v>2853</v>
      </c>
      <c r="U300" s="572" t="s">
        <v>1101</v>
      </c>
      <c r="W300" s="495" t="s">
        <v>1575</v>
      </c>
      <c r="X300" s="495" t="s">
        <v>3389</v>
      </c>
      <c r="AA300" s="27"/>
      <c r="AB300" s="27"/>
      <c r="AC300" s="1072"/>
      <c r="AD300" s="585"/>
    </row>
    <row r="301" spans="6:30" ht="10.5" customHeight="1">
      <c r="F301" s="644"/>
      <c r="G301" s="1166" t="s">
        <v>1919</v>
      </c>
      <c r="H301" s="1166" t="s">
        <v>1211</v>
      </c>
      <c r="I301" s="1170" t="s">
        <v>1320</v>
      </c>
      <c r="J301" s="1170" t="s">
        <v>2613</v>
      </c>
      <c r="K301" s="1168" t="s">
        <v>2579</v>
      </c>
      <c r="L301" s="1169" t="s">
        <v>424</v>
      </c>
      <c r="M301" s="1339" t="s">
        <v>2599</v>
      </c>
      <c r="N301" s="1340" t="s">
        <v>1320</v>
      </c>
      <c r="O301" s="1600" t="s">
        <v>4438</v>
      </c>
      <c r="P301" s="642" t="s">
        <v>747</v>
      </c>
      <c r="Q301" s="323"/>
      <c r="R301" s="190"/>
      <c r="S301" s="448"/>
      <c r="T301" s="572" t="s">
        <v>607</v>
      </c>
      <c r="U301" s="572" t="s">
        <v>1635</v>
      </c>
      <c r="W301" s="495" t="s">
        <v>377</v>
      </c>
      <c r="X301" s="495" t="s">
        <v>3389</v>
      </c>
      <c r="AA301" s="27"/>
      <c r="AB301" s="27"/>
      <c r="AC301" s="1072"/>
      <c r="AD301" s="585"/>
    </row>
    <row r="302" spans="6:30" ht="10.5" customHeight="1">
      <c r="F302" s="644"/>
      <c r="G302" s="1166" t="s">
        <v>1920</v>
      </c>
      <c r="H302" s="1166" t="s">
        <v>1311</v>
      </c>
      <c r="I302" s="1170" t="s">
        <v>1921</v>
      </c>
      <c r="J302" s="1170" t="s">
        <v>2612</v>
      </c>
      <c r="K302" s="1168" t="s">
        <v>1171</v>
      </c>
      <c r="L302" s="1169" t="s">
        <v>423</v>
      </c>
      <c r="M302" s="1340" t="s">
        <v>2599</v>
      </c>
      <c r="N302" s="1339" t="s">
        <v>166</v>
      </c>
      <c r="O302" s="1600" t="s">
        <v>4439</v>
      </c>
      <c r="P302" s="642" t="s">
        <v>36</v>
      </c>
      <c r="Q302" s="323"/>
      <c r="R302" s="190"/>
      <c r="S302" s="448"/>
      <c r="T302" s="572" t="s">
        <v>546</v>
      </c>
      <c r="U302" s="572" t="s">
        <v>659</v>
      </c>
      <c r="W302" s="495" t="s">
        <v>379</v>
      </c>
      <c r="X302" s="495" t="s">
        <v>3389</v>
      </c>
      <c r="AA302" s="27"/>
      <c r="AB302" s="27"/>
      <c r="AC302" s="1072"/>
      <c r="AD302" s="585"/>
    </row>
    <row r="303" spans="6:30" ht="10.5" customHeight="1">
      <c r="F303" s="644"/>
      <c r="G303" s="1166" t="s">
        <v>2005</v>
      </c>
      <c r="H303" s="1166" t="s">
        <v>1211</v>
      </c>
      <c r="I303" s="1167" t="s">
        <v>2006</v>
      </c>
      <c r="J303" s="1170" t="s">
        <v>2612</v>
      </c>
      <c r="K303" s="1168" t="s">
        <v>1172</v>
      </c>
      <c r="L303" s="1169" t="s">
        <v>423</v>
      </c>
      <c r="M303" s="1340" t="s">
        <v>2599</v>
      </c>
      <c r="N303" s="1340" t="s">
        <v>1205</v>
      </c>
      <c r="O303" s="1600" t="s">
        <v>4440</v>
      </c>
      <c r="P303" s="642" t="s">
        <v>1964</v>
      </c>
      <c r="Q303" s="323"/>
      <c r="R303" s="190"/>
      <c r="S303" s="448"/>
      <c r="T303" s="572" t="s">
        <v>548</v>
      </c>
      <c r="U303" s="572" t="s">
        <v>160</v>
      </c>
      <c r="W303" s="495" t="s">
        <v>1607</v>
      </c>
      <c r="X303" s="495" t="s">
        <v>3389</v>
      </c>
      <c r="AA303" s="27"/>
      <c r="AB303" s="27"/>
      <c r="AC303" s="1072"/>
      <c r="AD303" s="585"/>
    </row>
    <row r="304" spans="6:30" ht="10.5" customHeight="1">
      <c r="F304" s="644"/>
      <c r="G304" s="1166" t="s">
        <v>2007</v>
      </c>
      <c r="H304" s="1166" t="s">
        <v>1311</v>
      </c>
      <c r="I304" s="1170" t="s">
        <v>1521</v>
      </c>
      <c r="J304" s="1167" t="s">
        <v>2613</v>
      </c>
      <c r="K304" s="1168" t="s">
        <v>1680</v>
      </c>
      <c r="L304" s="1169" t="s">
        <v>424</v>
      </c>
      <c r="M304" s="1339" t="s">
        <v>2599</v>
      </c>
      <c r="N304" s="1340" t="s">
        <v>1521</v>
      </c>
      <c r="O304" s="1600" t="s">
        <v>4441</v>
      </c>
      <c r="P304" s="642" t="s">
        <v>1966</v>
      </c>
      <c r="Q304" s="323"/>
      <c r="R304" s="190"/>
      <c r="S304" s="448"/>
      <c r="T304" s="572" t="s">
        <v>746</v>
      </c>
      <c r="U304" s="572" t="s">
        <v>1107</v>
      </c>
      <c r="W304" s="495" t="s">
        <v>1088</v>
      </c>
      <c r="X304" s="495" t="s">
        <v>3389</v>
      </c>
      <c r="AA304" s="27"/>
      <c r="AB304" s="27"/>
      <c r="AC304" s="1072"/>
      <c r="AD304" s="585"/>
    </row>
    <row r="305" spans="6:30" ht="10.5" customHeight="1">
      <c r="F305" s="644"/>
      <c r="G305" s="1166" t="s">
        <v>2008</v>
      </c>
      <c r="H305" s="1166" t="s">
        <v>1311</v>
      </c>
      <c r="I305" s="1170" t="s">
        <v>764</v>
      </c>
      <c r="J305" s="1170" t="s">
        <v>2613</v>
      </c>
      <c r="K305" s="1168" t="s">
        <v>2576</v>
      </c>
      <c r="L305" s="1169" t="s">
        <v>424</v>
      </c>
      <c r="M305" s="1339" t="s">
        <v>1196</v>
      </c>
      <c r="N305" s="1339" t="s">
        <v>1205</v>
      </c>
      <c r="O305" s="1600" t="s">
        <v>4442</v>
      </c>
      <c r="P305" s="642" t="s">
        <v>334</v>
      </c>
      <c r="Q305" s="323"/>
      <c r="R305" s="190"/>
      <c r="S305" s="448"/>
      <c r="T305" s="572" t="s">
        <v>748</v>
      </c>
      <c r="U305" s="572" t="s">
        <v>121</v>
      </c>
      <c r="W305" s="495" t="s">
        <v>3384</v>
      </c>
      <c r="X305" s="495" t="s">
        <v>3389</v>
      </c>
      <c r="AA305" s="27"/>
      <c r="AB305" s="27"/>
      <c r="AC305" s="1072"/>
      <c r="AD305" s="585"/>
    </row>
    <row r="306" spans="6:30" ht="10.5" customHeight="1">
      <c r="F306" s="644"/>
      <c r="G306" s="1166" t="s">
        <v>2009</v>
      </c>
      <c r="H306" s="1166" t="s">
        <v>1211</v>
      </c>
      <c r="I306" s="1170" t="s">
        <v>103</v>
      </c>
      <c r="J306" s="1170" t="s">
        <v>2612</v>
      </c>
      <c r="K306" s="1168" t="s">
        <v>1173</v>
      </c>
      <c r="L306" s="1169" t="s">
        <v>423</v>
      </c>
      <c r="M306" s="1340" t="s">
        <v>2599</v>
      </c>
      <c r="N306" s="1339" t="s">
        <v>1696</v>
      </c>
      <c r="O306" s="1600" t="s">
        <v>4443</v>
      </c>
      <c r="P306" s="642" t="s">
        <v>336</v>
      </c>
      <c r="Q306" s="323"/>
      <c r="R306" s="190"/>
      <c r="S306" s="448"/>
      <c r="T306" s="572" t="s">
        <v>37</v>
      </c>
      <c r="U306" s="572" t="s">
        <v>176</v>
      </c>
      <c r="W306" s="495" t="s">
        <v>3385</v>
      </c>
      <c r="X306" s="495" t="s">
        <v>3389</v>
      </c>
      <c r="AA306" s="27"/>
      <c r="AB306" s="27"/>
      <c r="AC306" s="1072"/>
      <c r="AD306" s="585"/>
    </row>
    <row r="307" spans="6:30" ht="10.5" customHeight="1">
      <c r="F307" s="644"/>
      <c r="G307" s="1166" t="s">
        <v>104</v>
      </c>
      <c r="H307" s="1166" t="s">
        <v>1311</v>
      </c>
      <c r="I307" s="1170" t="s">
        <v>105</v>
      </c>
      <c r="J307" s="1170" t="s">
        <v>2612</v>
      </c>
      <c r="K307" s="1168" t="s">
        <v>1174</v>
      </c>
      <c r="L307" s="1169" t="s">
        <v>423</v>
      </c>
      <c r="M307" s="1340" t="s">
        <v>2599</v>
      </c>
      <c r="N307" s="1340" t="s">
        <v>1330</v>
      </c>
      <c r="O307" s="1600" t="s">
        <v>4444</v>
      </c>
      <c r="P307" s="642" t="s">
        <v>338</v>
      </c>
      <c r="Q307" s="323"/>
      <c r="R307" s="190"/>
      <c r="S307" s="448"/>
      <c r="T307" s="572" t="s">
        <v>1965</v>
      </c>
      <c r="U307" s="572" t="s">
        <v>2244</v>
      </c>
      <c r="W307" s="495" t="s">
        <v>521</v>
      </c>
      <c r="X307" s="495" t="s">
        <v>3389</v>
      </c>
      <c r="AA307" s="27"/>
      <c r="AB307" s="27"/>
      <c r="AC307" s="1072"/>
      <c r="AD307" s="585"/>
    </row>
    <row r="308" spans="6:30" ht="10.5" customHeight="1">
      <c r="F308" s="644"/>
      <c r="G308" s="1166" t="s">
        <v>106</v>
      </c>
      <c r="H308" s="1166" t="s">
        <v>1211</v>
      </c>
      <c r="I308" s="1170" t="s">
        <v>107</v>
      </c>
      <c r="J308" s="1170" t="s">
        <v>2612</v>
      </c>
      <c r="K308" s="1168" t="s">
        <v>1175</v>
      </c>
      <c r="L308" s="1169" t="s">
        <v>423</v>
      </c>
      <c r="M308" s="1340" t="s">
        <v>2599</v>
      </c>
      <c r="N308" s="1340" t="s">
        <v>1320</v>
      </c>
      <c r="O308" s="1600" t="s">
        <v>4445</v>
      </c>
      <c r="P308" s="642" t="s">
        <v>340</v>
      </c>
      <c r="Q308" s="323"/>
      <c r="R308" s="190"/>
      <c r="S308" s="448"/>
      <c r="T308" s="572" t="s">
        <v>1967</v>
      </c>
      <c r="U308" s="572" t="s">
        <v>2592</v>
      </c>
      <c r="W308" s="495" t="s">
        <v>523</v>
      </c>
      <c r="X308" s="495" t="s">
        <v>3389</v>
      </c>
      <c r="AA308" s="27"/>
      <c r="AB308" s="27"/>
      <c r="AC308" s="1072"/>
      <c r="AD308" s="585"/>
    </row>
    <row r="309" spans="6:30" ht="10.5" customHeight="1">
      <c r="F309" s="644"/>
      <c r="G309" s="1166" t="s">
        <v>108</v>
      </c>
      <c r="H309" s="1166" t="s">
        <v>1211</v>
      </c>
      <c r="I309" s="1170" t="s">
        <v>109</v>
      </c>
      <c r="J309" s="1170" t="s">
        <v>2612</v>
      </c>
      <c r="K309" s="1168" t="s">
        <v>1176</v>
      </c>
      <c r="L309" s="1169" t="s">
        <v>423</v>
      </c>
      <c r="M309" s="1340" t="s">
        <v>2599</v>
      </c>
      <c r="N309" s="1340" t="s">
        <v>1326</v>
      </c>
      <c r="O309" s="1600" t="s">
        <v>4446</v>
      </c>
      <c r="P309" s="642" t="s">
        <v>342</v>
      </c>
      <c r="Q309" s="323"/>
      <c r="R309" s="190"/>
      <c r="S309" s="448"/>
      <c r="T309" s="572" t="s">
        <v>335</v>
      </c>
      <c r="U309" s="572" t="s">
        <v>1950</v>
      </c>
      <c r="W309" s="495" t="s">
        <v>529</v>
      </c>
      <c r="X309" s="495" t="s">
        <v>3389</v>
      </c>
      <c r="AA309" s="27"/>
      <c r="AB309" s="27"/>
      <c r="AC309" s="1072"/>
      <c r="AD309" s="585"/>
    </row>
    <row r="310" spans="6:30" ht="10.5" customHeight="1">
      <c r="F310" s="644"/>
      <c r="G310" s="1166" t="s">
        <v>110</v>
      </c>
      <c r="H310" s="1166" t="s">
        <v>1211</v>
      </c>
      <c r="I310" s="1170" t="s">
        <v>111</v>
      </c>
      <c r="J310" s="1170" t="s">
        <v>2612</v>
      </c>
      <c r="K310" s="1168" t="s">
        <v>1177</v>
      </c>
      <c r="L310" s="1169" t="s">
        <v>423</v>
      </c>
      <c r="M310" s="1340" t="s">
        <v>2599</v>
      </c>
      <c r="N310" s="1340" t="s">
        <v>161</v>
      </c>
      <c r="O310" s="1600" t="s">
        <v>4447</v>
      </c>
      <c r="P310" s="642" t="s">
        <v>344</v>
      </c>
      <c r="Q310" s="323"/>
      <c r="R310" s="190"/>
      <c r="S310" s="448"/>
      <c r="T310" s="572" t="s">
        <v>337</v>
      </c>
      <c r="U310" s="572" t="s">
        <v>874</v>
      </c>
      <c r="W310" s="495" t="s">
        <v>542</v>
      </c>
      <c r="X310" s="495" t="s">
        <v>3389</v>
      </c>
      <c r="AA310" s="27"/>
      <c r="AB310" s="27"/>
      <c r="AC310" s="1072"/>
      <c r="AD310" s="585"/>
    </row>
    <row r="311" spans="6:30" ht="10.5" customHeight="1">
      <c r="F311" s="644"/>
      <c r="G311" s="1166" t="s">
        <v>112</v>
      </c>
      <c r="H311" s="1166" t="s">
        <v>1211</v>
      </c>
      <c r="I311" s="1170" t="s">
        <v>113</v>
      </c>
      <c r="J311" s="1170" t="s">
        <v>2612</v>
      </c>
      <c r="K311" s="1168" t="s">
        <v>2357</v>
      </c>
      <c r="L311" s="1169" t="s">
        <v>423</v>
      </c>
      <c r="M311" s="1340" t="s">
        <v>2599</v>
      </c>
      <c r="N311" s="1340" t="s">
        <v>1320</v>
      </c>
      <c r="O311" s="1600" t="s">
        <v>4448</v>
      </c>
      <c r="P311" s="642" t="s">
        <v>1940</v>
      </c>
      <c r="Q311" s="323"/>
      <c r="R311" s="190"/>
      <c r="S311" s="448"/>
      <c r="T311" s="572" t="s">
        <v>339</v>
      </c>
      <c r="U311" s="572" t="s">
        <v>179</v>
      </c>
      <c r="W311" s="495" t="s">
        <v>1635</v>
      </c>
      <c r="X311" s="495" t="s">
        <v>3389</v>
      </c>
      <c r="AA311" s="27"/>
      <c r="AB311" s="27"/>
      <c r="AC311" s="1072"/>
      <c r="AD311" s="585"/>
    </row>
    <row r="312" spans="6:30" ht="10.5" customHeight="1">
      <c r="F312" s="644"/>
      <c r="G312" s="1166" t="s">
        <v>114</v>
      </c>
      <c r="H312" s="1166" t="s">
        <v>1311</v>
      </c>
      <c r="I312" s="1170" t="s">
        <v>115</v>
      </c>
      <c r="J312" s="1170" t="s">
        <v>2612</v>
      </c>
      <c r="K312" s="1168" t="s">
        <v>2358</v>
      </c>
      <c r="L312" s="1169" t="s">
        <v>423</v>
      </c>
      <c r="M312" s="1340" t="s">
        <v>2599</v>
      </c>
      <c r="N312" s="1340" t="s">
        <v>166</v>
      </c>
      <c r="O312" s="1600" t="s">
        <v>4449</v>
      </c>
      <c r="P312" s="642" t="s">
        <v>1942</v>
      </c>
      <c r="Q312" s="323"/>
      <c r="R312" s="190"/>
      <c r="S312" s="448"/>
      <c r="T312" s="572" t="s">
        <v>341</v>
      </c>
      <c r="U312" s="572" t="s">
        <v>2399</v>
      </c>
      <c r="W312" s="495" t="s">
        <v>2095</v>
      </c>
      <c r="X312" s="495" t="s">
        <v>3389</v>
      </c>
      <c r="AA312" s="27"/>
      <c r="AB312" s="27"/>
      <c r="AC312" s="1072"/>
      <c r="AD312" s="585"/>
    </row>
    <row r="313" spans="6:30" ht="10.5" customHeight="1">
      <c r="F313" s="644"/>
      <c r="G313" s="1166" t="s">
        <v>1950</v>
      </c>
      <c r="H313" s="1166" t="s">
        <v>1311</v>
      </c>
      <c r="I313" s="1167" t="s">
        <v>335</v>
      </c>
      <c r="J313" s="1170" t="s">
        <v>2613</v>
      </c>
      <c r="K313" s="1168" t="s">
        <v>2359</v>
      </c>
      <c r="L313" s="1169" t="s">
        <v>424</v>
      </c>
      <c r="M313" s="1340" t="s">
        <v>1196</v>
      </c>
      <c r="N313" s="1340" t="s">
        <v>1521</v>
      </c>
      <c r="O313" s="1600" t="s">
        <v>4450</v>
      </c>
      <c r="P313" s="642" t="s">
        <v>2154</v>
      </c>
      <c r="Q313" s="323"/>
      <c r="R313" s="190"/>
      <c r="S313" s="448"/>
      <c r="T313" s="643" t="s">
        <v>343</v>
      </c>
      <c r="U313" s="643" t="s">
        <v>1877</v>
      </c>
      <c r="W313" s="495" t="s">
        <v>3386</v>
      </c>
      <c r="X313" s="495" t="s">
        <v>3389</v>
      </c>
      <c r="AA313" s="27"/>
      <c r="AB313" s="27"/>
      <c r="AC313" s="1072"/>
      <c r="AD313" s="585"/>
    </row>
    <row r="314" spans="6:30" ht="10.5" customHeight="1">
      <c r="F314" s="644"/>
      <c r="G314" s="1166" t="s">
        <v>1951</v>
      </c>
      <c r="H314" s="1166" t="s">
        <v>1211</v>
      </c>
      <c r="I314" s="1170" t="s">
        <v>2396</v>
      </c>
      <c r="J314" s="1167" t="s">
        <v>2612</v>
      </c>
      <c r="K314" s="1168" t="s">
        <v>2360</v>
      </c>
      <c r="L314" s="1169" t="s">
        <v>423</v>
      </c>
      <c r="M314" s="1340" t="s">
        <v>2599</v>
      </c>
      <c r="N314" s="1340" t="s">
        <v>1782</v>
      </c>
      <c r="O314" s="1600" t="s">
        <v>4451</v>
      </c>
      <c r="P314" s="642" t="s">
        <v>153</v>
      </c>
      <c r="Q314" s="323"/>
      <c r="R314" s="190"/>
      <c r="S314" s="448"/>
      <c r="T314" s="572" t="s">
        <v>345</v>
      </c>
      <c r="U314" s="572" t="s">
        <v>175</v>
      </c>
      <c r="W314" s="495" t="s">
        <v>2248</v>
      </c>
      <c r="X314" s="495" t="s">
        <v>3389</v>
      </c>
      <c r="AA314" s="27"/>
      <c r="AB314" s="27"/>
      <c r="AC314" s="1073"/>
      <c r="AD314" s="585"/>
    </row>
    <row r="315" spans="6:30" ht="10.5" customHeight="1">
      <c r="F315" s="644"/>
      <c r="G315" s="1166" t="s">
        <v>2397</v>
      </c>
      <c r="H315" s="1166" t="s">
        <v>1311</v>
      </c>
      <c r="I315" s="1170" t="s">
        <v>2398</v>
      </c>
      <c r="J315" s="1170" t="s">
        <v>2612</v>
      </c>
      <c r="K315" s="1168" t="s">
        <v>421</v>
      </c>
      <c r="L315" s="1169" t="s">
        <v>423</v>
      </c>
      <c r="M315" s="1340" t="s">
        <v>2599</v>
      </c>
      <c r="N315" s="1340" t="s">
        <v>1330</v>
      </c>
      <c r="O315" s="1600" t="s">
        <v>4452</v>
      </c>
      <c r="P315" s="642" t="s">
        <v>154</v>
      </c>
      <c r="Q315" s="323"/>
      <c r="R315" s="190"/>
      <c r="S315" s="448"/>
      <c r="T315" s="572" t="s">
        <v>1941</v>
      </c>
      <c r="U315" s="572" t="s">
        <v>106</v>
      </c>
      <c r="W315" s="495" t="s">
        <v>398</v>
      </c>
      <c r="X315" s="495" t="s">
        <v>3389</v>
      </c>
      <c r="AA315" s="27"/>
      <c r="AB315" s="27"/>
      <c r="AC315" s="1072"/>
      <c r="AD315" s="585"/>
    </row>
    <row r="316" spans="6:30" ht="10.5" customHeight="1">
      <c r="F316" s="644"/>
      <c r="G316" s="1166" t="s">
        <v>2399</v>
      </c>
      <c r="H316" s="1166" t="s">
        <v>1211</v>
      </c>
      <c r="I316" s="1170" t="s">
        <v>2400</v>
      </c>
      <c r="J316" s="1170" t="s">
        <v>2612</v>
      </c>
      <c r="K316" s="1168" t="s">
        <v>422</v>
      </c>
      <c r="L316" s="1169" t="s">
        <v>423</v>
      </c>
      <c r="M316" s="1340" t="s">
        <v>2599</v>
      </c>
      <c r="N316" s="1340" t="s">
        <v>1320</v>
      </c>
      <c r="O316" s="1600" t="s">
        <v>4453</v>
      </c>
      <c r="P316" s="642" t="s">
        <v>1580</v>
      </c>
      <c r="Q316" s="323"/>
      <c r="R316" s="190"/>
      <c r="S316" s="448"/>
      <c r="T316" s="572" t="s">
        <v>195</v>
      </c>
      <c r="U316" s="572" t="s">
        <v>1665</v>
      </c>
      <c r="W316" s="495" t="s">
        <v>1840</v>
      </c>
      <c r="X316" s="495" t="s">
        <v>3389</v>
      </c>
      <c r="AA316" s="27"/>
      <c r="AB316" s="27"/>
      <c r="AC316" s="1072"/>
      <c r="AD316" s="585"/>
    </row>
    <row r="317" spans="6:30" ht="10.5" customHeight="1">
      <c r="F317" s="371"/>
      <c r="G317" s="1166" t="s">
        <v>2401</v>
      </c>
      <c r="H317" s="1166" t="s">
        <v>1211</v>
      </c>
      <c r="I317" s="1170" t="s">
        <v>1782</v>
      </c>
      <c r="J317" s="1170" t="s">
        <v>2613</v>
      </c>
      <c r="K317" s="1168" t="s">
        <v>1161</v>
      </c>
      <c r="L317" s="1169" t="s">
        <v>424</v>
      </c>
      <c r="M317" s="1339" t="s">
        <v>2599</v>
      </c>
      <c r="N317" s="1340" t="s">
        <v>1782</v>
      </c>
      <c r="O317" s="1600" t="s">
        <v>4454</v>
      </c>
      <c r="P317" s="642" t="s">
        <v>790</v>
      </c>
      <c r="Q317" s="323"/>
      <c r="R317" s="190"/>
      <c r="S317" s="448"/>
      <c r="T317" s="572" t="s">
        <v>2155</v>
      </c>
      <c r="U317" s="572" t="s">
        <v>195</v>
      </c>
      <c r="W317" s="495" t="s">
        <v>2272</v>
      </c>
      <c r="X317" s="495" t="s">
        <v>3389</v>
      </c>
      <c r="AA317" s="27"/>
      <c r="AB317" s="27"/>
      <c r="AC317" s="1072"/>
      <c r="AD317" s="585"/>
    </row>
    <row r="318" spans="6:30" ht="10.5" customHeight="1">
      <c r="F318" s="371"/>
      <c r="G318" s="346"/>
      <c r="H318" s="346"/>
      <c r="I318" s="346"/>
      <c r="J318" s="436"/>
      <c r="K318" s="346"/>
      <c r="L318" s="346"/>
      <c r="M318" s="423"/>
      <c r="N318" s="423"/>
      <c r="O318" s="423"/>
      <c r="P318" s="642" t="s">
        <v>792</v>
      </c>
      <c r="Q318" s="323"/>
      <c r="R318" s="190"/>
      <c r="S318" s="448"/>
      <c r="T318" s="572" t="s">
        <v>689</v>
      </c>
      <c r="U318" s="572" t="s">
        <v>2177</v>
      </c>
      <c r="W318" s="495" t="s">
        <v>562</v>
      </c>
      <c r="X318" s="495" t="s">
        <v>3389</v>
      </c>
      <c r="AA318" s="27"/>
      <c r="AB318" s="27"/>
      <c r="AC318" s="1072"/>
      <c r="AD318" s="585"/>
    </row>
    <row r="319" spans="6:30" ht="10.5" customHeight="1">
      <c r="F319" s="371"/>
      <c r="G319" s="346"/>
      <c r="H319" s="346"/>
      <c r="I319" s="346"/>
      <c r="J319" s="346"/>
      <c r="K319" s="346"/>
      <c r="L319" s="346"/>
      <c r="M319" s="346"/>
      <c r="N319" s="423"/>
      <c r="O319" s="423"/>
      <c r="P319" s="642" t="s">
        <v>794</v>
      </c>
      <c r="Q319" s="323"/>
      <c r="R319" s="190"/>
      <c r="S319" s="448"/>
      <c r="T319" s="643" t="s">
        <v>155</v>
      </c>
      <c r="U319" s="643" t="s">
        <v>1876</v>
      </c>
      <c r="W319" s="495" t="s">
        <v>1451</v>
      </c>
      <c r="X319" s="495" t="s">
        <v>3389</v>
      </c>
      <c r="AA319" s="27"/>
      <c r="AB319" s="27"/>
      <c r="AC319" s="1072"/>
      <c r="AD319" s="585"/>
    </row>
    <row r="320" spans="6:30" ht="10.5" customHeight="1">
      <c r="F320" s="371"/>
      <c r="G320" s="346"/>
      <c r="H320" s="346"/>
      <c r="I320" s="346"/>
      <c r="J320" s="346"/>
      <c r="K320" s="346"/>
      <c r="L320" s="346"/>
      <c r="M320" s="346"/>
      <c r="N320" s="346"/>
      <c r="O320" s="346"/>
      <c r="P320" s="642" t="s">
        <v>2422</v>
      </c>
      <c r="Q320" s="323"/>
      <c r="R320" s="190"/>
      <c r="S320" s="448"/>
      <c r="T320" s="572" t="s">
        <v>196</v>
      </c>
      <c r="U320" s="572" t="s">
        <v>628</v>
      </c>
      <c r="W320" s="495" t="s">
        <v>1582</v>
      </c>
      <c r="X320" s="495" t="s">
        <v>3389</v>
      </c>
      <c r="AA320" s="27"/>
      <c r="AB320" s="27"/>
      <c r="AC320" s="1073"/>
      <c r="AD320" s="585"/>
    </row>
    <row r="321" spans="6:30" ht="10.5" customHeight="1">
      <c r="F321" s="371"/>
      <c r="G321" s="346"/>
      <c r="H321" s="346"/>
      <c r="I321" s="346"/>
      <c r="J321" s="346"/>
      <c r="K321" s="346"/>
      <c r="L321" s="346"/>
      <c r="M321" s="346"/>
      <c r="N321" s="346"/>
      <c r="O321" s="346"/>
      <c r="P321" s="642" t="s">
        <v>2423</v>
      </c>
      <c r="Q321" s="323"/>
      <c r="R321" s="190"/>
      <c r="S321" s="448"/>
      <c r="T321" s="572" t="s">
        <v>2568</v>
      </c>
      <c r="U321" s="572" t="s">
        <v>2009</v>
      </c>
      <c r="W321" s="495" t="s">
        <v>2120</v>
      </c>
      <c r="X321" s="495" t="s">
        <v>3389</v>
      </c>
      <c r="AA321" s="27"/>
      <c r="AB321" s="27"/>
      <c r="AC321" s="1072"/>
      <c r="AD321" s="585"/>
    </row>
    <row r="322" spans="6:30" ht="10.5" customHeight="1">
      <c r="F322" s="371"/>
      <c r="G322" s="346"/>
      <c r="H322" s="346"/>
      <c r="I322" s="346"/>
      <c r="J322" s="346"/>
      <c r="K322" s="346"/>
      <c r="L322" s="346"/>
      <c r="M322" s="346"/>
      <c r="N322" s="346"/>
      <c r="O322" s="346"/>
      <c r="P322" s="642" t="s">
        <v>2425</v>
      </c>
      <c r="Q322" s="323"/>
      <c r="R322" s="190"/>
      <c r="S322" s="448"/>
      <c r="T322" s="572" t="s">
        <v>791</v>
      </c>
      <c r="U322" s="572" t="s">
        <v>106</v>
      </c>
      <c r="W322" s="495" t="s">
        <v>2122</v>
      </c>
      <c r="X322" s="495" t="s">
        <v>3389</v>
      </c>
      <c r="AA322" s="27"/>
      <c r="AB322" s="27"/>
      <c r="AC322" s="1072"/>
      <c r="AD322" s="585"/>
    </row>
    <row r="323" spans="6:30" ht="10.5" customHeight="1">
      <c r="F323" s="371"/>
      <c r="G323" s="346"/>
      <c r="H323" s="346"/>
      <c r="I323" s="346"/>
      <c r="J323" s="346"/>
      <c r="K323" s="346"/>
      <c r="L323" s="346"/>
      <c r="M323" s="346"/>
      <c r="N323" s="346"/>
      <c r="O323" s="346"/>
      <c r="P323" s="642" t="s">
        <v>2427</v>
      </c>
      <c r="Q323" s="323"/>
      <c r="R323" s="190"/>
      <c r="S323" s="448"/>
      <c r="T323" s="572" t="s">
        <v>793</v>
      </c>
      <c r="U323" s="572" t="s">
        <v>122</v>
      </c>
      <c r="W323" s="495" t="s">
        <v>1441</v>
      </c>
      <c r="X323" s="495" t="s">
        <v>3389</v>
      </c>
      <c r="AA323" s="27"/>
      <c r="AB323" s="27"/>
      <c r="AC323" s="1072"/>
      <c r="AD323" s="585"/>
    </row>
    <row r="324" spans="6:30" ht="10.5" customHeight="1">
      <c r="F324" s="371"/>
      <c r="G324" s="346"/>
      <c r="H324" s="346"/>
      <c r="I324" s="346"/>
      <c r="J324" s="346"/>
      <c r="K324" s="346"/>
      <c r="L324" s="346"/>
      <c r="M324" s="346"/>
      <c r="N324" s="346"/>
      <c r="O324" s="346"/>
      <c r="P324" s="642" t="s">
        <v>2428</v>
      </c>
      <c r="Q324" s="323"/>
      <c r="R324" s="190"/>
      <c r="S324" s="448"/>
      <c r="T324" s="572" t="s">
        <v>795</v>
      </c>
      <c r="U324" s="572" t="s">
        <v>326</v>
      </c>
      <c r="W324" s="495" t="s">
        <v>1556</v>
      </c>
      <c r="X324" s="495" t="s">
        <v>3389</v>
      </c>
      <c r="AA324" s="27"/>
      <c r="AB324" s="27"/>
      <c r="AC324" s="1072"/>
      <c r="AD324" s="585"/>
    </row>
    <row r="325" spans="6:30" ht="10.5" customHeight="1">
      <c r="F325" s="371"/>
      <c r="G325" s="346"/>
      <c r="H325" s="346"/>
      <c r="I325" s="346"/>
      <c r="J325" s="346"/>
      <c r="K325" s="346"/>
      <c r="L325" s="346"/>
      <c r="M325" s="346"/>
      <c r="N325" s="346"/>
      <c r="O325" s="346"/>
      <c r="P325" s="642" t="s">
        <v>381</v>
      </c>
      <c r="Q325" s="323"/>
      <c r="R325" s="190"/>
      <c r="S325" s="448"/>
      <c r="T325" s="572" t="s">
        <v>2854</v>
      </c>
      <c r="U325" s="572" t="s">
        <v>878</v>
      </c>
      <c r="W325" s="495" t="s">
        <v>1183</v>
      </c>
      <c r="X325" s="495" t="s">
        <v>3389</v>
      </c>
      <c r="AA325" s="27"/>
      <c r="AB325" s="27"/>
      <c r="AC325" s="1072"/>
      <c r="AD325" s="585"/>
    </row>
    <row r="326" spans="6:30" ht="10.5" customHeight="1">
      <c r="F326" s="371"/>
      <c r="G326" s="346"/>
      <c r="H326" s="346"/>
      <c r="I326" s="346"/>
      <c r="J326" s="346"/>
      <c r="K326" s="346"/>
      <c r="L326" s="346"/>
      <c r="M326" s="346"/>
      <c r="N326" s="346"/>
      <c r="O326" s="346"/>
      <c r="P326" s="642" t="s">
        <v>47</v>
      </c>
      <c r="Q326" s="323"/>
      <c r="R326" s="190"/>
      <c r="S326" s="448"/>
      <c r="T326" s="643" t="s">
        <v>2424</v>
      </c>
      <c r="U326" s="643" t="s">
        <v>1453</v>
      </c>
      <c r="W326" s="495" t="s">
        <v>1750</v>
      </c>
      <c r="X326" s="495" t="s">
        <v>3389</v>
      </c>
      <c r="AA326" s="27"/>
      <c r="AB326" s="27"/>
      <c r="AC326" s="1072"/>
      <c r="AD326" s="585"/>
    </row>
    <row r="327" spans="6:30" ht="10.5" customHeight="1">
      <c r="F327" s="371"/>
      <c r="G327" s="346"/>
      <c r="H327" s="346"/>
      <c r="I327" s="346"/>
      <c r="J327" s="346"/>
      <c r="K327" s="346"/>
      <c r="L327" s="346"/>
      <c r="M327" s="346"/>
      <c r="N327" s="346"/>
      <c r="O327" s="346"/>
      <c r="P327" s="642" t="s">
        <v>49</v>
      </c>
      <c r="Q327" s="323"/>
      <c r="R327" s="190"/>
      <c r="S327" s="448"/>
      <c r="T327" s="572" t="s">
        <v>2426</v>
      </c>
      <c r="U327" s="572" t="s">
        <v>1105</v>
      </c>
      <c r="W327" s="495" t="s">
        <v>1815</v>
      </c>
      <c r="X327" s="495" t="s">
        <v>3389</v>
      </c>
      <c r="AA327" s="27"/>
      <c r="AB327" s="27"/>
      <c r="AC327" s="1073"/>
      <c r="AD327" s="585"/>
    </row>
    <row r="328" spans="6:30" ht="10.5" customHeight="1">
      <c r="F328" s="371"/>
      <c r="G328" s="346"/>
      <c r="H328" s="346"/>
      <c r="I328" s="346"/>
      <c r="J328" s="346"/>
      <c r="K328" s="346"/>
      <c r="L328" s="346"/>
      <c r="M328" s="346"/>
      <c r="N328" s="346"/>
      <c r="O328" s="346"/>
      <c r="P328" s="642" t="s">
        <v>1922</v>
      </c>
      <c r="Q328" s="323"/>
      <c r="R328" s="190"/>
      <c r="S328" s="448"/>
      <c r="T328" s="572" t="s">
        <v>2569</v>
      </c>
      <c r="U328" s="572" t="s">
        <v>666</v>
      </c>
      <c r="W328" s="495" t="s">
        <v>1103</v>
      </c>
      <c r="X328" s="495" t="s">
        <v>3389</v>
      </c>
      <c r="AA328" s="27"/>
      <c r="AB328" s="27"/>
      <c r="AC328" s="1072"/>
      <c r="AD328" s="585"/>
    </row>
    <row r="329" spans="6:30" ht="10.5" customHeight="1">
      <c r="F329" s="371"/>
      <c r="G329" s="346"/>
      <c r="H329" s="346"/>
      <c r="I329" s="346"/>
      <c r="J329" s="346"/>
      <c r="K329" s="346"/>
      <c r="L329" s="346"/>
      <c r="M329" s="346"/>
      <c r="N329" s="346"/>
      <c r="O329" s="346"/>
      <c r="P329" s="642" t="s">
        <v>1923</v>
      </c>
      <c r="Q329" s="323"/>
      <c r="R329" s="190"/>
      <c r="S329" s="448"/>
      <c r="T329" s="572" t="s">
        <v>380</v>
      </c>
      <c r="U329" s="572" t="s">
        <v>2489</v>
      </c>
      <c r="W329" s="495" t="s">
        <v>3387</v>
      </c>
      <c r="X329" s="495" t="s">
        <v>3389</v>
      </c>
      <c r="AA329" s="27"/>
      <c r="AB329" s="27"/>
      <c r="AC329" s="1072"/>
      <c r="AD329" s="585"/>
    </row>
    <row r="330" spans="6:30" ht="10.5" customHeight="1">
      <c r="F330" s="371"/>
      <c r="G330" s="346"/>
      <c r="H330" s="346"/>
      <c r="I330" s="346"/>
      <c r="J330" s="346"/>
      <c r="K330" s="346"/>
      <c r="L330" s="346"/>
      <c r="M330" s="346"/>
      <c r="N330" s="346"/>
      <c r="O330" s="346"/>
      <c r="P330" s="642" t="s">
        <v>1925</v>
      </c>
      <c r="Q330" s="323"/>
      <c r="R330" s="190"/>
      <c r="S330" s="448"/>
      <c r="T330" s="645" t="s">
        <v>382</v>
      </c>
      <c r="U330" s="572" t="s">
        <v>2170</v>
      </c>
      <c r="W330" s="495" t="s">
        <v>2144</v>
      </c>
      <c r="X330" s="495" t="s">
        <v>3389</v>
      </c>
      <c r="AA330" s="27"/>
      <c r="AB330" s="27"/>
      <c r="AC330" s="1072"/>
      <c r="AD330" s="585"/>
    </row>
    <row r="331" spans="6:30" ht="10.5" customHeight="1">
      <c r="F331" s="371"/>
      <c r="G331" s="346"/>
      <c r="H331" s="346"/>
      <c r="I331" s="346"/>
      <c r="J331" s="346"/>
      <c r="K331" s="346"/>
      <c r="L331" s="346"/>
      <c r="M331" s="346"/>
      <c r="N331" s="346"/>
      <c r="O331" s="346"/>
      <c r="P331" s="642" t="s">
        <v>1926</v>
      </c>
      <c r="Q331" s="323"/>
      <c r="R331" s="190"/>
      <c r="S331" s="448"/>
      <c r="T331" s="572" t="s">
        <v>48</v>
      </c>
      <c r="U331" s="572" t="s">
        <v>953</v>
      </c>
      <c r="W331" s="495" t="s">
        <v>1519</v>
      </c>
      <c r="X331" s="495" t="s">
        <v>3389</v>
      </c>
      <c r="AA331" s="27"/>
      <c r="AB331" s="27"/>
      <c r="AC331" s="1074"/>
      <c r="AD331" s="585"/>
    </row>
    <row r="332" spans="6:30" ht="10.5" customHeight="1">
      <c r="F332" s="371"/>
      <c r="G332" s="346"/>
      <c r="H332" s="346"/>
      <c r="I332" s="346"/>
      <c r="J332" s="346"/>
      <c r="K332" s="346"/>
      <c r="L332" s="346"/>
      <c r="M332" s="346"/>
      <c r="N332" s="346"/>
      <c r="O332" s="346"/>
      <c r="P332" s="642" t="s">
        <v>1927</v>
      </c>
      <c r="Q332" s="323"/>
      <c r="R332" s="190"/>
      <c r="S332" s="448"/>
      <c r="T332" s="572" t="s">
        <v>50</v>
      </c>
      <c r="U332" s="572" t="s">
        <v>628</v>
      </c>
      <c r="W332" s="495" t="s">
        <v>63</v>
      </c>
      <c r="X332" s="495" t="s">
        <v>3389</v>
      </c>
      <c r="AA332" s="27"/>
      <c r="AB332" s="27"/>
      <c r="AC332" s="1072"/>
      <c r="AD332" s="585"/>
    </row>
    <row r="333" spans="6:30" ht="10.5" customHeight="1">
      <c r="F333" s="371"/>
      <c r="G333" s="346"/>
      <c r="H333" s="346"/>
      <c r="I333" s="346"/>
      <c r="J333" s="346"/>
      <c r="K333" s="346"/>
      <c r="L333" s="346"/>
      <c r="M333" s="346"/>
      <c r="N333" s="346"/>
      <c r="O333" s="346"/>
      <c r="P333" s="642" t="s">
        <v>1929</v>
      </c>
      <c r="Q333" s="323"/>
      <c r="R333" s="190"/>
      <c r="S333" s="448"/>
      <c r="T333" s="572" t="s">
        <v>873</v>
      </c>
      <c r="U333" s="572" t="s">
        <v>2487</v>
      </c>
      <c r="W333" s="495" t="s">
        <v>67</v>
      </c>
      <c r="X333" s="495" t="s">
        <v>3389</v>
      </c>
      <c r="AA333" s="27"/>
      <c r="AB333" s="27"/>
      <c r="AC333" s="1072"/>
      <c r="AD333" s="585"/>
    </row>
    <row r="334" spans="6:30" ht="10.5" customHeight="1">
      <c r="F334" s="371"/>
      <c r="G334" s="346"/>
      <c r="H334" s="346"/>
      <c r="I334" s="346"/>
      <c r="J334" s="346"/>
      <c r="K334" s="346"/>
      <c r="L334" s="346"/>
      <c r="M334" s="346"/>
      <c r="N334" s="346"/>
      <c r="O334" s="346"/>
      <c r="P334" s="642" t="s">
        <v>716</v>
      </c>
      <c r="Q334" s="323"/>
      <c r="R334" s="190"/>
      <c r="S334" s="448"/>
      <c r="T334" s="643" t="s">
        <v>1924</v>
      </c>
      <c r="U334" s="643" t="s">
        <v>873</v>
      </c>
      <c r="W334" s="495" t="s">
        <v>69</v>
      </c>
      <c r="X334" s="495" t="s">
        <v>3389</v>
      </c>
      <c r="AA334" s="27"/>
      <c r="AB334" s="27"/>
      <c r="AC334" s="1072"/>
      <c r="AD334" s="585"/>
    </row>
    <row r="335" spans="6:30" ht="10.5" customHeight="1">
      <c r="F335" s="371"/>
      <c r="G335" s="346"/>
      <c r="H335" s="346"/>
      <c r="I335" s="346"/>
      <c r="J335" s="346"/>
      <c r="K335" s="346"/>
      <c r="L335" s="346"/>
      <c r="M335" s="346"/>
      <c r="N335" s="346"/>
      <c r="O335" s="346"/>
      <c r="P335" s="642" t="s">
        <v>1139</v>
      </c>
      <c r="Q335" s="323"/>
      <c r="R335" s="190"/>
      <c r="S335" s="448"/>
      <c r="T335" s="643" t="s">
        <v>2570</v>
      </c>
      <c r="U335" s="643" t="s">
        <v>628</v>
      </c>
      <c r="W335" s="495" t="s">
        <v>777</v>
      </c>
      <c r="X335" s="495" t="s">
        <v>3389</v>
      </c>
      <c r="AA335" s="27"/>
      <c r="AB335" s="27"/>
      <c r="AC335" s="1073"/>
      <c r="AD335" s="585"/>
    </row>
    <row r="336" spans="6:30" ht="10.5" customHeight="1">
      <c r="F336" s="371"/>
      <c r="G336" s="346"/>
      <c r="H336" s="346"/>
      <c r="I336" s="346"/>
      <c r="J336" s="346"/>
      <c r="K336" s="346"/>
      <c r="L336" s="346"/>
      <c r="M336" s="346"/>
      <c r="N336" s="346"/>
      <c r="O336" s="346"/>
      <c r="P336" s="642" t="s">
        <v>1141</v>
      </c>
      <c r="Q336" s="323"/>
      <c r="R336" s="190"/>
      <c r="S336" s="448"/>
      <c r="T336" s="572" t="s">
        <v>2855</v>
      </c>
      <c r="U336" s="572" t="s">
        <v>2484</v>
      </c>
      <c r="W336" s="495" t="s">
        <v>941</v>
      </c>
      <c r="X336" s="495" t="s">
        <v>3389</v>
      </c>
      <c r="AA336" s="27"/>
      <c r="AB336" s="27"/>
      <c r="AC336" s="1073"/>
      <c r="AD336" s="585"/>
    </row>
    <row r="337" spans="6:30" ht="10.5" customHeight="1">
      <c r="F337" s="371"/>
      <c r="G337" s="346"/>
      <c r="H337" s="346"/>
      <c r="I337" s="346"/>
      <c r="J337" s="346"/>
      <c r="K337" s="346"/>
      <c r="L337" s="346"/>
      <c r="M337" s="346"/>
      <c r="N337" s="346"/>
      <c r="O337" s="346"/>
      <c r="P337" s="642" t="s">
        <v>1143</v>
      </c>
      <c r="Q337" s="323"/>
      <c r="R337" s="190"/>
      <c r="S337" s="448"/>
      <c r="T337" s="572" t="s">
        <v>1928</v>
      </c>
      <c r="U337" s="572" t="s">
        <v>1453</v>
      </c>
      <c r="W337" s="495" t="s">
        <v>1043</v>
      </c>
      <c r="X337" s="495" t="s">
        <v>3389</v>
      </c>
      <c r="AA337" s="27"/>
      <c r="AB337" s="27"/>
      <c r="AC337" s="1072"/>
      <c r="AD337" s="585"/>
    </row>
    <row r="338" spans="6:30" ht="10.5" customHeight="1">
      <c r="F338" s="371"/>
      <c r="G338" s="346"/>
      <c r="H338" s="346"/>
      <c r="I338" s="346"/>
      <c r="J338" s="346"/>
      <c r="K338" s="346"/>
      <c r="L338" s="346"/>
      <c r="M338" s="346"/>
      <c r="N338" s="346"/>
      <c r="O338" s="346"/>
      <c r="P338" s="642" t="s">
        <v>2513</v>
      </c>
      <c r="Q338" s="323"/>
      <c r="R338" s="190"/>
      <c r="S338" s="448"/>
      <c r="T338" s="572" t="s">
        <v>1930</v>
      </c>
      <c r="U338" s="572" t="s">
        <v>1453</v>
      </c>
      <c r="W338" s="495" t="s">
        <v>2268</v>
      </c>
      <c r="X338" s="495" t="s">
        <v>3389</v>
      </c>
      <c r="AA338" s="27"/>
      <c r="AB338" s="27"/>
      <c r="AC338" s="1072"/>
      <c r="AD338" s="585"/>
    </row>
    <row r="339" spans="6:30" ht="10.5" customHeight="1">
      <c r="F339" s="371"/>
      <c r="G339" s="346"/>
      <c r="H339" s="346"/>
      <c r="I339" s="346"/>
      <c r="J339" s="346"/>
      <c r="K339" s="346"/>
      <c r="L339" s="346"/>
      <c r="M339" s="346"/>
      <c r="N339" s="346"/>
      <c r="O339" s="346"/>
      <c r="P339" s="642" t="s">
        <v>2515</v>
      </c>
      <c r="Q339" s="323"/>
      <c r="R339" s="190"/>
      <c r="S339" s="448"/>
      <c r="T339" s="572" t="s">
        <v>717</v>
      </c>
      <c r="U339" s="572" t="s">
        <v>121</v>
      </c>
      <c r="W339" s="495" t="s">
        <v>2521</v>
      </c>
      <c r="X339" s="495" t="s">
        <v>3389</v>
      </c>
      <c r="AA339" s="27"/>
      <c r="AB339" s="27"/>
      <c r="AC339" s="1072"/>
      <c r="AD339" s="585"/>
    </row>
    <row r="340" spans="6:30" ht="10.5" customHeight="1">
      <c r="F340" s="371"/>
      <c r="G340" s="346"/>
      <c r="H340" s="346"/>
      <c r="I340" s="346"/>
      <c r="J340" s="346"/>
      <c r="K340" s="346"/>
      <c r="L340" s="346"/>
      <c r="M340" s="346"/>
      <c r="N340" s="346"/>
      <c r="O340" s="346"/>
      <c r="P340" s="642" t="s">
        <v>188</v>
      </c>
      <c r="Q340" s="323"/>
      <c r="R340" s="190"/>
      <c r="S340" s="448"/>
      <c r="T340" s="572" t="s">
        <v>690</v>
      </c>
      <c r="U340" s="572" t="s">
        <v>628</v>
      </c>
      <c r="W340" s="495" t="s">
        <v>2164</v>
      </c>
      <c r="X340" s="495" t="s">
        <v>3389</v>
      </c>
      <c r="AA340" s="27"/>
      <c r="AB340" s="27"/>
      <c r="AC340" s="1072"/>
      <c r="AD340" s="585"/>
    </row>
    <row r="341" spans="6:30" ht="10.5" customHeight="1">
      <c r="F341" s="371"/>
      <c r="G341" s="346"/>
      <c r="H341" s="346"/>
      <c r="I341" s="346"/>
      <c r="J341" s="346"/>
      <c r="K341" s="346"/>
      <c r="L341" s="346"/>
      <c r="M341" s="346"/>
      <c r="N341" s="346"/>
      <c r="O341" s="346"/>
      <c r="P341" s="642" t="s">
        <v>189</v>
      </c>
      <c r="Q341" s="323"/>
      <c r="R341" s="190"/>
      <c r="S341" s="448"/>
      <c r="T341" s="572" t="s">
        <v>2856</v>
      </c>
      <c r="U341" s="572" t="s">
        <v>159</v>
      </c>
      <c r="W341" s="495" t="s">
        <v>1614</v>
      </c>
      <c r="X341" s="495" t="s">
        <v>3389</v>
      </c>
      <c r="AA341" s="27"/>
      <c r="AB341" s="27"/>
      <c r="AC341" s="1072"/>
      <c r="AD341" s="585"/>
    </row>
    <row r="342" spans="6:30" ht="10.5" customHeight="1">
      <c r="F342" s="371"/>
      <c r="G342" s="346"/>
      <c r="H342" s="346"/>
      <c r="I342" s="346"/>
      <c r="J342" s="346"/>
      <c r="K342" s="346"/>
      <c r="L342" s="346"/>
      <c r="M342" s="346"/>
      <c r="N342" s="346"/>
      <c r="O342" s="346"/>
      <c r="P342" s="642" t="s">
        <v>1824</v>
      </c>
      <c r="Q342" s="323"/>
      <c r="R342" s="190"/>
      <c r="S342" s="448"/>
      <c r="T342" s="572" t="s">
        <v>2857</v>
      </c>
      <c r="U342" s="572" t="s">
        <v>316</v>
      </c>
      <c r="W342" s="495" t="s">
        <v>2416</v>
      </c>
      <c r="X342" s="495" t="s">
        <v>3389</v>
      </c>
      <c r="AA342" s="27"/>
      <c r="AB342" s="27"/>
      <c r="AC342" s="1072"/>
      <c r="AD342" s="585"/>
    </row>
    <row r="343" spans="6:30" ht="10.5" customHeight="1">
      <c r="F343" s="371"/>
      <c r="G343" s="346"/>
      <c r="H343" s="346"/>
      <c r="I343" s="346"/>
      <c r="J343" s="346"/>
      <c r="K343" s="346"/>
      <c r="L343" s="346"/>
      <c r="M343" s="346"/>
      <c r="N343" s="346"/>
      <c r="O343" s="346"/>
      <c r="P343" s="642" t="s">
        <v>1826</v>
      </c>
      <c r="Q343" s="323"/>
      <c r="R343" s="190"/>
      <c r="S343" s="448"/>
      <c r="T343" s="572" t="s">
        <v>1140</v>
      </c>
      <c r="U343" s="572" t="s">
        <v>1453</v>
      </c>
      <c r="W343" s="495" t="s">
        <v>815</v>
      </c>
      <c r="X343" s="495" t="s">
        <v>3389</v>
      </c>
      <c r="AA343" s="27"/>
      <c r="AB343" s="27"/>
      <c r="AC343" s="1072"/>
      <c r="AD343" s="585"/>
    </row>
    <row r="344" spans="6:30" ht="10.5" customHeight="1">
      <c r="F344" s="371"/>
      <c r="G344" s="346"/>
      <c r="H344" s="346"/>
      <c r="I344" s="346"/>
      <c r="J344" s="346"/>
      <c r="K344" s="346"/>
      <c r="L344" s="346"/>
      <c r="M344" s="346"/>
      <c r="N344" s="346"/>
      <c r="O344" s="346"/>
      <c r="P344" s="642" t="s">
        <v>1891</v>
      </c>
      <c r="Q344" s="323"/>
      <c r="R344" s="190"/>
      <c r="S344" s="448"/>
      <c r="T344" s="572" t="s">
        <v>1142</v>
      </c>
      <c r="U344" s="572" t="s">
        <v>662</v>
      </c>
      <c r="W344" s="495" t="s">
        <v>168</v>
      </c>
      <c r="X344" s="495" t="s">
        <v>3389</v>
      </c>
      <c r="AA344" s="27"/>
      <c r="AB344" s="27"/>
      <c r="AC344" s="1072"/>
      <c r="AD344" s="585"/>
    </row>
    <row r="345" spans="6:30" ht="10.5" customHeight="1">
      <c r="F345" s="371"/>
      <c r="G345" s="346"/>
      <c r="H345" s="346"/>
      <c r="I345" s="346"/>
      <c r="J345" s="346"/>
      <c r="K345" s="346"/>
      <c r="L345" s="346"/>
      <c r="M345" s="346"/>
      <c r="N345" s="346"/>
      <c r="O345" s="346"/>
      <c r="P345" s="642" t="s">
        <v>1893</v>
      </c>
      <c r="Q345" s="323"/>
      <c r="R345" s="190"/>
      <c r="S345" s="448"/>
      <c r="T345" s="572" t="s">
        <v>2571</v>
      </c>
      <c r="U345" s="572" t="s">
        <v>2172</v>
      </c>
      <c r="W345" s="495" t="s">
        <v>1326</v>
      </c>
      <c r="X345" s="495" t="s">
        <v>3389</v>
      </c>
      <c r="AA345" s="27"/>
      <c r="AB345" s="27"/>
      <c r="AC345" s="1072"/>
      <c r="AD345" s="585"/>
    </row>
    <row r="346" spans="6:30" ht="10.5" customHeight="1">
      <c r="F346" s="371"/>
      <c r="G346" s="346"/>
      <c r="H346" s="346"/>
      <c r="I346" s="346"/>
      <c r="J346" s="346"/>
      <c r="K346" s="346"/>
      <c r="L346" s="346"/>
      <c r="M346" s="346"/>
      <c r="N346" s="346"/>
      <c r="O346" s="346"/>
      <c r="P346" s="642" t="s">
        <v>1894</v>
      </c>
      <c r="Q346" s="323"/>
      <c r="R346" s="190"/>
      <c r="S346" s="448"/>
      <c r="T346" s="572" t="s">
        <v>2572</v>
      </c>
      <c r="U346" s="572" t="s">
        <v>2531</v>
      </c>
      <c r="W346" s="495" t="s">
        <v>1072</v>
      </c>
      <c r="X346" s="495" t="s">
        <v>3389</v>
      </c>
      <c r="AA346" s="27"/>
      <c r="AB346" s="27"/>
      <c r="AC346" s="1072"/>
      <c r="AD346" s="585"/>
    </row>
    <row r="347" spans="6:30" ht="10.5" customHeight="1">
      <c r="F347" s="371"/>
      <c r="G347" s="346"/>
      <c r="H347" s="346"/>
      <c r="I347" s="346"/>
      <c r="J347" s="346"/>
      <c r="K347" s="346"/>
      <c r="L347" s="346"/>
      <c r="M347" s="346"/>
      <c r="N347" s="346"/>
      <c r="O347" s="346"/>
      <c r="P347" s="642" t="s">
        <v>1896</v>
      </c>
      <c r="Q347" s="323"/>
      <c r="R347" s="190"/>
      <c r="S347" s="448"/>
      <c r="T347" s="572" t="s">
        <v>1144</v>
      </c>
      <c r="U347" s="572" t="s">
        <v>1206</v>
      </c>
      <c r="W347" s="495" t="s">
        <v>1992</v>
      </c>
      <c r="X347" s="495" t="s">
        <v>3389</v>
      </c>
      <c r="AA347" s="27"/>
      <c r="AB347" s="27"/>
      <c r="AC347" s="1072"/>
      <c r="AD347" s="585"/>
    </row>
    <row r="348" spans="6:30" ht="10.5" customHeight="1">
      <c r="F348" s="371"/>
      <c r="G348" s="346"/>
      <c r="H348" s="346"/>
      <c r="I348" s="346"/>
      <c r="J348" s="346"/>
      <c r="K348" s="346"/>
      <c r="L348" s="346"/>
      <c r="M348" s="346"/>
      <c r="N348" s="346"/>
      <c r="O348" s="346"/>
      <c r="P348" s="642" t="s">
        <v>1898</v>
      </c>
      <c r="Q348" s="323"/>
      <c r="R348" s="190"/>
      <c r="S348" s="448"/>
      <c r="T348" s="572" t="s">
        <v>2514</v>
      </c>
      <c r="U348" s="572" t="s">
        <v>199</v>
      </c>
      <c r="W348" s="495" t="s">
        <v>1888</v>
      </c>
      <c r="X348" s="495" t="s">
        <v>3389</v>
      </c>
      <c r="AA348" s="27"/>
      <c r="AB348" s="27"/>
      <c r="AC348" s="1072"/>
      <c r="AD348" s="585"/>
    </row>
    <row r="349" spans="6:30" ht="10.5" customHeight="1">
      <c r="F349" s="371"/>
      <c r="G349" s="346"/>
      <c r="H349" s="346"/>
      <c r="I349" s="346"/>
      <c r="J349" s="346"/>
      <c r="K349" s="346"/>
      <c r="L349" s="346"/>
      <c r="M349" s="346"/>
      <c r="N349" s="346"/>
      <c r="O349" s="346"/>
      <c r="P349" s="642" t="s">
        <v>1932</v>
      </c>
      <c r="Q349" s="323"/>
      <c r="R349" s="190"/>
      <c r="S349" s="448"/>
      <c r="T349" s="572" t="s">
        <v>455</v>
      </c>
      <c r="U349" s="572" t="s">
        <v>1101</v>
      </c>
      <c r="W349" s="495" t="s">
        <v>2536</v>
      </c>
      <c r="X349" s="495" t="s">
        <v>3389</v>
      </c>
      <c r="AA349" s="27"/>
      <c r="AB349" s="27"/>
      <c r="AC349" s="1072"/>
      <c r="AD349" s="585"/>
    </row>
    <row r="350" spans="6:30" ht="10.5" customHeight="1">
      <c r="F350" s="371"/>
      <c r="G350" s="346"/>
      <c r="H350" s="346"/>
      <c r="I350" s="346"/>
      <c r="J350" s="346"/>
      <c r="K350" s="346"/>
      <c r="L350" s="346"/>
      <c r="M350" s="346"/>
      <c r="N350" s="346"/>
      <c r="O350" s="346"/>
      <c r="P350" s="642" t="s">
        <v>1934</v>
      </c>
      <c r="Q350" s="323"/>
      <c r="R350" s="190"/>
      <c r="S350" s="448"/>
      <c r="T350" s="643" t="s">
        <v>4745</v>
      </c>
      <c r="U350" s="643" t="s">
        <v>664</v>
      </c>
      <c r="W350" s="495" t="s">
        <v>1155</v>
      </c>
      <c r="X350" s="495" t="s">
        <v>3389</v>
      </c>
      <c r="AA350" s="27"/>
      <c r="AB350" s="27"/>
      <c r="AC350" s="1072"/>
      <c r="AD350" s="585"/>
    </row>
    <row r="351" spans="6:30" ht="10.5" customHeight="1">
      <c r="F351" s="371"/>
      <c r="G351" s="346"/>
      <c r="H351" s="346"/>
      <c r="I351" s="346"/>
      <c r="J351" s="346"/>
      <c r="K351" s="346"/>
      <c r="L351" s="346"/>
      <c r="M351" s="346"/>
      <c r="N351" s="346"/>
      <c r="O351" s="346"/>
      <c r="P351" s="642" t="s">
        <v>1935</v>
      </c>
      <c r="Q351" s="323"/>
      <c r="R351" s="190"/>
      <c r="S351" s="448"/>
      <c r="T351" s="643" t="s">
        <v>301</v>
      </c>
      <c r="U351" s="643" t="s">
        <v>1332</v>
      </c>
      <c r="W351" s="495" t="s">
        <v>2517</v>
      </c>
      <c r="X351" s="495" t="s">
        <v>3389</v>
      </c>
      <c r="AA351" s="27"/>
      <c r="AB351" s="27"/>
      <c r="AC351" s="1073"/>
      <c r="AD351" s="585"/>
    </row>
    <row r="352" spans="6:30" ht="10.5" customHeight="1">
      <c r="F352" s="371"/>
      <c r="G352" s="346"/>
      <c r="H352" s="346"/>
      <c r="I352" s="346"/>
      <c r="J352" s="346"/>
      <c r="K352" s="346"/>
      <c r="L352" s="346"/>
      <c r="M352" s="346"/>
      <c r="N352" s="346"/>
      <c r="O352" s="346"/>
      <c r="P352" s="642" t="s">
        <v>1937</v>
      </c>
      <c r="Q352" s="323"/>
      <c r="R352" s="190"/>
      <c r="S352" s="448"/>
      <c r="T352" s="643" t="s">
        <v>1825</v>
      </c>
      <c r="U352" s="643" t="s">
        <v>878</v>
      </c>
      <c r="W352" s="495" t="s">
        <v>816</v>
      </c>
      <c r="X352" s="495" t="s">
        <v>3389</v>
      </c>
      <c r="AA352" s="27"/>
      <c r="AB352" s="27"/>
      <c r="AC352" s="1073"/>
      <c r="AD352" s="585"/>
    </row>
    <row r="353" spans="6:30" ht="10.5" customHeight="1">
      <c r="F353" s="371"/>
      <c r="G353" s="346"/>
      <c r="H353" s="346"/>
      <c r="I353" s="346"/>
      <c r="J353" s="346"/>
      <c r="K353" s="346"/>
      <c r="L353" s="346"/>
      <c r="M353" s="346"/>
      <c r="N353" s="346"/>
      <c r="O353" s="346"/>
      <c r="P353" s="642" t="s">
        <v>1939</v>
      </c>
      <c r="Q353" s="323"/>
      <c r="R353" s="190"/>
      <c r="S353" s="448"/>
      <c r="T353" s="572" t="s">
        <v>1827</v>
      </c>
      <c r="U353" s="572" t="s">
        <v>1111</v>
      </c>
      <c r="W353" s="495" t="s">
        <v>2102</v>
      </c>
      <c r="X353" s="495" t="s">
        <v>3389</v>
      </c>
      <c r="AA353" s="27"/>
      <c r="AB353" s="27"/>
      <c r="AC353" s="1073"/>
      <c r="AD353" s="585"/>
    </row>
    <row r="354" spans="6:30" ht="10.5" customHeight="1">
      <c r="F354" s="371"/>
      <c r="G354" s="346"/>
      <c r="H354" s="346"/>
      <c r="I354" s="346"/>
      <c r="J354" s="346"/>
      <c r="K354" s="346"/>
      <c r="L354" s="346"/>
      <c r="M354" s="346"/>
      <c r="N354" s="346"/>
      <c r="O354" s="346"/>
      <c r="P354" s="642" t="s">
        <v>419</v>
      </c>
      <c r="Q354" s="323"/>
      <c r="R354" s="190"/>
      <c r="S354" s="448"/>
      <c r="T354" s="572" t="s">
        <v>1892</v>
      </c>
      <c r="U354" s="572" t="s">
        <v>2489</v>
      </c>
      <c r="W354" s="495" t="s">
        <v>939</v>
      </c>
      <c r="X354" s="495" t="s">
        <v>3389</v>
      </c>
      <c r="AA354" s="27"/>
      <c r="AB354" s="27"/>
      <c r="AC354" s="1072"/>
      <c r="AD354" s="585"/>
    </row>
    <row r="355" spans="6:30" ht="10.5" customHeight="1">
      <c r="F355" s="371"/>
      <c r="G355" s="346"/>
      <c r="H355" s="346"/>
      <c r="I355" s="346"/>
      <c r="J355" s="346"/>
      <c r="K355" s="346"/>
      <c r="L355" s="346"/>
      <c r="M355" s="346"/>
      <c r="N355" s="346"/>
      <c r="O355" s="346"/>
      <c r="P355" s="642" t="s">
        <v>133</v>
      </c>
      <c r="Q355" s="323"/>
      <c r="R355" s="190"/>
      <c r="S355" s="448"/>
      <c r="T355" s="643" t="s">
        <v>1895</v>
      </c>
      <c r="U355" s="643" t="s">
        <v>662</v>
      </c>
      <c r="W355" s="495" t="s">
        <v>2502</v>
      </c>
      <c r="X355" s="495" t="s">
        <v>3389</v>
      </c>
      <c r="AA355" s="27"/>
      <c r="AB355" s="27"/>
      <c r="AC355" s="1072"/>
      <c r="AD355" s="585"/>
    </row>
    <row r="356" spans="6:30" ht="10.5" customHeight="1">
      <c r="F356" s="371"/>
      <c r="G356" s="346"/>
      <c r="H356" s="346"/>
      <c r="I356" s="346"/>
      <c r="J356" s="346"/>
      <c r="K356" s="346"/>
      <c r="L356" s="346"/>
      <c r="M356" s="346"/>
      <c r="N356" s="346"/>
      <c r="O356" s="346"/>
      <c r="P356" s="642" t="s">
        <v>1674</v>
      </c>
      <c r="Q356" s="323"/>
      <c r="R356" s="190"/>
      <c r="S356" s="448"/>
      <c r="T356" s="572" t="s">
        <v>1897</v>
      </c>
      <c r="U356" s="572" t="s">
        <v>1314</v>
      </c>
      <c r="W356" s="495" t="s">
        <v>1905</v>
      </c>
      <c r="X356" s="495" t="s">
        <v>3389</v>
      </c>
      <c r="AA356" s="27"/>
      <c r="AB356" s="27"/>
      <c r="AC356" s="1073"/>
      <c r="AD356" s="585"/>
    </row>
    <row r="357" spans="6:30" ht="10.5" customHeight="1">
      <c r="F357" s="371"/>
      <c r="G357" s="346"/>
      <c r="H357" s="346"/>
      <c r="I357" s="346"/>
      <c r="J357" s="346"/>
      <c r="K357" s="346"/>
      <c r="L357" s="346"/>
      <c r="M357" s="346"/>
      <c r="N357" s="346"/>
      <c r="O357" s="346"/>
      <c r="P357" s="642" t="s">
        <v>1748</v>
      </c>
      <c r="Q357" s="323"/>
      <c r="R357" s="190"/>
      <c r="S357" s="448"/>
      <c r="T357" s="572" t="s">
        <v>2858</v>
      </c>
      <c r="U357" s="572" t="s">
        <v>199</v>
      </c>
      <c r="W357" s="495" t="s">
        <v>1413</v>
      </c>
      <c r="X357" s="495" t="s">
        <v>3389</v>
      </c>
      <c r="AA357" s="27"/>
      <c r="AB357" s="27"/>
      <c r="AC357" s="1072"/>
      <c r="AD357" s="585"/>
    </row>
    <row r="358" spans="6:30" ht="10.5" customHeight="1">
      <c r="F358" s="371"/>
      <c r="G358" s="346"/>
      <c r="H358" s="346"/>
      <c r="I358" s="346"/>
      <c r="J358" s="346"/>
      <c r="K358" s="346"/>
      <c r="L358" s="346"/>
      <c r="M358" s="346"/>
      <c r="N358" s="346"/>
      <c r="O358" s="346"/>
      <c r="P358" s="642" t="s">
        <v>2278</v>
      </c>
      <c r="Q358" s="323"/>
      <c r="R358" s="190"/>
      <c r="S358" s="448"/>
      <c r="T358" s="572" t="s">
        <v>1899</v>
      </c>
      <c r="U358" s="572" t="s">
        <v>1317</v>
      </c>
      <c r="W358" s="495" t="s">
        <v>2258</v>
      </c>
      <c r="X358" s="495" t="s">
        <v>3389</v>
      </c>
      <c r="AA358" s="27"/>
      <c r="AB358" s="27"/>
      <c r="AC358" s="1072"/>
      <c r="AD358" s="585"/>
    </row>
    <row r="359" spans="6:30" ht="10.5" customHeight="1">
      <c r="F359" s="371"/>
      <c r="G359" s="346"/>
      <c r="H359" s="346"/>
      <c r="I359" s="346"/>
      <c r="J359" s="346"/>
      <c r="K359" s="346"/>
      <c r="L359" s="346"/>
      <c r="M359" s="346"/>
      <c r="N359" s="346"/>
      <c r="O359" s="346"/>
      <c r="P359" s="642" t="s">
        <v>2280</v>
      </c>
      <c r="Q359" s="323"/>
      <c r="R359" s="190"/>
      <c r="S359" s="448"/>
      <c r="T359" s="572" t="s">
        <v>1933</v>
      </c>
      <c r="U359" s="572" t="s">
        <v>318</v>
      </c>
      <c r="W359" s="495" t="s">
        <v>2260</v>
      </c>
      <c r="X359" s="495" t="s">
        <v>3389</v>
      </c>
      <c r="AA359" s="27"/>
      <c r="AB359" s="27"/>
      <c r="AC359" s="1072"/>
      <c r="AD359" s="585"/>
    </row>
    <row r="360" spans="6:30" ht="10.5" customHeight="1">
      <c r="F360" s="371"/>
      <c r="G360" s="346"/>
      <c r="H360" s="346"/>
      <c r="I360" s="346"/>
      <c r="J360" s="346"/>
      <c r="K360" s="346"/>
      <c r="L360" s="346"/>
      <c r="M360" s="346"/>
      <c r="N360" s="346"/>
      <c r="O360" s="346"/>
      <c r="P360" s="642" t="s">
        <v>992</v>
      </c>
      <c r="Q360" s="323"/>
      <c r="R360" s="190"/>
      <c r="S360" s="448"/>
      <c r="T360" s="572" t="s">
        <v>2859</v>
      </c>
      <c r="U360" s="572" t="s">
        <v>655</v>
      </c>
      <c r="W360" s="495" t="s">
        <v>1116</v>
      </c>
      <c r="X360" s="495" t="s">
        <v>3389</v>
      </c>
      <c r="AA360" s="27"/>
      <c r="AB360" s="27"/>
      <c r="AC360" s="1072"/>
      <c r="AD360" s="585"/>
    </row>
    <row r="361" spans="6:30" ht="10.5" customHeight="1">
      <c r="F361" s="371"/>
      <c r="G361" s="346"/>
      <c r="H361" s="346"/>
      <c r="I361" s="346"/>
      <c r="J361" s="346"/>
      <c r="K361" s="346"/>
      <c r="L361" s="346"/>
      <c r="M361" s="346"/>
      <c r="N361" s="346"/>
      <c r="O361" s="346"/>
      <c r="P361" s="642" t="s">
        <v>677</v>
      </c>
      <c r="Q361" s="323"/>
      <c r="R361" s="190"/>
      <c r="S361" s="448"/>
      <c r="T361" s="572" t="s">
        <v>1936</v>
      </c>
      <c r="U361" s="572" t="s">
        <v>2586</v>
      </c>
      <c r="W361" s="495" t="s">
        <v>2125</v>
      </c>
      <c r="X361" s="495" t="s">
        <v>3389</v>
      </c>
      <c r="AA361" s="27"/>
      <c r="AB361" s="27"/>
      <c r="AC361" s="1072"/>
      <c r="AD361" s="585"/>
    </row>
    <row r="362" spans="6:30" ht="10.5" customHeight="1">
      <c r="F362" s="371"/>
      <c r="G362" s="346"/>
      <c r="H362" s="346"/>
      <c r="I362" s="346"/>
      <c r="J362" s="346"/>
      <c r="K362" s="346"/>
      <c r="L362" s="346"/>
      <c r="M362" s="346"/>
      <c r="N362" s="346"/>
      <c r="O362" s="346"/>
      <c r="P362" s="642" t="s">
        <v>569</v>
      </c>
      <c r="Q362" s="323"/>
      <c r="R362" s="190"/>
      <c r="S362" s="448"/>
      <c r="T362" s="572" t="s">
        <v>1938</v>
      </c>
      <c r="U362" s="572" t="s">
        <v>1314</v>
      </c>
      <c r="W362" s="495" t="s">
        <v>2126</v>
      </c>
      <c r="X362" s="495" t="s">
        <v>3389</v>
      </c>
      <c r="AA362" s="27"/>
      <c r="AB362" s="27"/>
      <c r="AC362" s="1072"/>
      <c r="AD362" s="585"/>
    </row>
    <row r="363" spans="6:30" ht="10.5" customHeight="1">
      <c r="F363" s="371"/>
      <c r="G363" s="346"/>
      <c r="H363" s="346"/>
      <c r="I363" s="346"/>
      <c r="J363" s="346"/>
      <c r="K363" s="346"/>
      <c r="L363" s="346"/>
      <c r="M363" s="346"/>
      <c r="N363" s="346"/>
      <c r="O363" s="346"/>
      <c r="P363" s="642" t="s">
        <v>673</v>
      </c>
      <c r="Q363" s="323"/>
      <c r="R363" s="190"/>
      <c r="S363" s="448"/>
      <c r="T363" s="572" t="s">
        <v>2244</v>
      </c>
      <c r="U363" s="572" t="s">
        <v>2528</v>
      </c>
      <c r="W363" s="495" t="s">
        <v>2127</v>
      </c>
      <c r="X363" s="495" t="s">
        <v>3389</v>
      </c>
      <c r="AA363" s="27"/>
      <c r="AB363" s="27"/>
      <c r="AC363" s="1072"/>
      <c r="AD363" s="585"/>
    </row>
    <row r="364" spans="6:30" ht="10.5" customHeight="1">
      <c r="F364" s="371"/>
      <c r="G364" s="346"/>
      <c r="H364" s="346"/>
      <c r="I364" s="346"/>
      <c r="J364" s="346"/>
      <c r="K364" s="346"/>
      <c r="L364" s="346"/>
      <c r="M364" s="346"/>
      <c r="N364" s="346"/>
      <c r="O364" s="346"/>
      <c r="P364" s="642" t="s">
        <v>2387</v>
      </c>
      <c r="Q364" s="323"/>
      <c r="R364" s="190"/>
      <c r="S364" s="448"/>
      <c r="T364" s="572" t="s">
        <v>2573</v>
      </c>
      <c r="U364" s="572" t="s">
        <v>2172</v>
      </c>
      <c r="W364" s="495" t="s">
        <v>2332</v>
      </c>
      <c r="X364" s="495" t="s">
        <v>3389</v>
      </c>
      <c r="AA364" s="27"/>
      <c r="AB364" s="27"/>
      <c r="AC364" s="1072"/>
      <c r="AD364" s="585"/>
    </row>
    <row r="365" spans="6:30" ht="10.5" customHeight="1">
      <c r="F365" s="371"/>
      <c r="G365" s="346"/>
      <c r="H365" s="346"/>
      <c r="I365" s="346"/>
      <c r="J365" s="346"/>
      <c r="K365" s="346"/>
      <c r="L365" s="346"/>
      <c r="M365" s="346"/>
      <c r="N365" s="346"/>
      <c r="O365" s="346"/>
      <c r="P365" s="642" t="s">
        <v>219</v>
      </c>
      <c r="Q365" s="323"/>
      <c r="R365" s="190"/>
      <c r="S365" s="448"/>
      <c r="T365" s="572" t="s">
        <v>2574</v>
      </c>
      <c r="U365" s="572" t="s">
        <v>2486</v>
      </c>
      <c r="W365" s="495" t="s">
        <v>2334</v>
      </c>
      <c r="X365" s="495" t="s">
        <v>3389</v>
      </c>
      <c r="AA365" s="27"/>
      <c r="AB365" s="27"/>
      <c r="AC365" s="1072"/>
      <c r="AD365" s="585"/>
    </row>
    <row r="366" spans="6:30" ht="10.5" customHeight="1">
      <c r="F366" s="371"/>
      <c r="G366" s="346"/>
      <c r="H366" s="346"/>
      <c r="I366" s="346"/>
      <c r="J366" s="346"/>
      <c r="K366" s="346"/>
      <c r="L366" s="346"/>
      <c r="M366" s="346"/>
      <c r="N366" s="346"/>
      <c r="O366" s="346"/>
      <c r="P366" s="642" t="s">
        <v>781</v>
      </c>
      <c r="Q366" s="323"/>
      <c r="R366" s="190"/>
      <c r="S366" s="448"/>
      <c r="T366" s="572" t="s">
        <v>420</v>
      </c>
      <c r="U366" s="572" t="s">
        <v>1206</v>
      </c>
      <c r="W366" s="495" t="s">
        <v>2261</v>
      </c>
      <c r="X366" s="495" t="s">
        <v>3389</v>
      </c>
      <c r="AA366" s="27"/>
      <c r="AB366" s="27"/>
      <c r="AC366" s="1072"/>
      <c r="AD366" s="585"/>
    </row>
    <row r="367" spans="6:30" ht="10.5" customHeight="1">
      <c r="F367" s="371"/>
      <c r="G367" s="346"/>
      <c r="H367" s="346"/>
      <c r="I367" s="346"/>
      <c r="J367" s="346"/>
      <c r="K367" s="346"/>
      <c r="L367" s="346"/>
      <c r="M367" s="346"/>
      <c r="N367" s="346"/>
      <c r="O367" s="346"/>
      <c r="P367" s="642" t="s">
        <v>782</v>
      </c>
      <c r="Q367" s="323"/>
      <c r="R367" s="190"/>
      <c r="S367" s="448"/>
      <c r="T367" s="643" t="s">
        <v>227</v>
      </c>
      <c r="U367" s="643" t="s">
        <v>667</v>
      </c>
      <c r="W367" s="495" t="s">
        <v>1627</v>
      </c>
      <c r="X367" s="495" t="s">
        <v>3389</v>
      </c>
      <c r="AA367" s="27"/>
      <c r="AB367" s="27"/>
      <c r="AC367" s="1072"/>
      <c r="AD367" s="585"/>
    </row>
    <row r="368" spans="6:30" ht="10.5" customHeight="1">
      <c r="F368" s="371"/>
      <c r="G368" s="346"/>
      <c r="H368" s="346"/>
      <c r="I368" s="346"/>
      <c r="J368" s="346"/>
      <c r="K368" s="346"/>
      <c r="L368" s="346"/>
      <c r="M368" s="346"/>
      <c r="N368" s="346"/>
      <c r="O368" s="346"/>
      <c r="P368" s="642" t="s">
        <v>231</v>
      </c>
      <c r="Q368" s="323"/>
      <c r="R368" s="190"/>
      <c r="S368" s="448"/>
      <c r="T368" s="572" t="s">
        <v>2575</v>
      </c>
      <c r="U368" s="572" t="s">
        <v>2007</v>
      </c>
      <c r="W368" s="495" t="s">
        <v>1686</v>
      </c>
      <c r="X368" s="495" t="s">
        <v>3389</v>
      </c>
      <c r="AA368" s="27"/>
      <c r="AB368" s="27"/>
      <c r="AC368" s="1073"/>
      <c r="AD368" s="585"/>
    </row>
    <row r="369" spans="6:30" ht="10.5" customHeight="1">
      <c r="F369" s="371"/>
      <c r="G369" s="346"/>
      <c r="H369" s="346"/>
      <c r="I369" s="346"/>
      <c r="J369" s="346"/>
      <c r="K369" s="346"/>
      <c r="L369" s="346"/>
      <c r="M369" s="346"/>
      <c r="N369" s="346"/>
      <c r="O369" s="346"/>
      <c r="P369" s="642" t="s">
        <v>233</v>
      </c>
      <c r="Q369" s="323"/>
      <c r="R369" s="190"/>
      <c r="S369" s="448"/>
      <c r="T369" s="572" t="s">
        <v>1675</v>
      </c>
      <c r="U369" s="572" t="s">
        <v>2484</v>
      </c>
      <c r="W369" s="495" t="s">
        <v>1077</v>
      </c>
      <c r="X369" s="495" t="s">
        <v>3389</v>
      </c>
      <c r="AA369" s="27"/>
      <c r="AB369" s="27"/>
      <c r="AC369" s="1072"/>
      <c r="AD369" s="585"/>
    </row>
    <row r="370" spans="6:30" ht="10.5" customHeight="1">
      <c r="F370" s="371"/>
      <c r="G370" s="346"/>
      <c r="H370" s="346"/>
      <c r="I370" s="346"/>
      <c r="J370" s="346"/>
      <c r="K370" s="346"/>
      <c r="L370" s="346"/>
      <c r="M370" s="346"/>
      <c r="N370" s="346"/>
      <c r="O370" s="346"/>
      <c r="P370" s="642" t="s">
        <v>235</v>
      </c>
      <c r="Q370" s="323"/>
      <c r="R370" s="190"/>
      <c r="S370" s="448"/>
      <c r="T370" s="572" t="s">
        <v>2279</v>
      </c>
      <c r="U370" s="572" t="s">
        <v>657</v>
      </c>
      <c r="W370" s="495" t="s">
        <v>1693</v>
      </c>
      <c r="X370" s="495" t="s">
        <v>3389</v>
      </c>
      <c r="AA370" s="27"/>
      <c r="AB370" s="27"/>
      <c r="AC370" s="1072"/>
      <c r="AD370" s="585"/>
    </row>
    <row r="371" spans="6:30" ht="10.5" customHeight="1">
      <c r="F371" s="371"/>
      <c r="G371" s="346"/>
      <c r="H371" s="346"/>
      <c r="I371" s="346"/>
      <c r="J371" s="346"/>
      <c r="K371" s="346"/>
      <c r="L371" s="346"/>
      <c r="M371" s="346"/>
      <c r="N371" s="346"/>
      <c r="O371" s="346"/>
      <c r="P371" s="642" t="s">
        <v>785</v>
      </c>
      <c r="Q371" s="323"/>
      <c r="R371" s="190"/>
      <c r="S371" s="448"/>
      <c r="T371" s="572" t="s">
        <v>2281</v>
      </c>
      <c r="U371" s="572" t="s">
        <v>1315</v>
      </c>
      <c r="W371" s="495" t="s">
        <v>1694</v>
      </c>
      <c r="X371" s="495" t="s">
        <v>3389</v>
      </c>
      <c r="AA371" s="27"/>
      <c r="AB371" s="27"/>
      <c r="AC371" s="1072"/>
      <c r="AD371" s="585"/>
    </row>
    <row r="372" spans="6:30" ht="10.5" customHeight="1">
      <c r="F372" s="371"/>
      <c r="G372" s="346"/>
      <c r="H372" s="346"/>
      <c r="I372" s="346"/>
      <c r="J372" s="346"/>
      <c r="K372" s="346"/>
      <c r="L372" s="346"/>
      <c r="M372" s="346"/>
      <c r="N372" s="346"/>
      <c r="O372" s="346"/>
      <c r="P372" s="642" t="s">
        <v>786</v>
      </c>
      <c r="Q372" s="323"/>
      <c r="R372" s="190"/>
      <c r="S372" s="448"/>
      <c r="T372" s="572" t="s">
        <v>993</v>
      </c>
      <c r="U372" s="572" t="s">
        <v>1456</v>
      </c>
      <c r="W372" s="495" t="s">
        <v>1696</v>
      </c>
      <c r="X372" s="495" t="s">
        <v>3389</v>
      </c>
      <c r="AA372" s="27"/>
      <c r="AB372" s="27"/>
      <c r="AC372" s="1072"/>
      <c r="AD372" s="585"/>
    </row>
    <row r="373" spans="6:30" ht="10.5" customHeight="1">
      <c r="F373" s="371"/>
      <c r="G373" s="346"/>
      <c r="H373" s="346"/>
      <c r="I373" s="346"/>
      <c r="J373" s="346"/>
      <c r="K373" s="346"/>
      <c r="L373" s="346"/>
      <c r="M373" s="346"/>
      <c r="N373" s="346"/>
      <c r="O373" s="346"/>
      <c r="P373" s="642" t="s">
        <v>788</v>
      </c>
      <c r="Q373" s="323"/>
      <c r="R373" s="190"/>
      <c r="S373" s="448"/>
      <c r="T373" s="572" t="s">
        <v>570</v>
      </c>
      <c r="U373" s="572" t="s">
        <v>1331</v>
      </c>
      <c r="W373" s="495" t="s">
        <v>1699</v>
      </c>
      <c r="X373" s="495" t="s">
        <v>3389</v>
      </c>
      <c r="AA373" s="27"/>
      <c r="AB373" s="27"/>
      <c r="AC373" s="1072"/>
      <c r="AD373" s="585"/>
    </row>
    <row r="374" spans="6:30" ht="10.5" customHeight="1">
      <c r="F374" s="371"/>
      <c r="G374" s="346"/>
      <c r="H374" s="346"/>
      <c r="I374" s="346"/>
      <c r="J374" s="346"/>
      <c r="K374" s="346"/>
      <c r="L374" s="346"/>
      <c r="M374" s="346"/>
      <c r="N374" s="346"/>
      <c r="O374" s="346"/>
      <c r="P374" s="642" t="s">
        <v>1554</v>
      </c>
      <c r="Q374" s="323"/>
      <c r="R374" s="190"/>
      <c r="S374" s="448"/>
      <c r="T374" s="572" t="s">
        <v>674</v>
      </c>
      <c r="U374" s="572" t="s">
        <v>311</v>
      </c>
      <c r="W374" s="495" t="s">
        <v>1701</v>
      </c>
      <c r="X374" s="495" t="s">
        <v>3389</v>
      </c>
      <c r="AA374" s="27"/>
      <c r="AB374" s="27"/>
      <c r="AC374" s="1072"/>
      <c r="AD374" s="585"/>
    </row>
    <row r="375" spans="6:30" ht="10.5" customHeight="1">
      <c r="F375" s="371"/>
      <c r="G375" s="346"/>
      <c r="H375" s="346"/>
      <c r="I375" s="346"/>
      <c r="J375" s="346"/>
      <c r="K375" s="346"/>
      <c r="L375" s="346"/>
      <c r="M375" s="346"/>
      <c r="N375" s="346"/>
      <c r="O375" s="346"/>
      <c r="P375" s="642" t="s">
        <v>1220</v>
      </c>
      <c r="Q375" s="323"/>
      <c r="R375" s="190"/>
      <c r="S375" s="448"/>
      <c r="T375" s="572" t="s">
        <v>2388</v>
      </c>
      <c r="U375" s="572" t="s">
        <v>157</v>
      </c>
      <c r="W375" s="495" t="s">
        <v>1702</v>
      </c>
      <c r="X375" s="495" t="s">
        <v>3389</v>
      </c>
      <c r="AA375" s="27"/>
      <c r="AB375" s="27"/>
      <c r="AC375" s="1072"/>
      <c r="AD375" s="585"/>
    </row>
    <row r="376" spans="6:30" ht="10.5" customHeight="1">
      <c r="F376" s="371"/>
      <c r="G376" s="346"/>
      <c r="H376" s="346"/>
      <c r="I376" s="346"/>
      <c r="J376" s="346"/>
      <c r="K376" s="346"/>
      <c r="L376" s="346"/>
      <c r="M376" s="346"/>
      <c r="N376" s="346"/>
      <c r="O376" s="346"/>
      <c r="P376" s="642" t="s">
        <v>1222</v>
      </c>
      <c r="Q376" s="323"/>
      <c r="R376" s="190"/>
      <c r="S376" s="448"/>
      <c r="T376" s="572" t="s">
        <v>220</v>
      </c>
      <c r="U376" s="572" t="s">
        <v>2483</v>
      </c>
      <c r="W376" s="495" t="s">
        <v>1704</v>
      </c>
      <c r="X376" s="495" t="s">
        <v>3389</v>
      </c>
      <c r="AA376" s="27"/>
      <c r="AB376" s="27"/>
      <c r="AC376" s="1072"/>
      <c r="AD376" s="585"/>
    </row>
    <row r="377" spans="6:30" ht="10.5" customHeight="1">
      <c r="F377" s="371"/>
      <c r="G377" s="346"/>
      <c r="H377" s="346"/>
      <c r="I377" s="346"/>
      <c r="J377" s="346"/>
      <c r="K377" s="346"/>
      <c r="L377" s="346"/>
      <c r="M377" s="346"/>
      <c r="N377" s="346"/>
      <c r="O377" s="346"/>
      <c r="P377" s="642" t="s">
        <v>898</v>
      </c>
      <c r="Q377" s="323"/>
      <c r="R377" s="190"/>
      <c r="S377" s="448"/>
      <c r="T377" s="572" t="s">
        <v>659</v>
      </c>
      <c r="U377" s="572" t="s">
        <v>1635</v>
      </c>
      <c r="W377" s="495" t="s">
        <v>1708</v>
      </c>
      <c r="X377" s="495" t="s">
        <v>3389</v>
      </c>
      <c r="AA377" s="27"/>
      <c r="AB377" s="27"/>
      <c r="AC377" s="1072"/>
      <c r="AD377" s="585"/>
    </row>
    <row r="378" spans="6:30" ht="10.5" customHeight="1">
      <c r="F378" s="371"/>
      <c r="G378" s="346"/>
      <c r="H378" s="346"/>
      <c r="I378" s="346"/>
      <c r="J378" s="346"/>
      <c r="K378" s="346"/>
      <c r="L378" s="346"/>
      <c r="M378" s="346"/>
      <c r="N378" s="346"/>
      <c r="O378" s="346"/>
      <c r="P378" s="642" t="s">
        <v>2461</v>
      </c>
      <c r="Q378" s="323"/>
      <c r="R378" s="190"/>
      <c r="S378" s="448"/>
      <c r="T378" s="572" t="s">
        <v>2363</v>
      </c>
      <c r="U378" s="572" t="s">
        <v>2481</v>
      </c>
      <c r="W378" s="495" t="s">
        <v>1709</v>
      </c>
      <c r="X378" s="495" t="s">
        <v>3389</v>
      </c>
      <c r="AA378" s="27"/>
      <c r="AB378" s="27"/>
      <c r="AC378" s="1072"/>
      <c r="AD378" s="585"/>
    </row>
    <row r="379" spans="6:30" ht="10.5" customHeight="1">
      <c r="F379" s="371"/>
      <c r="G379" s="346"/>
      <c r="H379" s="346"/>
      <c r="I379" s="346"/>
      <c r="J379" s="346"/>
      <c r="K379" s="346"/>
      <c r="L379" s="346"/>
      <c r="M379" s="346"/>
      <c r="N379" s="346"/>
      <c r="O379" s="346"/>
      <c r="P379" s="642" t="s">
        <v>3728</v>
      </c>
      <c r="Q379" s="323"/>
      <c r="R379" s="190"/>
      <c r="S379" s="448"/>
      <c r="T379" s="572" t="s">
        <v>232</v>
      </c>
      <c r="U379" s="572" t="s">
        <v>1520</v>
      </c>
      <c r="W379" s="495" t="s">
        <v>1710</v>
      </c>
      <c r="X379" s="495" t="s">
        <v>3389</v>
      </c>
      <c r="AA379" s="27"/>
      <c r="AB379" s="27"/>
      <c r="AC379" s="1072"/>
      <c r="AD379" s="585"/>
    </row>
    <row r="380" spans="6:30" ht="10.5" customHeight="1">
      <c r="F380" s="371"/>
      <c r="G380" s="346"/>
      <c r="H380" s="346"/>
      <c r="I380" s="346"/>
      <c r="J380" s="346"/>
      <c r="K380" s="346"/>
      <c r="L380" s="346"/>
      <c r="M380" s="346"/>
      <c r="N380" s="346"/>
      <c r="O380" s="346"/>
      <c r="P380" s="642" t="s">
        <v>901</v>
      </c>
      <c r="Q380" s="323"/>
      <c r="R380" s="190"/>
      <c r="S380" s="448"/>
      <c r="T380" s="572" t="s">
        <v>1045</v>
      </c>
      <c r="U380" s="572" t="s">
        <v>1456</v>
      </c>
      <c r="W380" s="495" t="s">
        <v>106</v>
      </c>
      <c r="X380" s="495" t="s">
        <v>3389</v>
      </c>
      <c r="AA380" s="27"/>
      <c r="AB380" s="27"/>
      <c r="AC380" s="1072"/>
      <c r="AD380" s="585"/>
    </row>
    <row r="381" spans="6:30" ht="10.5" customHeight="1">
      <c r="F381" s="371"/>
      <c r="G381" s="346"/>
      <c r="H381" s="346"/>
      <c r="I381" s="346"/>
      <c r="J381" s="346"/>
      <c r="K381" s="346"/>
      <c r="L381" s="346"/>
      <c r="M381" s="346"/>
      <c r="N381" s="346"/>
      <c r="O381" s="346"/>
      <c r="P381" s="642" t="s">
        <v>903</v>
      </c>
      <c r="Q381" s="323"/>
      <c r="R381" s="190"/>
      <c r="S381" s="448"/>
      <c r="T381" s="572" t="s">
        <v>234</v>
      </c>
      <c r="U381" s="572" t="s">
        <v>1091</v>
      </c>
      <c r="W381" s="495" t="s">
        <v>296</v>
      </c>
      <c r="X381" s="495" t="s">
        <v>3389</v>
      </c>
      <c r="AA381" s="27"/>
      <c r="AB381" s="27"/>
      <c r="AC381" s="1072"/>
      <c r="AD381" s="585"/>
    </row>
    <row r="382" spans="6:30" ht="10.5" customHeight="1">
      <c r="F382" s="371"/>
      <c r="G382" s="346"/>
      <c r="H382" s="346"/>
      <c r="I382" s="346"/>
      <c r="J382" s="346"/>
      <c r="K382" s="346"/>
      <c r="L382" s="346"/>
      <c r="M382" s="346"/>
      <c r="N382" s="346"/>
      <c r="O382" s="346"/>
      <c r="P382" s="642" t="s">
        <v>905</v>
      </c>
      <c r="Q382" s="323"/>
      <c r="R382" s="190"/>
      <c r="S382" s="448"/>
      <c r="T382" s="572" t="s">
        <v>660</v>
      </c>
      <c r="U382" s="572" t="s">
        <v>318</v>
      </c>
      <c r="W382" s="495" t="s">
        <v>297</v>
      </c>
      <c r="X382" s="495" t="s">
        <v>3389</v>
      </c>
      <c r="AA382" s="27"/>
      <c r="AB382" s="27"/>
      <c r="AC382" s="1072"/>
      <c r="AD382" s="585"/>
    </row>
    <row r="383" spans="6:30" ht="10.5" customHeight="1">
      <c r="F383" s="371"/>
      <c r="G383" s="346"/>
      <c r="H383" s="346"/>
      <c r="I383" s="346"/>
      <c r="J383" s="346"/>
      <c r="K383" s="346"/>
      <c r="L383" s="346"/>
      <c r="M383" s="346"/>
      <c r="N383" s="346"/>
      <c r="O383" s="346"/>
      <c r="P383" s="642" t="s">
        <v>907</v>
      </c>
      <c r="Q383" s="323"/>
      <c r="R383" s="190"/>
      <c r="S383" s="448"/>
      <c r="T383" s="572" t="s">
        <v>787</v>
      </c>
      <c r="U383" s="572" t="s">
        <v>660</v>
      </c>
      <c r="W383" s="495" t="s">
        <v>298</v>
      </c>
      <c r="X383" s="495" t="s">
        <v>3389</v>
      </c>
      <c r="AA383" s="27"/>
      <c r="AB383" s="27"/>
      <c r="AC383" s="1072"/>
      <c r="AD383" s="585"/>
    </row>
    <row r="384" spans="6:30" ht="10.5" customHeight="1">
      <c r="F384" s="371"/>
      <c r="G384" s="346"/>
      <c r="H384" s="346"/>
      <c r="I384" s="346"/>
      <c r="J384" s="346"/>
      <c r="K384" s="346"/>
      <c r="L384" s="346"/>
      <c r="M384" s="346"/>
      <c r="N384" s="346"/>
      <c r="O384" s="346"/>
      <c r="P384" s="642" t="s">
        <v>909</v>
      </c>
      <c r="Q384" s="323"/>
      <c r="R384" s="190"/>
      <c r="S384" s="448"/>
      <c r="T384" s="572" t="s">
        <v>1219</v>
      </c>
      <c r="U384" s="572" t="s">
        <v>2489</v>
      </c>
      <c r="W384" s="495" t="s">
        <v>1541</v>
      </c>
      <c r="X384" s="495" t="s">
        <v>3389</v>
      </c>
      <c r="AA384" s="27"/>
      <c r="AB384" s="27"/>
      <c r="AC384" s="1072"/>
      <c r="AD384" s="585"/>
    </row>
    <row r="385" spans="6:30" ht="10.5" customHeight="1">
      <c r="F385" s="371"/>
      <c r="G385" s="346"/>
      <c r="H385" s="346"/>
      <c r="I385" s="346"/>
      <c r="J385" s="346"/>
      <c r="K385" s="346"/>
      <c r="L385" s="346"/>
      <c r="M385" s="346"/>
      <c r="N385" s="346"/>
      <c r="O385" s="346"/>
      <c r="P385" s="642" t="s">
        <v>679</v>
      </c>
      <c r="Q385" s="323"/>
      <c r="R385" s="190"/>
      <c r="S385" s="448"/>
      <c r="T385" s="572" t="s">
        <v>1221</v>
      </c>
      <c r="U385" s="572" t="s">
        <v>311</v>
      </c>
      <c r="W385" s="495" t="s">
        <v>1542</v>
      </c>
      <c r="X385" s="495" t="s">
        <v>3389</v>
      </c>
      <c r="AA385" s="27"/>
      <c r="AB385" s="27"/>
      <c r="AC385" s="1072"/>
      <c r="AD385" s="585"/>
    </row>
    <row r="386" spans="6:30" ht="10.5" customHeight="1">
      <c r="F386" s="371"/>
      <c r="G386" s="346"/>
      <c r="H386" s="346"/>
      <c r="I386" s="346"/>
      <c r="J386" s="346"/>
      <c r="K386" s="346"/>
      <c r="L386" s="346"/>
      <c r="M386" s="346"/>
      <c r="N386" s="346"/>
      <c r="O386" s="346"/>
      <c r="P386" s="642" t="s">
        <v>54</v>
      </c>
      <c r="Q386" s="323"/>
      <c r="R386" s="190"/>
      <c r="S386" s="448"/>
      <c r="T386" s="572" t="s">
        <v>1223</v>
      </c>
      <c r="U386" s="572" t="s">
        <v>159</v>
      </c>
      <c r="W386" s="495" t="s">
        <v>1543</v>
      </c>
      <c r="X386" s="495" t="s">
        <v>3389</v>
      </c>
      <c r="AA386" s="27"/>
      <c r="AB386" s="27"/>
      <c r="AC386" s="1072"/>
      <c r="AD386" s="585"/>
    </row>
    <row r="387" spans="6:30" ht="10.5" customHeight="1">
      <c r="F387" s="371"/>
      <c r="G387" s="346"/>
      <c r="H387" s="346"/>
      <c r="I387" s="346"/>
      <c r="J387" s="346"/>
      <c r="K387" s="346"/>
      <c r="L387" s="346"/>
      <c r="M387" s="346"/>
      <c r="N387" s="346"/>
      <c r="O387" s="346"/>
      <c r="P387" s="642" t="s">
        <v>961</v>
      </c>
      <c r="Q387" s="323"/>
      <c r="R387" s="190"/>
      <c r="S387" s="448"/>
      <c r="T387" s="572" t="s">
        <v>899</v>
      </c>
      <c r="U387" s="572" t="s">
        <v>2242</v>
      </c>
      <c r="W387" s="495" t="s">
        <v>1548</v>
      </c>
      <c r="X387" s="495" t="s">
        <v>3389</v>
      </c>
      <c r="AA387" s="27"/>
      <c r="AB387" s="27"/>
      <c r="AC387" s="1072"/>
      <c r="AD387" s="585"/>
    </row>
    <row r="388" spans="6:30" ht="10.5" customHeight="1">
      <c r="F388" s="371"/>
      <c r="G388" s="346"/>
      <c r="H388" s="346"/>
      <c r="I388" s="346"/>
      <c r="J388" s="346"/>
      <c r="K388" s="346"/>
      <c r="L388" s="346"/>
      <c r="M388" s="346"/>
      <c r="N388" s="346"/>
      <c r="O388" s="346"/>
      <c r="P388" s="642" t="s">
        <v>1741</v>
      </c>
      <c r="Q388" s="323"/>
      <c r="R388" s="190"/>
      <c r="S388" s="448"/>
      <c r="T388" s="572" t="s">
        <v>2462</v>
      </c>
      <c r="U388" s="572" t="s">
        <v>1878</v>
      </c>
      <c r="W388" s="495" t="s">
        <v>2383</v>
      </c>
      <c r="X388" s="495" t="s">
        <v>3389</v>
      </c>
      <c r="AA388" s="27"/>
      <c r="AB388" s="27"/>
      <c r="AC388" s="1072"/>
      <c r="AD388" s="585"/>
    </row>
    <row r="389" spans="6:30" ht="10.5" customHeight="1">
      <c r="F389" s="371"/>
      <c r="G389" s="346"/>
      <c r="H389" s="346"/>
      <c r="I389" s="346"/>
      <c r="J389" s="346"/>
      <c r="K389" s="346"/>
      <c r="L389" s="346"/>
      <c r="M389" s="346"/>
      <c r="N389" s="346"/>
      <c r="O389" s="346"/>
      <c r="P389" s="642" t="s">
        <v>998</v>
      </c>
      <c r="Q389" s="323"/>
      <c r="R389" s="190"/>
      <c r="S389" s="448"/>
      <c r="T389" s="572" t="s">
        <v>902</v>
      </c>
      <c r="U389" s="572" t="s">
        <v>2179</v>
      </c>
      <c r="W389" s="495" t="s">
        <v>834</v>
      </c>
      <c r="X389" s="495" t="s">
        <v>3389</v>
      </c>
      <c r="AA389" s="27"/>
      <c r="AB389" s="27"/>
      <c r="AC389" s="1072"/>
      <c r="AD389" s="585"/>
    </row>
    <row r="390" spans="6:30" ht="10.5" customHeight="1">
      <c r="F390" s="371"/>
      <c r="G390" s="346"/>
      <c r="H390" s="346"/>
      <c r="I390" s="346"/>
      <c r="J390" s="346"/>
      <c r="K390" s="346"/>
      <c r="L390" s="346"/>
      <c r="M390" s="346"/>
      <c r="N390" s="346"/>
      <c r="O390" s="346"/>
      <c r="P390" s="642" t="s">
        <v>999</v>
      </c>
      <c r="Q390" s="323"/>
      <c r="R390" s="190"/>
      <c r="S390" s="448"/>
      <c r="T390" s="643" t="s">
        <v>904</v>
      </c>
      <c r="U390" s="643" t="s">
        <v>1103</v>
      </c>
      <c r="W390" s="495" t="s">
        <v>836</v>
      </c>
      <c r="X390" s="495" t="s">
        <v>3389</v>
      </c>
      <c r="AA390" s="27"/>
      <c r="AB390" s="27"/>
      <c r="AC390" s="1072"/>
      <c r="AD390" s="585"/>
    </row>
    <row r="391" spans="6:30" ht="10.5" customHeight="1">
      <c r="F391" s="371"/>
      <c r="G391" s="346"/>
      <c r="H391" s="346"/>
      <c r="I391" s="346"/>
      <c r="J391" s="346"/>
      <c r="K391" s="346"/>
      <c r="L391" s="346"/>
      <c r="M391" s="346"/>
      <c r="N391" s="346"/>
      <c r="O391" s="346"/>
      <c r="P391" s="642" t="s">
        <v>1001</v>
      </c>
      <c r="Q391" s="323"/>
      <c r="R391" s="190"/>
      <c r="S391" s="448"/>
      <c r="T391" s="572" t="s">
        <v>906</v>
      </c>
      <c r="U391" s="572" t="s">
        <v>664</v>
      </c>
      <c r="AA391" s="27"/>
      <c r="AB391" s="27"/>
      <c r="AC391" s="1073"/>
      <c r="AD391" s="585"/>
    </row>
    <row r="392" spans="6:30" ht="10.5" customHeight="1">
      <c r="F392" s="371"/>
      <c r="G392" s="346"/>
      <c r="H392" s="346"/>
      <c r="I392" s="346"/>
      <c r="J392" s="346"/>
      <c r="K392" s="346"/>
      <c r="L392" s="346"/>
      <c r="M392" s="346"/>
      <c r="N392" s="346"/>
      <c r="O392" s="346"/>
      <c r="P392" s="642" t="s">
        <v>980</v>
      </c>
      <c r="Q392" s="323"/>
      <c r="R392" s="190"/>
      <c r="S392" s="448"/>
      <c r="T392" s="572" t="s">
        <v>908</v>
      </c>
      <c r="U392" s="572" t="s">
        <v>311</v>
      </c>
      <c r="AA392" s="27"/>
      <c r="AB392" s="27"/>
      <c r="AC392" s="1072"/>
      <c r="AD392" s="585"/>
    </row>
    <row r="393" spans="6:30" ht="10.5" customHeight="1">
      <c r="F393" s="371"/>
      <c r="G393" s="346"/>
      <c r="H393" s="346"/>
      <c r="I393" s="346"/>
      <c r="J393" s="346"/>
      <c r="K393" s="346"/>
      <c r="L393" s="346"/>
      <c r="M393" s="346"/>
      <c r="N393" s="346"/>
      <c r="O393" s="346"/>
      <c r="P393" s="642" t="s">
        <v>982</v>
      </c>
      <c r="Q393" s="323"/>
      <c r="R393" s="190"/>
      <c r="S393" s="448"/>
      <c r="T393" s="572" t="s">
        <v>910</v>
      </c>
      <c r="U393" s="572" t="s">
        <v>1329</v>
      </c>
      <c r="AA393" s="27"/>
      <c r="AB393" s="27"/>
      <c r="AC393" s="1072"/>
      <c r="AD393" s="585"/>
    </row>
    <row r="394" spans="6:30" ht="10.5" customHeight="1">
      <c r="F394" s="371"/>
      <c r="G394" s="346"/>
      <c r="H394" s="346"/>
      <c r="I394" s="346"/>
      <c r="J394" s="346"/>
      <c r="K394" s="346"/>
      <c r="L394" s="346"/>
      <c r="M394" s="346"/>
      <c r="N394" s="346"/>
      <c r="O394" s="346"/>
      <c r="P394" s="642" t="s">
        <v>984</v>
      </c>
      <c r="Q394" s="323"/>
      <c r="R394" s="190"/>
      <c r="S394" s="448"/>
      <c r="T394" s="643" t="s">
        <v>680</v>
      </c>
      <c r="U394" s="643" t="s">
        <v>2183</v>
      </c>
      <c r="AA394" s="27"/>
      <c r="AB394" s="27"/>
      <c r="AC394" s="1072"/>
      <c r="AD394" s="585"/>
    </row>
    <row r="395" spans="6:30" ht="10.5" customHeight="1">
      <c r="F395" s="371"/>
      <c r="G395" s="346"/>
      <c r="H395" s="346"/>
      <c r="I395" s="346"/>
      <c r="J395" s="346"/>
      <c r="K395" s="346"/>
      <c r="L395" s="346"/>
      <c r="M395" s="346"/>
      <c r="N395" s="346"/>
      <c r="O395" s="346"/>
      <c r="P395" s="642" t="s">
        <v>986</v>
      </c>
      <c r="Q395" s="323"/>
      <c r="R395" s="190"/>
      <c r="S395" s="448"/>
      <c r="T395" s="572" t="s">
        <v>55</v>
      </c>
      <c r="U395" s="572" t="s">
        <v>112</v>
      </c>
      <c r="AA395" s="27"/>
      <c r="AB395" s="27"/>
      <c r="AC395" s="1073"/>
      <c r="AD395" s="585"/>
    </row>
    <row r="396" spans="6:30" ht="10.5" customHeight="1">
      <c r="F396" s="371"/>
      <c r="G396" s="346"/>
      <c r="H396" s="346"/>
      <c r="I396" s="346"/>
      <c r="J396" s="346"/>
      <c r="K396" s="346"/>
      <c r="L396" s="346"/>
      <c r="M396" s="346"/>
      <c r="N396" s="346"/>
      <c r="O396" s="346"/>
      <c r="P396" s="642" t="s">
        <v>573</v>
      </c>
      <c r="Q396" s="323"/>
      <c r="R396" s="190"/>
      <c r="S396" s="448"/>
      <c r="T396" s="572" t="s">
        <v>962</v>
      </c>
      <c r="U396" s="572" t="s">
        <v>2008</v>
      </c>
      <c r="AA396" s="27"/>
      <c r="AB396" s="27"/>
      <c r="AC396" s="1072"/>
      <c r="AD396" s="585"/>
    </row>
    <row r="397" spans="6:30" ht="10.5" customHeight="1">
      <c r="F397" s="371"/>
      <c r="G397" s="346"/>
      <c r="H397" s="346"/>
      <c r="I397" s="346"/>
      <c r="J397" s="346"/>
      <c r="K397" s="346"/>
      <c r="L397" s="346"/>
      <c r="M397" s="346"/>
      <c r="N397" s="346"/>
      <c r="O397" s="346"/>
      <c r="P397" s="642" t="s">
        <v>371</v>
      </c>
      <c r="Q397" s="323"/>
      <c r="R397" s="190"/>
      <c r="S397" s="448"/>
      <c r="T397" s="572" t="s">
        <v>667</v>
      </c>
      <c r="U397" s="572" t="s">
        <v>2399</v>
      </c>
      <c r="AA397" s="27"/>
      <c r="AB397" s="27"/>
      <c r="AC397" s="1072"/>
      <c r="AD397" s="585"/>
    </row>
    <row r="398" spans="6:30" ht="10.5" customHeight="1">
      <c r="F398" s="371"/>
      <c r="G398" s="346"/>
      <c r="H398" s="346"/>
      <c r="I398" s="346"/>
      <c r="J398" s="346"/>
      <c r="K398" s="346"/>
      <c r="L398" s="346"/>
      <c r="M398" s="346"/>
      <c r="N398" s="346"/>
      <c r="O398" s="346"/>
      <c r="P398" s="642" t="s">
        <v>373</v>
      </c>
      <c r="Q398" s="323"/>
      <c r="R398" s="190"/>
      <c r="S398" s="448"/>
      <c r="T398" s="572" t="s">
        <v>1000</v>
      </c>
      <c r="U398" s="572" t="s">
        <v>1210</v>
      </c>
      <c r="AA398" s="27"/>
      <c r="AB398" s="27"/>
      <c r="AC398" s="1072"/>
      <c r="AD398" s="585"/>
    </row>
    <row r="399" spans="6:30" ht="10.5" customHeight="1">
      <c r="F399" s="371"/>
      <c r="G399" s="346"/>
      <c r="H399" s="346"/>
      <c r="I399" s="346"/>
      <c r="J399" s="346"/>
      <c r="K399" s="346"/>
      <c r="L399" s="346"/>
      <c r="M399" s="346"/>
      <c r="N399" s="346"/>
      <c r="O399" s="346"/>
      <c r="P399" s="642" t="s">
        <v>375</v>
      </c>
      <c r="Q399" s="323"/>
      <c r="R399" s="190"/>
      <c r="S399" s="448"/>
      <c r="T399" s="572" t="s">
        <v>1002</v>
      </c>
      <c r="U399" s="572" t="s">
        <v>2531</v>
      </c>
      <c r="AA399" s="27"/>
      <c r="AB399" s="27"/>
      <c r="AC399" s="1072"/>
      <c r="AD399" s="585"/>
    </row>
    <row r="400" spans="6:30" ht="10.5" customHeight="1">
      <c r="F400" s="371"/>
      <c r="G400" s="346"/>
      <c r="H400" s="346"/>
      <c r="I400" s="346"/>
      <c r="J400" s="346"/>
      <c r="K400" s="346"/>
      <c r="L400" s="346"/>
      <c r="M400" s="346"/>
      <c r="N400" s="346"/>
      <c r="O400" s="346"/>
      <c r="P400" s="642" t="s">
        <v>596</v>
      </c>
      <c r="Q400" s="323"/>
      <c r="R400" s="190"/>
      <c r="S400" s="448"/>
      <c r="T400" s="643" t="s">
        <v>981</v>
      </c>
      <c r="U400" s="643" t="s">
        <v>428</v>
      </c>
      <c r="AA400" s="27"/>
      <c r="AB400" s="27"/>
      <c r="AC400" s="1072"/>
      <c r="AD400" s="585"/>
    </row>
    <row r="401" spans="6:30" ht="10.5" customHeight="1">
      <c r="F401" s="371"/>
      <c r="G401" s="346"/>
      <c r="H401" s="346"/>
      <c r="I401" s="346"/>
      <c r="J401" s="346"/>
      <c r="K401" s="346"/>
      <c r="L401" s="346"/>
      <c r="M401" s="346"/>
      <c r="N401" s="346"/>
      <c r="O401" s="346"/>
      <c r="P401" s="642" t="s">
        <v>1416</v>
      </c>
      <c r="Q401" s="323"/>
      <c r="R401" s="190"/>
      <c r="S401" s="448"/>
      <c r="T401" s="572" t="s">
        <v>983</v>
      </c>
      <c r="U401" s="572" t="s">
        <v>121</v>
      </c>
      <c r="AA401" s="27"/>
      <c r="AB401" s="27"/>
      <c r="AC401" s="1073"/>
      <c r="AD401" s="585"/>
    </row>
    <row r="402" spans="6:30" ht="10.5" customHeight="1">
      <c r="F402" s="371"/>
      <c r="G402" s="346"/>
      <c r="H402" s="346"/>
      <c r="I402" s="346"/>
      <c r="J402" s="346"/>
      <c r="K402" s="346"/>
      <c r="L402" s="346"/>
      <c r="M402" s="346"/>
      <c r="N402" s="346"/>
      <c r="O402" s="346"/>
      <c r="P402" s="642" t="s">
        <v>1594</v>
      </c>
      <c r="Q402" s="323"/>
      <c r="R402" s="190"/>
      <c r="S402" s="448"/>
      <c r="T402" s="572" t="s">
        <v>985</v>
      </c>
      <c r="U402" s="572" t="s">
        <v>671</v>
      </c>
      <c r="AA402" s="27"/>
      <c r="AB402" s="27"/>
      <c r="AC402" s="1072"/>
      <c r="AD402" s="585"/>
    </row>
    <row r="403" spans="6:30" ht="10.5" customHeight="1">
      <c r="F403" s="371"/>
      <c r="G403" s="346"/>
      <c r="H403" s="346"/>
      <c r="I403" s="346"/>
      <c r="J403" s="346"/>
      <c r="K403" s="346"/>
      <c r="L403" s="346"/>
      <c r="M403" s="346"/>
      <c r="N403" s="346"/>
      <c r="O403" s="346"/>
      <c r="P403" s="642" t="s">
        <v>1008</v>
      </c>
      <c r="Q403" s="323"/>
      <c r="R403" s="190"/>
      <c r="S403" s="448"/>
      <c r="T403" s="572" t="s">
        <v>987</v>
      </c>
      <c r="U403" s="572" t="s">
        <v>1878</v>
      </c>
      <c r="AA403" s="27"/>
      <c r="AB403" s="27"/>
      <c r="AC403" s="1072"/>
      <c r="AD403" s="585"/>
    </row>
    <row r="404" spans="6:30" ht="10.5" customHeight="1">
      <c r="F404" s="371"/>
      <c r="G404" s="346"/>
      <c r="H404" s="346"/>
      <c r="I404" s="346"/>
      <c r="J404" s="346"/>
      <c r="K404" s="346"/>
      <c r="L404" s="346"/>
      <c r="M404" s="346"/>
      <c r="N404" s="346"/>
      <c r="O404" s="346"/>
      <c r="P404" s="642" t="s">
        <v>1010</v>
      </c>
      <c r="Q404" s="323"/>
      <c r="R404" s="190"/>
      <c r="S404" s="448"/>
      <c r="T404" s="572" t="s">
        <v>1046</v>
      </c>
      <c r="U404" s="572" t="s">
        <v>628</v>
      </c>
      <c r="AA404" s="27"/>
      <c r="AB404" s="27"/>
      <c r="AC404" s="1072"/>
      <c r="AD404" s="585"/>
    </row>
    <row r="405" spans="6:30" ht="10.5" customHeight="1">
      <c r="F405" s="371"/>
      <c r="G405" s="346"/>
      <c r="H405" s="346"/>
      <c r="I405" s="346"/>
      <c r="J405" s="346"/>
      <c r="K405" s="346"/>
      <c r="L405" s="346"/>
      <c r="M405" s="346"/>
      <c r="N405" s="346"/>
      <c r="O405" s="346"/>
      <c r="P405" s="642" t="s">
        <v>1012</v>
      </c>
      <c r="Q405" s="323"/>
      <c r="R405" s="190"/>
      <c r="S405" s="448"/>
      <c r="T405" s="572" t="s">
        <v>574</v>
      </c>
      <c r="U405" s="572" t="s">
        <v>2172</v>
      </c>
      <c r="AA405" s="27"/>
      <c r="AB405" s="27"/>
      <c r="AC405" s="1072"/>
      <c r="AD405" s="585"/>
    </row>
    <row r="406" spans="6:30" ht="10.5" customHeight="1">
      <c r="F406" s="371"/>
      <c r="G406" s="346"/>
      <c r="H406" s="346"/>
      <c r="I406" s="346"/>
      <c r="J406" s="346"/>
      <c r="K406" s="346"/>
      <c r="L406" s="346"/>
      <c r="M406" s="346"/>
      <c r="N406" s="346"/>
      <c r="O406" s="346"/>
      <c r="P406" s="642" t="s">
        <v>1676</v>
      </c>
      <c r="Q406" s="323"/>
      <c r="R406" s="190"/>
      <c r="S406" s="448"/>
      <c r="T406" s="572" t="s">
        <v>372</v>
      </c>
      <c r="U406" s="572" t="s">
        <v>2528</v>
      </c>
      <c r="AA406" s="27"/>
      <c r="AB406" s="27"/>
      <c r="AC406" s="1072"/>
      <c r="AD406" s="585"/>
    </row>
    <row r="407" spans="6:30" ht="10.5" customHeight="1">
      <c r="F407" s="371"/>
      <c r="G407" s="346"/>
      <c r="H407" s="346"/>
      <c r="I407" s="346"/>
      <c r="J407" s="346"/>
      <c r="K407" s="346"/>
      <c r="L407" s="346"/>
      <c r="M407" s="346"/>
      <c r="N407" s="346"/>
      <c r="O407" s="346"/>
      <c r="P407" s="642" t="s">
        <v>1677</v>
      </c>
      <c r="Q407" s="323"/>
      <c r="R407" s="190"/>
      <c r="S407" s="448"/>
      <c r="T407" s="572" t="s">
        <v>374</v>
      </c>
      <c r="U407" s="572" t="s">
        <v>1456</v>
      </c>
      <c r="AA407" s="27"/>
      <c r="AB407" s="27"/>
      <c r="AC407" s="1072"/>
      <c r="AD407" s="585"/>
    </row>
    <row r="408" spans="6:30" ht="10.5" customHeight="1">
      <c r="F408" s="371"/>
      <c r="G408" s="346"/>
      <c r="H408" s="346"/>
      <c r="I408" s="346"/>
      <c r="J408" s="346"/>
      <c r="K408" s="346"/>
      <c r="L408" s="346"/>
      <c r="M408" s="346"/>
      <c r="N408" s="346"/>
      <c r="O408" s="346"/>
      <c r="P408" s="642" t="s">
        <v>1678</v>
      </c>
      <c r="Q408" s="323"/>
      <c r="R408" s="190"/>
      <c r="S408" s="448"/>
      <c r="T408" s="572" t="s">
        <v>1047</v>
      </c>
      <c r="U408" s="572" t="s">
        <v>1911</v>
      </c>
      <c r="AA408" s="27"/>
      <c r="AB408" s="27"/>
      <c r="AC408" s="1072"/>
      <c r="AD408" s="585"/>
    </row>
    <row r="409" spans="6:30" ht="10.5" customHeight="1">
      <c r="F409" s="371"/>
      <c r="G409" s="346"/>
      <c r="H409" s="346"/>
      <c r="I409" s="346"/>
      <c r="J409" s="346"/>
      <c r="K409" s="346"/>
      <c r="L409" s="346"/>
      <c r="M409" s="346"/>
      <c r="N409" s="346"/>
      <c r="O409" s="346"/>
      <c r="P409" s="642" t="s">
        <v>863</v>
      </c>
      <c r="Q409" s="323"/>
      <c r="R409" s="190"/>
      <c r="S409" s="448"/>
      <c r="T409" s="572" t="s">
        <v>376</v>
      </c>
      <c r="U409" s="572" t="s">
        <v>877</v>
      </c>
      <c r="AA409" s="27"/>
      <c r="AB409" s="27"/>
      <c r="AC409" s="1072"/>
      <c r="AD409" s="585"/>
    </row>
    <row r="410" spans="6:30" ht="10.5" customHeight="1">
      <c r="F410" s="371"/>
      <c r="G410" s="346"/>
      <c r="H410" s="346"/>
      <c r="I410" s="346"/>
      <c r="J410" s="346"/>
      <c r="K410" s="346"/>
      <c r="L410" s="346"/>
      <c r="M410" s="346"/>
      <c r="N410" s="346"/>
      <c r="O410" s="346"/>
      <c r="P410" s="642" t="s">
        <v>865</v>
      </c>
      <c r="Q410" s="323"/>
      <c r="R410" s="190"/>
      <c r="S410" s="448"/>
      <c r="T410" s="572" t="s">
        <v>1417</v>
      </c>
      <c r="U410" s="572" t="s">
        <v>2244</v>
      </c>
      <c r="AA410" s="27"/>
      <c r="AB410" s="27"/>
      <c r="AC410" s="1072"/>
      <c r="AD410" s="585"/>
    </row>
    <row r="411" spans="6:30" ht="10.5" customHeight="1">
      <c r="F411" s="371"/>
      <c r="G411" s="346"/>
      <c r="H411" s="346"/>
      <c r="I411" s="346"/>
      <c r="J411" s="346"/>
      <c r="K411" s="346"/>
      <c r="L411" s="346"/>
      <c r="M411" s="346"/>
      <c r="N411" s="346"/>
      <c r="O411" s="346"/>
      <c r="P411" s="642" t="s">
        <v>867</v>
      </c>
      <c r="Q411" s="323"/>
      <c r="R411" s="190"/>
      <c r="S411" s="448"/>
      <c r="T411" s="572" t="s">
        <v>1595</v>
      </c>
      <c r="U411" s="572" t="s">
        <v>175</v>
      </c>
      <c r="AA411" s="27"/>
      <c r="AB411" s="27"/>
      <c r="AC411" s="1072"/>
      <c r="AD411" s="585"/>
    </row>
    <row r="412" spans="6:30" ht="10.5" customHeight="1">
      <c r="F412" s="371"/>
      <c r="G412" s="346"/>
      <c r="H412" s="346"/>
      <c r="I412" s="346"/>
      <c r="J412" s="346"/>
      <c r="K412" s="346"/>
      <c r="L412" s="346"/>
      <c r="M412" s="346"/>
      <c r="N412" s="346"/>
      <c r="O412" s="346"/>
      <c r="P412" s="642" t="s">
        <v>431</v>
      </c>
      <c r="Q412" s="323"/>
      <c r="R412" s="190"/>
      <c r="S412" s="448"/>
      <c r="T412" s="572" t="s">
        <v>1009</v>
      </c>
      <c r="U412" s="572" t="s">
        <v>315</v>
      </c>
      <c r="AA412" s="27"/>
      <c r="AB412" s="27"/>
      <c r="AC412" s="1072"/>
      <c r="AD412" s="585"/>
    </row>
    <row r="413" spans="6:30" ht="10.5" customHeight="1">
      <c r="F413" s="371"/>
      <c r="G413" s="346"/>
      <c r="H413" s="346"/>
      <c r="I413" s="346"/>
      <c r="J413" s="346"/>
      <c r="K413" s="346"/>
      <c r="L413" s="346"/>
      <c r="M413" s="346"/>
      <c r="N413" s="346"/>
      <c r="O413" s="346"/>
      <c r="P413" s="642" t="s">
        <v>1722</v>
      </c>
      <c r="Q413" s="323"/>
      <c r="R413" s="190"/>
      <c r="S413" s="448"/>
      <c r="T413" s="643" t="s">
        <v>1011</v>
      </c>
      <c r="U413" s="643" t="s">
        <v>319</v>
      </c>
      <c r="AA413" s="27"/>
      <c r="AB413" s="27"/>
      <c r="AC413" s="1072"/>
      <c r="AD413" s="585"/>
    </row>
    <row r="414" spans="6:30" ht="10.5" customHeight="1">
      <c r="F414" s="371"/>
      <c r="G414" s="346"/>
      <c r="H414" s="346"/>
      <c r="I414" s="346"/>
      <c r="J414" s="346"/>
      <c r="K414" s="346"/>
      <c r="L414" s="346"/>
      <c r="M414" s="346"/>
      <c r="N414" s="346"/>
      <c r="O414" s="346"/>
      <c r="P414" s="642" t="s">
        <v>2287</v>
      </c>
      <c r="Q414" s="323"/>
      <c r="R414" s="190"/>
      <c r="S414" s="448"/>
      <c r="T414" s="572" t="s">
        <v>1048</v>
      </c>
      <c r="U414" s="572" t="s">
        <v>2005</v>
      </c>
      <c r="AA414" s="27"/>
      <c r="AB414" s="27"/>
      <c r="AC414" s="1073"/>
      <c r="AD414" s="585"/>
    </row>
    <row r="415" spans="6:30" ht="10.5" customHeight="1">
      <c r="F415" s="371"/>
      <c r="G415" s="346"/>
      <c r="H415" s="346"/>
      <c r="I415" s="346"/>
      <c r="J415" s="346"/>
      <c r="K415" s="346"/>
      <c r="L415" s="346"/>
      <c r="M415" s="346"/>
      <c r="N415" s="346"/>
      <c r="O415" s="346"/>
      <c r="P415" s="642" t="s">
        <v>2003</v>
      </c>
      <c r="Q415" s="323"/>
      <c r="R415" s="190"/>
      <c r="S415" s="448"/>
      <c r="T415" s="572" t="s">
        <v>1013</v>
      </c>
      <c r="U415" s="572" t="s">
        <v>1206</v>
      </c>
      <c r="AA415" s="27"/>
      <c r="AB415" s="27"/>
      <c r="AC415" s="1072"/>
      <c r="AD415" s="585"/>
    </row>
    <row r="416" spans="6:30" ht="10.5" customHeight="1">
      <c r="F416" s="371"/>
      <c r="G416" s="346"/>
      <c r="H416" s="346"/>
      <c r="I416" s="346"/>
      <c r="J416" s="346"/>
      <c r="K416" s="346"/>
      <c r="L416" s="346"/>
      <c r="M416" s="346"/>
      <c r="N416" s="346"/>
      <c r="O416" s="346"/>
      <c r="P416" s="642" t="s">
        <v>1032</v>
      </c>
      <c r="Q416" s="323"/>
      <c r="R416" s="190"/>
      <c r="S416" s="448"/>
      <c r="T416" s="572" t="s">
        <v>314</v>
      </c>
      <c r="U416" s="572" t="s">
        <v>2531</v>
      </c>
      <c r="AA416" s="27"/>
      <c r="AB416" s="27"/>
      <c r="AC416" s="1072"/>
      <c r="AD416" s="585"/>
    </row>
    <row r="417" spans="6:30" ht="10.5" customHeight="1">
      <c r="F417" s="371"/>
      <c r="G417" s="346"/>
      <c r="H417" s="346"/>
      <c r="I417" s="346"/>
      <c r="J417" s="346"/>
      <c r="K417" s="346"/>
      <c r="L417" s="346"/>
      <c r="M417" s="346"/>
      <c r="N417" s="346"/>
      <c r="O417" s="346"/>
      <c r="P417" s="642" t="s">
        <v>411</v>
      </c>
      <c r="Q417" s="323"/>
      <c r="R417" s="190"/>
      <c r="S417" s="448"/>
      <c r="T417" s="572" t="s">
        <v>2860</v>
      </c>
      <c r="U417" s="572" t="s">
        <v>1783</v>
      </c>
      <c r="AA417" s="27"/>
      <c r="AB417" s="27"/>
      <c r="AC417" s="1072"/>
      <c r="AD417" s="585"/>
    </row>
    <row r="418" spans="6:30" ht="10.5" customHeight="1">
      <c r="F418" s="371"/>
      <c r="G418" s="346"/>
      <c r="H418" s="346"/>
      <c r="I418" s="346"/>
      <c r="J418" s="346"/>
      <c r="K418" s="346"/>
      <c r="L418" s="346"/>
      <c r="M418" s="346"/>
      <c r="N418" s="346"/>
      <c r="O418" s="346"/>
      <c r="P418" s="642" t="s">
        <v>413</v>
      </c>
      <c r="Q418" s="323"/>
      <c r="R418" s="190"/>
      <c r="S418" s="448"/>
      <c r="T418" s="572" t="s">
        <v>1679</v>
      </c>
      <c r="U418" s="572" t="s">
        <v>2528</v>
      </c>
      <c r="AA418" s="27"/>
      <c r="AB418" s="27"/>
      <c r="AC418" s="1072"/>
      <c r="AD418" s="585"/>
    </row>
    <row r="419" spans="6:30" ht="10.5" customHeight="1">
      <c r="F419" s="371"/>
      <c r="G419" s="346"/>
      <c r="H419" s="346"/>
      <c r="I419" s="346"/>
      <c r="J419" s="346"/>
      <c r="K419" s="346"/>
      <c r="L419" s="346"/>
      <c r="M419" s="346"/>
      <c r="N419" s="346"/>
      <c r="O419" s="346"/>
      <c r="P419" s="642" t="s">
        <v>414</v>
      </c>
      <c r="Q419" s="323"/>
      <c r="R419" s="190"/>
      <c r="S419" s="448"/>
      <c r="T419" s="572" t="s">
        <v>864</v>
      </c>
      <c r="U419" s="572" t="s">
        <v>106</v>
      </c>
      <c r="AA419" s="27"/>
      <c r="AB419" s="27"/>
      <c r="AC419" s="1072"/>
      <c r="AD419" s="585"/>
    </row>
    <row r="420" spans="6:30" ht="10.5" customHeight="1">
      <c r="F420" s="371"/>
      <c r="G420" s="346"/>
      <c r="H420" s="346"/>
      <c r="I420" s="346"/>
      <c r="J420" s="346"/>
      <c r="K420" s="346"/>
      <c r="L420" s="346"/>
      <c r="M420" s="346"/>
      <c r="N420" s="346"/>
      <c r="O420" s="346"/>
      <c r="P420" s="642" t="s">
        <v>1943</v>
      </c>
      <c r="Q420" s="323"/>
      <c r="R420" s="190"/>
      <c r="S420" s="448"/>
      <c r="T420" s="572" t="s">
        <v>866</v>
      </c>
      <c r="U420" s="572" t="s">
        <v>316</v>
      </c>
      <c r="AA420" s="27"/>
      <c r="AB420" s="27"/>
      <c r="AC420" s="1072"/>
      <c r="AD420" s="585"/>
    </row>
    <row r="421" spans="6:30" ht="10.5" customHeight="1">
      <c r="F421" s="371"/>
      <c r="G421" s="346"/>
      <c r="H421" s="346"/>
      <c r="I421" s="346"/>
      <c r="J421" s="346"/>
      <c r="K421" s="346"/>
      <c r="L421" s="346"/>
      <c r="M421" s="346"/>
      <c r="N421" s="346"/>
      <c r="O421" s="346"/>
      <c r="P421" s="642" t="s">
        <v>491</v>
      </c>
      <c r="Q421" s="323"/>
      <c r="R421" s="190"/>
      <c r="S421" s="448"/>
      <c r="T421" s="572" t="s">
        <v>1740</v>
      </c>
      <c r="U421" s="572" t="s">
        <v>1099</v>
      </c>
      <c r="AA421" s="27"/>
      <c r="AB421" s="27"/>
      <c r="AC421" s="1072"/>
      <c r="AD421" s="585"/>
    </row>
    <row r="422" spans="6:30" ht="10.5" customHeight="1">
      <c r="F422" s="371"/>
      <c r="G422" s="346"/>
      <c r="H422" s="346"/>
      <c r="I422" s="346"/>
      <c r="J422" s="346"/>
      <c r="K422" s="346"/>
      <c r="L422" s="346"/>
      <c r="M422" s="346"/>
      <c r="N422" s="346"/>
      <c r="O422" s="346"/>
      <c r="P422" s="642" t="s">
        <v>2161</v>
      </c>
      <c r="Q422" s="323"/>
      <c r="R422" s="190"/>
      <c r="S422" s="448"/>
      <c r="T422" s="572" t="s">
        <v>631</v>
      </c>
      <c r="U422" s="572" t="s">
        <v>326</v>
      </c>
      <c r="AA422" s="27"/>
      <c r="AB422" s="27"/>
      <c r="AC422" s="1072"/>
      <c r="AD422" s="585"/>
    </row>
    <row r="423" spans="6:30" ht="10.5" customHeight="1">
      <c r="F423" s="371"/>
      <c r="G423" s="346"/>
      <c r="H423" s="346"/>
      <c r="I423" s="346"/>
      <c r="J423" s="346"/>
      <c r="K423" s="346"/>
      <c r="L423" s="346"/>
      <c r="M423" s="346"/>
      <c r="N423" s="346"/>
      <c r="O423" s="346"/>
      <c r="P423" s="642" t="s">
        <v>1645</v>
      </c>
      <c r="Q423" s="323"/>
      <c r="R423" s="190"/>
      <c r="S423" s="448"/>
      <c r="T423" s="572" t="s">
        <v>1723</v>
      </c>
      <c r="U423" s="572" t="s">
        <v>114</v>
      </c>
      <c r="AA423" s="27"/>
      <c r="AB423" s="27"/>
      <c r="AC423" s="1072"/>
      <c r="AD423" s="585"/>
    </row>
    <row r="424" spans="6:30" ht="10.5" customHeight="1">
      <c r="F424" s="371"/>
      <c r="G424" s="346"/>
      <c r="H424" s="346"/>
      <c r="I424" s="346"/>
      <c r="J424" s="346"/>
      <c r="K424" s="346"/>
      <c r="L424" s="346"/>
      <c r="M424" s="346"/>
      <c r="N424" s="346"/>
      <c r="O424" s="346"/>
      <c r="P424" s="642" t="s">
        <v>1647</v>
      </c>
      <c r="Q424" s="323"/>
      <c r="R424" s="190"/>
      <c r="S424" s="448"/>
      <c r="T424" s="572" t="s">
        <v>2861</v>
      </c>
      <c r="U424" s="572" t="s">
        <v>159</v>
      </c>
      <c r="AA424" s="27"/>
      <c r="AB424" s="27"/>
      <c r="AC424" s="1072"/>
      <c r="AD424" s="585"/>
    </row>
    <row r="425" spans="6:30" ht="10.5" customHeight="1">
      <c r="F425" s="371"/>
      <c r="G425" s="346"/>
      <c r="H425" s="346"/>
      <c r="I425" s="346"/>
      <c r="J425" s="346"/>
      <c r="K425" s="346"/>
      <c r="L425" s="346"/>
      <c r="M425" s="346"/>
      <c r="N425" s="346"/>
      <c r="O425" s="346"/>
      <c r="P425" s="642" t="s">
        <v>306</v>
      </c>
      <c r="Q425" s="323"/>
      <c r="R425" s="190"/>
      <c r="S425" s="448"/>
      <c r="T425" s="572" t="s">
        <v>2004</v>
      </c>
      <c r="U425" s="572" t="s">
        <v>1109</v>
      </c>
      <c r="AA425" s="27"/>
      <c r="AB425" s="27"/>
      <c r="AC425" s="1072"/>
      <c r="AD425" s="585"/>
    </row>
    <row r="426" spans="6:30" ht="10.5" customHeight="1">
      <c r="F426" s="371"/>
      <c r="G426" s="346"/>
      <c r="H426" s="346"/>
      <c r="I426" s="346"/>
      <c r="J426" s="346"/>
      <c r="K426" s="346"/>
      <c r="L426" s="346"/>
      <c r="M426" s="346"/>
      <c r="N426" s="346"/>
      <c r="O426" s="346"/>
      <c r="P426" s="642" t="s">
        <v>308</v>
      </c>
      <c r="Q426" s="323"/>
      <c r="R426" s="190"/>
      <c r="S426" s="448"/>
      <c r="T426" s="572" t="s">
        <v>2862</v>
      </c>
      <c r="U426" s="572" t="s">
        <v>319</v>
      </c>
      <c r="AA426" s="27"/>
      <c r="AB426" s="27"/>
      <c r="AC426" s="1072"/>
      <c r="AD426" s="585"/>
    </row>
    <row r="427" spans="6:30" ht="10.5" customHeight="1">
      <c r="F427" s="371"/>
      <c r="G427" s="346"/>
      <c r="H427" s="346"/>
      <c r="I427" s="346"/>
      <c r="J427" s="346"/>
      <c r="K427" s="346"/>
      <c r="L427" s="346"/>
      <c r="M427" s="346"/>
      <c r="N427" s="346"/>
      <c r="O427" s="346"/>
      <c r="P427" s="642" t="s">
        <v>942</v>
      </c>
      <c r="Q427" s="323"/>
      <c r="R427" s="190"/>
      <c r="S427" s="448"/>
      <c r="T427" s="643" t="s">
        <v>1033</v>
      </c>
      <c r="U427" s="643" t="s">
        <v>1911</v>
      </c>
      <c r="AA427" s="27"/>
      <c r="AB427" s="27"/>
      <c r="AC427" s="1072"/>
      <c r="AD427" s="585"/>
    </row>
    <row r="428" spans="6:30" ht="10.5" customHeight="1">
      <c r="F428" s="371"/>
      <c r="G428" s="346"/>
      <c r="H428" s="346"/>
      <c r="I428" s="346"/>
      <c r="J428" s="346"/>
      <c r="K428" s="346"/>
      <c r="L428" s="346"/>
      <c r="M428" s="346"/>
      <c r="N428" s="346"/>
      <c r="O428" s="346"/>
      <c r="P428" s="642" t="s">
        <v>2321</v>
      </c>
      <c r="Q428" s="323"/>
      <c r="R428" s="190"/>
      <c r="S428" s="448"/>
      <c r="T428" s="572" t="s">
        <v>412</v>
      </c>
      <c r="U428" s="572" t="s">
        <v>184</v>
      </c>
      <c r="AA428" s="27"/>
      <c r="AB428" s="27"/>
      <c r="AC428" s="1073"/>
      <c r="AD428" s="585"/>
    </row>
    <row r="429" spans="6:30" ht="10.5" customHeight="1">
      <c r="F429" s="371"/>
      <c r="G429" s="346"/>
      <c r="H429" s="346"/>
      <c r="I429" s="346"/>
      <c r="J429" s="346"/>
      <c r="K429" s="346"/>
      <c r="L429" s="346"/>
      <c r="M429" s="346"/>
      <c r="N429" s="346"/>
      <c r="O429" s="346"/>
      <c r="P429" s="642" t="s">
        <v>2322</v>
      </c>
      <c r="Q429" s="323"/>
      <c r="R429" s="190"/>
      <c r="S429" s="448"/>
      <c r="T429" s="643" t="s">
        <v>1049</v>
      </c>
      <c r="U429" s="643" t="s">
        <v>1096</v>
      </c>
      <c r="AA429" s="27"/>
      <c r="AB429" s="27"/>
      <c r="AC429" s="1072"/>
      <c r="AD429" s="585"/>
    </row>
    <row r="430" spans="6:30" ht="10.5" customHeight="1">
      <c r="F430" s="371"/>
      <c r="G430" s="346"/>
      <c r="H430" s="346"/>
      <c r="I430" s="346"/>
      <c r="J430" s="346"/>
      <c r="K430" s="346"/>
      <c r="L430" s="346"/>
      <c r="M430" s="346"/>
      <c r="N430" s="346"/>
      <c r="O430" s="346"/>
      <c r="P430" s="642" t="s">
        <v>2303</v>
      </c>
      <c r="Q430" s="323"/>
      <c r="R430" s="190"/>
      <c r="S430" s="448"/>
      <c r="T430" s="572" t="s">
        <v>415</v>
      </c>
      <c r="U430" s="572" t="s">
        <v>2168</v>
      </c>
      <c r="AA430" s="27"/>
      <c r="AB430" s="27"/>
      <c r="AC430" s="1073"/>
      <c r="AD430" s="585"/>
    </row>
    <row r="431" spans="6:30" ht="10.5" customHeight="1">
      <c r="F431" s="371"/>
      <c r="G431" s="346"/>
      <c r="H431" s="346"/>
      <c r="I431" s="346"/>
      <c r="J431" s="346"/>
      <c r="K431" s="346"/>
      <c r="L431" s="346"/>
      <c r="M431" s="346"/>
      <c r="N431" s="346"/>
      <c r="O431" s="346"/>
      <c r="P431" s="642" t="s">
        <v>2304</v>
      </c>
      <c r="Q431" s="323"/>
      <c r="R431" s="190"/>
      <c r="S431" s="448"/>
      <c r="T431" s="643" t="s">
        <v>1944</v>
      </c>
      <c r="U431" s="643" t="s">
        <v>1456</v>
      </c>
      <c r="AA431" s="27"/>
      <c r="AB431" s="27"/>
      <c r="AC431" s="1072"/>
      <c r="AD431" s="585"/>
    </row>
    <row r="432" spans="6:30" ht="10.5" customHeight="1">
      <c r="F432" s="371"/>
      <c r="G432" s="346"/>
      <c r="H432" s="346"/>
      <c r="I432" s="346"/>
      <c r="J432" s="346"/>
      <c r="K432" s="346"/>
      <c r="L432" s="346"/>
      <c r="M432" s="346"/>
      <c r="N432" s="346"/>
      <c r="O432" s="346"/>
      <c r="P432" s="642" t="s">
        <v>2306</v>
      </c>
      <c r="Q432" s="323"/>
      <c r="R432" s="190"/>
      <c r="S432" s="448"/>
      <c r="T432" s="572" t="s">
        <v>492</v>
      </c>
      <c r="U432" s="572" t="s">
        <v>2592</v>
      </c>
      <c r="AA432" s="27"/>
      <c r="AB432" s="27"/>
      <c r="AC432" s="1073"/>
      <c r="AD432" s="585"/>
    </row>
    <row r="433" spans="6:30" ht="10.5" customHeight="1">
      <c r="F433" s="371"/>
      <c r="G433" s="346"/>
      <c r="H433" s="346"/>
      <c r="I433" s="346"/>
      <c r="J433" s="346"/>
      <c r="K433" s="346"/>
      <c r="L433" s="346"/>
      <c r="M433" s="346"/>
      <c r="N433" s="346"/>
      <c r="O433" s="346"/>
      <c r="P433" s="642" t="s">
        <v>509</v>
      </c>
      <c r="Q433" s="323"/>
      <c r="R433" s="190"/>
      <c r="S433" s="448"/>
      <c r="T433" s="572" t="s">
        <v>2162</v>
      </c>
      <c r="U433" s="572" t="s">
        <v>1323</v>
      </c>
      <c r="AA433" s="27"/>
      <c r="AB433" s="27"/>
      <c r="AC433" s="1072"/>
      <c r="AD433" s="585"/>
    </row>
    <row r="434" spans="6:30" ht="10.5" customHeight="1">
      <c r="F434" s="371"/>
      <c r="G434" s="346"/>
      <c r="H434" s="346"/>
      <c r="I434" s="346"/>
      <c r="J434" s="346"/>
      <c r="K434" s="346"/>
      <c r="L434" s="346"/>
      <c r="M434" s="346"/>
      <c r="N434" s="346"/>
      <c r="O434" s="346"/>
      <c r="P434" s="642" t="s">
        <v>186</v>
      </c>
      <c r="Q434" s="323"/>
      <c r="R434" s="190"/>
      <c r="S434" s="448"/>
      <c r="T434" s="572" t="s">
        <v>1646</v>
      </c>
      <c r="U434" s="572" t="s">
        <v>1915</v>
      </c>
      <c r="AA434" s="27"/>
      <c r="AB434" s="27"/>
      <c r="AC434" s="1072"/>
      <c r="AD434" s="585"/>
    </row>
    <row r="435" spans="6:30" ht="10.5" customHeight="1">
      <c r="F435" s="371"/>
      <c r="G435" s="346"/>
      <c r="H435" s="346"/>
      <c r="I435" s="346"/>
      <c r="J435" s="346"/>
      <c r="K435" s="346"/>
      <c r="L435" s="346"/>
      <c r="M435" s="346"/>
      <c r="N435" s="346"/>
      <c r="O435" s="346"/>
      <c r="P435" s="642" t="s">
        <v>2114</v>
      </c>
      <c r="Q435" s="323"/>
      <c r="R435" s="190"/>
      <c r="S435" s="448"/>
      <c r="T435" s="572" t="s">
        <v>1648</v>
      </c>
      <c r="U435" s="572" t="s">
        <v>164</v>
      </c>
      <c r="AA435" s="27"/>
      <c r="AB435" s="27"/>
      <c r="AC435" s="1072"/>
      <c r="AD435" s="585"/>
    </row>
    <row r="436" spans="6:30" ht="10.5" customHeight="1">
      <c r="F436" s="371"/>
      <c r="G436" s="346"/>
      <c r="H436" s="346"/>
      <c r="I436" s="346"/>
      <c r="J436" s="346"/>
      <c r="K436" s="346"/>
      <c r="L436" s="346"/>
      <c r="M436" s="346"/>
      <c r="N436" s="346"/>
      <c r="O436" s="346"/>
      <c r="P436" s="642" t="s">
        <v>1975</v>
      </c>
      <c r="Q436" s="323"/>
      <c r="R436" s="190"/>
      <c r="S436" s="448"/>
      <c r="T436" s="572" t="s">
        <v>307</v>
      </c>
      <c r="U436" s="572" t="s">
        <v>157</v>
      </c>
      <c r="AA436" s="27"/>
      <c r="AB436" s="27"/>
      <c r="AC436" s="1072"/>
      <c r="AD436" s="585"/>
    </row>
    <row r="437" spans="6:30" ht="10.5" customHeight="1">
      <c r="F437" s="371"/>
      <c r="G437" s="346"/>
      <c r="H437" s="346"/>
      <c r="I437" s="346"/>
      <c r="J437" s="346"/>
      <c r="K437" s="346"/>
      <c r="L437" s="346"/>
      <c r="M437" s="346"/>
      <c r="N437" s="346"/>
      <c r="O437" s="346"/>
      <c r="P437" s="642" t="s">
        <v>1977</v>
      </c>
      <c r="Q437" s="323"/>
      <c r="R437" s="190"/>
      <c r="S437" s="448"/>
      <c r="T437" s="572" t="s">
        <v>309</v>
      </c>
      <c r="U437" s="572" t="s">
        <v>1310</v>
      </c>
      <c r="AA437" s="27"/>
      <c r="AB437" s="27"/>
      <c r="AC437" s="1072"/>
      <c r="AD437" s="585"/>
    </row>
    <row r="438" spans="6:30" ht="10.5" customHeight="1">
      <c r="F438" s="371"/>
      <c r="G438" s="346"/>
      <c r="H438" s="346"/>
      <c r="I438" s="346"/>
      <c r="J438" s="346"/>
      <c r="K438" s="346"/>
      <c r="L438" s="346"/>
      <c r="M438" s="346"/>
      <c r="N438" s="346"/>
      <c r="O438" s="346"/>
      <c r="P438" s="642" t="s">
        <v>1145</v>
      </c>
      <c r="Q438" s="323"/>
      <c r="R438" s="190"/>
      <c r="S438" s="448"/>
      <c r="T438" s="572" t="s">
        <v>943</v>
      </c>
      <c r="U438" s="572" t="s">
        <v>2484</v>
      </c>
      <c r="AA438" s="27"/>
      <c r="AB438" s="27"/>
      <c r="AC438" s="1072"/>
      <c r="AD438" s="585"/>
    </row>
    <row r="439" spans="6:30" ht="10.5" customHeight="1">
      <c r="F439" s="371"/>
      <c r="G439" s="346"/>
      <c r="H439" s="346"/>
      <c r="I439" s="346"/>
      <c r="J439" s="346"/>
      <c r="K439" s="346"/>
      <c r="L439" s="346"/>
      <c r="M439" s="346"/>
      <c r="N439" s="346"/>
      <c r="O439" s="346"/>
      <c r="P439" s="642" t="s">
        <v>1147</v>
      </c>
      <c r="Q439" s="323"/>
      <c r="R439" s="190"/>
      <c r="S439" s="448"/>
      <c r="T439" s="572" t="s">
        <v>2323</v>
      </c>
      <c r="U439" s="572" t="s">
        <v>323</v>
      </c>
      <c r="AA439" s="27"/>
      <c r="AB439" s="27"/>
      <c r="AC439" s="1072"/>
      <c r="AD439" s="585"/>
    </row>
    <row r="440" spans="6:30" ht="10.5" customHeight="1">
      <c r="F440" s="371"/>
      <c r="G440" s="346"/>
      <c r="H440" s="346"/>
      <c r="I440" s="346"/>
      <c r="J440" s="346"/>
      <c r="K440" s="346"/>
      <c r="L440" s="346"/>
      <c r="M440" s="346"/>
      <c r="N440" s="346"/>
      <c r="O440" s="346"/>
      <c r="P440" s="642" t="s">
        <v>1113</v>
      </c>
      <c r="Q440" s="323"/>
      <c r="R440" s="190"/>
      <c r="S440" s="448"/>
      <c r="T440" s="572" t="s">
        <v>2863</v>
      </c>
      <c r="U440" s="572" t="s">
        <v>2185</v>
      </c>
      <c r="AA440" s="27"/>
      <c r="AB440" s="27"/>
      <c r="AC440" s="1072"/>
      <c r="AD440" s="585"/>
    </row>
    <row r="441" spans="6:30" ht="10.5" customHeight="1">
      <c r="F441" s="371"/>
      <c r="G441" s="346"/>
      <c r="H441" s="346"/>
      <c r="I441" s="346"/>
      <c r="J441" s="346"/>
      <c r="K441" s="346"/>
      <c r="L441" s="346"/>
      <c r="M441" s="346"/>
      <c r="N441" s="346"/>
      <c r="O441" s="346"/>
      <c r="P441" s="642" t="s">
        <v>1114</v>
      </c>
      <c r="Q441" s="323"/>
      <c r="R441" s="190"/>
      <c r="S441" s="448"/>
      <c r="T441" s="572" t="s">
        <v>2305</v>
      </c>
      <c r="U441" s="572" t="s">
        <v>179</v>
      </c>
      <c r="AA441" s="27"/>
      <c r="AB441" s="27"/>
      <c r="AC441" s="1072"/>
      <c r="AD441" s="585"/>
    </row>
    <row r="442" spans="6:30" ht="10.5" customHeight="1">
      <c r="F442" s="371"/>
      <c r="G442" s="346"/>
      <c r="H442" s="346"/>
      <c r="I442" s="346"/>
      <c r="J442" s="346"/>
      <c r="K442" s="346"/>
      <c r="L442" s="346"/>
      <c r="M442" s="346"/>
      <c r="N442" s="346"/>
      <c r="O442" s="346"/>
      <c r="P442" s="642" t="s">
        <v>72</v>
      </c>
      <c r="Q442" s="323"/>
      <c r="R442" s="190"/>
      <c r="S442" s="448"/>
      <c r="T442" s="645" t="s">
        <v>2307</v>
      </c>
      <c r="U442" s="572" t="s">
        <v>1320</v>
      </c>
      <c r="AA442" s="27"/>
      <c r="AB442" s="27"/>
      <c r="AC442" s="1072"/>
      <c r="AD442" s="585"/>
    </row>
    <row r="443" spans="6:30" ht="10.5" customHeight="1">
      <c r="F443" s="371"/>
      <c r="G443" s="346"/>
      <c r="H443" s="346"/>
      <c r="I443" s="346"/>
      <c r="J443" s="346"/>
      <c r="K443" s="346"/>
      <c r="L443" s="346"/>
      <c r="M443" s="346"/>
      <c r="N443" s="346"/>
      <c r="O443" s="346"/>
      <c r="P443" s="642" t="s">
        <v>367</v>
      </c>
      <c r="Q443" s="323"/>
      <c r="R443" s="190"/>
      <c r="S443" s="448"/>
      <c r="T443" s="572" t="s">
        <v>510</v>
      </c>
      <c r="U443" s="572" t="s">
        <v>179</v>
      </c>
      <c r="AA443" s="27"/>
      <c r="AB443" s="27"/>
      <c r="AC443" s="1074"/>
      <c r="AD443" s="585"/>
    </row>
    <row r="444" spans="6:30" ht="10.5" customHeight="1">
      <c r="F444" s="371"/>
      <c r="G444" s="346"/>
      <c r="H444" s="346"/>
      <c r="I444" s="346"/>
      <c r="J444" s="346"/>
      <c r="K444" s="346"/>
      <c r="L444" s="346"/>
      <c r="M444" s="346"/>
      <c r="N444" s="346"/>
      <c r="O444" s="346"/>
      <c r="P444" s="642" t="s">
        <v>2249</v>
      </c>
      <c r="Q444" s="323"/>
      <c r="R444" s="190"/>
      <c r="S444" s="448"/>
      <c r="T444" s="572" t="s">
        <v>1050</v>
      </c>
      <c r="U444" s="572" t="s">
        <v>1520</v>
      </c>
      <c r="AA444" s="27"/>
      <c r="AB444" s="27"/>
      <c r="AC444" s="1072"/>
      <c r="AD444" s="585"/>
    </row>
    <row r="445" spans="6:30" ht="10.5" customHeight="1">
      <c r="F445" s="371"/>
      <c r="G445" s="346"/>
      <c r="H445" s="346"/>
      <c r="I445" s="346"/>
      <c r="J445" s="346"/>
      <c r="K445" s="346"/>
      <c r="L445" s="346"/>
      <c r="M445" s="346"/>
      <c r="N445" s="346"/>
      <c r="O445" s="346"/>
      <c r="P445" s="642" t="s">
        <v>1818</v>
      </c>
      <c r="Q445" s="323"/>
      <c r="R445" s="190"/>
      <c r="S445" s="448"/>
      <c r="T445" s="572" t="s">
        <v>187</v>
      </c>
      <c r="U445" s="572" t="s">
        <v>2170</v>
      </c>
      <c r="AA445" s="27"/>
      <c r="AB445" s="27"/>
      <c r="AC445" s="1072"/>
      <c r="AD445" s="585"/>
    </row>
    <row r="446" spans="6:30" ht="10.5" customHeight="1">
      <c r="F446" s="371"/>
      <c r="G446" s="346"/>
      <c r="H446" s="346"/>
      <c r="I446" s="346"/>
      <c r="J446" s="346"/>
      <c r="K446" s="346"/>
      <c r="L446" s="346"/>
      <c r="M446" s="346"/>
      <c r="N446" s="346"/>
      <c r="O446" s="346"/>
      <c r="P446" s="642" t="s">
        <v>1755</v>
      </c>
      <c r="Q446" s="323"/>
      <c r="R446" s="190"/>
      <c r="S446" s="448"/>
      <c r="T446" s="572" t="s">
        <v>1051</v>
      </c>
      <c r="U446" s="572" t="s">
        <v>2483</v>
      </c>
      <c r="AA446" s="27"/>
      <c r="AB446" s="27"/>
      <c r="AC446" s="1072"/>
      <c r="AD446" s="585"/>
    </row>
    <row r="447" spans="6:30" ht="10.5" customHeight="1">
      <c r="F447" s="371"/>
      <c r="G447" s="346"/>
      <c r="H447" s="346"/>
      <c r="I447" s="346"/>
      <c r="J447" s="346"/>
      <c r="K447" s="346"/>
      <c r="L447" s="346"/>
      <c r="M447" s="346"/>
      <c r="N447" s="346"/>
      <c r="O447" s="346"/>
      <c r="P447" s="642" t="s">
        <v>274</v>
      </c>
      <c r="Q447" s="323"/>
      <c r="R447" s="190"/>
      <c r="S447" s="448"/>
      <c r="T447" s="643" t="s">
        <v>1974</v>
      </c>
      <c r="U447" s="643" t="s">
        <v>2399</v>
      </c>
      <c r="AA447" s="27"/>
      <c r="AB447" s="27"/>
      <c r="AC447" s="1072"/>
      <c r="AD447" s="585"/>
    </row>
    <row r="448" spans="6:30" ht="10.5" customHeight="1">
      <c r="F448" s="371"/>
      <c r="G448" s="346"/>
      <c r="H448" s="346"/>
      <c r="I448" s="346"/>
      <c r="J448" s="346"/>
      <c r="K448" s="346"/>
      <c r="L448" s="346"/>
      <c r="M448" s="346"/>
      <c r="N448" s="346"/>
      <c r="O448" s="346"/>
      <c r="P448" s="642" t="s">
        <v>2354</v>
      </c>
      <c r="Q448" s="323"/>
      <c r="R448" s="190"/>
      <c r="S448" s="448"/>
      <c r="T448" s="572" t="s">
        <v>1052</v>
      </c>
      <c r="U448" s="572" t="s">
        <v>159</v>
      </c>
      <c r="AA448" s="27"/>
      <c r="AB448" s="27"/>
      <c r="AC448" s="1073"/>
      <c r="AD448" s="585"/>
    </row>
    <row r="449" spans="6:30" ht="10.5" customHeight="1">
      <c r="F449" s="371"/>
      <c r="G449" s="346"/>
      <c r="H449" s="346"/>
      <c r="I449" s="346"/>
      <c r="J449" s="346"/>
      <c r="K449" s="346"/>
      <c r="L449" s="346"/>
      <c r="M449" s="346"/>
      <c r="N449" s="346"/>
      <c r="O449" s="346"/>
      <c r="P449" s="642" t="s">
        <v>469</v>
      </c>
      <c r="Q449" s="323"/>
      <c r="R449" s="190"/>
      <c r="S449" s="448"/>
      <c r="T449" s="572" t="s">
        <v>1976</v>
      </c>
      <c r="U449" s="572" t="s">
        <v>2399</v>
      </c>
      <c r="AA449" s="27"/>
      <c r="AB449" s="27"/>
      <c r="AC449" s="1072"/>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1331</v>
      </c>
      <c r="AA450" s="27"/>
      <c r="AB450" s="27"/>
      <c r="AC450" s="1072"/>
      <c r="AD450" s="585"/>
    </row>
    <row r="451" spans="6:30" ht="10.5" customHeight="1">
      <c r="F451" s="371"/>
      <c r="G451" s="346"/>
      <c r="H451" s="346"/>
      <c r="I451" s="346"/>
      <c r="J451" s="346"/>
      <c r="K451" s="346"/>
      <c r="L451" s="346"/>
      <c r="M451" s="346"/>
      <c r="N451" s="346"/>
      <c r="O451" s="346"/>
      <c r="P451" s="642" t="s">
        <v>472</v>
      </c>
      <c r="Q451" s="323"/>
      <c r="R451" s="190"/>
      <c r="S451" s="448"/>
      <c r="T451" s="572" t="s">
        <v>1146</v>
      </c>
      <c r="U451" s="572" t="s">
        <v>871</v>
      </c>
      <c r="AA451" s="27"/>
      <c r="AB451" s="27"/>
      <c r="AC451" s="1072"/>
      <c r="AD451" s="585"/>
    </row>
    <row r="452" spans="6:30" ht="10.5" customHeight="1">
      <c r="F452" s="371"/>
      <c r="G452" s="346"/>
      <c r="H452" s="346"/>
      <c r="I452" s="346"/>
      <c r="J452" s="346"/>
      <c r="K452" s="346"/>
      <c r="L452" s="346"/>
      <c r="M452" s="346"/>
      <c r="N452" s="346"/>
      <c r="O452" s="346"/>
      <c r="P452" s="642" t="s">
        <v>474</v>
      </c>
      <c r="Q452" s="323"/>
      <c r="R452" s="190"/>
      <c r="S452" s="448"/>
      <c r="T452" s="572" t="s">
        <v>1112</v>
      </c>
      <c r="U452" s="572" t="s">
        <v>874</v>
      </c>
      <c r="AA452" s="27"/>
      <c r="AB452" s="27"/>
      <c r="AC452" s="1072"/>
      <c r="AD452" s="585"/>
    </row>
    <row r="453" spans="6:30" ht="10.5" customHeight="1">
      <c r="F453" s="371"/>
      <c r="G453" s="346"/>
      <c r="H453" s="346"/>
      <c r="I453" s="346"/>
      <c r="J453" s="346"/>
      <c r="K453" s="346"/>
      <c r="L453" s="346"/>
      <c r="M453" s="346"/>
      <c r="N453" s="346"/>
      <c r="O453" s="346"/>
      <c r="P453" s="642" t="s">
        <v>1240</v>
      </c>
      <c r="Q453" s="323"/>
      <c r="R453" s="190"/>
      <c r="S453" s="448"/>
      <c r="T453" s="572" t="s">
        <v>325</v>
      </c>
      <c r="U453" s="572" t="s">
        <v>1093</v>
      </c>
      <c r="AA453" s="27"/>
      <c r="AB453" s="27"/>
      <c r="AC453" s="1072"/>
      <c r="AD453" s="585"/>
    </row>
    <row r="454" spans="6:30" ht="10.5" customHeight="1">
      <c r="F454" s="371"/>
      <c r="G454" s="346"/>
      <c r="H454" s="346"/>
      <c r="I454" s="346"/>
      <c r="J454" s="346"/>
      <c r="K454" s="346"/>
      <c r="L454" s="346"/>
      <c r="M454" s="346"/>
      <c r="N454" s="346"/>
      <c r="O454" s="346"/>
      <c r="P454" s="642" t="s">
        <v>1242</v>
      </c>
      <c r="Q454" s="323"/>
      <c r="R454" s="190"/>
      <c r="S454" s="448"/>
      <c r="T454" s="572" t="s">
        <v>328</v>
      </c>
      <c r="U454" s="572" t="s">
        <v>323</v>
      </c>
      <c r="AA454" s="27"/>
      <c r="AB454" s="27"/>
      <c r="AC454" s="1072"/>
      <c r="AD454" s="585"/>
    </row>
    <row r="455" spans="6:30" ht="10.5" customHeight="1">
      <c r="F455" s="371"/>
      <c r="G455" s="346"/>
      <c r="H455" s="346"/>
      <c r="I455" s="346"/>
      <c r="J455" s="346"/>
      <c r="K455" s="346"/>
      <c r="L455" s="346"/>
      <c r="M455" s="346"/>
      <c r="N455" s="346"/>
      <c r="O455" s="346"/>
      <c r="P455" s="642" t="s">
        <v>1993</v>
      </c>
      <c r="Q455" s="323"/>
      <c r="R455" s="190"/>
      <c r="S455" s="448"/>
      <c r="T455" s="572" t="s">
        <v>73</v>
      </c>
      <c r="U455" s="572" t="s">
        <v>1919</v>
      </c>
      <c r="AA455" s="27"/>
      <c r="AB455" s="27"/>
      <c r="AC455" s="1072"/>
      <c r="AD455" s="585"/>
    </row>
    <row r="456" spans="6:30" ht="10.5" customHeight="1">
      <c r="F456" s="371"/>
      <c r="G456" s="346"/>
      <c r="H456" s="346"/>
      <c r="I456" s="346"/>
      <c r="J456" s="346"/>
      <c r="K456" s="346"/>
      <c r="L456" s="346"/>
      <c r="M456" s="346"/>
      <c r="N456" s="346"/>
      <c r="O456" s="346"/>
      <c r="P456" s="642" t="s">
        <v>1994</v>
      </c>
      <c r="Q456" s="323"/>
      <c r="R456" s="190"/>
      <c r="S456" s="448"/>
      <c r="T456" s="643" t="s">
        <v>2250</v>
      </c>
      <c r="U456" s="643" t="s">
        <v>1331</v>
      </c>
      <c r="AA456" s="27"/>
      <c r="AB456" s="27"/>
      <c r="AC456" s="1072"/>
      <c r="AD456" s="585"/>
    </row>
    <row r="457" spans="6:30" ht="10.5" customHeight="1">
      <c r="F457" s="371"/>
      <c r="G457" s="346"/>
      <c r="H457" s="346"/>
      <c r="I457" s="346"/>
      <c r="J457" s="346"/>
      <c r="K457" s="346"/>
      <c r="L457" s="346"/>
      <c r="M457" s="346"/>
      <c r="N457" s="346"/>
      <c r="O457" s="346"/>
      <c r="P457" s="642" t="s">
        <v>75</v>
      </c>
      <c r="Q457" s="323"/>
      <c r="R457" s="190"/>
      <c r="S457" s="448"/>
      <c r="T457" s="643" t="s">
        <v>1754</v>
      </c>
      <c r="U457" s="643" t="s">
        <v>2008</v>
      </c>
      <c r="AA457" s="27"/>
      <c r="AB457" s="27"/>
      <c r="AC457" s="1073"/>
      <c r="AD457" s="585"/>
    </row>
    <row r="458" spans="6:30" ht="10.5" customHeight="1">
      <c r="F458" s="371"/>
      <c r="G458" s="346"/>
      <c r="H458" s="346"/>
      <c r="I458" s="346"/>
      <c r="J458" s="346"/>
      <c r="K458" s="346"/>
      <c r="L458" s="346"/>
      <c r="M458" s="346"/>
      <c r="N458" s="346"/>
      <c r="O458" s="346"/>
      <c r="P458" s="642" t="s">
        <v>77</v>
      </c>
      <c r="Q458" s="323"/>
      <c r="R458" s="190"/>
      <c r="S458" s="448"/>
      <c r="T458" s="572" t="s">
        <v>1756</v>
      </c>
      <c r="U458" s="572" t="s">
        <v>108</v>
      </c>
      <c r="AA458" s="27"/>
      <c r="AB458" s="27"/>
      <c r="AC458" s="1073"/>
      <c r="AD458" s="585"/>
    </row>
    <row r="459" spans="6:30" ht="10.5" customHeight="1">
      <c r="F459" s="371"/>
      <c r="G459" s="346"/>
      <c r="H459" s="346"/>
      <c r="I459" s="346"/>
      <c r="J459" s="346"/>
      <c r="K459" s="346"/>
      <c r="L459" s="346"/>
      <c r="M459" s="346"/>
      <c r="N459" s="346"/>
      <c r="O459" s="346"/>
      <c r="P459" s="642" t="s">
        <v>2412</v>
      </c>
      <c r="Q459" s="323"/>
      <c r="R459" s="190"/>
      <c r="S459" s="448"/>
      <c r="T459" s="572" t="s">
        <v>691</v>
      </c>
      <c r="U459" s="572" t="s">
        <v>1206</v>
      </c>
      <c r="AA459" s="27"/>
      <c r="AB459" s="27"/>
      <c r="AC459" s="1072"/>
      <c r="AD459" s="585"/>
    </row>
    <row r="460" spans="6:30" ht="10.5" customHeight="1">
      <c r="F460" s="371"/>
      <c r="G460" s="346"/>
      <c r="H460" s="346"/>
      <c r="I460" s="346"/>
      <c r="J460" s="346"/>
      <c r="K460" s="346"/>
      <c r="L460" s="346"/>
      <c r="M460" s="346"/>
      <c r="N460" s="346"/>
      <c r="O460" s="346"/>
      <c r="P460" s="642" t="s">
        <v>2199</v>
      </c>
      <c r="Q460" s="323"/>
      <c r="R460" s="190"/>
      <c r="S460" s="448"/>
      <c r="T460" s="572" t="s">
        <v>2353</v>
      </c>
      <c r="U460" s="572" t="s">
        <v>2483</v>
      </c>
      <c r="AA460" s="27"/>
      <c r="AB460" s="27"/>
      <c r="AC460" s="1072"/>
      <c r="AD460" s="585"/>
    </row>
    <row r="461" spans="6:30" ht="10.5" customHeight="1">
      <c r="F461" s="371"/>
      <c r="G461" s="346"/>
      <c r="H461" s="346"/>
      <c r="I461" s="346"/>
      <c r="J461" s="346"/>
      <c r="K461" s="346"/>
      <c r="L461" s="346"/>
      <c r="M461" s="346"/>
      <c r="N461" s="346"/>
      <c r="O461" s="346"/>
      <c r="P461" s="642" t="s">
        <v>2200</v>
      </c>
      <c r="Q461" s="323"/>
      <c r="R461" s="190"/>
      <c r="S461" s="448"/>
      <c r="T461" s="572" t="s">
        <v>2355</v>
      </c>
      <c r="U461" s="572" t="s">
        <v>2179</v>
      </c>
      <c r="AA461" s="27"/>
      <c r="AB461" s="27"/>
      <c r="AC461" s="1072"/>
      <c r="AD461" s="585"/>
    </row>
    <row r="462" spans="6:30" ht="10.5" customHeight="1">
      <c r="F462" s="371"/>
      <c r="G462" s="346"/>
      <c r="H462" s="346"/>
      <c r="I462" s="346"/>
      <c r="J462" s="346"/>
      <c r="K462" s="346"/>
      <c r="L462" s="346"/>
      <c r="M462" s="346"/>
      <c r="N462" s="346"/>
      <c r="O462" s="346"/>
      <c r="P462" s="642" t="s">
        <v>966</v>
      </c>
      <c r="Q462" s="323"/>
      <c r="R462" s="190"/>
      <c r="S462" s="448"/>
      <c r="T462" s="572" t="s">
        <v>471</v>
      </c>
      <c r="U462" s="572" t="s">
        <v>2486</v>
      </c>
      <c r="AA462" s="27"/>
      <c r="AB462" s="27"/>
      <c r="AC462" s="1072"/>
      <c r="AD462" s="585"/>
    </row>
    <row r="463" spans="6:30" ht="10.5" customHeight="1">
      <c r="F463" s="371"/>
      <c r="G463" s="346"/>
      <c r="H463" s="346"/>
      <c r="I463" s="346"/>
      <c r="J463" s="346"/>
      <c r="K463" s="346"/>
      <c r="L463" s="346"/>
      <c r="M463" s="346"/>
      <c r="N463" s="346"/>
      <c r="O463" s="346"/>
      <c r="P463" s="642" t="s">
        <v>968</v>
      </c>
      <c r="Q463" s="323"/>
      <c r="R463" s="190"/>
      <c r="S463" s="448"/>
      <c r="T463" s="572" t="s">
        <v>473</v>
      </c>
      <c r="U463" s="572" t="s">
        <v>1329</v>
      </c>
      <c r="AA463" s="27"/>
      <c r="AB463" s="27"/>
      <c r="AC463" s="1072"/>
      <c r="AD463" s="585"/>
    </row>
    <row r="464" spans="6:30" ht="10.5" customHeight="1">
      <c r="F464" s="371"/>
      <c r="G464" s="346"/>
      <c r="H464" s="346"/>
      <c r="I464" s="346"/>
      <c r="J464" s="346"/>
      <c r="K464" s="346"/>
      <c r="L464" s="346"/>
      <c r="M464" s="346"/>
      <c r="N464" s="346"/>
      <c r="O464" s="346"/>
      <c r="P464" s="642" t="s">
        <v>1490</v>
      </c>
      <c r="Q464" s="323"/>
      <c r="R464" s="190"/>
      <c r="S464" s="448"/>
      <c r="T464" s="572" t="s">
        <v>1053</v>
      </c>
      <c r="U464" s="572" t="s">
        <v>1334</v>
      </c>
      <c r="AA464" s="27"/>
      <c r="AB464" s="27"/>
      <c r="AC464" s="1072"/>
      <c r="AD464" s="585"/>
    </row>
    <row r="465" spans="6:30" ht="10.5" customHeight="1">
      <c r="F465" s="371"/>
      <c r="G465" s="346"/>
      <c r="H465" s="346"/>
      <c r="I465" s="346"/>
      <c r="J465" s="346"/>
      <c r="K465" s="346"/>
      <c r="L465" s="346"/>
      <c r="M465" s="346"/>
      <c r="N465" s="346"/>
      <c r="O465" s="346"/>
      <c r="P465" s="642" t="s">
        <v>1491</v>
      </c>
      <c r="Q465" s="323"/>
      <c r="R465" s="190"/>
      <c r="S465" s="448"/>
      <c r="T465" s="572" t="s">
        <v>475</v>
      </c>
      <c r="U465" s="572" t="s">
        <v>1334</v>
      </c>
      <c r="AA465" s="27"/>
      <c r="AB465" s="27"/>
      <c r="AC465" s="1072"/>
      <c r="AD465" s="585"/>
    </row>
    <row r="466" spans="6:30" ht="10.5" customHeight="1">
      <c r="F466" s="371"/>
      <c r="G466" s="346"/>
      <c r="H466" s="346"/>
      <c r="I466" s="346"/>
      <c r="J466" s="346"/>
      <c r="K466" s="346"/>
      <c r="L466" s="346"/>
      <c r="M466" s="346"/>
      <c r="N466" s="346"/>
      <c r="O466" s="346"/>
      <c r="P466" s="642" t="s">
        <v>1493</v>
      </c>
      <c r="Q466" s="323"/>
      <c r="R466" s="190"/>
      <c r="S466" s="448"/>
      <c r="T466" s="572" t="s">
        <v>1241</v>
      </c>
      <c r="U466" s="572" t="s">
        <v>1314</v>
      </c>
      <c r="AA466" s="27"/>
      <c r="AB466" s="27"/>
      <c r="AC466" s="1072"/>
      <c r="AD466" s="585"/>
    </row>
    <row r="467" spans="6:30" ht="10.5" customHeight="1">
      <c r="F467" s="371"/>
      <c r="G467" s="346"/>
      <c r="H467" s="346"/>
      <c r="I467" s="346"/>
      <c r="J467" s="346"/>
      <c r="K467" s="346"/>
      <c r="L467" s="346"/>
      <c r="M467" s="346"/>
      <c r="N467" s="346"/>
      <c r="O467" s="346"/>
      <c r="P467" s="642" t="s">
        <v>1495</v>
      </c>
      <c r="Q467" s="323"/>
      <c r="R467" s="190"/>
      <c r="S467" s="448"/>
      <c r="T467" s="643" t="s">
        <v>1243</v>
      </c>
      <c r="U467" s="643" t="s">
        <v>332</v>
      </c>
      <c r="AA467" s="27"/>
      <c r="AB467" s="27"/>
      <c r="AC467" s="1072"/>
      <c r="AD467" s="585"/>
    </row>
    <row r="468" spans="6:30" ht="10.5" customHeight="1">
      <c r="F468" s="371"/>
      <c r="G468" s="346"/>
      <c r="H468" s="346"/>
      <c r="I468" s="346"/>
      <c r="J468" s="346"/>
      <c r="K468" s="346"/>
      <c r="L468" s="346"/>
      <c r="M468" s="346"/>
      <c r="N468" s="346"/>
      <c r="O468" s="346"/>
      <c r="P468" s="642" t="s">
        <v>1497</v>
      </c>
      <c r="Q468" s="323"/>
      <c r="R468" s="190"/>
      <c r="S468" s="448"/>
      <c r="T468" s="572" t="s">
        <v>2864</v>
      </c>
      <c r="U468" s="572" t="s">
        <v>2532</v>
      </c>
      <c r="AA468" s="27"/>
      <c r="AB468" s="27"/>
      <c r="AC468" s="1073"/>
      <c r="AD468" s="585"/>
    </row>
    <row r="469" spans="6:30" ht="10.5" customHeight="1">
      <c r="F469" s="371"/>
      <c r="G469" s="346"/>
      <c r="H469" s="346"/>
      <c r="I469" s="346"/>
      <c r="J469" s="346"/>
      <c r="K469" s="346"/>
      <c r="L469" s="346"/>
      <c r="M469" s="346"/>
      <c r="N469" s="346"/>
      <c r="O469" s="346"/>
      <c r="P469" s="642" t="s">
        <v>2338</v>
      </c>
      <c r="Q469" s="323"/>
      <c r="R469" s="190"/>
      <c r="S469" s="448"/>
      <c r="T469" s="572" t="s">
        <v>1995</v>
      </c>
      <c r="U469" s="572" t="s">
        <v>2007</v>
      </c>
      <c r="AA469" s="27"/>
      <c r="AB469" s="27"/>
      <c r="AC469" s="1072"/>
      <c r="AD469" s="585"/>
    </row>
    <row r="470" spans="6:30" ht="10.5" customHeight="1">
      <c r="F470" s="371"/>
      <c r="G470" s="346"/>
      <c r="H470" s="346"/>
      <c r="I470" s="346"/>
      <c r="J470" s="346"/>
      <c r="K470" s="346"/>
      <c r="L470" s="346"/>
      <c r="M470" s="346"/>
      <c r="N470" s="346"/>
      <c r="O470" s="346"/>
      <c r="P470" s="642" t="s">
        <v>2596</v>
      </c>
      <c r="Q470" s="323"/>
      <c r="R470" s="190"/>
      <c r="S470" s="448"/>
      <c r="T470" s="572" t="s">
        <v>76</v>
      </c>
      <c r="U470" s="572" t="s">
        <v>1915</v>
      </c>
      <c r="AA470" s="27"/>
      <c r="AB470" s="27"/>
      <c r="AC470" s="1072"/>
      <c r="AD470" s="585"/>
    </row>
    <row r="471" spans="6:30" ht="10.5" customHeight="1">
      <c r="F471" s="371"/>
      <c r="G471" s="346"/>
      <c r="H471" s="346"/>
      <c r="I471" s="346"/>
      <c r="J471" s="346"/>
      <c r="K471" s="346"/>
      <c r="L471" s="346"/>
      <c r="M471" s="346"/>
      <c r="N471" s="346"/>
      <c r="O471" s="346"/>
      <c r="P471" s="642" t="s">
        <v>1281</v>
      </c>
      <c r="Q471" s="323"/>
      <c r="R471" s="190"/>
      <c r="S471" s="448"/>
      <c r="T471" s="572" t="s">
        <v>632</v>
      </c>
      <c r="U471" s="572" t="s">
        <v>2483</v>
      </c>
      <c r="AA471" s="27"/>
      <c r="AB471" s="27"/>
      <c r="AC471" s="1072"/>
      <c r="AD471" s="585"/>
    </row>
    <row r="472" spans="6:30" ht="10.5" customHeight="1">
      <c r="F472" s="371"/>
      <c r="G472" s="346"/>
      <c r="H472" s="346"/>
      <c r="I472" s="346"/>
      <c r="J472" s="346"/>
      <c r="K472" s="346"/>
      <c r="L472" s="346"/>
      <c r="M472" s="346"/>
      <c r="N472" s="346"/>
      <c r="O472" s="346"/>
      <c r="P472" s="642" t="s">
        <v>1508</v>
      </c>
      <c r="Q472" s="323"/>
      <c r="R472" s="190"/>
      <c r="S472" s="448"/>
      <c r="T472" s="572" t="s">
        <v>78</v>
      </c>
      <c r="U472" s="572" t="s">
        <v>175</v>
      </c>
      <c r="AA472" s="27"/>
      <c r="AB472" s="27"/>
      <c r="AC472" s="1072"/>
      <c r="AD472" s="585"/>
    </row>
    <row r="473" spans="6:30" ht="10.5" customHeight="1">
      <c r="F473" s="371"/>
      <c r="G473" s="346"/>
      <c r="H473" s="346"/>
      <c r="I473" s="346"/>
      <c r="J473" s="346"/>
      <c r="K473" s="346"/>
      <c r="L473" s="346"/>
      <c r="M473" s="346"/>
      <c r="N473" s="346"/>
      <c r="O473" s="346"/>
      <c r="P473" s="642" t="s">
        <v>819</v>
      </c>
      <c r="Q473" s="323"/>
      <c r="R473" s="190"/>
      <c r="S473" s="448"/>
      <c r="T473" s="572" t="s">
        <v>2413</v>
      </c>
      <c r="U473" s="572" t="s">
        <v>1452</v>
      </c>
      <c r="AA473" s="27"/>
      <c r="AB473" s="27"/>
      <c r="AC473" s="1072"/>
      <c r="AD473" s="585"/>
    </row>
    <row r="474" spans="6:30" ht="10.5" customHeight="1">
      <c r="F474" s="371"/>
      <c r="G474" s="346"/>
      <c r="H474" s="346"/>
      <c r="I474" s="346"/>
      <c r="J474" s="346"/>
      <c r="K474" s="346"/>
      <c r="L474" s="346"/>
      <c r="M474" s="346"/>
      <c r="N474" s="346"/>
      <c r="O474" s="346"/>
      <c r="P474" s="642" t="s">
        <v>820</v>
      </c>
      <c r="Q474" s="323"/>
      <c r="R474" s="190"/>
      <c r="S474" s="448"/>
      <c r="T474" s="572" t="s">
        <v>1054</v>
      </c>
      <c r="U474" s="572" t="s">
        <v>1520</v>
      </c>
      <c r="AA474" s="27"/>
      <c r="AB474" s="27"/>
      <c r="AC474" s="1072"/>
      <c r="AD474" s="585"/>
    </row>
    <row r="475" spans="6:30" ht="10.5" customHeight="1">
      <c r="F475" s="371"/>
      <c r="G475" s="346"/>
      <c r="H475" s="346"/>
      <c r="I475" s="346"/>
      <c r="J475" s="346"/>
      <c r="K475" s="346"/>
      <c r="L475" s="346"/>
      <c r="M475" s="346"/>
      <c r="N475" s="346"/>
      <c r="O475" s="346"/>
      <c r="P475" s="642" t="s">
        <v>822</v>
      </c>
      <c r="Q475" s="323"/>
      <c r="R475" s="190"/>
      <c r="S475" s="448"/>
      <c r="T475" s="572" t="s">
        <v>1055</v>
      </c>
      <c r="U475" s="572" t="s">
        <v>1110</v>
      </c>
      <c r="AA475" s="27"/>
      <c r="AB475" s="27"/>
      <c r="AC475" s="1072"/>
      <c r="AD475" s="585"/>
    </row>
    <row r="476" spans="6:30" ht="10.5" customHeight="1">
      <c r="F476" s="371"/>
      <c r="G476" s="346"/>
      <c r="H476" s="346"/>
      <c r="I476" s="346"/>
      <c r="J476" s="346"/>
      <c r="K476" s="346"/>
      <c r="L476" s="346"/>
      <c r="M476" s="346"/>
      <c r="N476" s="346"/>
      <c r="O476" s="346"/>
      <c r="P476" s="642" t="s">
        <v>823</v>
      </c>
      <c r="Q476" s="323"/>
      <c r="R476" s="190"/>
      <c r="S476" s="448"/>
      <c r="T476" s="572" t="s">
        <v>613</v>
      </c>
      <c r="U476" s="572" t="s">
        <v>660</v>
      </c>
      <c r="AA476" s="27"/>
      <c r="AB476" s="27"/>
      <c r="AC476" s="1072"/>
      <c r="AD476" s="585"/>
    </row>
    <row r="477" spans="6:30" ht="10.5" customHeight="1">
      <c r="F477" s="371"/>
      <c r="G477" s="346"/>
      <c r="H477" s="346"/>
      <c r="I477" s="346"/>
      <c r="J477" s="346"/>
      <c r="K477" s="346"/>
      <c r="L477" s="346"/>
      <c r="M477" s="346"/>
      <c r="N477" s="346"/>
      <c r="O477" s="346"/>
      <c r="P477" s="642" t="s">
        <v>119</v>
      </c>
      <c r="Q477" s="323"/>
      <c r="R477" s="190"/>
      <c r="S477" s="448"/>
      <c r="T477" s="572" t="s">
        <v>967</v>
      </c>
      <c r="U477" s="572" t="s">
        <v>121</v>
      </c>
      <c r="AA477" s="27"/>
      <c r="AB477" s="27"/>
      <c r="AC477" s="1072"/>
      <c r="AD477" s="585"/>
    </row>
    <row r="478" spans="6:30" ht="10.5" customHeight="1">
      <c r="F478" s="371"/>
      <c r="G478" s="346"/>
      <c r="H478" s="346"/>
      <c r="I478" s="346"/>
      <c r="J478" s="346"/>
      <c r="K478" s="346"/>
      <c r="L478" s="346"/>
      <c r="M478" s="346"/>
      <c r="N478" s="346"/>
      <c r="O478" s="346"/>
      <c r="P478" s="642" t="s">
        <v>249</v>
      </c>
      <c r="Q478" s="323"/>
      <c r="R478" s="190"/>
      <c r="S478" s="448"/>
      <c r="T478" s="572" t="s">
        <v>969</v>
      </c>
      <c r="U478" s="572" t="s">
        <v>1332</v>
      </c>
      <c r="AA478" s="27"/>
      <c r="AB478" s="27"/>
      <c r="AC478" s="1072"/>
      <c r="AD478" s="585"/>
    </row>
    <row r="479" spans="6:30" ht="10.5" customHeight="1">
      <c r="F479" s="371"/>
      <c r="G479" s="346"/>
      <c r="H479" s="346"/>
      <c r="I479" s="346"/>
      <c r="J479" s="346"/>
      <c r="K479" s="346"/>
      <c r="L479" s="346"/>
      <c r="M479" s="346"/>
      <c r="N479" s="346"/>
      <c r="O479" s="346"/>
      <c r="P479" s="642" t="s">
        <v>1505</v>
      </c>
      <c r="Q479" s="323"/>
      <c r="R479" s="190"/>
      <c r="S479" s="448"/>
      <c r="T479" s="572" t="s">
        <v>1492</v>
      </c>
      <c r="U479" s="572" t="s">
        <v>1455</v>
      </c>
      <c r="AA479" s="27"/>
      <c r="AB479" s="27"/>
      <c r="AC479" s="1072"/>
      <c r="AD479" s="585"/>
    </row>
    <row r="480" spans="6:30" ht="10.5" customHeight="1">
      <c r="F480" s="371"/>
      <c r="G480" s="346"/>
      <c r="H480" s="346"/>
      <c r="I480" s="346"/>
      <c r="J480" s="346"/>
      <c r="K480" s="346"/>
      <c r="L480" s="346"/>
      <c r="M480" s="346"/>
      <c r="N480" s="346"/>
      <c r="O480" s="346"/>
      <c r="P480" s="642" t="s">
        <v>244</v>
      </c>
      <c r="Q480" s="323"/>
      <c r="R480" s="190"/>
      <c r="S480" s="448"/>
      <c r="T480" s="572" t="s">
        <v>1494</v>
      </c>
      <c r="U480" s="572" t="s">
        <v>2529</v>
      </c>
      <c r="AA480" s="27"/>
      <c r="AB480" s="27"/>
      <c r="AC480" s="1072"/>
      <c r="AD480" s="585"/>
    </row>
    <row r="481" spans="6:30" ht="10.5" customHeight="1">
      <c r="F481" s="371"/>
      <c r="G481" s="346"/>
      <c r="H481" s="346"/>
      <c r="I481" s="346"/>
      <c r="J481" s="346"/>
      <c r="K481" s="346"/>
      <c r="L481" s="346"/>
      <c r="M481" s="346"/>
      <c r="N481" s="346"/>
      <c r="O481" s="346"/>
      <c r="P481" s="642" t="s">
        <v>1510</v>
      </c>
      <c r="Q481" s="323"/>
      <c r="R481" s="190"/>
      <c r="S481" s="448"/>
      <c r="T481" s="572" t="s">
        <v>1496</v>
      </c>
      <c r="U481" s="572" t="s">
        <v>2177</v>
      </c>
      <c r="AA481" s="27"/>
      <c r="AB481" s="27"/>
      <c r="AC481" s="1072"/>
      <c r="AD481" s="585"/>
    </row>
    <row r="482" spans="6:30" ht="10.5" customHeight="1">
      <c r="F482" s="371"/>
      <c r="G482" s="346"/>
      <c r="H482" s="346"/>
      <c r="I482" s="346"/>
      <c r="J482" s="346"/>
      <c r="K482" s="346"/>
      <c r="L482" s="346"/>
      <c r="M482" s="346"/>
      <c r="N482" s="346"/>
      <c r="O482" s="346"/>
      <c r="P482" s="642" t="s">
        <v>1512</v>
      </c>
      <c r="Q482" s="323"/>
      <c r="R482" s="190"/>
      <c r="S482" s="448"/>
      <c r="T482" s="572" t="s">
        <v>2337</v>
      </c>
      <c r="U482" s="572" t="s">
        <v>2591</v>
      </c>
      <c r="AA482" s="27"/>
      <c r="AB482" s="27"/>
      <c r="AC482" s="1072"/>
      <c r="AD482" s="585"/>
    </row>
    <row r="483" spans="6:30" ht="10.5" customHeight="1">
      <c r="F483" s="371"/>
      <c r="G483" s="346"/>
      <c r="H483" s="346"/>
      <c r="I483" s="346"/>
      <c r="J483" s="346"/>
      <c r="K483" s="346"/>
      <c r="L483" s="346"/>
      <c r="M483" s="346"/>
      <c r="N483" s="346"/>
      <c r="O483" s="346"/>
      <c r="P483" s="642" t="s">
        <v>1392</v>
      </c>
      <c r="Q483" s="323"/>
      <c r="R483" s="190"/>
      <c r="S483" s="448"/>
      <c r="T483" s="572" t="s">
        <v>2339</v>
      </c>
      <c r="U483" s="572" t="s">
        <v>121</v>
      </c>
      <c r="AA483" s="27"/>
      <c r="AB483" s="27"/>
      <c r="AC483" s="1072"/>
      <c r="AD483" s="585"/>
    </row>
    <row r="484" spans="6:30" ht="10.5" customHeight="1">
      <c r="F484" s="371"/>
      <c r="G484" s="346"/>
      <c r="H484" s="346"/>
      <c r="I484" s="346"/>
      <c r="J484" s="346"/>
      <c r="K484" s="346"/>
      <c r="L484" s="346"/>
      <c r="M484" s="346"/>
      <c r="N484" s="346"/>
      <c r="O484" s="346"/>
      <c r="P484" s="642" t="s">
        <v>1394</v>
      </c>
      <c r="Q484" s="323"/>
      <c r="R484" s="190"/>
      <c r="S484" s="448"/>
      <c r="T484" s="572" t="s">
        <v>1280</v>
      </c>
      <c r="U484" s="572" t="s">
        <v>953</v>
      </c>
      <c r="AA484" s="27"/>
      <c r="AB484" s="27"/>
      <c r="AC484" s="1072"/>
      <c r="AD484" s="585"/>
    </row>
    <row r="485" spans="6:30" ht="10.5" customHeight="1">
      <c r="F485" s="371"/>
      <c r="G485" s="346"/>
      <c r="H485" s="346"/>
      <c r="I485" s="346"/>
      <c r="J485" s="346"/>
      <c r="K485" s="346"/>
      <c r="L485" s="346"/>
      <c r="M485" s="346"/>
      <c r="N485" s="346"/>
      <c r="O485" s="346"/>
      <c r="P485" s="642" t="s">
        <v>1396</v>
      </c>
      <c r="Q485" s="323"/>
      <c r="R485" s="190"/>
      <c r="S485" s="448"/>
      <c r="T485" s="643" t="s">
        <v>1056</v>
      </c>
      <c r="U485" s="643" t="s">
        <v>2005</v>
      </c>
      <c r="AA485" s="27"/>
      <c r="AB485" s="27"/>
      <c r="AC485" s="1072"/>
      <c r="AD485" s="585"/>
    </row>
    <row r="486" spans="6:30" ht="10.5" customHeight="1">
      <c r="F486" s="371"/>
      <c r="G486" s="346"/>
      <c r="H486" s="346"/>
      <c r="I486" s="346"/>
      <c r="J486" s="346"/>
      <c r="K486" s="346"/>
      <c r="L486" s="346"/>
      <c r="M486" s="346"/>
      <c r="N486" s="346"/>
      <c r="O486" s="346"/>
      <c r="P486" s="642" t="s">
        <v>1397</v>
      </c>
      <c r="Q486" s="323"/>
      <c r="R486" s="190"/>
      <c r="S486" s="448"/>
      <c r="T486" s="572" t="s">
        <v>1282</v>
      </c>
      <c r="U486" s="572" t="s">
        <v>1457</v>
      </c>
      <c r="AA486" s="27"/>
      <c r="AB486" s="27"/>
      <c r="AC486" s="1073"/>
      <c r="AD486" s="585"/>
    </row>
    <row r="487" spans="6:30" ht="10.5" customHeight="1">
      <c r="F487" s="371"/>
      <c r="G487" s="346"/>
      <c r="H487" s="346"/>
      <c r="I487" s="346"/>
      <c r="J487" s="346"/>
      <c r="K487" s="346"/>
      <c r="L487" s="346"/>
      <c r="M487" s="346"/>
      <c r="N487" s="346"/>
      <c r="O487" s="346"/>
      <c r="P487" s="642" t="s">
        <v>1399</v>
      </c>
      <c r="Q487" s="323"/>
      <c r="R487" s="190"/>
      <c r="S487" s="448"/>
      <c r="T487" s="572" t="s">
        <v>827</v>
      </c>
      <c r="U487" s="572" t="s">
        <v>2007</v>
      </c>
      <c r="AA487" s="27"/>
      <c r="AB487" s="27"/>
      <c r="AC487" s="1072"/>
      <c r="AD487" s="585"/>
    </row>
    <row r="488" spans="6:30" ht="10.5" customHeight="1">
      <c r="F488" s="371"/>
      <c r="G488" s="346"/>
      <c r="H488" s="346"/>
      <c r="I488" s="346"/>
      <c r="J488" s="346"/>
      <c r="K488" s="346"/>
      <c r="L488" s="346"/>
      <c r="M488" s="346"/>
      <c r="N488" s="346"/>
      <c r="O488" s="346"/>
      <c r="P488" s="642" t="s">
        <v>1401</v>
      </c>
      <c r="Q488" s="323"/>
      <c r="R488" s="190"/>
      <c r="S488" s="448"/>
      <c r="T488" s="572" t="s">
        <v>828</v>
      </c>
      <c r="U488" s="572" t="s">
        <v>873</v>
      </c>
      <c r="AA488" s="27"/>
      <c r="AB488" s="27"/>
      <c r="AC488" s="1072"/>
      <c r="AD488" s="585"/>
    </row>
    <row r="489" spans="6:30" ht="10.5" customHeight="1">
      <c r="F489" s="371"/>
      <c r="G489" s="346"/>
      <c r="H489" s="346"/>
      <c r="I489" s="346"/>
      <c r="J489" s="346"/>
      <c r="K489" s="346"/>
      <c r="L489" s="346"/>
      <c r="M489" s="346"/>
      <c r="N489" s="346"/>
      <c r="O489" s="346"/>
      <c r="P489" s="642" t="s">
        <v>1569</v>
      </c>
      <c r="Q489" s="323"/>
      <c r="R489" s="190"/>
      <c r="S489" s="448"/>
      <c r="T489" s="572" t="s">
        <v>821</v>
      </c>
      <c r="U489" s="572" t="s">
        <v>628</v>
      </c>
      <c r="AA489" s="27"/>
      <c r="AB489" s="27"/>
      <c r="AC489" s="1072"/>
      <c r="AD489" s="585"/>
    </row>
    <row r="490" spans="6:30" ht="10.5" customHeight="1">
      <c r="F490" s="371"/>
      <c r="G490" s="346"/>
      <c r="H490" s="346"/>
      <c r="I490" s="346"/>
      <c r="J490" s="346"/>
      <c r="K490" s="346"/>
      <c r="L490" s="346"/>
      <c r="M490" s="346"/>
      <c r="N490" s="346"/>
      <c r="O490" s="346"/>
      <c r="P490" s="642" t="s">
        <v>1570</v>
      </c>
      <c r="Q490" s="323"/>
      <c r="R490" s="190"/>
      <c r="S490" s="448"/>
      <c r="T490" s="572" t="s">
        <v>824</v>
      </c>
      <c r="U490" s="572" t="s">
        <v>319</v>
      </c>
      <c r="AA490" s="27"/>
      <c r="AB490" s="27"/>
      <c r="AC490" s="1072"/>
      <c r="AD490" s="585"/>
    </row>
    <row r="491" spans="6:30" ht="10.5" customHeight="1">
      <c r="F491" s="371"/>
      <c r="G491" s="346"/>
      <c r="H491" s="346"/>
      <c r="I491" s="346"/>
      <c r="J491" s="346"/>
      <c r="K491" s="346"/>
      <c r="L491" s="346"/>
      <c r="M491" s="346"/>
      <c r="N491" s="346"/>
      <c r="O491" s="346"/>
      <c r="P491" s="642" t="s">
        <v>1571</v>
      </c>
      <c r="Q491" s="323"/>
      <c r="R491" s="190"/>
      <c r="S491" s="448"/>
      <c r="T491" s="572" t="s">
        <v>120</v>
      </c>
      <c r="U491" s="572" t="s">
        <v>2008</v>
      </c>
      <c r="AA491" s="27"/>
      <c r="AB491" s="27"/>
      <c r="AC491" s="1072"/>
      <c r="AD491" s="585"/>
    </row>
    <row r="492" spans="6:30" ht="10.5" customHeight="1">
      <c r="F492" s="371"/>
      <c r="G492" s="346"/>
      <c r="H492" s="346"/>
      <c r="I492" s="346"/>
      <c r="J492" s="346"/>
      <c r="K492" s="346"/>
      <c r="L492" s="346"/>
      <c r="M492" s="346"/>
      <c r="N492" s="346"/>
      <c r="O492" s="346"/>
      <c r="P492" s="642" t="s">
        <v>1572</v>
      </c>
      <c r="Q492" s="323"/>
      <c r="R492" s="190"/>
      <c r="S492" s="448"/>
      <c r="T492" s="572" t="s">
        <v>250</v>
      </c>
      <c r="U492" s="572" t="s">
        <v>1878</v>
      </c>
      <c r="AA492" s="27"/>
      <c r="AB492" s="27"/>
      <c r="AC492" s="1072"/>
      <c r="AD492" s="585"/>
    </row>
    <row r="493" spans="6:30" ht="10.5" customHeight="1">
      <c r="F493" s="371"/>
      <c r="G493" s="346"/>
      <c r="H493" s="346"/>
      <c r="I493" s="346"/>
      <c r="J493" s="346"/>
      <c r="K493" s="346"/>
      <c r="L493" s="346"/>
      <c r="M493" s="346"/>
      <c r="N493" s="346"/>
      <c r="O493" s="346"/>
      <c r="P493" s="642" t="s">
        <v>1574</v>
      </c>
      <c r="Q493" s="323"/>
      <c r="R493" s="190"/>
      <c r="S493" s="448"/>
      <c r="T493" s="572" t="s">
        <v>1506</v>
      </c>
      <c r="U493" s="572" t="s">
        <v>2007</v>
      </c>
      <c r="AA493" s="27"/>
      <c r="AB493" s="27"/>
      <c r="AC493" s="1072"/>
      <c r="AD493" s="585"/>
    </row>
    <row r="494" spans="6:30" ht="10.5" customHeight="1">
      <c r="F494" s="371"/>
      <c r="G494" s="346"/>
      <c r="H494" s="346"/>
      <c r="I494" s="346"/>
      <c r="J494" s="346"/>
      <c r="K494" s="346"/>
      <c r="L494" s="346"/>
      <c r="M494" s="346"/>
      <c r="N494" s="346"/>
      <c r="O494" s="346"/>
      <c r="P494" s="642" t="s">
        <v>1576</v>
      </c>
      <c r="Q494" s="323"/>
      <c r="R494" s="190"/>
      <c r="S494" s="448"/>
      <c r="T494" s="643" t="s">
        <v>1509</v>
      </c>
      <c r="U494" s="643" t="s">
        <v>328</v>
      </c>
      <c r="AA494" s="27"/>
      <c r="AB494" s="27"/>
      <c r="AC494" s="1072"/>
      <c r="AD494" s="585"/>
    </row>
    <row r="495" spans="6:30" ht="10.5" customHeight="1">
      <c r="F495" s="371"/>
      <c r="G495" s="346"/>
      <c r="H495" s="346"/>
      <c r="I495" s="346"/>
      <c r="J495" s="346"/>
      <c r="K495" s="346"/>
      <c r="L495" s="346"/>
      <c r="M495" s="346"/>
      <c r="N495" s="346"/>
      <c r="O495" s="346"/>
      <c r="P495" s="642" t="s">
        <v>1577</v>
      </c>
      <c r="Q495" s="323"/>
      <c r="R495" s="190"/>
      <c r="S495" s="448"/>
      <c r="T495" s="572" t="s">
        <v>1511</v>
      </c>
      <c r="U495" s="572" t="s">
        <v>2483</v>
      </c>
      <c r="AA495" s="27"/>
      <c r="AB495" s="27"/>
      <c r="AC495" s="1073"/>
      <c r="AD495" s="585"/>
    </row>
    <row r="496" spans="6:30" ht="10.5" customHeight="1">
      <c r="F496" s="371"/>
      <c r="G496" s="346"/>
      <c r="H496" s="346"/>
      <c r="I496" s="346"/>
      <c r="J496" s="346"/>
      <c r="K496" s="346"/>
      <c r="L496" s="346"/>
      <c r="M496" s="346"/>
      <c r="N496" s="346"/>
      <c r="O496" s="346"/>
      <c r="P496" s="642" t="s">
        <v>1579</v>
      </c>
      <c r="Q496" s="323"/>
      <c r="R496" s="190"/>
      <c r="S496" s="448"/>
      <c r="T496" s="572" t="s">
        <v>483</v>
      </c>
      <c r="U496" s="572" t="s">
        <v>1459</v>
      </c>
      <c r="AA496" s="27"/>
      <c r="AB496" s="27"/>
      <c r="AC496" s="1072"/>
      <c r="AD496" s="585"/>
    </row>
    <row r="497" spans="6:30" ht="10.5" customHeight="1">
      <c r="F497" s="371"/>
      <c r="G497" s="346"/>
      <c r="H497" s="346"/>
      <c r="I497" s="346"/>
      <c r="J497" s="346"/>
      <c r="K497" s="346"/>
      <c r="L497" s="346"/>
      <c r="M497" s="346"/>
      <c r="N497" s="346"/>
      <c r="O497" s="346"/>
      <c r="P497" s="642" t="s">
        <v>378</v>
      </c>
      <c r="Q497" s="323"/>
      <c r="R497" s="190"/>
      <c r="S497" s="448"/>
      <c r="T497" s="572" t="s">
        <v>1393</v>
      </c>
      <c r="U497" s="572" t="s">
        <v>311</v>
      </c>
      <c r="AA497" s="27"/>
      <c r="AB497" s="27"/>
      <c r="AC497" s="1072"/>
      <c r="AD497" s="585"/>
    </row>
    <row r="498" spans="6:30" ht="10.5" customHeight="1">
      <c r="F498" s="371"/>
      <c r="G498" s="346"/>
      <c r="H498" s="346"/>
      <c r="I498" s="346"/>
      <c r="J498" s="346"/>
      <c r="K498" s="346"/>
      <c r="L498" s="346"/>
      <c r="M498" s="346"/>
      <c r="N498" s="346"/>
      <c r="O498" s="346"/>
      <c r="P498" s="642" t="s">
        <v>246</v>
      </c>
      <c r="Q498" s="323"/>
      <c r="R498" s="190"/>
      <c r="S498" s="448"/>
      <c r="T498" s="572" t="s">
        <v>1395</v>
      </c>
      <c r="U498" s="572" t="s">
        <v>871</v>
      </c>
      <c r="AA498" s="27"/>
      <c r="AB498" s="27"/>
      <c r="AC498" s="1072"/>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2175</v>
      </c>
      <c r="AA499" s="27"/>
      <c r="AB499" s="27"/>
      <c r="AC499" s="1072"/>
      <c r="AD499" s="585"/>
    </row>
    <row r="500" spans="6:30" ht="10.5" customHeight="1">
      <c r="F500" s="371"/>
      <c r="G500" s="346"/>
      <c r="H500" s="346"/>
      <c r="I500" s="346"/>
      <c r="J500" s="346"/>
      <c r="K500" s="346"/>
      <c r="L500" s="346"/>
      <c r="M500" s="346"/>
      <c r="N500" s="346"/>
      <c r="O500" s="346"/>
      <c r="P500" s="642" t="s">
        <v>14</v>
      </c>
      <c r="Q500" s="323"/>
      <c r="R500" s="190"/>
      <c r="S500" s="448"/>
      <c r="T500" s="572" t="s">
        <v>1398</v>
      </c>
      <c r="U500" s="572" t="s">
        <v>1878</v>
      </c>
      <c r="AA500" s="27"/>
      <c r="AB500" s="27"/>
      <c r="AC500" s="1072"/>
      <c r="AD500" s="585"/>
    </row>
    <row r="501" spans="6:30" ht="10.5" customHeight="1">
      <c r="F501" s="371"/>
      <c r="G501" s="346"/>
      <c r="H501" s="346"/>
      <c r="I501" s="346"/>
      <c r="J501" s="346"/>
      <c r="K501" s="346"/>
      <c r="L501" s="346"/>
      <c r="M501" s="346"/>
      <c r="N501" s="346"/>
      <c r="O501" s="346"/>
      <c r="P501" s="642" t="s">
        <v>1085</v>
      </c>
      <c r="Q501" s="323"/>
      <c r="R501" s="190"/>
      <c r="S501" s="448"/>
      <c r="T501" s="572" t="s">
        <v>1400</v>
      </c>
      <c r="U501" s="572" t="s">
        <v>162</v>
      </c>
      <c r="AA501" s="27"/>
      <c r="AB501" s="27"/>
      <c r="AC501" s="1072"/>
      <c r="AD501" s="585"/>
    </row>
    <row r="502" spans="6:30" ht="10.5" customHeight="1">
      <c r="F502" s="371"/>
      <c r="G502" s="346"/>
      <c r="H502" s="346"/>
      <c r="I502" s="346"/>
      <c r="J502" s="346"/>
      <c r="K502" s="346"/>
      <c r="L502" s="346"/>
      <c r="M502" s="346"/>
      <c r="N502" s="346"/>
      <c r="O502" s="346"/>
      <c r="P502" s="642" t="s">
        <v>1087</v>
      </c>
      <c r="Q502" s="323"/>
      <c r="R502" s="190"/>
      <c r="S502" s="448"/>
      <c r="T502" s="572" t="s">
        <v>2492</v>
      </c>
      <c r="U502" s="572" t="s">
        <v>1909</v>
      </c>
      <c r="AA502" s="27"/>
      <c r="AB502" s="27"/>
      <c r="AC502" s="1072"/>
      <c r="AD502" s="585"/>
    </row>
    <row r="503" spans="6:30" ht="10.5" customHeight="1">
      <c r="F503" s="371"/>
      <c r="G503" s="346"/>
      <c r="H503" s="346"/>
      <c r="I503" s="346"/>
      <c r="J503" s="346"/>
      <c r="K503" s="346"/>
      <c r="L503" s="346"/>
      <c r="M503" s="346"/>
      <c r="N503" s="346"/>
      <c r="O503" s="346"/>
      <c r="P503" s="642" t="s">
        <v>1089</v>
      </c>
      <c r="Q503" s="323"/>
      <c r="R503" s="190"/>
      <c r="S503" s="448"/>
      <c r="T503" s="572" t="s">
        <v>1057</v>
      </c>
      <c r="U503" s="572" t="s">
        <v>2486</v>
      </c>
      <c r="AA503" s="27"/>
      <c r="AB503" s="27"/>
      <c r="AC503" s="1072"/>
      <c r="AD503" s="585"/>
    </row>
    <row r="504" spans="6:30" ht="10.5" customHeight="1">
      <c r="F504" s="371"/>
      <c r="G504" s="346"/>
      <c r="H504" s="346"/>
      <c r="I504" s="346"/>
      <c r="J504" s="346"/>
      <c r="K504" s="346"/>
      <c r="L504" s="346"/>
      <c r="M504" s="346"/>
      <c r="N504" s="346"/>
      <c r="O504" s="346"/>
      <c r="P504" s="642" t="s">
        <v>257</v>
      </c>
      <c r="Q504" s="323"/>
      <c r="R504" s="190"/>
      <c r="S504" s="448"/>
      <c r="T504" s="572" t="s">
        <v>1320</v>
      </c>
      <c r="U504" s="572" t="s">
        <v>1319</v>
      </c>
      <c r="AA504" s="27"/>
      <c r="AB504" s="27"/>
      <c r="AC504" s="1072"/>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2584</v>
      </c>
      <c r="AA505" s="27"/>
      <c r="AB505" s="27"/>
      <c r="AC505" s="1072"/>
      <c r="AD505" s="585"/>
    </row>
    <row r="506" spans="6:30" ht="10.5" customHeight="1">
      <c r="F506" s="371"/>
      <c r="G506" s="346"/>
      <c r="H506" s="346"/>
      <c r="I506" s="346"/>
      <c r="J506" s="346"/>
      <c r="K506" s="346"/>
      <c r="L506" s="346"/>
      <c r="M506" s="346"/>
      <c r="N506" s="346"/>
      <c r="O506" s="346"/>
      <c r="P506" s="642" t="s">
        <v>1628</v>
      </c>
      <c r="Q506" s="323"/>
      <c r="R506" s="190"/>
      <c r="S506" s="448"/>
      <c r="T506" s="572" t="s">
        <v>1573</v>
      </c>
      <c r="U506" s="572" t="s">
        <v>2183</v>
      </c>
      <c r="AA506" s="27"/>
      <c r="AB506" s="27"/>
      <c r="AC506" s="1072"/>
      <c r="AD506" s="585"/>
    </row>
    <row r="507" spans="6:30" ht="10.5" customHeight="1">
      <c r="F507" s="371"/>
      <c r="G507" s="346"/>
      <c r="H507" s="346"/>
      <c r="I507" s="346"/>
      <c r="J507" s="346"/>
      <c r="K507" s="346"/>
      <c r="L507" s="346"/>
      <c r="M507" s="346"/>
      <c r="N507" s="346"/>
      <c r="O507" s="346"/>
      <c r="P507" s="642" t="s">
        <v>2324</v>
      </c>
      <c r="Q507" s="323"/>
      <c r="R507" s="190"/>
      <c r="S507" s="448"/>
      <c r="T507" s="572" t="s">
        <v>1575</v>
      </c>
      <c r="U507" s="572" t="s">
        <v>1878</v>
      </c>
      <c r="AA507" s="27"/>
      <c r="AB507" s="27"/>
      <c r="AC507" s="1072"/>
      <c r="AD507" s="585"/>
    </row>
    <row r="508" spans="6:30" ht="10.5" customHeight="1">
      <c r="F508" s="371"/>
      <c r="G508" s="346"/>
      <c r="H508" s="346"/>
      <c r="I508" s="346"/>
      <c r="J508" s="346"/>
      <c r="K508" s="346"/>
      <c r="L508" s="346"/>
      <c r="M508" s="346"/>
      <c r="N508" s="346"/>
      <c r="O508" s="346"/>
      <c r="P508" s="642" t="s">
        <v>481</v>
      </c>
      <c r="Q508" s="323"/>
      <c r="R508" s="190"/>
      <c r="S508" s="448"/>
      <c r="T508" s="572" t="s">
        <v>1578</v>
      </c>
      <c r="U508" s="572" t="s">
        <v>2589</v>
      </c>
      <c r="AA508" s="27"/>
      <c r="AB508" s="27"/>
      <c r="AC508" s="1072"/>
      <c r="AD508" s="585"/>
    </row>
    <row r="509" spans="6:30" ht="10.5" customHeight="1">
      <c r="F509" s="371"/>
      <c r="G509" s="346"/>
      <c r="H509" s="346"/>
      <c r="I509" s="346"/>
      <c r="J509" s="346"/>
      <c r="K509" s="346"/>
      <c r="L509" s="346"/>
      <c r="M509" s="346"/>
      <c r="N509" s="346"/>
      <c r="O509" s="346"/>
      <c r="P509" s="642" t="s">
        <v>1301</v>
      </c>
      <c r="Q509" s="323"/>
      <c r="R509" s="190"/>
      <c r="S509" s="448"/>
      <c r="T509" s="572" t="s">
        <v>377</v>
      </c>
      <c r="U509" s="572" t="s">
        <v>2486</v>
      </c>
      <c r="AA509" s="27"/>
      <c r="AB509" s="27"/>
      <c r="AC509" s="1072"/>
      <c r="AD509" s="585"/>
    </row>
    <row r="510" spans="6:30" ht="10.5" customHeight="1">
      <c r="F510" s="371"/>
      <c r="G510" s="346"/>
      <c r="H510" s="346"/>
      <c r="I510" s="346"/>
      <c r="J510" s="346"/>
      <c r="K510" s="346"/>
      <c r="L510" s="346"/>
      <c r="M510" s="346"/>
      <c r="N510" s="346"/>
      <c r="O510" s="346"/>
      <c r="P510" s="642" t="s">
        <v>647</v>
      </c>
      <c r="Q510" s="323"/>
      <c r="R510" s="190"/>
      <c r="S510" s="448"/>
      <c r="T510" s="572" t="s">
        <v>379</v>
      </c>
      <c r="U510" s="572" t="s">
        <v>1320</v>
      </c>
      <c r="AA510" s="27"/>
      <c r="AB510" s="27"/>
      <c r="AC510" s="1072"/>
      <c r="AD510" s="585"/>
    </row>
    <row r="511" spans="6:30" ht="10.5" customHeight="1">
      <c r="F511" s="371"/>
      <c r="G511" s="346"/>
      <c r="H511" s="346"/>
      <c r="I511" s="346"/>
      <c r="J511" s="346"/>
      <c r="K511" s="346"/>
      <c r="L511" s="346"/>
      <c r="M511" s="346"/>
      <c r="N511" s="346"/>
      <c r="O511" s="346"/>
      <c r="P511" s="642" t="s">
        <v>687</v>
      </c>
      <c r="Q511" s="323"/>
      <c r="R511" s="190"/>
      <c r="S511" s="448"/>
      <c r="T511" s="645" t="s">
        <v>247</v>
      </c>
      <c r="U511" s="572" t="s">
        <v>2173</v>
      </c>
      <c r="AA511" s="27"/>
      <c r="AB511" s="27"/>
      <c r="AC511" s="1072"/>
      <c r="AD511" s="585"/>
    </row>
    <row r="512" spans="6:30" ht="10.5" customHeight="1">
      <c r="F512" s="371"/>
      <c r="G512" s="346"/>
      <c r="H512" s="346"/>
      <c r="I512" s="346"/>
      <c r="J512" s="346"/>
      <c r="K512" s="346"/>
      <c r="L512" s="346"/>
      <c r="M512" s="346"/>
      <c r="N512" s="346"/>
      <c r="O512" s="346"/>
      <c r="P512" s="642" t="s">
        <v>688</v>
      </c>
      <c r="Q512" s="323"/>
      <c r="R512" s="190"/>
      <c r="S512" s="448"/>
      <c r="T512" s="645" t="s">
        <v>1607</v>
      </c>
      <c r="U512" s="572" t="s">
        <v>2528</v>
      </c>
      <c r="AA512" s="27"/>
      <c r="AB512" s="27"/>
      <c r="AC512" s="1074"/>
      <c r="AD512" s="585"/>
    </row>
    <row r="513" spans="6:30" ht="10.5" customHeight="1">
      <c r="F513" s="371"/>
      <c r="G513" s="346"/>
      <c r="H513" s="346"/>
      <c r="I513" s="346"/>
      <c r="J513" s="346"/>
      <c r="K513" s="346"/>
      <c r="L513" s="346"/>
      <c r="M513" s="346"/>
      <c r="N513" s="346"/>
      <c r="O513" s="346"/>
      <c r="P513" s="642" t="s">
        <v>522</v>
      </c>
      <c r="Q513" s="323"/>
      <c r="R513" s="190"/>
      <c r="S513" s="448"/>
      <c r="T513" s="572" t="s">
        <v>2865</v>
      </c>
      <c r="U513" s="572" t="s">
        <v>328</v>
      </c>
      <c r="AA513" s="27"/>
      <c r="AB513" s="27"/>
      <c r="AC513" s="1074"/>
      <c r="AD513" s="585"/>
    </row>
    <row r="514" spans="6:30" ht="10.5" customHeight="1">
      <c r="F514" s="371"/>
      <c r="G514" s="346"/>
      <c r="H514" s="346"/>
      <c r="I514" s="346"/>
      <c r="J514" s="346"/>
      <c r="K514" s="346"/>
      <c r="L514" s="346"/>
      <c r="M514" s="346"/>
      <c r="N514" s="346"/>
      <c r="O514" s="346"/>
      <c r="P514" s="642" t="s">
        <v>524</v>
      </c>
      <c r="Q514" s="323"/>
      <c r="R514" s="190"/>
      <c r="S514" s="448"/>
      <c r="T514" s="572" t="s">
        <v>1086</v>
      </c>
      <c r="U514" s="572" t="s">
        <v>2591</v>
      </c>
      <c r="AA514" s="27"/>
      <c r="AB514" s="27"/>
      <c r="AC514" s="1072"/>
      <c r="AD514" s="585"/>
    </row>
    <row r="515" spans="6:30" ht="10.5" customHeight="1">
      <c r="F515" s="371"/>
      <c r="G515" s="346"/>
      <c r="H515" s="346"/>
      <c r="I515" s="346"/>
      <c r="J515" s="346"/>
      <c r="K515" s="346"/>
      <c r="L515" s="346"/>
      <c r="M515" s="346"/>
      <c r="N515" s="346"/>
      <c r="O515" s="346"/>
      <c r="P515" s="642" t="s">
        <v>526</v>
      </c>
      <c r="Q515" s="323"/>
      <c r="R515" s="190"/>
      <c r="S515" s="448"/>
      <c r="T515" s="572" t="s">
        <v>1088</v>
      </c>
      <c r="U515" s="572" t="s">
        <v>1310</v>
      </c>
      <c r="AA515" s="27"/>
      <c r="AB515" s="27"/>
      <c r="AC515" s="1072"/>
      <c r="AD515" s="585"/>
    </row>
    <row r="516" spans="6:30" ht="10.5" customHeight="1">
      <c r="F516" s="371"/>
      <c r="G516" s="346"/>
      <c r="H516" s="346"/>
      <c r="I516" s="346"/>
      <c r="J516" s="346"/>
      <c r="K516" s="346"/>
      <c r="L516" s="346"/>
      <c r="M516" s="346"/>
      <c r="N516" s="346"/>
      <c r="O516" s="346"/>
      <c r="P516" s="642" t="s">
        <v>528</v>
      </c>
      <c r="Q516" s="323"/>
      <c r="R516" s="190"/>
      <c r="S516" s="448"/>
      <c r="T516" s="572" t="s">
        <v>1090</v>
      </c>
      <c r="U516" s="572" t="s">
        <v>655</v>
      </c>
      <c r="AA516" s="27"/>
      <c r="AB516" s="27"/>
      <c r="AC516" s="1072"/>
      <c r="AD516" s="585"/>
    </row>
    <row r="517" spans="6:30" ht="10.5" customHeight="1">
      <c r="F517" s="371"/>
      <c r="G517" s="346"/>
      <c r="H517" s="346"/>
      <c r="I517" s="346"/>
      <c r="J517" s="346"/>
      <c r="K517" s="346"/>
      <c r="L517" s="346"/>
      <c r="M517" s="346"/>
      <c r="N517" s="346"/>
      <c r="O517" s="346"/>
      <c r="P517" s="642" t="s">
        <v>541</v>
      </c>
      <c r="Q517" s="323"/>
      <c r="R517" s="190"/>
      <c r="S517" s="448"/>
      <c r="T517" s="643" t="s">
        <v>258</v>
      </c>
      <c r="U517" s="643" t="s">
        <v>319</v>
      </c>
      <c r="AA517" s="27"/>
      <c r="AB517" s="27"/>
      <c r="AC517" s="1072"/>
      <c r="AD517" s="585"/>
    </row>
    <row r="518" spans="6:30" ht="10.5" customHeight="1">
      <c r="F518" s="371"/>
      <c r="G518" s="346"/>
      <c r="H518" s="346"/>
      <c r="I518" s="346"/>
      <c r="J518" s="346"/>
      <c r="K518" s="346"/>
      <c r="L518" s="346"/>
      <c r="M518" s="346"/>
      <c r="N518" s="346"/>
      <c r="O518" s="346"/>
      <c r="P518" s="642" t="s">
        <v>543</v>
      </c>
      <c r="Q518" s="323"/>
      <c r="R518" s="190"/>
      <c r="S518" s="448"/>
      <c r="T518" s="572" t="s">
        <v>260</v>
      </c>
      <c r="U518" s="572" t="s">
        <v>2399</v>
      </c>
      <c r="AA518" s="27"/>
      <c r="AB518" s="27"/>
      <c r="AC518" s="1073"/>
      <c r="AD518" s="585"/>
    </row>
    <row r="519" spans="6:30" ht="10.5" customHeight="1">
      <c r="F519" s="371"/>
      <c r="G519" s="346"/>
      <c r="H519" s="346"/>
      <c r="I519" s="346"/>
      <c r="J519" s="346"/>
      <c r="K519" s="346"/>
      <c r="L519" s="346"/>
      <c r="M519" s="346"/>
      <c r="N519" s="346"/>
      <c r="O519" s="346"/>
      <c r="P519" s="642" t="s">
        <v>715</v>
      </c>
      <c r="Q519" s="323"/>
      <c r="R519" s="190"/>
      <c r="S519" s="448"/>
      <c r="T519" s="572" t="s">
        <v>4064</v>
      </c>
      <c r="U519" s="572" t="s">
        <v>871</v>
      </c>
      <c r="AA519" s="27"/>
      <c r="AB519" s="27"/>
      <c r="AC519" s="1072"/>
      <c r="AD519" s="585"/>
    </row>
    <row r="520" spans="6:30" ht="10.5" customHeight="1">
      <c r="F520" s="371"/>
      <c r="G520" s="346"/>
      <c r="H520" s="346"/>
      <c r="I520" s="346"/>
      <c r="J520" s="346"/>
      <c r="K520" s="346"/>
      <c r="L520" s="346"/>
      <c r="M520" s="346"/>
      <c r="N520" s="346"/>
      <c r="O520" s="346"/>
      <c r="P520" s="642" t="s">
        <v>587</v>
      </c>
      <c r="Q520" s="323"/>
      <c r="R520" s="190"/>
      <c r="S520" s="448"/>
      <c r="T520" s="643" t="s">
        <v>2325</v>
      </c>
      <c r="U520" s="643" t="s">
        <v>1096</v>
      </c>
      <c r="AA520" s="27"/>
      <c r="AB520" s="27"/>
      <c r="AC520" s="1072"/>
      <c r="AD520" s="585"/>
    </row>
    <row r="521" spans="6:30" ht="10.5" customHeight="1">
      <c r="F521" s="371"/>
      <c r="G521" s="346"/>
      <c r="H521" s="346"/>
      <c r="I521" s="346"/>
      <c r="J521" s="346"/>
      <c r="K521" s="346"/>
      <c r="L521" s="346"/>
      <c r="M521" s="346"/>
      <c r="N521" s="346"/>
      <c r="O521" s="346"/>
      <c r="P521" s="642" t="s">
        <v>588</v>
      </c>
      <c r="Q521" s="323"/>
      <c r="R521" s="190"/>
      <c r="S521" s="448"/>
      <c r="T521" s="572" t="s">
        <v>482</v>
      </c>
      <c r="U521" s="572" t="s">
        <v>1666</v>
      </c>
      <c r="AA521" s="27"/>
      <c r="AB521" s="27"/>
      <c r="AC521" s="1073"/>
      <c r="AD521" s="585"/>
    </row>
    <row r="522" spans="6:30" ht="10.5" customHeight="1">
      <c r="F522" s="371"/>
      <c r="G522" s="346"/>
      <c r="H522" s="346"/>
      <c r="I522" s="346"/>
      <c r="J522" s="346"/>
      <c r="K522" s="346"/>
      <c r="L522" s="346"/>
      <c r="M522" s="346"/>
      <c r="N522" s="346"/>
      <c r="O522" s="346"/>
      <c r="P522" s="642" t="s">
        <v>2077</v>
      </c>
      <c r="Q522" s="323"/>
      <c r="R522" s="190"/>
      <c r="S522" s="448"/>
      <c r="T522" s="572" t="s">
        <v>2866</v>
      </c>
      <c r="U522" s="572" t="s">
        <v>2183</v>
      </c>
      <c r="AA522" s="27"/>
      <c r="AB522" s="27"/>
      <c r="AC522" s="1072"/>
      <c r="AD522" s="585"/>
    </row>
    <row r="523" spans="6:30" ht="10.5" customHeight="1">
      <c r="F523" s="371"/>
      <c r="G523" s="346"/>
      <c r="H523" s="346"/>
      <c r="I523" s="346"/>
      <c r="J523" s="346"/>
      <c r="K523" s="346"/>
      <c r="L523" s="346"/>
      <c r="M523" s="346"/>
      <c r="N523" s="346"/>
      <c r="O523" s="346"/>
      <c r="P523" s="642" t="s">
        <v>464</v>
      </c>
      <c r="Q523" s="323"/>
      <c r="R523" s="190"/>
      <c r="S523" s="448"/>
      <c r="T523" s="572" t="s">
        <v>686</v>
      </c>
      <c r="U523" s="572" t="s">
        <v>162</v>
      </c>
      <c r="AA523" s="27"/>
      <c r="AB523" s="27"/>
      <c r="AC523" s="1072"/>
      <c r="AD523" s="585"/>
    </row>
    <row r="524" spans="6:30" ht="10.5" customHeight="1">
      <c r="F524" s="371"/>
      <c r="G524" s="346"/>
      <c r="H524" s="346"/>
      <c r="I524" s="346"/>
      <c r="J524" s="346"/>
      <c r="K524" s="346"/>
      <c r="L524" s="346"/>
      <c r="M524" s="346"/>
      <c r="N524" s="346"/>
      <c r="O524" s="346"/>
      <c r="P524" s="642" t="s">
        <v>465</v>
      </c>
      <c r="Q524" s="323"/>
      <c r="R524" s="190"/>
      <c r="S524" s="448"/>
      <c r="T524" s="572" t="s">
        <v>521</v>
      </c>
      <c r="U524" s="572" t="s">
        <v>731</v>
      </c>
      <c r="AA524" s="27"/>
      <c r="AB524" s="27"/>
      <c r="AC524" s="1072"/>
      <c r="AD524" s="585"/>
    </row>
    <row r="525" spans="6:30" ht="10.5" customHeight="1">
      <c r="F525" s="371"/>
      <c r="G525" s="346"/>
      <c r="H525" s="346"/>
      <c r="I525" s="346"/>
      <c r="J525" s="346"/>
      <c r="K525" s="346"/>
      <c r="L525" s="346"/>
      <c r="M525" s="346"/>
      <c r="N525" s="346"/>
      <c r="O525" s="346"/>
      <c r="P525" s="642" t="s">
        <v>1264</v>
      </c>
      <c r="Q525" s="323"/>
      <c r="R525" s="190"/>
      <c r="S525" s="448"/>
      <c r="T525" s="572" t="s">
        <v>523</v>
      </c>
      <c r="U525" s="572" t="s">
        <v>1329</v>
      </c>
      <c r="AA525" s="27"/>
      <c r="AB525" s="27"/>
      <c r="AC525" s="1072"/>
      <c r="AD525" s="585"/>
    </row>
    <row r="526" spans="6:30" ht="10.5" customHeight="1">
      <c r="F526" s="371"/>
      <c r="G526" s="346"/>
      <c r="H526" s="346"/>
      <c r="I526" s="346"/>
      <c r="J526" s="346"/>
      <c r="K526" s="346"/>
      <c r="L526" s="346"/>
      <c r="M526" s="346"/>
      <c r="N526" s="346"/>
      <c r="O526" s="346"/>
      <c r="P526" s="642" t="s">
        <v>994</v>
      </c>
      <c r="Q526" s="323"/>
      <c r="R526" s="190"/>
      <c r="S526" s="448"/>
      <c r="T526" s="572" t="s">
        <v>525</v>
      </c>
      <c r="U526" s="572" t="s">
        <v>1456</v>
      </c>
      <c r="AA526" s="27"/>
      <c r="AB526" s="27"/>
      <c r="AC526" s="1072"/>
      <c r="AD526" s="585"/>
    </row>
    <row r="527" spans="6:30" ht="10.5" customHeight="1">
      <c r="F527" s="371"/>
      <c r="G527" s="346"/>
      <c r="H527" s="346"/>
      <c r="I527" s="346"/>
      <c r="J527" s="346"/>
      <c r="K527" s="346"/>
      <c r="L527" s="346"/>
      <c r="M527" s="346"/>
      <c r="N527" s="346"/>
      <c r="O527" s="346"/>
      <c r="P527" s="642" t="s">
        <v>996</v>
      </c>
      <c r="Q527" s="323"/>
      <c r="R527" s="190"/>
      <c r="S527" s="448"/>
      <c r="T527" s="572" t="s">
        <v>527</v>
      </c>
      <c r="U527" s="572" t="s">
        <v>871</v>
      </c>
      <c r="AA527" s="27"/>
      <c r="AB527" s="27"/>
      <c r="AC527" s="1072"/>
      <c r="AD527" s="585"/>
    </row>
    <row r="528" spans="6:30" ht="10.5" customHeight="1">
      <c r="F528" s="371"/>
      <c r="G528" s="346"/>
      <c r="H528" s="346"/>
      <c r="I528" s="346"/>
      <c r="J528" s="346"/>
      <c r="K528" s="346"/>
      <c r="L528" s="346"/>
      <c r="M528" s="346"/>
      <c r="N528" s="346"/>
      <c r="O528" s="346"/>
      <c r="P528" s="642" t="s">
        <v>997</v>
      </c>
      <c r="Q528" s="323"/>
      <c r="R528" s="190"/>
      <c r="S528" s="448"/>
      <c r="T528" s="572" t="s">
        <v>529</v>
      </c>
      <c r="U528" s="572" t="s">
        <v>1783</v>
      </c>
      <c r="AA528" s="27"/>
      <c r="AB528" s="27"/>
      <c r="AC528" s="1072"/>
      <c r="AD528" s="585"/>
    </row>
    <row r="529" spans="6:30" ht="10.5" customHeight="1">
      <c r="F529" s="371"/>
      <c r="G529" s="346"/>
      <c r="H529" s="346"/>
      <c r="I529" s="346"/>
      <c r="J529" s="346"/>
      <c r="K529" s="346"/>
      <c r="L529" s="346"/>
      <c r="M529" s="346"/>
      <c r="N529" s="346"/>
      <c r="O529" s="346"/>
      <c r="P529" s="642" t="s">
        <v>139</v>
      </c>
      <c r="Q529" s="323"/>
      <c r="R529" s="190"/>
      <c r="S529" s="448"/>
      <c r="T529" s="572" t="s">
        <v>542</v>
      </c>
      <c r="U529" s="572" t="s">
        <v>330</v>
      </c>
      <c r="AA529" s="27"/>
      <c r="AB529" s="27"/>
      <c r="AC529" s="1072"/>
      <c r="AD529" s="585"/>
    </row>
    <row r="530" spans="6:30" ht="10.5" customHeight="1">
      <c r="F530" s="371"/>
      <c r="G530" s="346"/>
      <c r="H530" s="346"/>
      <c r="I530" s="346"/>
      <c r="J530" s="346"/>
      <c r="K530" s="346"/>
      <c r="L530" s="346"/>
      <c r="M530" s="346"/>
      <c r="N530" s="346"/>
      <c r="O530" s="346"/>
      <c r="P530" s="642" t="s">
        <v>140</v>
      </c>
      <c r="Q530" s="323"/>
      <c r="R530" s="190"/>
      <c r="S530" s="448"/>
      <c r="T530" s="572" t="s">
        <v>544</v>
      </c>
      <c r="U530" s="572" t="s">
        <v>429</v>
      </c>
      <c r="AA530" s="27"/>
      <c r="AB530" s="27"/>
      <c r="AC530" s="1072"/>
      <c r="AD530" s="585"/>
    </row>
    <row r="531" spans="6:30" ht="10.5" customHeight="1">
      <c r="F531" s="371"/>
      <c r="G531" s="346"/>
      <c r="H531" s="346"/>
      <c r="I531" s="346"/>
      <c r="J531" s="346"/>
      <c r="K531" s="346"/>
      <c r="L531" s="346"/>
      <c r="M531" s="346"/>
      <c r="N531" s="346"/>
      <c r="O531" s="346"/>
      <c r="P531" s="642" t="s">
        <v>142</v>
      </c>
      <c r="Q531" s="323"/>
      <c r="R531" s="190"/>
      <c r="S531" s="448"/>
      <c r="T531" s="572" t="s">
        <v>692</v>
      </c>
      <c r="U531" s="572" t="s">
        <v>1206</v>
      </c>
      <c r="AA531" s="27"/>
      <c r="AB531" s="27"/>
      <c r="AC531" s="1072"/>
      <c r="AD531" s="585"/>
    </row>
    <row r="532" spans="6:30" ht="10.5" customHeight="1">
      <c r="F532" s="371"/>
      <c r="G532" s="346"/>
      <c r="H532" s="346"/>
      <c r="I532" s="346"/>
      <c r="J532" s="346"/>
      <c r="K532" s="346"/>
      <c r="L532" s="346"/>
      <c r="M532" s="346"/>
      <c r="N532" s="346"/>
      <c r="O532" s="346"/>
      <c r="P532" s="642" t="s">
        <v>2594</v>
      </c>
      <c r="Q532" s="323"/>
      <c r="R532" s="190"/>
      <c r="S532" s="448"/>
      <c r="T532" s="643" t="s">
        <v>829</v>
      </c>
      <c r="U532" s="643" t="s">
        <v>655</v>
      </c>
      <c r="AA532" s="27"/>
      <c r="AB532" s="27"/>
      <c r="AC532" s="1072"/>
      <c r="AD532" s="585"/>
    </row>
    <row r="533" spans="6:30" ht="10.5" customHeight="1">
      <c r="F533" s="371"/>
      <c r="G533" s="346"/>
      <c r="H533" s="346"/>
      <c r="I533" s="346"/>
      <c r="J533" s="346"/>
      <c r="K533" s="346"/>
      <c r="L533" s="346"/>
      <c r="M533" s="346"/>
      <c r="N533" s="346"/>
      <c r="O533" s="346"/>
      <c r="P533" s="642" t="s">
        <v>2094</v>
      </c>
      <c r="Q533" s="323"/>
      <c r="R533" s="190"/>
      <c r="S533" s="448"/>
      <c r="T533" s="572" t="s">
        <v>1633</v>
      </c>
      <c r="U533" s="572" t="s">
        <v>664</v>
      </c>
      <c r="AA533" s="27"/>
      <c r="AB533" s="27"/>
      <c r="AC533" s="1073"/>
      <c r="AD533" s="585"/>
    </row>
    <row r="534" spans="6:30" ht="10.5" customHeight="1">
      <c r="F534" s="371"/>
      <c r="G534" s="346"/>
      <c r="H534" s="346"/>
      <c r="I534" s="346"/>
      <c r="J534" s="346"/>
      <c r="K534" s="346"/>
      <c r="L534" s="346"/>
      <c r="M534" s="346"/>
      <c r="N534" s="346"/>
      <c r="O534" s="346"/>
      <c r="P534" s="642" t="s">
        <v>2096</v>
      </c>
      <c r="Q534" s="323"/>
      <c r="R534" s="190"/>
      <c r="S534" s="448"/>
      <c r="T534" s="572" t="s">
        <v>2078</v>
      </c>
      <c r="U534" s="572" t="s">
        <v>1096</v>
      </c>
      <c r="AA534" s="27"/>
      <c r="AB534" s="27"/>
      <c r="AC534" s="1072"/>
      <c r="AD534" s="585"/>
    </row>
    <row r="535" spans="6:30" ht="10.5" customHeight="1">
      <c r="F535" s="371"/>
      <c r="G535" s="346"/>
      <c r="H535" s="346"/>
      <c r="I535" s="346"/>
      <c r="J535" s="346"/>
      <c r="K535" s="346"/>
      <c r="L535" s="346"/>
      <c r="M535" s="346"/>
      <c r="N535" s="346"/>
      <c r="O535" s="346"/>
      <c r="P535" s="642" t="s">
        <v>589</v>
      </c>
      <c r="Q535" s="323"/>
      <c r="R535" s="190"/>
      <c r="S535" s="448"/>
      <c r="T535" s="572" t="s">
        <v>1635</v>
      </c>
      <c r="U535" s="572" t="s">
        <v>2008</v>
      </c>
      <c r="AA535" s="27"/>
      <c r="AB535" s="27"/>
      <c r="AC535" s="1072"/>
      <c r="AD535" s="585"/>
    </row>
    <row r="536" spans="6:30" ht="10.5" customHeight="1">
      <c r="F536" s="371"/>
      <c r="G536" s="346"/>
      <c r="H536" s="346"/>
      <c r="I536" s="346"/>
      <c r="J536" s="346"/>
      <c r="K536" s="346"/>
      <c r="L536" s="346"/>
      <c r="M536" s="346"/>
      <c r="N536" s="346"/>
      <c r="O536" s="346"/>
      <c r="P536" s="642" t="s">
        <v>2342</v>
      </c>
      <c r="Q536" s="323"/>
      <c r="R536" s="190"/>
      <c r="S536" s="448"/>
      <c r="T536" s="572" t="s">
        <v>466</v>
      </c>
      <c r="U536" s="572" t="s">
        <v>1320</v>
      </c>
      <c r="AA536" s="27"/>
      <c r="AB536" s="27"/>
      <c r="AC536" s="1072"/>
      <c r="AD536" s="585"/>
    </row>
    <row r="537" spans="6:30" ht="10.5" customHeight="1">
      <c r="F537" s="371"/>
      <c r="G537" s="346"/>
      <c r="H537" s="346"/>
      <c r="I537" s="346"/>
      <c r="J537" s="346"/>
      <c r="K537" s="346"/>
      <c r="L537" s="346"/>
      <c r="M537" s="346"/>
      <c r="N537" s="346"/>
      <c r="O537" s="346"/>
      <c r="P537" s="642" t="s">
        <v>703</v>
      </c>
      <c r="Q537" s="323"/>
      <c r="R537" s="190"/>
      <c r="S537" s="448"/>
      <c r="T537" s="572" t="s">
        <v>184</v>
      </c>
      <c r="U537" s="572" t="s">
        <v>159</v>
      </c>
      <c r="AA537" s="27"/>
      <c r="AB537" s="27"/>
      <c r="AC537" s="1072"/>
      <c r="AD537" s="585"/>
    </row>
    <row r="538" spans="6:30" ht="10.5" customHeight="1">
      <c r="F538" s="371"/>
      <c r="G538" s="346"/>
      <c r="H538" s="346"/>
      <c r="I538" s="346"/>
      <c r="J538" s="346"/>
      <c r="K538" s="346"/>
      <c r="L538" s="346"/>
      <c r="M538" s="346"/>
      <c r="N538" s="346"/>
      <c r="O538" s="346"/>
      <c r="P538" s="642" t="s">
        <v>705</v>
      </c>
      <c r="Q538" s="323"/>
      <c r="R538" s="190"/>
      <c r="S538" s="448"/>
      <c r="T538" s="572" t="s">
        <v>1265</v>
      </c>
      <c r="U538" s="572" t="s">
        <v>325</v>
      </c>
      <c r="AA538" s="27"/>
      <c r="AB538" s="27"/>
      <c r="AC538" s="1072"/>
      <c r="AD538" s="585"/>
    </row>
    <row r="539" spans="6:30" ht="10.5" customHeight="1">
      <c r="F539" s="371"/>
      <c r="G539" s="346"/>
      <c r="H539" s="346"/>
      <c r="I539" s="346"/>
      <c r="J539" s="346"/>
      <c r="K539" s="346"/>
      <c r="L539" s="346"/>
      <c r="M539" s="346"/>
      <c r="N539" s="346"/>
      <c r="O539" s="346"/>
      <c r="P539" s="642" t="s">
        <v>2284</v>
      </c>
      <c r="Q539" s="323"/>
      <c r="R539" s="190"/>
      <c r="S539" s="448"/>
      <c r="T539" s="572" t="s">
        <v>995</v>
      </c>
      <c r="U539" s="572" t="s">
        <v>1453</v>
      </c>
      <c r="AA539" s="27"/>
      <c r="AB539" s="27"/>
      <c r="AC539" s="1072"/>
      <c r="AD539" s="585"/>
    </row>
    <row r="540" spans="6:30" ht="10.5" customHeight="1">
      <c r="F540" s="371"/>
      <c r="G540" s="346"/>
      <c r="H540" s="346"/>
      <c r="I540" s="346"/>
      <c r="J540" s="346"/>
      <c r="K540" s="346"/>
      <c r="L540" s="346"/>
      <c r="M540" s="346"/>
      <c r="N540" s="346"/>
      <c r="O540" s="346"/>
      <c r="P540" s="642" t="s">
        <v>42</v>
      </c>
      <c r="Q540" s="323"/>
      <c r="R540" s="190"/>
      <c r="S540" s="448"/>
      <c r="T540" s="572" t="s">
        <v>1059</v>
      </c>
      <c r="U540" s="572" t="s">
        <v>175</v>
      </c>
      <c r="AA540" s="27"/>
      <c r="AB540" s="27"/>
      <c r="AC540" s="1072"/>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2531</v>
      </c>
      <c r="AA541" s="27"/>
      <c r="AB541" s="27"/>
      <c r="AC541" s="1072"/>
      <c r="AD541" s="585"/>
    </row>
    <row r="542" spans="6:30" ht="10.5" customHeight="1">
      <c r="F542" s="371"/>
      <c r="G542" s="346"/>
      <c r="H542" s="346"/>
      <c r="I542" s="346"/>
      <c r="J542" s="346"/>
      <c r="K542" s="346"/>
      <c r="L542" s="346"/>
      <c r="M542" s="346"/>
      <c r="N542" s="346"/>
      <c r="O542" s="346"/>
      <c r="P542" s="642" t="s">
        <v>2247</v>
      </c>
      <c r="Q542" s="323"/>
      <c r="R542" s="190"/>
      <c r="S542" s="448"/>
      <c r="T542" s="572" t="s">
        <v>2584</v>
      </c>
      <c r="U542" s="572" t="s">
        <v>1332</v>
      </c>
      <c r="AA542" s="27"/>
      <c r="AB542" s="27"/>
      <c r="AC542" s="1072"/>
      <c r="AD542" s="585"/>
    </row>
    <row r="543" spans="6:30" ht="10.5" customHeight="1">
      <c r="F543" s="371"/>
      <c r="G543" s="346"/>
      <c r="H543" s="346"/>
      <c r="I543" s="346"/>
      <c r="J543" s="346"/>
      <c r="K543" s="346"/>
      <c r="L543" s="346"/>
      <c r="M543" s="346"/>
      <c r="N543" s="346"/>
      <c r="O543" s="346"/>
      <c r="P543" s="642" t="s">
        <v>2275</v>
      </c>
      <c r="Q543" s="323"/>
      <c r="R543" s="190"/>
      <c r="S543" s="448"/>
      <c r="T543" s="572" t="s">
        <v>141</v>
      </c>
      <c r="U543" s="572" t="s">
        <v>655</v>
      </c>
      <c r="AA543" s="27"/>
      <c r="AB543" s="27"/>
      <c r="AC543" s="1072"/>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2483</v>
      </c>
      <c r="AA544" s="27"/>
      <c r="AB544" s="27"/>
      <c r="AC544" s="1072"/>
      <c r="AD544" s="585"/>
    </row>
    <row r="545" spans="6:30" ht="10.5" customHeight="1">
      <c r="F545" s="371"/>
      <c r="G545" s="346"/>
      <c r="H545" s="346"/>
      <c r="I545" s="346"/>
      <c r="J545" s="346"/>
      <c r="K545" s="346"/>
      <c r="L545" s="346"/>
      <c r="M545" s="346"/>
      <c r="N545" s="346"/>
      <c r="O545" s="346"/>
      <c r="P545" s="642" t="s">
        <v>395</v>
      </c>
      <c r="Q545" s="323"/>
      <c r="R545" s="190"/>
      <c r="S545" s="448"/>
      <c r="T545" s="643" t="s">
        <v>2595</v>
      </c>
      <c r="U545" s="643" t="s">
        <v>1324</v>
      </c>
      <c r="AA545" s="27"/>
      <c r="AB545" s="27"/>
      <c r="AC545" s="1072"/>
      <c r="AD545" s="585"/>
    </row>
    <row r="546" spans="6:30" ht="10.5" customHeight="1">
      <c r="F546" s="371"/>
      <c r="G546" s="346"/>
      <c r="H546" s="346"/>
      <c r="I546" s="346"/>
      <c r="J546" s="346"/>
      <c r="K546" s="346"/>
      <c r="L546" s="346"/>
      <c r="M546" s="346"/>
      <c r="N546" s="346"/>
      <c r="O546" s="346"/>
      <c r="P546" s="642" t="s">
        <v>397</v>
      </c>
      <c r="Q546" s="323"/>
      <c r="R546" s="190"/>
      <c r="S546" s="448"/>
      <c r="T546" s="643" t="s">
        <v>2095</v>
      </c>
      <c r="U546" s="643" t="s">
        <v>2489</v>
      </c>
      <c r="AA546" s="27"/>
      <c r="AB546" s="27"/>
      <c r="AC546" s="1073"/>
      <c r="AD546" s="585"/>
    </row>
    <row r="547" spans="6:30" ht="10.5" customHeight="1">
      <c r="F547" s="371"/>
      <c r="G547" s="346"/>
      <c r="H547" s="346"/>
      <c r="I547" s="346"/>
      <c r="J547" s="346"/>
      <c r="K547" s="346"/>
      <c r="L547" s="346"/>
      <c r="M547" s="346"/>
      <c r="N547" s="346"/>
      <c r="O547" s="346"/>
      <c r="P547" s="642" t="s">
        <v>399</v>
      </c>
      <c r="Q547" s="323"/>
      <c r="R547" s="190"/>
      <c r="S547" s="448"/>
      <c r="T547" s="643" t="s">
        <v>754</v>
      </c>
      <c r="U547" s="643" t="s">
        <v>122</v>
      </c>
      <c r="AA547" s="27"/>
      <c r="AB547" s="27"/>
      <c r="AC547" s="1073"/>
      <c r="AD547" s="585"/>
    </row>
    <row r="548" spans="6:30" ht="10.5" customHeight="1">
      <c r="F548" s="371"/>
      <c r="G548" s="346"/>
      <c r="H548" s="346"/>
      <c r="I548" s="346"/>
      <c r="J548" s="346"/>
      <c r="K548" s="346"/>
      <c r="L548" s="346"/>
      <c r="M548" s="346"/>
      <c r="N548" s="346"/>
      <c r="O548" s="346"/>
      <c r="P548" s="642" t="s">
        <v>1583</v>
      </c>
      <c r="Q548" s="323"/>
      <c r="R548" s="190"/>
      <c r="S548" s="448"/>
      <c r="T548" s="572" t="s">
        <v>755</v>
      </c>
      <c r="U548" s="572" t="s">
        <v>184</v>
      </c>
      <c r="AA548" s="27"/>
      <c r="AB548" s="27"/>
      <c r="AC548" s="1073"/>
      <c r="AD548" s="585"/>
    </row>
    <row r="549" spans="6:30" ht="10.5" customHeight="1">
      <c r="F549" s="371"/>
      <c r="G549" s="346"/>
      <c r="H549" s="346"/>
      <c r="I549" s="346"/>
      <c r="J549" s="346"/>
      <c r="K549" s="346"/>
      <c r="L549" s="346"/>
      <c r="M549" s="346"/>
      <c r="N549" s="346"/>
      <c r="O549" s="346"/>
      <c r="P549" s="642" t="s">
        <v>1585</v>
      </c>
      <c r="Q549" s="323"/>
      <c r="R549" s="190"/>
      <c r="S549" s="448"/>
      <c r="T549" s="572" t="s">
        <v>704</v>
      </c>
      <c r="U549" s="572" t="s">
        <v>733</v>
      </c>
      <c r="AA549" s="27"/>
      <c r="AB549" s="27"/>
      <c r="AC549" s="1072"/>
      <c r="AD549" s="585"/>
    </row>
    <row r="550" spans="6:30" ht="10.5" customHeight="1">
      <c r="F550" s="371"/>
      <c r="G550" s="346"/>
      <c r="H550" s="346"/>
      <c r="I550" s="346"/>
      <c r="J550" s="346"/>
      <c r="K550" s="346"/>
      <c r="L550" s="346"/>
      <c r="M550" s="346"/>
      <c r="N550" s="346"/>
      <c r="O550" s="346"/>
      <c r="P550" s="642" t="s">
        <v>1587</v>
      </c>
      <c r="Q550" s="323"/>
      <c r="R550" s="190"/>
      <c r="S550" s="448"/>
      <c r="T550" s="572" t="s">
        <v>706</v>
      </c>
      <c r="U550" s="572" t="s">
        <v>1105</v>
      </c>
      <c r="AA550" s="27"/>
      <c r="AB550" s="27"/>
      <c r="AC550" s="1072"/>
      <c r="AD550" s="585"/>
    </row>
    <row r="551" spans="6:30" ht="10.5" customHeight="1">
      <c r="F551" s="371"/>
      <c r="G551" s="346"/>
      <c r="H551" s="346"/>
      <c r="I551" s="346"/>
      <c r="J551" s="346"/>
      <c r="K551" s="346"/>
      <c r="L551" s="346"/>
      <c r="M551" s="346"/>
      <c r="N551" s="346"/>
      <c r="O551" s="346"/>
      <c r="P551" s="642" t="s">
        <v>2593</v>
      </c>
      <c r="Q551" s="323"/>
      <c r="R551" s="190"/>
      <c r="S551" s="448"/>
      <c r="T551" s="572" t="s">
        <v>2285</v>
      </c>
      <c r="U551" s="572" t="s">
        <v>1206</v>
      </c>
      <c r="AA551" s="27"/>
      <c r="AB551" s="27"/>
      <c r="AC551" s="1072"/>
      <c r="AD551" s="585"/>
    </row>
    <row r="552" spans="6:30" ht="10.5" customHeight="1">
      <c r="F552" s="371"/>
      <c r="G552" s="346"/>
      <c r="H552" s="346"/>
      <c r="I552" s="346"/>
      <c r="J552" s="346"/>
      <c r="K552" s="346"/>
      <c r="L552" s="346"/>
      <c r="M552" s="346"/>
      <c r="N552" s="346"/>
      <c r="O552" s="346"/>
      <c r="P552" s="642" t="s">
        <v>2454</v>
      </c>
      <c r="Q552" s="323"/>
      <c r="R552" s="190"/>
      <c r="S552" s="448"/>
      <c r="T552" s="572" t="s">
        <v>2285</v>
      </c>
      <c r="U552" s="572" t="s">
        <v>1206</v>
      </c>
      <c r="AA552" s="27"/>
      <c r="AB552" s="27"/>
      <c r="AC552" s="1072"/>
      <c r="AD552" s="585"/>
    </row>
    <row r="553" spans="6:30" ht="10.5" customHeight="1">
      <c r="F553" s="371"/>
      <c r="G553" s="346"/>
      <c r="H553" s="346"/>
      <c r="I553" s="346"/>
      <c r="J553" s="346"/>
      <c r="K553" s="346"/>
      <c r="L553" s="346"/>
      <c r="M553" s="346"/>
      <c r="N553" s="346"/>
      <c r="O553" s="346"/>
      <c r="P553" s="642" t="s">
        <v>1828</v>
      </c>
      <c r="Q553" s="323"/>
      <c r="R553" s="190"/>
      <c r="S553" s="448"/>
      <c r="T553" s="572" t="s">
        <v>44</v>
      </c>
      <c r="U553" s="572" t="s">
        <v>1323</v>
      </c>
      <c r="AA553" s="27"/>
      <c r="AB553" s="27"/>
      <c r="AC553" s="1072"/>
      <c r="AD553" s="585"/>
    </row>
    <row r="554" spans="6:30" ht="10.5" customHeight="1">
      <c r="F554" s="371"/>
      <c r="G554" s="346"/>
      <c r="H554" s="346"/>
      <c r="I554" s="346"/>
      <c r="J554" s="346"/>
      <c r="K554" s="346"/>
      <c r="L554" s="346"/>
      <c r="M554" s="346"/>
      <c r="N554" s="346"/>
      <c r="O554" s="346"/>
      <c r="P554" s="642" t="s">
        <v>1830</v>
      </c>
      <c r="Q554" s="323"/>
      <c r="R554" s="190"/>
      <c r="S554" s="448"/>
      <c r="T554" s="572" t="s">
        <v>2248</v>
      </c>
      <c r="U554" s="572" t="s">
        <v>1317</v>
      </c>
      <c r="AA554" s="27"/>
      <c r="AB554" s="27"/>
      <c r="AC554" s="1072"/>
      <c r="AD554" s="585"/>
    </row>
    <row r="555" spans="6:30" ht="10.5" customHeight="1">
      <c r="F555" s="371"/>
      <c r="G555" s="346"/>
      <c r="H555" s="346"/>
      <c r="I555" s="346"/>
      <c r="J555" s="346"/>
      <c r="K555" s="346"/>
      <c r="L555" s="346"/>
      <c r="M555" s="346"/>
      <c r="N555" s="346"/>
      <c r="O555" s="346"/>
      <c r="P555" s="642" t="s">
        <v>1832</v>
      </c>
      <c r="Q555" s="323"/>
      <c r="R555" s="190"/>
      <c r="S555" s="448"/>
      <c r="T555" s="572" t="s">
        <v>830</v>
      </c>
      <c r="U555" s="572" t="s">
        <v>175</v>
      </c>
      <c r="AA555" s="27"/>
      <c r="AB555" s="27"/>
      <c r="AC555" s="1072"/>
      <c r="AD555" s="585"/>
    </row>
    <row r="556" spans="6:30" ht="10.5" customHeight="1">
      <c r="F556" s="371"/>
      <c r="G556" s="346"/>
      <c r="H556" s="346"/>
      <c r="I556" s="346"/>
      <c r="J556" s="346"/>
      <c r="K556" s="346"/>
      <c r="L556" s="346"/>
      <c r="M556" s="346"/>
      <c r="N556" s="346"/>
      <c r="O556" s="346"/>
      <c r="P556" s="642" t="s">
        <v>1833</v>
      </c>
      <c r="Q556" s="323"/>
      <c r="R556" s="190"/>
      <c r="S556" s="448"/>
      <c r="T556" s="572" t="s">
        <v>1030</v>
      </c>
      <c r="U556" s="572" t="s">
        <v>1093</v>
      </c>
      <c r="AA556" s="27"/>
      <c r="AB556" s="27"/>
      <c r="AC556" s="1072"/>
      <c r="AD556" s="585"/>
    </row>
    <row r="557" spans="6:30" ht="10.5" customHeight="1">
      <c r="F557" s="371"/>
      <c r="G557" s="346"/>
      <c r="H557" s="346"/>
      <c r="I557" s="346"/>
      <c r="J557" s="346"/>
      <c r="K557" s="346"/>
      <c r="L557" s="346"/>
      <c r="M557" s="346"/>
      <c r="N557" s="346"/>
      <c r="O557" s="346"/>
      <c r="P557" s="642" t="s">
        <v>1835</v>
      </c>
      <c r="Q557" s="323"/>
      <c r="R557" s="190"/>
      <c r="S557" s="448"/>
      <c r="T557" s="572" t="s">
        <v>394</v>
      </c>
      <c r="U557" s="572" t="s">
        <v>2589</v>
      </c>
      <c r="AA557" s="27"/>
      <c r="AB557" s="27"/>
      <c r="AC557" s="1072"/>
      <c r="AD557" s="585"/>
    </row>
    <row r="558" spans="6:30" ht="10.5" customHeight="1">
      <c r="F558" s="371"/>
      <c r="G558" s="346"/>
      <c r="H558" s="346"/>
      <c r="I558" s="346"/>
      <c r="J558" s="346"/>
      <c r="K558" s="346"/>
      <c r="L558" s="346"/>
      <c r="M558" s="346"/>
      <c r="N558" s="346"/>
      <c r="O558" s="346"/>
      <c r="P558" s="642" t="s">
        <v>1837</v>
      </c>
      <c r="Q558" s="323"/>
      <c r="R558" s="190"/>
      <c r="S558" s="448"/>
      <c r="T558" s="572" t="s">
        <v>396</v>
      </c>
      <c r="U558" s="572" t="s">
        <v>2168</v>
      </c>
      <c r="AA558" s="27"/>
      <c r="AB558" s="27"/>
      <c r="AC558" s="1072"/>
      <c r="AD558" s="585"/>
    </row>
    <row r="559" spans="6:30" ht="10.5" customHeight="1">
      <c r="F559" s="371"/>
      <c r="G559" s="346"/>
      <c r="H559" s="346"/>
      <c r="I559" s="346"/>
      <c r="J559" s="346"/>
      <c r="K559" s="346"/>
      <c r="L559" s="346"/>
      <c r="M559" s="346"/>
      <c r="N559" s="346"/>
      <c r="O559" s="346"/>
      <c r="P559" s="642" t="s">
        <v>1839</v>
      </c>
      <c r="Q559" s="323"/>
      <c r="R559" s="190"/>
      <c r="S559" s="448"/>
      <c r="T559" s="572" t="s">
        <v>398</v>
      </c>
      <c r="U559" s="572" t="s">
        <v>2531</v>
      </c>
      <c r="AA559" s="27"/>
      <c r="AB559" s="27"/>
      <c r="AC559" s="1072"/>
      <c r="AD559" s="585"/>
    </row>
    <row r="560" spans="6:30" ht="10.5" customHeight="1">
      <c r="F560" s="371"/>
      <c r="G560" s="346"/>
      <c r="H560" s="346"/>
      <c r="I560" s="346"/>
      <c r="J560" s="346"/>
      <c r="K560" s="346"/>
      <c r="L560" s="346"/>
      <c r="M560" s="346"/>
      <c r="N560" s="346"/>
      <c r="O560" s="346"/>
      <c r="P560" s="642" t="s">
        <v>1841</v>
      </c>
      <c r="Q560" s="323"/>
      <c r="R560" s="190"/>
      <c r="S560" s="448"/>
      <c r="T560" s="572" t="s">
        <v>2589</v>
      </c>
      <c r="U560" s="572" t="s">
        <v>1781</v>
      </c>
      <c r="AA560" s="27"/>
      <c r="AB560" s="27"/>
      <c r="AC560" s="1072"/>
      <c r="AD560" s="585"/>
    </row>
    <row r="561" spans="6:30" ht="10.5" customHeight="1">
      <c r="F561" s="371"/>
      <c r="G561" s="346"/>
      <c r="H561" s="346"/>
      <c r="I561" s="346"/>
      <c r="J561" s="346"/>
      <c r="K561" s="346"/>
      <c r="L561" s="346"/>
      <c r="M561" s="346"/>
      <c r="N561" s="346"/>
      <c r="O561" s="346"/>
      <c r="P561" s="642" t="s">
        <v>1842</v>
      </c>
      <c r="Q561" s="323"/>
      <c r="R561" s="190"/>
      <c r="S561" s="448"/>
      <c r="T561" s="572" t="s">
        <v>1584</v>
      </c>
      <c r="U561" s="572" t="s">
        <v>2487</v>
      </c>
      <c r="AA561" s="27"/>
      <c r="AB561" s="27"/>
      <c r="AC561" s="1072"/>
      <c r="AD561" s="585"/>
    </row>
    <row r="562" spans="6:30" ht="10.5" customHeight="1">
      <c r="F562" s="371"/>
      <c r="G562" s="346"/>
      <c r="H562" s="346"/>
      <c r="I562" s="346"/>
      <c r="J562" s="346"/>
      <c r="K562" s="346"/>
      <c r="L562" s="346"/>
      <c r="M562" s="346"/>
      <c r="N562" s="346"/>
      <c r="O562" s="346"/>
      <c r="P562" s="642" t="s">
        <v>1809</v>
      </c>
      <c r="Q562" s="323"/>
      <c r="R562" s="190"/>
      <c r="S562" s="448"/>
      <c r="T562" s="572" t="s">
        <v>1586</v>
      </c>
      <c r="U562" s="572" t="s">
        <v>323</v>
      </c>
      <c r="AA562" s="27"/>
      <c r="AB562" s="27"/>
      <c r="AC562" s="1072"/>
      <c r="AD562" s="585"/>
    </row>
    <row r="563" spans="6:30" ht="10.5" customHeight="1">
      <c r="F563" s="371"/>
      <c r="G563" s="346"/>
      <c r="H563" s="346"/>
      <c r="I563" s="346"/>
      <c r="J563" s="346"/>
      <c r="K563" s="346"/>
      <c r="L563" s="346"/>
      <c r="M563" s="346"/>
      <c r="N563" s="346"/>
      <c r="O563" s="346"/>
      <c r="P563" s="642" t="s">
        <v>1641</v>
      </c>
      <c r="Q563" s="323"/>
      <c r="R563" s="190"/>
      <c r="S563" s="448"/>
      <c r="T563" s="572" t="s">
        <v>1438</v>
      </c>
      <c r="U563" s="572" t="s">
        <v>121</v>
      </c>
      <c r="AA563" s="27"/>
      <c r="AB563" s="27"/>
      <c r="AC563" s="1072"/>
      <c r="AD563" s="585"/>
    </row>
    <row r="564" spans="6:30" ht="10.5" customHeight="1">
      <c r="F564" s="371"/>
      <c r="G564" s="346"/>
      <c r="H564" s="346"/>
      <c r="I564" s="346"/>
      <c r="J564" s="346"/>
      <c r="K564" s="346"/>
      <c r="L564" s="346"/>
      <c r="M564" s="346"/>
      <c r="N564" s="346"/>
      <c r="O564" s="346"/>
      <c r="P564" s="642" t="s">
        <v>1642</v>
      </c>
      <c r="Q564" s="323"/>
      <c r="R564" s="190"/>
      <c r="S564" s="448"/>
      <c r="T564" s="572" t="s">
        <v>2453</v>
      </c>
      <c r="U564" s="572" t="s">
        <v>2489</v>
      </c>
      <c r="AA564" s="27"/>
      <c r="AB564" s="27"/>
      <c r="AC564" s="1072"/>
      <c r="AD564" s="585"/>
    </row>
    <row r="565" spans="6:30" ht="10.5" customHeight="1">
      <c r="F565" s="371"/>
      <c r="G565" s="346"/>
      <c r="H565" s="346"/>
      <c r="I565" s="346"/>
      <c r="J565" s="346"/>
      <c r="K565" s="346"/>
      <c r="L565" s="346"/>
      <c r="M565" s="346"/>
      <c r="N565" s="346"/>
      <c r="O565" s="346"/>
      <c r="P565" s="642" t="s">
        <v>1644</v>
      </c>
      <c r="Q565" s="323"/>
      <c r="R565" s="190"/>
      <c r="S565" s="448"/>
      <c r="T565" s="643" t="s">
        <v>1819</v>
      </c>
      <c r="U565" s="643" t="s">
        <v>2590</v>
      </c>
      <c r="AA565" s="27"/>
      <c r="AB565" s="27"/>
      <c r="AC565" s="1072"/>
      <c r="AD565" s="585"/>
    </row>
    <row r="566" spans="6:30" ht="10.5" customHeight="1">
      <c r="F566" s="371"/>
      <c r="G566" s="346"/>
      <c r="H566" s="346"/>
      <c r="I566" s="346"/>
      <c r="J566" s="346"/>
      <c r="K566" s="346"/>
      <c r="L566" s="346"/>
      <c r="M566" s="346"/>
      <c r="N566" s="346"/>
      <c r="O566" s="346"/>
      <c r="P566" s="642" t="s">
        <v>2273</v>
      </c>
      <c r="Q566" s="323"/>
      <c r="R566" s="190"/>
      <c r="S566" s="448"/>
      <c r="T566" s="572" t="s">
        <v>1829</v>
      </c>
      <c r="U566" s="572" t="s">
        <v>104</v>
      </c>
      <c r="AA566" s="27"/>
      <c r="AB566" s="27"/>
      <c r="AC566" s="1073"/>
      <c r="AD566" s="585"/>
    </row>
    <row r="567" spans="6:30" ht="10.5" customHeight="1">
      <c r="F567" s="371"/>
      <c r="G567" s="346"/>
      <c r="H567" s="346"/>
      <c r="I567" s="346"/>
      <c r="J567" s="346"/>
      <c r="K567" s="346"/>
      <c r="L567" s="346"/>
      <c r="M567" s="346"/>
      <c r="N567" s="346"/>
      <c r="O567" s="346"/>
      <c r="P567" s="642" t="s">
        <v>559</v>
      </c>
      <c r="Q567" s="323"/>
      <c r="R567" s="190"/>
      <c r="S567" s="448"/>
      <c r="T567" s="572" t="s">
        <v>1831</v>
      </c>
      <c r="U567" s="572" t="s">
        <v>2242</v>
      </c>
      <c r="AA567" s="27"/>
      <c r="AB567" s="27"/>
      <c r="AC567" s="1072"/>
      <c r="AD567" s="585"/>
    </row>
    <row r="568" spans="6:30" ht="10.5" customHeight="1">
      <c r="F568" s="371"/>
      <c r="G568" s="346"/>
      <c r="H568" s="346"/>
      <c r="I568" s="346"/>
      <c r="J568" s="346"/>
      <c r="K568" s="346"/>
      <c r="L568" s="346"/>
      <c r="M568" s="346"/>
      <c r="N568" s="346"/>
      <c r="O568" s="346"/>
      <c r="P568" s="642" t="s">
        <v>561</v>
      </c>
      <c r="Q568" s="323"/>
      <c r="R568" s="190"/>
      <c r="S568" s="448"/>
      <c r="T568" s="572" t="s">
        <v>1834</v>
      </c>
      <c r="U568" s="572" t="s">
        <v>2242</v>
      </c>
      <c r="AA568" s="27"/>
      <c r="AB568" s="27"/>
      <c r="AC568" s="1072"/>
      <c r="AD568" s="585"/>
    </row>
    <row r="569" spans="6:30" ht="10.5" customHeight="1">
      <c r="F569" s="371"/>
      <c r="G569" s="346"/>
      <c r="H569" s="346"/>
      <c r="I569" s="346"/>
      <c r="J569" s="346"/>
      <c r="K569" s="346"/>
      <c r="L569" s="346"/>
      <c r="M569" s="346"/>
      <c r="N569" s="346"/>
      <c r="O569" s="346"/>
      <c r="P569" s="642" t="s">
        <v>563</v>
      </c>
      <c r="Q569" s="323"/>
      <c r="R569" s="190"/>
      <c r="S569" s="448"/>
      <c r="T569" s="572" t="s">
        <v>1836</v>
      </c>
      <c r="U569" s="572" t="s">
        <v>311</v>
      </c>
      <c r="AA569" s="27"/>
      <c r="AB569" s="27"/>
      <c r="AC569" s="1072"/>
      <c r="AD569" s="585"/>
    </row>
    <row r="570" spans="6:30" ht="10.5" customHeight="1">
      <c r="F570" s="371"/>
      <c r="G570" s="346"/>
      <c r="H570" s="346"/>
      <c r="I570" s="346"/>
      <c r="J570" s="346"/>
      <c r="K570" s="346"/>
      <c r="L570" s="346"/>
      <c r="M570" s="346"/>
      <c r="N570" s="346"/>
      <c r="O570" s="346"/>
      <c r="P570" s="642" t="s">
        <v>2053</v>
      </c>
      <c r="Q570" s="323"/>
      <c r="R570" s="190"/>
      <c r="S570" s="448"/>
      <c r="T570" s="572" t="s">
        <v>1838</v>
      </c>
      <c r="U570" s="572" t="s">
        <v>1666</v>
      </c>
      <c r="AA570" s="27"/>
      <c r="AB570" s="27"/>
      <c r="AC570" s="1072"/>
      <c r="AD570" s="585"/>
    </row>
    <row r="571" spans="6:30" ht="10.5" customHeight="1">
      <c r="F571" s="371"/>
      <c r="G571" s="346"/>
      <c r="H571" s="346"/>
      <c r="I571" s="346"/>
      <c r="J571" s="346"/>
      <c r="K571" s="346"/>
      <c r="L571" s="346"/>
      <c r="M571" s="346"/>
      <c r="N571" s="346"/>
      <c r="O571" s="346"/>
      <c r="P571" s="642" t="s">
        <v>1447</v>
      </c>
      <c r="Q571" s="323"/>
      <c r="R571" s="190"/>
      <c r="S571" s="448"/>
      <c r="T571" s="572" t="s">
        <v>1840</v>
      </c>
      <c r="U571" s="572" t="s">
        <v>321</v>
      </c>
      <c r="AA571" s="27"/>
      <c r="AB571" s="27"/>
      <c r="AC571" s="1072"/>
      <c r="AD571" s="585"/>
    </row>
    <row r="572" spans="6:30" ht="10.5" customHeight="1">
      <c r="F572" s="371"/>
      <c r="G572" s="346"/>
      <c r="H572" s="346"/>
      <c r="I572" s="346"/>
      <c r="J572" s="346"/>
      <c r="K572" s="346"/>
      <c r="L572" s="346"/>
      <c r="M572" s="346"/>
      <c r="N572" s="346"/>
      <c r="O572" s="346"/>
      <c r="P572" s="642" t="s">
        <v>1449</v>
      </c>
      <c r="Q572" s="323"/>
      <c r="R572" s="190"/>
      <c r="S572" s="448"/>
      <c r="T572" s="572" t="s">
        <v>2590</v>
      </c>
      <c r="U572" s="572" t="s">
        <v>106</v>
      </c>
      <c r="AA572" s="27"/>
      <c r="AB572" s="27"/>
      <c r="AC572" s="1072"/>
      <c r="AD572" s="585"/>
    </row>
    <row r="573" spans="6:30" ht="10.5" customHeight="1">
      <c r="F573" s="371"/>
      <c r="G573" s="346"/>
      <c r="H573" s="346"/>
      <c r="I573" s="346"/>
      <c r="J573" s="346"/>
      <c r="K573" s="346"/>
      <c r="L573" s="346"/>
      <c r="M573" s="346"/>
      <c r="N573" s="346"/>
      <c r="O573" s="346"/>
      <c r="P573" s="642" t="s">
        <v>1450</v>
      </c>
      <c r="Q573" s="323"/>
      <c r="R573" s="190"/>
      <c r="S573" s="448"/>
      <c r="T573" s="572" t="s">
        <v>1946</v>
      </c>
      <c r="U573" s="572" t="s">
        <v>108</v>
      </c>
      <c r="AA573" s="27"/>
      <c r="AB573" s="27"/>
      <c r="AC573" s="1072"/>
      <c r="AD573" s="585"/>
    </row>
    <row r="574" spans="6:30" ht="10.5" customHeight="1">
      <c r="F574" s="371"/>
      <c r="G574" s="346"/>
      <c r="H574" s="346"/>
      <c r="I574" s="346"/>
      <c r="J574" s="346"/>
      <c r="K574" s="346"/>
      <c r="L574" s="346"/>
      <c r="M574" s="346"/>
      <c r="N574" s="346"/>
      <c r="O574" s="346"/>
      <c r="P574" s="642" t="s">
        <v>1581</v>
      </c>
      <c r="Q574" s="323"/>
      <c r="R574" s="190"/>
      <c r="S574" s="448"/>
      <c r="T574" s="572" t="s">
        <v>1810</v>
      </c>
      <c r="U574" s="572" t="s">
        <v>1094</v>
      </c>
      <c r="AA574" s="27"/>
      <c r="AB574" s="27"/>
      <c r="AC574" s="1072"/>
      <c r="AD574" s="585"/>
    </row>
    <row r="575" spans="6:30" ht="10.5" customHeight="1">
      <c r="F575" s="371"/>
      <c r="G575" s="346"/>
      <c r="H575" s="346"/>
      <c r="I575" s="346"/>
      <c r="J575" s="346"/>
      <c r="K575" s="346"/>
      <c r="L575" s="346"/>
      <c r="M575" s="346"/>
      <c r="N575" s="346"/>
      <c r="O575" s="346"/>
      <c r="P575" s="642" t="s">
        <v>2119</v>
      </c>
      <c r="Q575" s="323"/>
      <c r="R575" s="190"/>
      <c r="S575" s="448"/>
      <c r="T575" s="572" t="s">
        <v>2591</v>
      </c>
      <c r="U575" s="572" t="s">
        <v>1320</v>
      </c>
      <c r="AA575" s="27"/>
      <c r="AB575" s="27"/>
      <c r="AC575" s="1072"/>
      <c r="AD575" s="585"/>
    </row>
    <row r="576" spans="6:30" ht="10.5" customHeight="1">
      <c r="F576" s="371"/>
      <c r="G576" s="346"/>
      <c r="H576" s="346"/>
      <c r="I576" s="346"/>
      <c r="J576" s="346"/>
      <c r="K576" s="346"/>
      <c r="L576" s="346"/>
      <c r="M576" s="346"/>
      <c r="N576" s="346"/>
      <c r="O576" s="346"/>
      <c r="P576" s="642" t="s">
        <v>2121</v>
      </c>
      <c r="Q576" s="323"/>
      <c r="R576" s="190"/>
      <c r="S576" s="448"/>
      <c r="T576" s="643" t="s">
        <v>1643</v>
      </c>
      <c r="U576" s="643" t="s">
        <v>2168</v>
      </c>
      <c r="AA576" s="27"/>
      <c r="AB576" s="27"/>
      <c r="AC576" s="1072"/>
      <c r="AD576" s="585"/>
    </row>
    <row r="577" spans="6:30" ht="10.5" customHeight="1">
      <c r="F577" s="371"/>
      <c r="G577" s="346"/>
      <c r="H577" s="346"/>
      <c r="I577" s="346"/>
      <c r="J577" s="346"/>
      <c r="K577" s="346"/>
      <c r="L577" s="346"/>
      <c r="M577" s="346"/>
      <c r="N577" s="346"/>
      <c r="O577" s="346"/>
      <c r="P577" s="642" t="s">
        <v>2123</v>
      </c>
      <c r="Q577" s="323"/>
      <c r="R577" s="190"/>
      <c r="S577" s="448"/>
      <c r="T577" s="572" t="s">
        <v>831</v>
      </c>
      <c r="U577" s="572" t="s">
        <v>2175</v>
      </c>
      <c r="AA577" s="27"/>
      <c r="AB577" s="27"/>
      <c r="AC577" s="1073"/>
      <c r="AD577" s="585"/>
    </row>
    <row r="578" spans="6:30" ht="10.5" customHeight="1">
      <c r="F578" s="371"/>
      <c r="G578" s="346"/>
      <c r="H578" s="346"/>
      <c r="I578" s="346"/>
      <c r="J578" s="346"/>
      <c r="K578" s="346"/>
      <c r="L578" s="346"/>
      <c r="M578" s="346"/>
      <c r="N578" s="346"/>
      <c r="O578" s="346"/>
      <c r="P578" s="642" t="s">
        <v>1440</v>
      </c>
      <c r="Q578" s="323"/>
      <c r="R578" s="190"/>
      <c r="S578" s="448"/>
      <c r="T578" s="572" t="s">
        <v>2272</v>
      </c>
      <c r="U578" s="572" t="s">
        <v>1668</v>
      </c>
      <c r="AA578" s="27"/>
      <c r="AB578" s="27"/>
      <c r="AC578" s="1072"/>
      <c r="AD578" s="585"/>
    </row>
    <row r="579" spans="6:30" ht="10.5" customHeight="1">
      <c r="F579" s="371"/>
      <c r="G579" s="346"/>
      <c r="H579" s="346"/>
      <c r="I579" s="346"/>
      <c r="J579" s="346"/>
      <c r="K579" s="346"/>
      <c r="L579" s="346"/>
      <c r="M579" s="346"/>
      <c r="N579" s="346"/>
      <c r="O579" s="346"/>
      <c r="P579" s="642" t="s">
        <v>1442</v>
      </c>
      <c r="Q579" s="323"/>
      <c r="R579" s="190"/>
      <c r="S579" s="448"/>
      <c r="T579" s="572" t="s">
        <v>2274</v>
      </c>
      <c r="U579" s="572" t="s">
        <v>2172</v>
      </c>
      <c r="AA579" s="27"/>
      <c r="AB579" s="27"/>
      <c r="AC579" s="1072"/>
      <c r="AD579" s="585"/>
    </row>
    <row r="580" spans="6:30" ht="10.5" customHeight="1">
      <c r="F580" s="371"/>
      <c r="G580" s="346"/>
      <c r="H580" s="346"/>
      <c r="I580" s="346"/>
      <c r="J580" s="346"/>
      <c r="K580" s="346"/>
      <c r="L580" s="346"/>
      <c r="M580" s="346"/>
      <c r="N580" s="346"/>
      <c r="O580" s="346"/>
      <c r="P580" s="642" t="s">
        <v>1555</v>
      </c>
      <c r="Q580" s="323"/>
      <c r="R580" s="190"/>
      <c r="S580" s="448"/>
      <c r="T580" s="572" t="s">
        <v>560</v>
      </c>
      <c r="U580" s="572" t="s">
        <v>2589</v>
      </c>
      <c r="AA580" s="27"/>
      <c r="AB580" s="27"/>
      <c r="AC580" s="1072"/>
      <c r="AD580" s="585"/>
    </row>
    <row r="581" spans="6:30" ht="10.5" customHeight="1">
      <c r="F581" s="371"/>
      <c r="G581" s="346"/>
      <c r="H581" s="346"/>
      <c r="I581" s="346"/>
      <c r="J581" s="346"/>
      <c r="K581" s="346"/>
      <c r="L581" s="346"/>
      <c r="M581" s="346"/>
      <c r="N581" s="346"/>
      <c r="O581" s="346"/>
      <c r="P581" s="642" t="s">
        <v>1557</v>
      </c>
      <c r="Q581" s="323"/>
      <c r="R581" s="190"/>
      <c r="S581" s="448"/>
      <c r="T581" s="572" t="s">
        <v>562</v>
      </c>
      <c r="U581" s="572" t="s">
        <v>1206</v>
      </c>
      <c r="AA581" s="27"/>
      <c r="AB581" s="27"/>
      <c r="AC581" s="1072"/>
      <c r="AD581" s="585"/>
    </row>
    <row r="582" spans="6:30" ht="10.5" customHeight="1">
      <c r="F582" s="371"/>
      <c r="G582" s="346"/>
      <c r="H582" s="346"/>
      <c r="I582" s="346"/>
      <c r="J582" s="346"/>
      <c r="K582" s="346"/>
      <c r="L582" s="346"/>
      <c r="M582" s="346"/>
      <c r="N582" s="346"/>
      <c r="O582" s="346"/>
      <c r="P582" s="642" t="s">
        <v>2051</v>
      </c>
      <c r="Q582" s="323"/>
      <c r="R582" s="190"/>
      <c r="S582" s="448"/>
      <c r="T582" s="572" t="s">
        <v>1063</v>
      </c>
      <c r="U582" s="572" t="s">
        <v>628</v>
      </c>
      <c r="AA582" s="27"/>
      <c r="AB582" s="27"/>
      <c r="AC582" s="1072"/>
      <c r="AD582" s="585"/>
    </row>
    <row r="583" spans="6:30" ht="10.5" customHeight="1">
      <c r="F583" s="371"/>
      <c r="G583" s="346"/>
      <c r="H583" s="346"/>
      <c r="I583" s="346"/>
      <c r="J583" s="346"/>
      <c r="K583" s="346"/>
      <c r="L583" s="346"/>
      <c r="M583" s="346"/>
      <c r="N583" s="346"/>
      <c r="O583" s="346"/>
      <c r="P583" s="642" t="s">
        <v>1872</v>
      </c>
      <c r="Q583" s="323"/>
      <c r="R583" s="190"/>
      <c r="S583" s="448"/>
      <c r="T583" s="572" t="s">
        <v>564</v>
      </c>
      <c r="U583" s="572" t="s">
        <v>1665</v>
      </c>
      <c r="AA583" s="27"/>
      <c r="AB583" s="27"/>
      <c r="AC583" s="1072"/>
      <c r="AD583" s="585"/>
    </row>
    <row r="584" spans="6:30" ht="10.5" customHeight="1">
      <c r="F584" s="371"/>
      <c r="G584" s="346"/>
      <c r="H584" s="346"/>
      <c r="I584" s="346"/>
      <c r="J584" s="346"/>
      <c r="K584" s="346"/>
      <c r="L584" s="346"/>
      <c r="M584" s="346"/>
      <c r="N584" s="346"/>
      <c r="O584" s="346"/>
      <c r="P584" s="642" t="s">
        <v>277</v>
      </c>
      <c r="Q584" s="323"/>
      <c r="R584" s="190"/>
      <c r="S584" s="448"/>
      <c r="T584" s="572" t="s">
        <v>1178</v>
      </c>
      <c r="U584" s="572" t="s">
        <v>1094</v>
      </c>
      <c r="AA584" s="27"/>
      <c r="AB584" s="27"/>
      <c r="AC584" s="1072"/>
      <c r="AD584" s="585"/>
    </row>
    <row r="585" spans="6:30" ht="10.5" customHeight="1">
      <c r="F585" s="371"/>
      <c r="G585" s="346"/>
      <c r="H585" s="346"/>
      <c r="I585" s="346"/>
      <c r="J585" s="346"/>
      <c r="K585" s="346"/>
      <c r="L585" s="346"/>
      <c r="M585" s="346"/>
      <c r="N585" s="346"/>
      <c r="O585" s="346"/>
      <c r="P585" s="642" t="s">
        <v>1684</v>
      </c>
      <c r="Q585" s="323"/>
      <c r="R585" s="190"/>
      <c r="S585" s="448"/>
      <c r="T585" s="572" t="s">
        <v>1448</v>
      </c>
      <c r="U585" s="572" t="s">
        <v>1666</v>
      </c>
      <c r="AA585" s="27"/>
      <c r="AB585" s="27"/>
      <c r="AC585" s="1072"/>
      <c r="AD585" s="585"/>
    </row>
    <row r="586" spans="6:30" ht="10.5" customHeight="1">
      <c r="F586" s="371"/>
      <c r="G586" s="346"/>
      <c r="H586" s="346"/>
      <c r="I586" s="346"/>
      <c r="J586" s="346"/>
      <c r="K586" s="346"/>
      <c r="L586" s="346"/>
      <c r="M586" s="346"/>
      <c r="N586" s="346"/>
      <c r="O586" s="346"/>
      <c r="P586" s="642" t="s">
        <v>261</v>
      </c>
      <c r="Q586" s="323"/>
      <c r="R586" s="190"/>
      <c r="S586" s="448"/>
      <c r="T586" s="572" t="s">
        <v>2867</v>
      </c>
      <c r="U586" s="572" t="s">
        <v>1319</v>
      </c>
      <c r="AA586" s="27"/>
      <c r="AB586" s="27"/>
      <c r="AC586" s="1072"/>
      <c r="AD586" s="585"/>
    </row>
    <row r="587" spans="6:30" ht="10.5" customHeight="1">
      <c r="F587" s="371"/>
      <c r="G587" s="346"/>
      <c r="H587" s="346"/>
      <c r="I587" s="346"/>
      <c r="J587" s="346"/>
      <c r="K587" s="346"/>
      <c r="L587" s="346"/>
      <c r="M587" s="346"/>
      <c r="N587" s="346"/>
      <c r="O587" s="346"/>
      <c r="P587" s="642" t="s">
        <v>275</v>
      </c>
      <c r="Q587" s="323"/>
      <c r="R587" s="190"/>
      <c r="S587" s="448"/>
      <c r="T587" s="572" t="s">
        <v>1451</v>
      </c>
      <c r="U587" s="572" t="s">
        <v>657</v>
      </c>
      <c r="AA587" s="27"/>
      <c r="AB587" s="27"/>
      <c r="AC587" s="1072"/>
      <c r="AD587" s="585"/>
    </row>
    <row r="588" spans="6:30" ht="10.5" customHeight="1">
      <c r="F588" s="371"/>
      <c r="G588" s="346"/>
      <c r="H588" s="346"/>
      <c r="I588" s="346"/>
      <c r="J588" s="346"/>
      <c r="K588" s="346"/>
      <c r="L588" s="346"/>
      <c r="M588" s="346"/>
      <c r="N588" s="346"/>
      <c r="O588" s="346"/>
      <c r="P588" s="642" t="s">
        <v>1184</v>
      </c>
      <c r="Q588" s="323"/>
      <c r="R588" s="190"/>
      <c r="S588" s="448"/>
      <c r="T588" s="572" t="s">
        <v>2868</v>
      </c>
      <c r="U588" s="572" t="s">
        <v>121</v>
      </c>
      <c r="AA588" s="27"/>
      <c r="AB588" s="27"/>
      <c r="AC588" s="1072"/>
      <c r="AD588" s="585"/>
    </row>
    <row r="589" spans="6:30" ht="10.5" customHeight="1">
      <c r="F589" s="371"/>
      <c r="G589" s="346"/>
      <c r="H589" s="346"/>
      <c r="I589" s="346"/>
      <c r="J589" s="346"/>
      <c r="K589" s="346"/>
      <c r="L589" s="346"/>
      <c r="M589" s="346"/>
      <c r="N589" s="346"/>
      <c r="O589" s="346"/>
      <c r="P589" s="642" t="s">
        <v>743</v>
      </c>
      <c r="Q589" s="323"/>
      <c r="R589" s="190"/>
      <c r="S589" s="448"/>
      <c r="T589" s="572" t="s">
        <v>1582</v>
      </c>
      <c r="U589" s="572" t="s">
        <v>1777</v>
      </c>
      <c r="AA589" s="27"/>
      <c r="AB589" s="27"/>
      <c r="AC589" s="1072"/>
      <c r="AD589" s="585"/>
    </row>
    <row r="590" spans="6:30" ht="10.5" customHeight="1">
      <c r="F590" s="371"/>
      <c r="G590" s="346"/>
      <c r="H590" s="346"/>
      <c r="I590" s="346"/>
      <c r="J590" s="346"/>
      <c r="K590" s="346"/>
      <c r="L590" s="346"/>
      <c r="M590" s="346"/>
      <c r="N590" s="346"/>
      <c r="O590" s="346"/>
      <c r="P590" s="642" t="s">
        <v>745</v>
      </c>
      <c r="Q590" s="323"/>
      <c r="R590" s="190"/>
      <c r="S590" s="448"/>
      <c r="T590" s="572" t="s">
        <v>2120</v>
      </c>
      <c r="U590" s="572" t="s">
        <v>1633</v>
      </c>
      <c r="AA590" s="27"/>
      <c r="AB590" s="27"/>
      <c r="AC590" s="1072"/>
      <c r="AD590" s="585"/>
    </row>
    <row r="591" spans="6:30" ht="10.5" customHeight="1">
      <c r="F591" s="371"/>
      <c r="G591" s="346"/>
      <c r="H591" s="346"/>
      <c r="I591" s="346"/>
      <c r="J591" s="346"/>
      <c r="K591" s="346"/>
      <c r="L591" s="346"/>
      <c r="M591" s="346"/>
      <c r="N591" s="346"/>
      <c r="O591" s="346"/>
      <c r="P591" s="642" t="s">
        <v>1027</v>
      </c>
      <c r="Q591" s="323"/>
      <c r="R591" s="190"/>
      <c r="S591" s="448"/>
      <c r="T591" s="572" t="s">
        <v>2122</v>
      </c>
      <c r="U591" s="572" t="s">
        <v>1325</v>
      </c>
      <c r="AA591" s="27"/>
      <c r="AB591" s="27"/>
      <c r="AC591" s="1072"/>
      <c r="AD591" s="585"/>
    </row>
    <row r="592" spans="6:30" ht="10.5" customHeight="1">
      <c r="F592" s="371"/>
      <c r="G592" s="346"/>
      <c r="H592" s="346"/>
      <c r="I592" s="346"/>
      <c r="J592" s="346"/>
      <c r="K592" s="346"/>
      <c r="L592" s="346"/>
      <c r="M592" s="346"/>
      <c r="N592" s="346"/>
      <c r="O592" s="346"/>
      <c r="P592" s="642" t="s">
        <v>1029</v>
      </c>
      <c r="Q592" s="323"/>
      <c r="R592" s="190"/>
      <c r="S592" s="448"/>
      <c r="T592" s="643" t="s">
        <v>1439</v>
      </c>
      <c r="U592" s="643" t="s">
        <v>323</v>
      </c>
      <c r="AA592" s="27"/>
      <c r="AB592" s="27"/>
      <c r="AC592" s="1072"/>
      <c r="AD592" s="585"/>
    </row>
    <row r="593" spans="6:30" ht="10.5" customHeight="1">
      <c r="F593" s="371"/>
      <c r="G593" s="346"/>
      <c r="H593" s="346"/>
      <c r="I593" s="346"/>
      <c r="J593" s="346"/>
      <c r="K593" s="346"/>
      <c r="L593" s="346"/>
      <c r="M593" s="346"/>
      <c r="N593" s="346"/>
      <c r="O593" s="346"/>
      <c r="P593" s="642" t="s">
        <v>1814</v>
      </c>
      <c r="Q593" s="323"/>
      <c r="R593" s="190"/>
      <c r="S593" s="448"/>
      <c r="T593" s="572" t="s">
        <v>2869</v>
      </c>
      <c r="U593" s="572" t="s">
        <v>330</v>
      </c>
      <c r="AA593" s="27"/>
      <c r="AB593" s="27"/>
      <c r="AC593" s="1073"/>
      <c r="AD593" s="585"/>
    </row>
    <row r="594" spans="6:30" ht="10.5" customHeight="1">
      <c r="F594" s="371"/>
      <c r="G594" s="346"/>
      <c r="H594" s="346"/>
      <c r="I594" s="346"/>
      <c r="J594" s="346"/>
      <c r="K594" s="346"/>
      <c r="L594" s="346"/>
      <c r="M594" s="346"/>
      <c r="N594" s="346"/>
      <c r="O594" s="346"/>
      <c r="P594" s="642" t="s">
        <v>1816</v>
      </c>
      <c r="Q594" s="323"/>
      <c r="R594" s="190"/>
      <c r="S594" s="448"/>
      <c r="T594" s="572" t="s">
        <v>1441</v>
      </c>
      <c r="U594" s="572" t="s">
        <v>320</v>
      </c>
      <c r="AA594" s="27"/>
      <c r="AB594" s="27"/>
      <c r="AC594" s="1072"/>
      <c r="AD594" s="585"/>
    </row>
    <row r="595" spans="6:30" ht="10.5" customHeight="1">
      <c r="F595" s="371"/>
      <c r="G595" s="346"/>
      <c r="H595" s="346"/>
      <c r="I595" s="346"/>
      <c r="J595" s="346"/>
      <c r="K595" s="346"/>
      <c r="L595" s="346"/>
      <c r="M595" s="346"/>
      <c r="N595" s="346"/>
      <c r="O595" s="346"/>
      <c r="P595" s="642" t="s">
        <v>1817</v>
      </c>
      <c r="Q595" s="323"/>
      <c r="R595" s="190"/>
      <c r="S595" s="448"/>
      <c r="T595" s="643" t="s">
        <v>1064</v>
      </c>
      <c r="U595" s="643" t="s">
        <v>1668</v>
      </c>
      <c r="AA595" s="27"/>
      <c r="AB595" s="27"/>
      <c r="AC595" s="1072"/>
      <c r="AD595" s="585"/>
    </row>
    <row r="596" spans="6:30" ht="10.5" customHeight="1">
      <c r="F596" s="371"/>
      <c r="G596" s="346"/>
      <c r="H596" s="346"/>
      <c r="I596" s="346"/>
      <c r="J596" s="346"/>
      <c r="K596" s="346"/>
      <c r="L596" s="346"/>
      <c r="M596" s="346"/>
      <c r="N596" s="346"/>
      <c r="O596" s="346"/>
      <c r="P596" s="642" t="s">
        <v>1135</v>
      </c>
      <c r="Q596" s="323"/>
      <c r="R596" s="190"/>
      <c r="S596" s="448"/>
      <c r="T596" s="572" t="s">
        <v>1443</v>
      </c>
      <c r="U596" s="572" t="s">
        <v>628</v>
      </c>
      <c r="AA596" s="27"/>
      <c r="AB596" s="27"/>
      <c r="AC596" s="1073"/>
      <c r="AD596" s="585"/>
    </row>
    <row r="597" spans="6:30" ht="10.5" customHeight="1">
      <c r="F597" s="371"/>
      <c r="G597" s="346"/>
      <c r="H597" s="346"/>
      <c r="I597" s="346"/>
      <c r="J597" s="346"/>
      <c r="K597" s="346"/>
      <c r="L597" s="346"/>
      <c r="M597" s="346"/>
      <c r="N597" s="346"/>
      <c r="O597" s="346"/>
      <c r="P597" s="642" t="s">
        <v>401</v>
      </c>
      <c r="Q597" s="323"/>
      <c r="R597" s="190"/>
      <c r="S597" s="448"/>
      <c r="T597" s="572" t="s">
        <v>1556</v>
      </c>
      <c r="U597" s="572" t="s">
        <v>315</v>
      </c>
      <c r="AA597" s="27"/>
      <c r="AB597" s="27"/>
      <c r="AC597" s="1072"/>
      <c r="AD597" s="585"/>
    </row>
    <row r="598" spans="6:30" ht="10.5" customHeight="1">
      <c r="F598" s="371"/>
      <c r="G598" s="346"/>
      <c r="H598" s="346"/>
      <c r="I598" s="346"/>
      <c r="J598" s="346"/>
      <c r="K598" s="346"/>
      <c r="L598" s="346"/>
      <c r="M598" s="346"/>
      <c r="N598" s="346"/>
      <c r="O598" s="346"/>
      <c r="P598" s="642" t="s">
        <v>3</v>
      </c>
      <c r="Q598" s="323"/>
      <c r="R598" s="190"/>
      <c r="S598" s="448"/>
      <c r="T598" s="572" t="s">
        <v>2052</v>
      </c>
      <c r="U598" s="572" t="s">
        <v>953</v>
      </c>
      <c r="AA598" s="27"/>
      <c r="AB598" s="27"/>
      <c r="AC598" s="1072"/>
      <c r="AD598" s="585"/>
    </row>
    <row r="599" spans="6:30" ht="10.5" customHeight="1">
      <c r="F599" s="371"/>
      <c r="G599" s="346"/>
      <c r="H599" s="346"/>
      <c r="I599" s="346"/>
      <c r="J599" s="346"/>
      <c r="K599" s="346"/>
      <c r="L599" s="346"/>
      <c r="M599" s="346"/>
      <c r="N599" s="346"/>
      <c r="O599" s="346"/>
      <c r="P599" s="642" t="s">
        <v>5</v>
      </c>
      <c r="Q599" s="323"/>
      <c r="R599" s="190"/>
      <c r="S599" s="448"/>
      <c r="T599" s="643" t="s">
        <v>1873</v>
      </c>
      <c r="U599" s="643" t="s">
        <v>1951</v>
      </c>
      <c r="AA599" s="27"/>
      <c r="AB599" s="27"/>
      <c r="AC599" s="1072"/>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1951</v>
      </c>
      <c r="AA600" s="27"/>
      <c r="AB600" s="27"/>
      <c r="AC600" s="1073"/>
      <c r="AD600" s="585"/>
    </row>
    <row r="601" spans="6:30" ht="10.5" customHeight="1">
      <c r="F601" s="371"/>
      <c r="G601" s="346"/>
      <c r="H601" s="346"/>
      <c r="I601" s="346"/>
      <c r="J601" s="346"/>
      <c r="K601" s="346"/>
      <c r="L601" s="346"/>
      <c r="M601" s="346"/>
      <c r="N601" s="346"/>
      <c r="O601" s="346"/>
      <c r="P601" s="642" t="s">
        <v>9</v>
      </c>
      <c r="Q601" s="323"/>
      <c r="R601" s="190"/>
      <c r="S601" s="448"/>
      <c r="T601" s="572" t="s">
        <v>1685</v>
      </c>
      <c r="U601" s="572" t="s">
        <v>2177</v>
      </c>
      <c r="AA601" s="27"/>
      <c r="AB601" s="27"/>
      <c r="AC601" s="1073"/>
      <c r="AD601" s="585"/>
    </row>
    <row r="602" spans="6:30" ht="10.5" customHeight="1">
      <c r="F602" s="371"/>
      <c r="G602" s="346"/>
      <c r="H602" s="346"/>
      <c r="I602" s="346"/>
      <c r="J602" s="346"/>
      <c r="K602" s="346"/>
      <c r="L602" s="346"/>
      <c r="M602" s="346"/>
      <c r="N602" s="346"/>
      <c r="O602" s="346"/>
      <c r="P602" s="642" t="s">
        <v>2143</v>
      </c>
      <c r="Q602" s="323"/>
      <c r="R602" s="190"/>
      <c r="S602" s="448"/>
      <c r="T602" s="572" t="s">
        <v>262</v>
      </c>
      <c r="U602" s="572" t="s">
        <v>667</v>
      </c>
      <c r="AA602" s="27"/>
      <c r="AB602" s="27"/>
      <c r="AC602" s="1072"/>
      <c r="AD602" s="585"/>
    </row>
    <row r="603" spans="6:30" ht="10.5" customHeight="1">
      <c r="F603" s="371"/>
      <c r="G603" s="346"/>
      <c r="H603" s="346"/>
      <c r="I603" s="346"/>
      <c r="J603" s="346"/>
      <c r="K603" s="346"/>
      <c r="L603" s="346"/>
      <c r="M603" s="346"/>
      <c r="N603" s="346"/>
      <c r="O603" s="346"/>
      <c r="P603" s="642" t="s">
        <v>2145</v>
      </c>
      <c r="Q603" s="323"/>
      <c r="R603" s="190"/>
      <c r="S603" s="448"/>
      <c r="T603" s="572" t="s">
        <v>1183</v>
      </c>
      <c r="U603" s="572" t="s">
        <v>159</v>
      </c>
      <c r="AA603" s="27"/>
      <c r="AB603" s="27"/>
      <c r="AC603" s="1072"/>
      <c r="AD603" s="585"/>
    </row>
    <row r="604" spans="6:30" ht="10.5" customHeight="1">
      <c r="F604" s="371"/>
      <c r="G604" s="346"/>
      <c r="H604" s="346"/>
      <c r="I604" s="346"/>
      <c r="J604" s="346"/>
      <c r="K604" s="346"/>
      <c r="L604" s="346"/>
      <c r="M604" s="346"/>
      <c r="N604" s="346"/>
      <c r="O604" s="346"/>
      <c r="P604" s="642" t="s">
        <v>2147</v>
      </c>
      <c r="Q604" s="323"/>
      <c r="R604" s="190"/>
      <c r="S604" s="448"/>
      <c r="T604" s="572" t="s">
        <v>1185</v>
      </c>
      <c r="U604" s="572" t="s">
        <v>159</v>
      </c>
      <c r="AA604" s="27"/>
      <c r="AB604" s="27"/>
      <c r="AC604" s="1072"/>
      <c r="AD604" s="585"/>
    </row>
    <row r="605" spans="6:30" ht="10.5" customHeight="1">
      <c r="F605" s="371"/>
      <c r="G605" s="346"/>
      <c r="H605" s="346"/>
      <c r="I605" s="346"/>
      <c r="J605" s="346"/>
      <c r="K605" s="346"/>
      <c r="L605" s="346"/>
      <c r="M605" s="346"/>
      <c r="N605" s="346"/>
      <c r="O605" s="346"/>
      <c r="P605" s="642" t="s">
        <v>2149</v>
      </c>
      <c r="Q605" s="323"/>
      <c r="R605" s="190"/>
      <c r="S605" s="448"/>
      <c r="T605" s="572" t="s">
        <v>744</v>
      </c>
      <c r="U605" s="572" t="s">
        <v>1327</v>
      </c>
      <c r="AA605" s="27"/>
      <c r="AB605" s="27"/>
      <c r="AC605" s="1072"/>
      <c r="AD605" s="585"/>
    </row>
    <row r="606" spans="6:30" ht="10.5" customHeight="1">
      <c r="F606" s="371"/>
      <c r="G606" s="346"/>
      <c r="H606" s="346"/>
      <c r="I606" s="346"/>
      <c r="J606" s="346"/>
      <c r="K606" s="346"/>
      <c r="L606" s="346"/>
      <c r="M606" s="346"/>
      <c r="N606" s="346"/>
      <c r="O606" s="346"/>
      <c r="P606" s="642" t="s">
        <v>2151</v>
      </c>
      <c r="Q606" s="323"/>
      <c r="R606" s="190"/>
      <c r="S606" s="448"/>
      <c r="T606" s="572" t="s">
        <v>245</v>
      </c>
      <c r="U606" s="572" t="s">
        <v>2589</v>
      </c>
      <c r="AA606" s="27"/>
      <c r="AB606" s="27"/>
      <c r="AC606" s="1072"/>
      <c r="AD606" s="585"/>
    </row>
    <row r="607" spans="6:30" ht="10.5" customHeight="1">
      <c r="F607" s="371"/>
      <c r="G607" s="346"/>
      <c r="H607" s="346"/>
      <c r="I607" s="346"/>
      <c r="J607" s="346"/>
      <c r="K607" s="346"/>
      <c r="L607" s="346"/>
      <c r="M607" s="346"/>
      <c r="N607" s="346"/>
      <c r="O607" s="346"/>
      <c r="P607" s="642" t="s">
        <v>88</v>
      </c>
      <c r="Q607" s="323"/>
      <c r="R607" s="190"/>
      <c r="S607" s="448"/>
      <c r="T607" s="572" t="s">
        <v>1028</v>
      </c>
      <c r="U607" s="572" t="s">
        <v>2401</v>
      </c>
      <c r="AA607" s="27"/>
      <c r="AB607" s="27"/>
      <c r="AC607" s="1072"/>
      <c r="AD607" s="585"/>
    </row>
    <row r="608" spans="6:30" ht="10.5" customHeight="1">
      <c r="F608" s="371"/>
      <c r="G608" s="346"/>
      <c r="H608" s="346"/>
      <c r="I608" s="346"/>
      <c r="J608" s="346"/>
      <c r="K608" s="346"/>
      <c r="L608" s="346"/>
      <c r="M608" s="346"/>
      <c r="N608" s="346"/>
      <c r="O608" s="346"/>
      <c r="P608" s="642" t="s">
        <v>2017</v>
      </c>
      <c r="Q608" s="323"/>
      <c r="R608" s="190"/>
      <c r="S608" s="448"/>
      <c r="T608" s="572" t="s">
        <v>1750</v>
      </c>
      <c r="U608" s="572" t="s">
        <v>2486</v>
      </c>
      <c r="AA608" s="27"/>
      <c r="AB608" s="27"/>
      <c r="AC608" s="1072"/>
      <c r="AD608" s="585"/>
    </row>
    <row r="609" spans="6:30" ht="10.5" customHeight="1">
      <c r="F609" s="371"/>
      <c r="G609" s="346"/>
      <c r="H609" s="346"/>
      <c r="I609" s="346"/>
      <c r="J609" s="346"/>
      <c r="K609" s="346"/>
      <c r="L609" s="346"/>
      <c r="M609" s="346"/>
      <c r="N609" s="346"/>
      <c r="O609" s="346"/>
      <c r="P609" s="642" t="s">
        <v>1514</v>
      </c>
      <c r="Q609" s="323"/>
      <c r="R609" s="190"/>
      <c r="S609" s="448"/>
      <c r="T609" s="572" t="s">
        <v>1815</v>
      </c>
      <c r="U609" s="572" t="s">
        <v>110</v>
      </c>
      <c r="AA609" s="27"/>
      <c r="AB609" s="27"/>
      <c r="AC609" s="1072"/>
      <c r="AD609" s="585"/>
    </row>
    <row r="610" spans="6:30" ht="10.5" customHeight="1">
      <c r="F610" s="371"/>
      <c r="G610" s="346"/>
      <c r="H610" s="346"/>
      <c r="I610" s="346"/>
      <c r="J610" s="346"/>
      <c r="K610" s="346"/>
      <c r="L610" s="346"/>
      <c r="M610" s="346"/>
      <c r="N610" s="346"/>
      <c r="O610" s="346"/>
      <c r="P610" s="642" t="s">
        <v>1516</v>
      </c>
      <c r="Q610" s="323"/>
      <c r="R610" s="190"/>
      <c r="S610" s="448"/>
      <c r="T610" s="572" t="s">
        <v>1099</v>
      </c>
      <c r="U610" s="572" t="s">
        <v>731</v>
      </c>
      <c r="AA610" s="27"/>
      <c r="AB610" s="27"/>
      <c r="AC610" s="1072"/>
      <c r="AD610" s="585"/>
    </row>
    <row r="611" spans="6:30" ht="10.5" customHeight="1">
      <c r="F611" s="371"/>
      <c r="G611" s="346"/>
      <c r="H611" s="346"/>
      <c r="I611" s="346"/>
      <c r="J611" s="346"/>
      <c r="K611" s="346"/>
      <c r="L611" s="346"/>
      <c r="M611" s="346"/>
      <c r="N611" s="346"/>
      <c r="O611" s="346"/>
      <c r="P611" s="642" t="s">
        <v>1518</v>
      </c>
      <c r="Q611" s="323"/>
      <c r="R611" s="190"/>
      <c r="S611" s="448"/>
      <c r="T611" s="572" t="s">
        <v>1065</v>
      </c>
      <c r="U611" s="572" t="s">
        <v>955</v>
      </c>
      <c r="AA611" s="27"/>
      <c r="AB611" s="27"/>
      <c r="AC611" s="1072"/>
      <c r="AD611" s="585"/>
    </row>
    <row r="612" spans="6:30" ht="10.5" customHeight="1">
      <c r="F612" s="371"/>
      <c r="G612" s="346"/>
      <c r="H612" s="346"/>
      <c r="I612" s="346"/>
      <c r="J612" s="346"/>
      <c r="K612" s="346"/>
      <c r="L612" s="346"/>
      <c r="M612" s="346"/>
      <c r="N612" s="346"/>
      <c r="O612" s="346"/>
      <c r="P612" s="642" t="s">
        <v>62</v>
      </c>
      <c r="Q612" s="323"/>
      <c r="R612" s="190"/>
      <c r="S612" s="448"/>
      <c r="T612" s="572" t="s">
        <v>1103</v>
      </c>
      <c r="U612" s="572" t="s">
        <v>1324</v>
      </c>
      <c r="AA612" s="27"/>
      <c r="AB612" s="27"/>
      <c r="AC612" s="1072"/>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667</v>
      </c>
      <c r="AA613" s="27"/>
      <c r="AB613" s="27"/>
      <c r="AC613" s="1072"/>
      <c r="AD613" s="585"/>
    </row>
    <row r="614" spans="6:30" ht="10.5" customHeight="1">
      <c r="F614" s="371"/>
      <c r="G614" s="346"/>
      <c r="H614" s="346"/>
      <c r="I614" s="346"/>
      <c r="J614" s="346"/>
      <c r="K614" s="346"/>
      <c r="L614" s="346"/>
      <c r="M614" s="346"/>
      <c r="N614" s="346"/>
      <c r="O614" s="346"/>
      <c r="P614" s="642" t="s">
        <v>66</v>
      </c>
      <c r="Q614" s="323"/>
      <c r="R614" s="190"/>
      <c r="S614" s="448"/>
      <c r="T614" s="572" t="s">
        <v>1066</v>
      </c>
      <c r="U614" s="572" t="s">
        <v>122</v>
      </c>
      <c r="AA614" s="27"/>
      <c r="AB614" s="27"/>
      <c r="AC614" s="1072"/>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1317</v>
      </c>
      <c r="AA615" s="27"/>
      <c r="AB615" s="27"/>
      <c r="AC615" s="1072"/>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2397</v>
      </c>
      <c r="AA616" s="27"/>
      <c r="AB616" s="27"/>
      <c r="AC616" s="1072"/>
      <c r="AD616" s="585"/>
    </row>
    <row r="617" spans="6:30" ht="10.5" customHeight="1">
      <c r="F617" s="371"/>
      <c r="G617" s="346"/>
      <c r="H617" s="346"/>
      <c r="I617" s="346"/>
      <c r="J617" s="346"/>
      <c r="K617" s="346"/>
      <c r="L617" s="346"/>
      <c r="M617" s="346"/>
      <c r="N617" s="346"/>
      <c r="O617" s="346"/>
      <c r="P617" s="642" t="s">
        <v>776</v>
      </c>
      <c r="Q617" s="323"/>
      <c r="R617" s="190"/>
      <c r="S617" s="448"/>
      <c r="T617" s="572" t="s">
        <v>8</v>
      </c>
      <c r="U617" s="572" t="s">
        <v>1917</v>
      </c>
      <c r="AA617" s="27"/>
      <c r="AB617" s="27"/>
      <c r="AC617" s="1072"/>
      <c r="AD617" s="585"/>
    </row>
    <row r="618" spans="6:30" ht="10.5" customHeight="1">
      <c r="F618" s="371"/>
      <c r="G618" s="346"/>
      <c r="H618" s="346"/>
      <c r="I618" s="346"/>
      <c r="J618" s="346"/>
      <c r="K618" s="346"/>
      <c r="L618" s="346"/>
      <c r="M618" s="346"/>
      <c r="N618" s="346"/>
      <c r="O618" s="346"/>
      <c r="P618" s="642" t="s">
        <v>727</v>
      </c>
      <c r="Q618" s="323"/>
      <c r="R618" s="190"/>
      <c r="S618" s="448"/>
      <c r="T618" s="643" t="s">
        <v>1067</v>
      </c>
      <c r="U618" s="643" t="s">
        <v>628</v>
      </c>
      <c r="AA618" s="27"/>
      <c r="AB618" s="27"/>
      <c r="AC618" s="1072"/>
      <c r="AD618" s="585"/>
    </row>
    <row r="619" spans="6:30" ht="10.5" customHeight="1">
      <c r="F619" s="371"/>
      <c r="G619" s="346"/>
      <c r="H619" s="346"/>
      <c r="I619" s="346"/>
      <c r="J619" s="346"/>
      <c r="K619" s="346"/>
      <c r="L619" s="346"/>
      <c r="M619" s="346"/>
      <c r="N619" s="346"/>
      <c r="O619" s="346"/>
      <c r="P619" s="642" t="s">
        <v>729</v>
      </c>
      <c r="Q619" s="323"/>
      <c r="R619" s="190"/>
      <c r="S619" s="448"/>
      <c r="T619" s="572" t="s">
        <v>1068</v>
      </c>
      <c r="U619" s="572" t="s">
        <v>316</v>
      </c>
      <c r="AA619" s="27"/>
      <c r="AB619" s="27"/>
      <c r="AC619" s="1073"/>
      <c r="AD619" s="585"/>
    </row>
    <row r="620" spans="6:30" ht="10.5" customHeight="1">
      <c r="F620" s="371"/>
      <c r="G620" s="346"/>
      <c r="H620" s="346"/>
      <c r="I620" s="346"/>
      <c r="J620" s="346"/>
      <c r="K620" s="346"/>
      <c r="L620" s="346"/>
      <c r="M620" s="346"/>
      <c r="N620" s="346"/>
      <c r="O620" s="346"/>
      <c r="P620" s="642" t="s">
        <v>1179</v>
      </c>
      <c r="Q620" s="323"/>
      <c r="R620" s="190"/>
      <c r="S620" s="448"/>
      <c r="T620" s="572" t="s">
        <v>2142</v>
      </c>
      <c r="U620" s="572" t="s">
        <v>1327</v>
      </c>
      <c r="AA620" s="27"/>
      <c r="AB620" s="27"/>
      <c r="AC620" s="1072"/>
      <c r="AD620" s="585"/>
    </row>
    <row r="621" spans="6:30" ht="10.5" customHeight="1">
      <c r="F621" s="371"/>
      <c r="G621" s="346"/>
      <c r="H621" s="346"/>
      <c r="I621" s="346"/>
      <c r="J621" s="346"/>
      <c r="K621" s="346"/>
      <c r="L621" s="346"/>
      <c r="M621" s="346"/>
      <c r="N621" s="346"/>
      <c r="O621" s="346"/>
      <c r="P621" s="642" t="s">
        <v>1041</v>
      </c>
      <c r="Q621" s="323"/>
      <c r="R621" s="190"/>
      <c r="S621" s="448"/>
      <c r="T621" s="572" t="s">
        <v>2144</v>
      </c>
      <c r="U621" s="572" t="s">
        <v>2183</v>
      </c>
      <c r="AA621" s="27"/>
      <c r="AB621" s="27"/>
      <c r="AC621" s="1072"/>
      <c r="AD621" s="585"/>
    </row>
    <row r="622" spans="6:30" ht="10.5" customHeight="1">
      <c r="F622" s="371"/>
      <c r="G622" s="346"/>
      <c r="H622" s="346"/>
      <c r="I622" s="346"/>
      <c r="J622" s="346"/>
      <c r="K622" s="346"/>
      <c r="L622" s="346"/>
      <c r="M622" s="346"/>
      <c r="N622" s="346"/>
      <c r="O622" s="346"/>
      <c r="P622" s="642" t="s">
        <v>1042</v>
      </c>
      <c r="Q622" s="323"/>
      <c r="R622" s="190"/>
      <c r="S622" s="448"/>
      <c r="T622" s="572" t="s">
        <v>2146</v>
      </c>
      <c r="U622" s="572" t="s">
        <v>175</v>
      </c>
      <c r="AA622" s="27"/>
      <c r="AB622" s="27"/>
      <c r="AC622" s="1072"/>
      <c r="AD622" s="585"/>
    </row>
    <row r="623" spans="6:30" ht="10.5" customHeight="1">
      <c r="F623" s="371"/>
      <c r="G623" s="346"/>
      <c r="H623" s="346"/>
      <c r="I623" s="346"/>
      <c r="J623" s="346"/>
      <c r="K623" s="346"/>
      <c r="L623" s="346"/>
      <c r="M623" s="346"/>
      <c r="N623" s="346"/>
      <c r="O623" s="346"/>
      <c r="P623" s="642" t="s">
        <v>1044</v>
      </c>
      <c r="Q623" s="323"/>
      <c r="R623" s="190"/>
      <c r="S623" s="448"/>
      <c r="T623" s="572" t="s">
        <v>2148</v>
      </c>
      <c r="U623" s="572" t="s">
        <v>1453</v>
      </c>
      <c r="AA623" s="27"/>
      <c r="AB623" s="27"/>
      <c r="AC623" s="1072"/>
      <c r="AD623" s="585"/>
    </row>
    <row r="624" spans="6:30" ht="10.5" customHeight="1">
      <c r="F624" s="371"/>
      <c r="G624" s="346"/>
      <c r="H624" s="346"/>
      <c r="I624" s="346"/>
      <c r="J624" s="346"/>
      <c r="K624" s="346"/>
      <c r="L624" s="346"/>
      <c r="M624" s="346"/>
      <c r="N624" s="346"/>
      <c r="O624" s="346"/>
      <c r="P624" s="642" t="s">
        <v>2265</v>
      </c>
      <c r="Q624" s="323"/>
      <c r="R624" s="190"/>
      <c r="S624" s="448"/>
      <c r="T624" s="572" t="s">
        <v>2150</v>
      </c>
      <c r="U624" s="572" t="s">
        <v>667</v>
      </c>
      <c r="AA624" s="27"/>
      <c r="AB624" s="27"/>
      <c r="AC624" s="1072"/>
      <c r="AD624" s="585"/>
    </row>
    <row r="625" spans="6:30" ht="10.5" customHeight="1">
      <c r="F625" s="371"/>
      <c r="G625" s="346"/>
      <c r="H625" s="346"/>
      <c r="I625" s="346"/>
      <c r="J625" s="346"/>
      <c r="K625" s="346"/>
      <c r="L625" s="346"/>
      <c r="M625" s="346"/>
      <c r="N625" s="346"/>
      <c r="O625" s="346"/>
      <c r="P625" s="642" t="s">
        <v>2267</v>
      </c>
      <c r="Q625" s="323"/>
      <c r="R625" s="190"/>
      <c r="S625" s="448"/>
      <c r="T625" s="572" t="s">
        <v>89</v>
      </c>
      <c r="U625" s="572" t="s">
        <v>121</v>
      </c>
      <c r="AA625" s="27"/>
      <c r="AB625" s="27"/>
      <c r="AC625" s="1072"/>
      <c r="AD625" s="585"/>
    </row>
    <row r="626" spans="6:30" ht="10.5" customHeight="1">
      <c r="F626" s="371"/>
      <c r="G626" s="346"/>
      <c r="H626" s="346"/>
      <c r="I626" s="346"/>
      <c r="J626" s="346"/>
      <c r="K626" s="346"/>
      <c r="L626" s="346"/>
      <c r="M626" s="346"/>
      <c r="N626" s="346"/>
      <c r="O626" s="346"/>
      <c r="P626" s="642" t="s">
        <v>1769</v>
      </c>
      <c r="Q626" s="323"/>
      <c r="R626" s="190"/>
      <c r="S626" s="448"/>
      <c r="T626" s="572" t="s">
        <v>1513</v>
      </c>
      <c r="U626" s="572" t="s">
        <v>2185</v>
      </c>
      <c r="AA626" s="27"/>
      <c r="AB626" s="27"/>
      <c r="AC626" s="1072"/>
      <c r="AD626" s="585"/>
    </row>
    <row r="627" spans="6:30" ht="10.5" customHeight="1">
      <c r="F627" s="371"/>
      <c r="G627" s="346"/>
      <c r="H627" s="346"/>
      <c r="I627" s="346"/>
      <c r="J627" s="346"/>
      <c r="K627" s="346"/>
      <c r="L627" s="346"/>
      <c r="M627" s="346"/>
      <c r="N627" s="346"/>
      <c r="O627" s="346"/>
      <c r="P627" s="642" t="s">
        <v>2520</v>
      </c>
      <c r="Q627" s="323"/>
      <c r="R627" s="190"/>
      <c r="S627" s="448"/>
      <c r="T627" s="572" t="s">
        <v>1515</v>
      </c>
      <c r="U627" s="572" t="s">
        <v>199</v>
      </c>
      <c r="AA627" s="27"/>
      <c r="AB627" s="27"/>
      <c r="AC627" s="1072"/>
      <c r="AD627" s="585"/>
    </row>
    <row r="628" spans="6:30" ht="10.5" customHeight="1">
      <c r="F628" s="371"/>
      <c r="G628" s="346"/>
      <c r="H628" s="346"/>
      <c r="I628" s="346"/>
      <c r="J628" s="346"/>
      <c r="K628" s="346"/>
      <c r="L628" s="346"/>
      <c r="M628" s="346"/>
      <c r="N628" s="346"/>
      <c r="O628" s="346"/>
      <c r="P628" s="642" t="s">
        <v>2163</v>
      </c>
      <c r="Q628" s="323"/>
      <c r="R628" s="190"/>
      <c r="S628" s="448"/>
      <c r="T628" s="643" t="s">
        <v>1517</v>
      </c>
      <c r="U628" s="643" t="s">
        <v>1456</v>
      </c>
      <c r="AA628" s="27"/>
      <c r="AB628" s="27"/>
      <c r="AC628" s="1072"/>
      <c r="AD628" s="585"/>
    </row>
    <row r="629" spans="6:30" ht="10.5" customHeight="1">
      <c r="F629" s="371"/>
      <c r="G629" s="346"/>
      <c r="H629" s="346"/>
      <c r="I629" s="346"/>
      <c r="J629" s="346"/>
      <c r="K629" s="346"/>
      <c r="L629" s="346"/>
      <c r="M629" s="346"/>
      <c r="N629" s="346"/>
      <c r="O629" s="346"/>
      <c r="P629" s="642" t="s">
        <v>1612</v>
      </c>
      <c r="Q629" s="323"/>
      <c r="R629" s="190"/>
      <c r="S629" s="448"/>
      <c r="T629" s="572" t="s">
        <v>1519</v>
      </c>
      <c r="U629" s="572" t="s">
        <v>2175</v>
      </c>
      <c r="AA629" s="27"/>
      <c r="AB629" s="27"/>
      <c r="AC629" s="1073"/>
      <c r="AD629" s="585"/>
    </row>
    <row r="630" spans="6:30" ht="10.5" customHeight="1">
      <c r="F630" s="371"/>
      <c r="G630" s="346"/>
      <c r="H630" s="346"/>
      <c r="I630" s="346"/>
      <c r="J630" s="346"/>
      <c r="K630" s="346"/>
      <c r="L630" s="346"/>
      <c r="M630" s="346"/>
      <c r="N630" s="346"/>
      <c r="O630" s="346"/>
      <c r="P630" s="642" t="s">
        <v>1613</v>
      </c>
      <c r="Q630" s="323"/>
      <c r="R630" s="190"/>
      <c r="S630" s="448"/>
      <c r="T630" s="572" t="s">
        <v>63</v>
      </c>
      <c r="U630" s="572" t="s">
        <v>1325</v>
      </c>
      <c r="AA630" s="27"/>
      <c r="AB630" s="27"/>
      <c r="AC630" s="1072"/>
      <c r="AD630" s="585"/>
    </row>
    <row r="631" spans="6:30" ht="10.5" customHeight="1">
      <c r="F631" s="371"/>
      <c r="G631" s="346"/>
      <c r="H631" s="346"/>
      <c r="I631" s="346"/>
      <c r="J631" s="346"/>
      <c r="K631" s="346"/>
      <c r="L631" s="346"/>
      <c r="M631" s="346"/>
      <c r="N631" s="346"/>
      <c r="O631" s="346"/>
      <c r="P631" s="642" t="s">
        <v>1615</v>
      </c>
      <c r="Q631" s="323"/>
      <c r="R631" s="190"/>
      <c r="S631" s="448"/>
      <c r="T631" s="643" t="s">
        <v>65</v>
      </c>
      <c r="U631" s="643" t="s">
        <v>106</v>
      </c>
      <c r="AA631" s="27"/>
      <c r="AB631" s="27"/>
      <c r="AC631" s="1072"/>
      <c r="AD631" s="585"/>
    </row>
    <row r="632" spans="6:30" ht="10.5" customHeight="1">
      <c r="F632" s="371"/>
      <c r="G632" s="346"/>
      <c r="H632" s="346"/>
      <c r="I632" s="346"/>
      <c r="J632" s="346"/>
      <c r="K632" s="346"/>
      <c r="L632" s="346"/>
      <c r="M632" s="346"/>
      <c r="N632" s="346"/>
      <c r="O632" s="346"/>
      <c r="P632" s="642" t="s">
        <v>1616</v>
      </c>
      <c r="Q632" s="323"/>
      <c r="R632" s="190"/>
      <c r="S632" s="448"/>
      <c r="T632" s="572" t="s">
        <v>67</v>
      </c>
      <c r="U632" s="572" t="s">
        <v>877</v>
      </c>
      <c r="AA632" s="27"/>
      <c r="AB632" s="27"/>
      <c r="AC632" s="1073"/>
      <c r="AD632" s="585"/>
    </row>
    <row r="633" spans="6:30" ht="10.5" customHeight="1">
      <c r="F633" s="371"/>
      <c r="G633" s="346"/>
      <c r="H633" s="346"/>
      <c r="I633" s="346"/>
      <c r="J633" s="346"/>
      <c r="K633" s="346"/>
      <c r="L633" s="346"/>
      <c r="M633" s="346"/>
      <c r="N633" s="346"/>
      <c r="O633" s="346"/>
      <c r="P633" s="642" t="s">
        <v>1618</v>
      </c>
      <c r="Q633" s="323"/>
      <c r="R633" s="190"/>
      <c r="S633" s="448"/>
      <c r="T633" s="572" t="s">
        <v>69</v>
      </c>
      <c r="U633" s="572" t="s">
        <v>1520</v>
      </c>
      <c r="AA633" s="27"/>
      <c r="AB633" s="27"/>
      <c r="AC633" s="1072"/>
      <c r="AD633" s="585"/>
    </row>
    <row r="634" spans="6:30" ht="10.5" customHeight="1">
      <c r="F634" s="371"/>
      <c r="G634" s="346"/>
      <c r="H634" s="346"/>
      <c r="I634" s="346"/>
      <c r="J634" s="346"/>
      <c r="K634" s="346"/>
      <c r="L634" s="346"/>
      <c r="M634" s="346"/>
      <c r="N634" s="346"/>
      <c r="O634" s="346"/>
      <c r="P634" s="642" t="s">
        <v>1619</v>
      </c>
      <c r="Q634" s="323"/>
      <c r="R634" s="190"/>
      <c r="S634" s="448"/>
      <c r="T634" s="572" t="s">
        <v>777</v>
      </c>
      <c r="U634" s="572" t="s">
        <v>2483</v>
      </c>
      <c r="AA634" s="27"/>
      <c r="AB634" s="27"/>
      <c r="AC634" s="1072"/>
      <c r="AD634" s="585"/>
    </row>
    <row r="635" spans="6:30" ht="10.5" customHeight="1">
      <c r="F635" s="371"/>
      <c r="G635" s="346"/>
      <c r="H635" s="346"/>
      <c r="I635" s="346"/>
      <c r="J635" s="346"/>
      <c r="K635" s="346"/>
      <c r="L635" s="346"/>
      <c r="M635" s="346"/>
      <c r="N635" s="346"/>
      <c r="O635" s="346"/>
      <c r="P635" s="642" t="s">
        <v>1621</v>
      </c>
      <c r="Q635" s="323"/>
      <c r="R635" s="190"/>
      <c r="S635" s="448"/>
      <c r="T635" s="572" t="s">
        <v>728</v>
      </c>
      <c r="U635" s="572" t="s">
        <v>2489</v>
      </c>
      <c r="AA635" s="27"/>
      <c r="AB635" s="27"/>
      <c r="AC635" s="1072"/>
      <c r="AD635" s="585"/>
    </row>
    <row r="636" spans="6:30" ht="10.5" customHeight="1">
      <c r="F636" s="371"/>
      <c r="G636" s="346"/>
      <c r="H636" s="346"/>
      <c r="I636" s="346"/>
      <c r="J636" s="346"/>
      <c r="K636" s="346"/>
      <c r="L636" s="346"/>
      <c r="M636" s="346"/>
      <c r="N636" s="346"/>
      <c r="O636" s="346"/>
      <c r="P636" s="642" t="s">
        <v>2417</v>
      </c>
      <c r="Q636" s="323"/>
      <c r="R636" s="190"/>
      <c r="S636" s="448"/>
      <c r="T636" s="572" t="s">
        <v>941</v>
      </c>
      <c r="U636" s="572" t="s">
        <v>2532</v>
      </c>
      <c r="AA636" s="27"/>
      <c r="AB636" s="27"/>
      <c r="AC636" s="1072"/>
      <c r="AD636" s="585"/>
    </row>
    <row r="637" spans="6:30" ht="10.5" customHeight="1">
      <c r="F637" s="371"/>
      <c r="G637" s="346"/>
      <c r="H637" s="346"/>
      <c r="I637" s="346"/>
      <c r="J637" s="346"/>
      <c r="K637" s="346"/>
      <c r="L637" s="346"/>
      <c r="M637" s="346"/>
      <c r="N637" s="346"/>
      <c r="O637" s="346"/>
      <c r="P637" s="642" t="s">
        <v>167</v>
      </c>
      <c r="Q637" s="323"/>
      <c r="R637" s="190"/>
      <c r="S637" s="448"/>
      <c r="T637" s="572" t="s">
        <v>1069</v>
      </c>
      <c r="U637" s="572" t="s">
        <v>320</v>
      </c>
      <c r="AA637" s="27"/>
      <c r="AB637" s="27"/>
      <c r="AC637" s="1072"/>
      <c r="AD637" s="585"/>
    </row>
    <row r="638" spans="6:30" ht="10.5" customHeight="1">
      <c r="F638" s="371"/>
      <c r="G638" s="346"/>
      <c r="H638" s="346"/>
      <c r="I638" s="346"/>
      <c r="J638" s="346"/>
      <c r="K638" s="346"/>
      <c r="L638" s="346"/>
      <c r="M638" s="346"/>
      <c r="N638" s="346"/>
      <c r="O638" s="346"/>
      <c r="P638" s="642" t="s">
        <v>988</v>
      </c>
      <c r="Q638" s="323"/>
      <c r="R638" s="190"/>
      <c r="S638" s="448"/>
      <c r="T638" s="572" t="s">
        <v>1180</v>
      </c>
      <c r="U638" s="572" t="s">
        <v>1951</v>
      </c>
      <c r="AA638" s="27"/>
      <c r="AB638" s="27"/>
      <c r="AC638" s="1072"/>
      <c r="AD638" s="585"/>
    </row>
    <row r="639" spans="6:30" ht="10.5" customHeight="1">
      <c r="F639" s="371"/>
      <c r="G639" s="346"/>
      <c r="H639" s="346"/>
      <c r="I639" s="346"/>
      <c r="J639" s="346"/>
      <c r="K639" s="346"/>
      <c r="L639" s="346"/>
      <c r="M639" s="346"/>
      <c r="N639" s="346"/>
      <c r="O639" s="346"/>
      <c r="P639" s="642" t="s">
        <v>989</v>
      </c>
      <c r="Q639" s="323"/>
      <c r="R639" s="190"/>
      <c r="S639" s="448"/>
      <c r="T639" s="643" t="s">
        <v>2870</v>
      </c>
      <c r="U639" s="643" t="s">
        <v>1779</v>
      </c>
      <c r="AA639" s="27"/>
      <c r="AB639" s="27"/>
      <c r="AC639" s="1072"/>
      <c r="AD639" s="585"/>
    </row>
    <row r="640" spans="6:30" ht="10.5" customHeight="1">
      <c r="F640" s="371"/>
      <c r="G640" s="346"/>
      <c r="H640" s="346"/>
      <c r="I640" s="346"/>
      <c r="J640" s="346"/>
      <c r="K640" s="346"/>
      <c r="L640" s="346"/>
      <c r="M640" s="346"/>
      <c r="N640" s="346"/>
      <c r="O640" s="346"/>
      <c r="P640" s="642" t="s">
        <v>991</v>
      </c>
      <c r="Q640" s="323"/>
      <c r="R640" s="190"/>
      <c r="S640" s="448"/>
      <c r="T640" s="572" t="s">
        <v>1043</v>
      </c>
      <c r="U640" s="572" t="s">
        <v>1097</v>
      </c>
      <c r="AA640" s="27"/>
      <c r="AB640" s="27"/>
      <c r="AC640" s="1073"/>
      <c r="AD640" s="585"/>
    </row>
    <row r="641" spans="6:30" ht="10.5" customHeight="1">
      <c r="F641" s="371"/>
      <c r="G641" s="346"/>
      <c r="H641" s="346"/>
      <c r="I641" s="346"/>
      <c r="J641" s="346"/>
      <c r="K641" s="346"/>
      <c r="L641" s="346"/>
      <c r="M641" s="346"/>
      <c r="N641" s="346"/>
      <c r="O641" s="346"/>
      <c r="P641" s="642" t="s">
        <v>2380</v>
      </c>
      <c r="Q641" s="323"/>
      <c r="R641" s="190"/>
      <c r="S641" s="448"/>
      <c r="T641" s="572" t="s">
        <v>2266</v>
      </c>
      <c r="U641" s="572" t="s">
        <v>2168</v>
      </c>
      <c r="AA641" s="27"/>
      <c r="AB641" s="27"/>
      <c r="AC641" s="1072"/>
      <c r="AD641" s="585"/>
    </row>
    <row r="642" spans="6:30" ht="10.5" customHeight="1">
      <c r="F642" s="371"/>
      <c r="G642" s="346"/>
      <c r="H642" s="346"/>
      <c r="I642" s="346"/>
      <c r="J642" s="346"/>
      <c r="K642" s="346"/>
      <c r="L642" s="346"/>
      <c r="M642" s="346"/>
      <c r="N642" s="346"/>
      <c r="O642" s="346"/>
      <c r="P642" s="642" t="s">
        <v>2525</v>
      </c>
      <c r="Q642" s="323"/>
      <c r="R642" s="190"/>
      <c r="S642" s="448"/>
      <c r="T642" s="572" t="s">
        <v>2268</v>
      </c>
      <c r="U642" s="572" t="s">
        <v>658</v>
      </c>
      <c r="AA642" s="27"/>
      <c r="AB642" s="27"/>
      <c r="AC642" s="1072"/>
      <c r="AD642" s="585"/>
    </row>
    <row r="643" spans="6:30" ht="10.5" customHeight="1">
      <c r="F643" s="371"/>
      <c r="G643" s="346"/>
      <c r="H643" s="346"/>
      <c r="I643" s="346"/>
      <c r="J643" s="346"/>
      <c r="K643" s="346"/>
      <c r="L643" s="346"/>
      <c r="M643" s="346"/>
      <c r="N643" s="346"/>
      <c r="O643" s="346"/>
      <c r="P643" s="642" t="s">
        <v>2001</v>
      </c>
      <c r="Q643" s="323"/>
      <c r="R643" s="190"/>
      <c r="S643" s="448"/>
      <c r="T643" s="572" t="s">
        <v>1770</v>
      </c>
      <c r="U643" s="572" t="s">
        <v>733</v>
      </c>
      <c r="AA643" s="27"/>
      <c r="AB643" s="27"/>
      <c r="AC643" s="1072"/>
      <c r="AD643" s="585"/>
    </row>
    <row r="644" spans="6:30" ht="10.5" customHeight="1">
      <c r="F644" s="371"/>
      <c r="G644" s="346"/>
      <c r="H644" s="346"/>
      <c r="I644" s="346"/>
      <c r="J644" s="346"/>
      <c r="K644" s="346"/>
      <c r="L644" s="346"/>
      <c r="M644" s="346"/>
      <c r="N644" s="346"/>
      <c r="O644" s="346"/>
      <c r="P644" s="642" t="s">
        <v>944</v>
      </c>
      <c r="Q644" s="323"/>
      <c r="R644" s="190"/>
      <c r="S644" s="448"/>
      <c r="T644" s="643" t="s">
        <v>2521</v>
      </c>
      <c r="U644" s="643" t="s">
        <v>2007</v>
      </c>
      <c r="AA644" s="27"/>
      <c r="AB644" s="27"/>
      <c r="AC644" s="1072"/>
      <c r="AD644" s="585"/>
    </row>
    <row r="645" spans="6:30" ht="10.5" customHeight="1">
      <c r="F645" s="371"/>
      <c r="G645" s="346"/>
      <c r="H645" s="346"/>
      <c r="I645" s="346"/>
      <c r="J645" s="346"/>
      <c r="K645" s="346"/>
      <c r="L645" s="346"/>
      <c r="M645" s="346"/>
      <c r="N645" s="346"/>
      <c r="O645" s="346"/>
      <c r="P645" s="642" t="s">
        <v>771</v>
      </c>
      <c r="Q645" s="323"/>
      <c r="R645" s="190"/>
      <c r="S645" s="448"/>
      <c r="T645" s="572" t="s">
        <v>2164</v>
      </c>
      <c r="U645" s="572" t="s">
        <v>1206</v>
      </c>
      <c r="AA645" s="27"/>
      <c r="AB645" s="27"/>
      <c r="AC645" s="1073"/>
      <c r="AD645" s="585"/>
    </row>
    <row r="646" spans="6:30" ht="10.5" customHeight="1">
      <c r="F646" s="371"/>
      <c r="G646" s="346"/>
      <c r="H646" s="346"/>
      <c r="I646" s="346"/>
      <c r="J646" s="346"/>
      <c r="K646" s="346"/>
      <c r="L646" s="346"/>
      <c r="M646" s="346"/>
      <c r="N646" s="346"/>
      <c r="O646" s="346"/>
      <c r="P646" s="642" t="s">
        <v>1468</v>
      </c>
      <c r="Q646" s="323"/>
      <c r="R646" s="190"/>
      <c r="S646" s="448"/>
      <c r="T646" s="572" t="s">
        <v>1614</v>
      </c>
      <c r="U646" s="572" t="s">
        <v>660</v>
      </c>
      <c r="AA646" s="27"/>
      <c r="AB646" s="27"/>
      <c r="AC646" s="1072"/>
      <c r="AD646" s="585"/>
    </row>
    <row r="647" spans="6:30" ht="10.5" customHeight="1">
      <c r="F647" s="371"/>
      <c r="G647" s="346"/>
      <c r="H647" s="346"/>
      <c r="I647" s="346"/>
      <c r="J647" s="346"/>
      <c r="K647" s="346"/>
      <c r="L647" s="346"/>
      <c r="M647" s="346"/>
      <c r="N647" s="346"/>
      <c r="O647" s="346"/>
      <c r="P647" s="642" t="s">
        <v>1470</v>
      </c>
      <c r="Q647" s="323"/>
      <c r="R647" s="190"/>
      <c r="S647" s="448"/>
      <c r="T647" s="572" t="s">
        <v>832</v>
      </c>
      <c r="U647" s="572" t="s">
        <v>1313</v>
      </c>
      <c r="AA647" s="27"/>
      <c r="AB647" s="27"/>
      <c r="AC647" s="1072"/>
      <c r="AD647" s="585"/>
    </row>
    <row r="648" spans="6:30" ht="10.5" customHeight="1">
      <c r="F648" s="371"/>
      <c r="G648" s="346"/>
      <c r="H648" s="346"/>
      <c r="I648" s="346"/>
      <c r="J648" s="346"/>
      <c r="K648" s="346"/>
      <c r="L648" s="346"/>
      <c r="M648" s="346"/>
      <c r="N648" s="346"/>
      <c r="O648" s="346"/>
      <c r="P648" s="642" t="s">
        <v>1472</v>
      </c>
      <c r="Q648" s="323"/>
      <c r="R648" s="190"/>
      <c r="S648" s="448"/>
      <c r="T648" s="572" t="s">
        <v>1617</v>
      </c>
      <c r="U648" s="572" t="s">
        <v>2584</v>
      </c>
      <c r="AA648" s="27"/>
      <c r="AB648" s="27"/>
      <c r="AC648" s="1072"/>
      <c r="AD648" s="585"/>
    </row>
    <row r="649" spans="6:30" ht="10.5" customHeight="1">
      <c r="F649" s="371"/>
      <c r="G649" s="346"/>
      <c r="H649" s="346"/>
      <c r="I649" s="346"/>
      <c r="J649" s="346"/>
      <c r="K649" s="346"/>
      <c r="L649" s="346"/>
      <c r="M649" s="346"/>
      <c r="N649" s="346"/>
      <c r="O649" s="346"/>
      <c r="P649" s="642" t="s">
        <v>1305</v>
      </c>
      <c r="Q649" s="323"/>
      <c r="R649" s="190"/>
      <c r="S649" s="448"/>
      <c r="T649" s="572" t="s">
        <v>1620</v>
      </c>
      <c r="U649" s="572" t="s">
        <v>1633</v>
      </c>
      <c r="AA649" s="27"/>
      <c r="AB649" s="27"/>
      <c r="AC649" s="1072"/>
      <c r="AD649" s="585"/>
    </row>
    <row r="650" spans="6:30" ht="10.5" customHeight="1">
      <c r="F650" s="371"/>
      <c r="G650" s="346"/>
      <c r="H650" s="346"/>
      <c r="I650" s="346"/>
      <c r="J650" s="346"/>
      <c r="K650" s="346"/>
      <c r="L650" s="346"/>
      <c r="M650" s="346"/>
      <c r="N650" s="346"/>
      <c r="O650" s="346"/>
      <c r="P650" s="642" t="s">
        <v>1307</v>
      </c>
      <c r="Q650" s="323"/>
      <c r="R650" s="190"/>
      <c r="S650" s="448"/>
      <c r="T650" s="643" t="s">
        <v>1071</v>
      </c>
      <c r="U650" s="643" t="s">
        <v>1520</v>
      </c>
      <c r="AA650" s="27"/>
      <c r="AB650" s="27"/>
      <c r="AC650" s="1072"/>
      <c r="AD650" s="585"/>
    </row>
    <row r="651" spans="6:30" ht="10.5" customHeight="1">
      <c r="F651" s="371"/>
      <c r="G651" s="346"/>
      <c r="H651" s="346"/>
      <c r="I651" s="346"/>
      <c r="J651" s="346"/>
      <c r="K651" s="346"/>
      <c r="L651" s="346"/>
      <c r="M651" s="346"/>
      <c r="N651" s="346"/>
      <c r="O651" s="346"/>
      <c r="P651" s="642" t="s">
        <v>1991</v>
      </c>
      <c r="Q651" s="323"/>
      <c r="R651" s="190"/>
      <c r="S651" s="448"/>
      <c r="T651" s="572" t="s">
        <v>2416</v>
      </c>
      <c r="U651" s="572" t="s">
        <v>106</v>
      </c>
      <c r="AA651" s="27"/>
      <c r="AB651" s="27"/>
      <c r="AC651" s="1073"/>
      <c r="AD651" s="585"/>
    </row>
    <row r="652" spans="6:30" ht="10.5" customHeight="1">
      <c r="F652" s="371"/>
      <c r="G652" s="346"/>
      <c r="H652" s="346"/>
      <c r="I652" s="346"/>
      <c r="J652" s="346"/>
      <c r="K652" s="346"/>
      <c r="L652" s="346"/>
      <c r="M652" s="346"/>
      <c r="N652" s="346"/>
      <c r="O652" s="346"/>
      <c r="P652" s="642" t="s">
        <v>734</v>
      </c>
      <c r="Q652" s="323"/>
      <c r="R652" s="190"/>
      <c r="S652" s="448"/>
      <c r="T652" s="572" t="s">
        <v>815</v>
      </c>
      <c r="U652" s="572" t="s">
        <v>1206</v>
      </c>
      <c r="AA652" s="27"/>
      <c r="AB652" s="27"/>
      <c r="AC652" s="1072"/>
      <c r="AD652" s="585"/>
    </row>
    <row r="653" spans="6:30" ht="10.5" customHeight="1">
      <c r="F653" s="371"/>
      <c r="G653" s="346"/>
      <c r="H653" s="346"/>
      <c r="I653" s="346"/>
      <c r="J653" s="346"/>
      <c r="K653" s="346"/>
      <c r="L653" s="346"/>
      <c r="M653" s="346"/>
      <c r="N653" s="346"/>
      <c r="O653" s="346"/>
      <c r="P653" s="642" t="s">
        <v>1266</v>
      </c>
      <c r="Q653" s="323"/>
      <c r="R653" s="190"/>
      <c r="S653" s="448"/>
      <c r="T653" s="572" t="s">
        <v>1303</v>
      </c>
      <c r="U653" s="572" t="s">
        <v>1909</v>
      </c>
      <c r="AA653" s="27"/>
      <c r="AB653" s="27"/>
      <c r="AC653" s="1072"/>
      <c r="AD653" s="585"/>
    </row>
    <row r="654" spans="6:30" ht="10.5" customHeight="1">
      <c r="F654" s="371"/>
      <c r="G654" s="346"/>
      <c r="H654" s="346"/>
      <c r="I654" s="346"/>
      <c r="J654" s="346"/>
      <c r="K654" s="346"/>
      <c r="L654" s="346"/>
      <c r="M654" s="346"/>
      <c r="N654" s="346"/>
      <c r="O654" s="346"/>
      <c r="P654" s="642" t="s">
        <v>1882</v>
      </c>
      <c r="Q654" s="323"/>
      <c r="R654" s="190"/>
      <c r="S654" s="448"/>
      <c r="T654" s="572" t="s">
        <v>168</v>
      </c>
      <c r="U654" s="572" t="s">
        <v>1329</v>
      </c>
      <c r="AA654" s="27"/>
      <c r="AB654" s="27"/>
      <c r="AC654" s="1072"/>
      <c r="AD654" s="585"/>
    </row>
    <row r="655" spans="6:30" ht="10.5" customHeight="1">
      <c r="F655" s="371"/>
      <c r="G655" s="346"/>
      <c r="H655" s="346"/>
      <c r="I655" s="346"/>
      <c r="J655" s="346"/>
      <c r="K655" s="346"/>
      <c r="L655" s="346"/>
      <c r="M655" s="346"/>
      <c r="N655" s="346"/>
      <c r="O655" s="346"/>
      <c r="P655" s="642" t="s">
        <v>1883</v>
      </c>
      <c r="Q655" s="323"/>
      <c r="R655" s="190"/>
      <c r="S655" s="448"/>
      <c r="T655" s="572" t="s">
        <v>990</v>
      </c>
      <c r="U655" s="572" t="s">
        <v>1665</v>
      </c>
      <c r="AA655" s="27"/>
      <c r="AB655" s="27"/>
      <c r="AC655" s="1072"/>
      <c r="AD655" s="585"/>
    </row>
    <row r="656" spans="6:30" ht="10.5" customHeight="1">
      <c r="F656" s="371"/>
      <c r="G656" s="346"/>
      <c r="H656" s="346"/>
      <c r="I656" s="346"/>
      <c r="J656" s="346"/>
      <c r="K656" s="346"/>
      <c r="L656" s="346"/>
      <c r="M656" s="346"/>
      <c r="N656" s="346"/>
      <c r="O656" s="346"/>
      <c r="P656" s="642" t="s">
        <v>1885</v>
      </c>
      <c r="Q656" s="323"/>
      <c r="R656" s="190"/>
      <c r="S656" s="448"/>
      <c r="T656" s="572" t="s">
        <v>2871</v>
      </c>
      <c r="U656" s="572" t="s">
        <v>326</v>
      </c>
      <c r="AA656" s="27"/>
      <c r="AB656" s="27"/>
      <c r="AC656" s="1072"/>
      <c r="AD656" s="585"/>
    </row>
    <row r="657" spans="6:30" ht="10.5" customHeight="1">
      <c r="F657" s="371"/>
      <c r="G657" s="346"/>
      <c r="H657" s="346"/>
      <c r="I657" s="346"/>
      <c r="J657" s="346"/>
      <c r="K657" s="346"/>
      <c r="L657" s="346"/>
      <c r="M657" s="346"/>
      <c r="N657" s="346"/>
      <c r="O657" s="346"/>
      <c r="P657" s="642" t="s">
        <v>1887</v>
      </c>
      <c r="Q657" s="323"/>
      <c r="R657" s="190"/>
      <c r="S657" s="448"/>
      <c r="T657" s="572" t="s">
        <v>2872</v>
      </c>
      <c r="U657" s="572" t="s">
        <v>114</v>
      </c>
      <c r="AA657" s="27"/>
      <c r="AB657" s="27"/>
      <c r="AC657" s="1072"/>
      <c r="AD657" s="585"/>
    </row>
    <row r="658" spans="6:30" ht="10.5" customHeight="1">
      <c r="F658" s="371"/>
      <c r="G658" s="346"/>
      <c r="H658" s="346"/>
      <c r="I658" s="346"/>
      <c r="J658" s="346"/>
      <c r="K658" s="346"/>
      <c r="L658" s="346"/>
      <c r="M658" s="346"/>
      <c r="N658" s="346"/>
      <c r="O658" s="346"/>
      <c r="P658" s="642" t="s">
        <v>1889</v>
      </c>
      <c r="Q658" s="323"/>
      <c r="R658" s="190"/>
      <c r="S658" s="448"/>
      <c r="T658" s="572" t="s">
        <v>1326</v>
      </c>
      <c r="U658" s="572" t="s">
        <v>159</v>
      </c>
      <c r="AA658" s="27"/>
      <c r="AB658" s="27"/>
      <c r="AC658" s="1072"/>
      <c r="AD658" s="585"/>
    </row>
    <row r="659" spans="6:30" ht="10.5" customHeight="1">
      <c r="F659" s="371"/>
      <c r="G659" s="346"/>
      <c r="H659" s="346"/>
      <c r="I659" s="346"/>
      <c r="J659" s="346"/>
      <c r="K659" s="346"/>
      <c r="L659" s="346"/>
      <c r="M659" s="346"/>
      <c r="N659" s="346"/>
      <c r="O659" s="346"/>
      <c r="P659" s="642" t="s">
        <v>501</v>
      </c>
      <c r="Q659" s="323"/>
      <c r="R659" s="190"/>
      <c r="S659" s="448"/>
      <c r="T659" s="572" t="s">
        <v>2526</v>
      </c>
      <c r="U659" s="572" t="s">
        <v>871</v>
      </c>
      <c r="AA659" s="27"/>
      <c r="AB659" s="27"/>
      <c r="AC659" s="1072"/>
      <c r="AD659" s="585"/>
    </row>
    <row r="660" spans="6:30" ht="10.5" customHeight="1">
      <c r="F660" s="371"/>
      <c r="G660" s="346"/>
      <c r="H660" s="346"/>
      <c r="I660" s="346"/>
      <c r="J660" s="346"/>
      <c r="K660" s="346"/>
      <c r="L660" s="346"/>
      <c r="M660" s="346"/>
      <c r="N660" s="346"/>
      <c r="O660" s="346"/>
      <c r="P660" s="642" t="s">
        <v>2535</v>
      </c>
      <c r="Q660" s="323"/>
      <c r="R660" s="190"/>
      <c r="S660" s="448"/>
      <c r="T660" s="572" t="s">
        <v>1072</v>
      </c>
      <c r="U660" s="572" t="s">
        <v>628</v>
      </c>
      <c r="AA660" s="27"/>
      <c r="AB660" s="27"/>
      <c r="AC660" s="1072"/>
      <c r="AD660" s="585"/>
    </row>
    <row r="661" spans="6:30" ht="10.5" customHeight="1">
      <c r="F661" s="371"/>
      <c r="G661" s="346"/>
      <c r="H661" s="346"/>
      <c r="I661" s="346"/>
      <c r="J661" s="346"/>
      <c r="K661" s="346"/>
      <c r="L661" s="346"/>
      <c r="M661" s="346"/>
      <c r="N661" s="346"/>
      <c r="O661" s="346"/>
      <c r="P661" s="642" t="s">
        <v>2537</v>
      </c>
      <c r="Q661" s="323"/>
      <c r="R661" s="190"/>
      <c r="S661" s="448"/>
      <c r="T661" s="643" t="s">
        <v>2168</v>
      </c>
      <c r="U661" s="643" t="s">
        <v>108</v>
      </c>
      <c r="AA661" s="27"/>
      <c r="AB661" s="27"/>
      <c r="AC661" s="1072"/>
      <c r="AD661" s="585"/>
    </row>
    <row r="662" spans="6:30" ht="10.5" customHeight="1">
      <c r="F662" s="371"/>
      <c r="G662" s="346"/>
      <c r="H662" s="346"/>
      <c r="I662" s="346"/>
      <c r="J662" s="346"/>
      <c r="K662" s="346"/>
      <c r="L662" s="346"/>
      <c r="M662" s="346"/>
      <c r="N662" s="346"/>
      <c r="O662" s="346"/>
      <c r="P662" s="642" t="s">
        <v>1154</v>
      </c>
      <c r="Q662" s="323"/>
      <c r="R662" s="190"/>
      <c r="S662" s="448"/>
      <c r="T662" s="572" t="s">
        <v>2766</v>
      </c>
      <c r="U662" s="572" t="s">
        <v>1608</v>
      </c>
      <c r="AA662" s="27"/>
      <c r="AB662" s="27"/>
      <c r="AC662" s="1073"/>
      <c r="AD662" s="585"/>
    </row>
    <row r="663" spans="6:30" ht="10.5" customHeight="1">
      <c r="F663" s="371"/>
      <c r="G663" s="346"/>
      <c r="H663" s="346"/>
      <c r="I663" s="346"/>
      <c r="J663" s="346"/>
      <c r="K663" s="346"/>
      <c r="L663" s="346"/>
      <c r="M663" s="346"/>
      <c r="N663" s="346"/>
      <c r="O663" s="346"/>
      <c r="P663" s="642" t="s">
        <v>2516</v>
      </c>
      <c r="Q663" s="323"/>
      <c r="R663" s="190"/>
      <c r="S663" s="448"/>
      <c r="T663" s="572" t="s">
        <v>1469</v>
      </c>
      <c r="U663" s="572" t="s">
        <v>2531</v>
      </c>
      <c r="AA663" s="27"/>
      <c r="AB663" s="27"/>
      <c r="AC663" s="1072"/>
      <c r="AD663" s="585"/>
    </row>
    <row r="664" spans="6:30" ht="10.5" customHeight="1">
      <c r="F664" s="371"/>
      <c r="G664" s="346"/>
      <c r="H664" s="346"/>
      <c r="I664" s="346"/>
      <c r="J664" s="346"/>
      <c r="K664" s="346"/>
      <c r="L664" s="346"/>
      <c r="M664" s="346"/>
      <c r="N664" s="346"/>
      <c r="O664" s="346"/>
      <c r="P664" s="642" t="s">
        <v>2518</v>
      </c>
      <c r="Q664" s="323"/>
      <c r="R664" s="190"/>
      <c r="S664" s="448"/>
      <c r="T664" s="572" t="s">
        <v>2873</v>
      </c>
      <c r="U664" s="572" t="s">
        <v>1951</v>
      </c>
      <c r="AA664" s="27"/>
      <c r="AB664" s="27"/>
      <c r="AC664" s="1072"/>
      <c r="AD664" s="585"/>
    </row>
    <row r="665" spans="6:30" ht="10.5" customHeight="1">
      <c r="F665" s="371"/>
      <c r="G665" s="346"/>
      <c r="H665" s="346"/>
      <c r="I665" s="346"/>
      <c r="J665" s="346"/>
      <c r="K665" s="346"/>
      <c r="L665" s="346"/>
      <c r="M665" s="346"/>
      <c r="N665" s="346"/>
      <c r="O665" s="346"/>
      <c r="P665" s="642" t="s">
        <v>1531</v>
      </c>
      <c r="Q665" s="323"/>
      <c r="R665" s="190"/>
      <c r="S665" s="448"/>
      <c r="T665" s="572" t="s">
        <v>1471</v>
      </c>
      <c r="U665" s="572" t="s">
        <v>325</v>
      </c>
      <c r="AA665" s="27"/>
      <c r="AB665" s="27"/>
      <c r="AC665" s="1072"/>
      <c r="AD665" s="585"/>
    </row>
    <row r="666" spans="6:30" ht="10.5" customHeight="1">
      <c r="F666" s="371"/>
      <c r="G666" s="346"/>
      <c r="H666" s="346"/>
      <c r="I666" s="346"/>
      <c r="J666" s="346"/>
      <c r="K666" s="346"/>
      <c r="L666" s="346"/>
      <c r="M666" s="346"/>
      <c r="N666" s="346"/>
      <c r="O666" s="346"/>
      <c r="P666" s="642" t="s">
        <v>1532</v>
      </c>
      <c r="Q666" s="323"/>
      <c r="R666" s="190"/>
      <c r="S666" s="448"/>
      <c r="T666" s="572" t="s">
        <v>1073</v>
      </c>
      <c r="U666" s="572" t="s">
        <v>658</v>
      </c>
      <c r="AA666" s="27"/>
      <c r="AB666" s="27"/>
      <c r="AC666" s="1072"/>
      <c r="AD666" s="585"/>
    </row>
    <row r="667" spans="6:30" ht="10.5" customHeight="1">
      <c r="F667" s="371"/>
      <c r="G667" s="346"/>
      <c r="H667" s="346"/>
      <c r="I667" s="346"/>
      <c r="J667" s="346"/>
      <c r="K667" s="346"/>
      <c r="L667" s="346"/>
      <c r="M667" s="346"/>
      <c r="N667" s="346"/>
      <c r="O667" s="346"/>
      <c r="P667" s="642" t="s">
        <v>2100</v>
      </c>
      <c r="Q667" s="323"/>
      <c r="R667" s="190"/>
      <c r="S667" s="448"/>
      <c r="T667" s="572" t="s">
        <v>1306</v>
      </c>
      <c r="U667" s="572" t="s">
        <v>2181</v>
      </c>
      <c r="AA667" s="27"/>
      <c r="AB667" s="27"/>
      <c r="AC667" s="1072"/>
      <c r="AD667" s="585"/>
    </row>
    <row r="668" spans="6:30" ht="10.5" customHeight="1">
      <c r="F668" s="371"/>
      <c r="G668" s="346"/>
      <c r="H668" s="346"/>
      <c r="I668" s="346"/>
      <c r="J668" s="346"/>
      <c r="K668" s="346"/>
      <c r="L668" s="346"/>
      <c r="M668" s="346"/>
      <c r="N668" s="346"/>
      <c r="O668" s="346"/>
      <c r="P668" s="642" t="s">
        <v>2101</v>
      </c>
      <c r="Q668" s="323"/>
      <c r="R668" s="190"/>
      <c r="S668" s="448"/>
      <c r="T668" s="572" t="s">
        <v>1308</v>
      </c>
      <c r="U668" s="572" t="s">
        <v>2531</v>
      </c>
      <c r="AA668" s="27"/>
      <c r="AB668" s="27"/>
      <c r="AC668" s="1072"/>
      <c r="AD668" s="585"/>
    </row>
    <row r="669" spans="6:30" ht="10.5" customHeight="1">
      <c r="F669" s="371"/>
      <c r="G669" s="346"/>
      <c r="H669" s="346"/>
      <c r="I669" s="346"/>
      <c r="J669" s="346"/>
      <c r="K669" s="346"/>
      <c r="L669" s="346"/>
      <c r="M669" s="346"/>
      <c r="N669" s="346"/>
      <c r="O669" s="346"/>
      <c r="P669" s="642" t="s">
        <v>1622</v>
      </c>
      <c r="Q669" s="323"/>
      <c r="R669" s="190"/>
      <c r="S669" s="448"/>
      <c r="T669" s="572" t="s">
        <v>1992</v>
      </c>
      <c r="U669" s="572" t="s">
        <v>1107</v>
      </c>
      <c r="AA669" s="27"/>
      <c r="AB669" s="27"/>
      <c r="AC669" s="1072"/>
      <c r="AD669" s="585"/>
    </row>
    <row r="670" spans="6:30" ht="10.5" customHeight="1">
      <c r="F670" s="371"/>
      <c r="G670" s="346"/>
      <c r="H670" s="346"/>
      <c r="I670" s="346"/>
      <c r="J670" s="346"/>
      <c r="K670" s="346"/>
      <c r="L670" s="346"/>
      <c r="M670" s="346"/>
      <c r="N670" s="346"/>
      <c r="O670" s="346"/>
      <c r="P670" s="642" t="s">
        <v>1624</v>
      </c>
      <c r="Q670" s="323"/>
      <c r="R670" s="190"/>
      <c r="S670" s="448"/>
      <c r="T670" s="572" t="s">
        <v>735</v>
      </c>
      <c r="U670" s="572" t="s">
        <v>315</v>
      </c>
      <c r="AA670" s="27"/>
      <c r="AB670" s="27"/>
      <c r="AC670" s="1072"/>
      <c r="AD670" s="585"/>
    </row>
    <row r="671" spans="6:30" ht="10.5" customHeight="1">
      <c r="F671" s="371"/>
      <c r="G671" s="346"/>
      <c r="H671" s="346"/>
      <c r="I671" s="346"/>
      <c r="J671" s="346"/>
      <c r="K671" s="346"/>
      <c r="L671" s="346"/>
      <c r="M671" s="346"/>
      <c r="N671" s="346"/>
      <c r="O671" s="346"/>
      <c r="P671" s="642" t="s">
        <v>936</v>
      </c>
      <c r="Q671" s="323"/>
      <c r="R671" s="190"/>
      <c r="S671" s="448"/>
      <c r="T671" s="572" t="s">
        <v>1267</v>
      </c>
      <c r="U671" s="572" t="s">
        <v>671</v>
      </c>
      <c r="AA671" s="27"/>
      <c r="AB671" s="27"/>
      <c r="AC671" s="1072"/>
      <c r="AD671" s="585"/>
    </row>
    <row r="672" spans="6:30" ht="10.5" customHeight="1">
      <c r="F672" s="371"/>
      <c r="G672" s="346"/>
      <c r="H672" s="346"/>
      <c r="I672" s="346"/>
      <c r="J672" s="346"/>
      <c r="K672" s="346"/>
      <c r="L672" s="346"/>
      <c r="M672" s="346"/>
      <c r="N672" s="346"/>
      <c r="O672" s="346"/>
      <c r="P672" s="642" t="s">
        <v>938</v>
      </c>
      <c r="Q672" s="323"/>
      <c r="R672" s="190"/>
      <c r="S672" s="448"/>
      <c r="T672" s="572" t="s">
        <v>1074</v>
      </c>
      <c r="U672" s="572" t="s">
        <v>159</v>
      </c>
      <c r="AA672" s="27"/>
      <c r="AB672" s="27"/>
      <c r="AC672" s="1072"/>
      <c r="AD672" s="585"/>
    </row>
    <row r="673" spans="6:30" ht="10.5" customHeight="1">
      <c r="F673" s="371"/>
      <c r="G673" s="346"/>
      <c r="H673" s="346"/>
      <c r="I673" s="346"/>
      <c r="J673" s="346"/>
      <c r="K673" s="346"/>
      <c r="L673" s="346"/>
      <c r="M673" s="346"/>
      <c r="N673" s="346"/>
      <c r="O673" s="346"/>
      <c r="P673" s="642" t="s">
        <v>940</v>
      </c>
      <c r="Q673" s="323"/>
      <c r="R673" s="190"/>
      <c r="S673" s="448"/>
      <c r="T673" s="643" t="s">
        <v>1884</v>
      </c>
      <c r="U673" s="643" t="s">
        <v>1105</v>
      </c>
      <c r="AA673" s="27"/>
      <c r="AB673" s="27"/>
      <c r="AC673" s="1072"/>
      <c r="AD673" s="585"/>
    </row>
    <row r="674" spans="6:30" ht="10.5" customHeight="1">
      <c r="F674" s="371"/>
      <c r="G674" s="346"/>
      <c r="H674" s="346"/>
      <c r="I674" s="346"/>
      <c r="J674" s="346"/>
      <c r="K674" s="346"/>
      <c r="L674" s="346"/>
      <c r="M674" s="346"/>
      <c r="N674" s="346"/>
      <c r="O674" s="346"/>
      <c r="P674" s="642" t="s">
        <v>2501</v>
      </c>
      <c r="Q674" s="323"/>
      <c r="R674" s="190"/>
      <c r="S674" s="448"/>
      <c r="T674" s="643" t="s">
        <v>1886</v>
      </c>
      <c r="U674" s="643" t="s">
        <v>1455</v>
      </c>
      <c r="AA674" s="27"/>
      <c r="AB674" s="27"/>
      <c r="AC674" s="1073"/>
      <c r="AD674" s="585"/>
    </row>
    <row r="675" spans="6:30" ht="10.5" customHeight="1">
      <c r="F675" s="371"/>
      <c r="G675" s="346"/>
      <c r="H675" s="346"/>
      <c r="I675" s="346"/>
      <c r="J675" s="346"/>
      <c r="K675" s="346"/>
      <c r="L675" s="346"/>
      <c r="M675" s="346"/>
      <c r="N675" s="346"/>
      <c r="O675" s="346"/>
      <c r="P675" s="642" t="s">
        <v>2503</v>
      </c>
      <c r="Q675" s="323"/>
      <c r="R675" s="190"/>
      <c r="S675" s="448"/>
      <c r="T675" s="572" t="s">
        <v>1888</v>
      </c>
      <c r="U675" s="572" t="s">
        <v>2486</v>
      </c>
      <c r="AA675" s="27"/>
      <c r="AB675" s="27"/>
      <c r="AC675" s="1073"/>
      <c r="AD675" s="585"/>
    </row>
    <row r="676" spans="6:30" ht="10.5" customHeight="1">
      <c r="F676" s="371"/>
      <c r="G676" s="346"/>
      <c r="H676" s="346"/>
      <c r="I676" s="346"/>
      <c r="J676" s="346"/>
      <c r="K676" s="346"/>
      <c r="L676" s="346"/>
      <c r="M676" s="346"/>
      <c r="N676" s="346"/>
      <c r="O676" s="346"/>
      <c r="P676" s="642" t="s">
        <v>2504</v>
      </c>
      <c r="Q676" s="323"/>
      <c r="R676" s="190"/>
      <c r="S676" s="448"/>
      <c r="T676" s="572" t="s">
        <v>1890</v>
      </c>
      <c r="U676" s="572" t="s">
        <v>121</v>
      </c>
      <c r="AA676" s="27"/>
      <c r="AB676" s="27"/>
      <c r="AC676" s="1072"/>
      <c r="AD676" s="585"/>
    </row>
    <row r="677" spans="6:30" ht="10.5" customHeight="1">
      <c r="F677" s="371"/>
      <c r="G677" s="346"/>
      <c r="H677" s="346"/>
      <c r="I677" s="346"/>
      <c r="J677" s="346"/>
      <c r="K677" s="346"/>
      <c r="L677" s="346"/>
      <c r="M677" s="346"/>
      <c r="N677" s="346"/>
      <c r="O677" s="346"/>
      <c r="P677" s="642" t="s">
        <v>1901</v>
      </c>
      <c r="Q677" s="323"/>
      <c r="R677" s="190"/>
      <c r="S677" s="448"/>
      <c r="T677" s="572" t="s">
        <v>502</v>
      </c>
      <c r="U677" s="572" t="s">
        <v>2008</v>
      </c>
      <c r="AA677" s="27"/>
      <c r="AB677" s="27"/>
      <c r="AC677" s="1072"/>
      <c r="AD677" s="585"/>
    </row>
    <row r="678" spans="6:30" ht="10.5" customHeight="1">
      <c r="F678" s="371"/>
      <c r="G678" s="346"/>
      <c r="H678" s="346"/>
      <c r="I678" s="346"/>
      <c r="J678" s="346"/>
      <c r="K678" s="346"/>
      <c r="L678" s="346"/>
      <c r="M678" s="346"/>
      <c r="N678" s="346"/>
      <c r="O678" s="346"/>
      <c r="P678" s="642" t="s">
        <v>1902</v>
      </c>
      <c r="Q678" s="323"/>
      <c r="R678" s="190"/>
      <c r="S678" s="448"/>
      <c r="T678" s="572" t="s">
        <v>2536</v>
      </c>
      <c r="U678" s="572" t="s">
        <v>1913</v>
      </c>
      <c r="AA678" s="27"/>
      <c r="AB678" s="27"/>
      <c r="AC678" s="1072"/>
      <c r="AD678" s="585"/>
    </row>
    <row r="679" spans="6:30" ht="10.5" customHeight="1">
      <c r="F679" s="371"/>
      <c r="G679" s="346"/>
      <c r="H679" s="346"/>
      <c r="I679" s="346"/>
      <c r="J679" s="346"/>
      <c r="K679" s="346"/>
      <c r="L679" s="346"/>
      <c r="M679" s="346"/>
      <c r="N679" s="346"/>
      <c r="O679" s="346"/>
      <c r="P679" s="642" t="s">
        <v>1904</v>
      </c>
      <c r="Q679" s="323"/>
      <c r="R679" s="190"/>
      <c r="S679" s="448"/>
      <c r="T679" s="572" t="s">
        <v>4746</v>
      </c>
      <c r="U679" s="572" t="s">
        <v>1206</v>
      </c>
      <c r="AA679" s="27"/>
      <c r="AB679" s="27"/>
      <c r="AC679" s="1072"/>
      <c r="AD679" s="585"/>
    </row>
    <row r="680" spans="6:30" ht="10.5" customHeight="1">
      <c r="F680" s="371"/>
      <c r="G680" s="346"/>
      <c r="H680" s="346"/>
      <c r="I680" s="346"/>
      <c r="J680" s="346"/>
      <c r="K680" s="346"/>
      <c r="L680" s="346"/>
      <c r="M680" s="346"/>
      <c r="N680" s="346"/>
      <c r="O680" s="346"/>
      <c r="P680" s="642" t="s">
        <v>643</v>
      </c>
      <c r="Q680" s="323"/>
      <c r="R680" s="190"/>
      <c r="S680" s="448"/>
      <c r="T680" s="572" t="s">
        <v>2538</v>
      </c>
      <c r="U680" s="572" t="s">
        <v>2529</v>
      </c>
      <c r="AA680" s="27"/>
      <c r="AB680" s="27"/>
      <c r="AC680" s="1072"/>
      <c r="AD680" s="585"/>
    </row>
    <row r="681" spans="6:30" ht="10.5" customHeight="1">
      <c r="F681" s="371"/>
      <c r="G681" s="346"/>
      <c r="H681" s="346"/>
      <c r="I681" s="346"/>
      <c r="J681" s="346"/>
      <c r="K681" s="346"/>
      <c r="L681" s="346"/>
      <c r="M681" s="346"/>
      <c r="N681" s="346"/>
      <c r="O681" s="346"/>
      <c r="P681" s="642" t="s">
        <v>645</v>
      </c>
      <c r="Q681" s="323"/>
      <c r="R681" s="190"/>
      <c r="S681" s="448"/>
      <c r="T681" s="572" t="s">
        <v>1155</v>
      </c>
      <c r="U681" s="572" t="s">
        <v>312</v>
      </c>
      <c r="AA681" s="27"/>
      <c r="AB681" s="27"/>
      <c r="AC681" s="1072"/>
      <c r="AD681" s="585"/>
    </row>
    <row r="682" spans="6:30" ht="10.5" customHeight="1">
      <c r="F682" s="371"/>
      <c r="G682" s="346"/>
      <c r="H682" s="346"/>
      <c r="I682" s="346"/>
      <c r="J682" s="346"/>
      <c r="K682" s="346"/>
      <c r="L682" s="346"/>
      <c r="M682" s="346"/>
      <c r="N682" s="346"/>
      <c r="O682" s="346"/>
      <c r="P682" s="642" t="s">
        <v>646</v>
      </c>
      <c r="Q682" s="323"/>
      <c r="R682" s="190"/>
      <c r="S682" s="448"/>
      <c r="T682" s="572" t="s">
        <v>2517</v>
      </c>
      <c r="U682" s="572" t="s">
        <v>877</v>
      </c>
      <c r="AA682" s="27"/>
      <c r="AB682" s="27"/>
      <c r="AC682" s="1072"/>
      <c r="AD682" s="585"/>
    </row>
    <row r="683" spans="6:30" ht="10.5" customHeight="1">
      <c r="F683" s="371"/>
      <c r="G683" s="346"/>
      <c r="H683" s="346"/>
      <c r="I683" s="346"/>
      <c r="J683" s="346"/>
      <c r="K683" s="346"/>
      <c r="L683" s="346"/>
      <c r="M683" s="346"/>
      <c r="N683" s="346"/>
      <c r="O683" s="346"/>
      <c r="P683" s="642" t="s">
        <v>2308</v>
      </c>
      <c r="Q683" s="323"/>
      <c r="R683" s="190"/>
      <c r="S683" s="448"/>
      <c r="T683" s="572" t="s">
        <v>816</v>
      </c>
      <c r="U683" s="572" t="s">
        <v>1334</v>
      </c>
      <c r="AA683" s="27"/>
      <c r="AB683" s="27"/>
      <c r="AC683" s="1072"/>
      <c r="AD683" s="585"/>
    </row>
    <row r="684" spans="6:30" ht="10.5" customHeight="1">
      <c r="F684" s="371"/>
      <c r="G684" s="346"/>
      <c r="H684" s="346"/>
      <c r="I684" s="346"/>
      <c r="J684" s="346"/>
      <c r="K684" s="346"/>
      <c r="L684" s="346"/>
      <c r="M684" s="346"/>
      <c r="N684" s="346"/>
      <c r="O684" s="346"/>
      <c r="P684" s="642" t="s">
        <v>71</v>
      </c>
      <c r="Q684" s="323"/>
      <c r="R684" s="190"/>
      <c r="S684" s="448"/>
      <c r="T684" s="572" t="s">
        <v>1070</v>
      </c>
      <c r="U684" s="572" t="s">
        <v>666</v>
      </c>
      <c r="AA684" s="27"/>
      <c r="AB684" s="27"/>
      <c r="AC684" s="1072"/>
      <c r="AD684" s="585"/>
    </row>
    <row r="685" spans="6:30" ht="10.5" customHeight="1">
      <c r="F685" s="371"/>
      <c r="G685" s="346"/>
      <c r="H685" s="346"/>
      <c r="I685" s="346"/>
      <c r="J685" s="346"/>
      <c r="K685" s="346"/>
      <c r="L685" s="346"/>
      <c r="M685" s="346"/>
      <c r="N685" s="346"/>
      <c r="O685" s="346"/>
      <c r="P685" s="642" t="s">
        <v>1414</v>
      </c>
      <c r="Q685" s="323"/>
      <c r="R685" s="190"/>
      <c r="S685" s="448"/>
      <c r="T685" s="572" t="s">
        <v>1533</v>
      </c>
      <c r="U685" s="572" t="s">
        <v>328</v>
      </c>
      <c r="AA685" s="27"/>
      <c r="AB685" s="27"/>
      <c r="AC685" s="1072"/>
      <c r="AD685" s="585"/>
    </row>
    <row r="686" spans="6:30" ht="10.5" customHeight="1">
      <c r="F686" s="371"/>
      <c r="G686" s="346"/>
      <c r="H686" s="346"/>
      <c r="I686" s="346"/>
      <c r="J686" s="346"/>
      <c r="K686" s="346"/>
      <c r="L686" s="346"/>
      <c r="M686" s="346"/>
      <c r="N686" s="346"/>
      <c r="O686" s="346"/>
      <c r="P686" s="642" t="s">
        <v>2257</v>
      </c>
      <c r="Q686" s="323"/>
      <c r="R686" s="190"/>
      <c r="S686" s="448"/>
      <c r="T686" s="572" t="s">
        <v>2874</v>
      </c>
      <c r="U686" s="572" t="s">
        <v>876</v>
      </c>
      <c r="AA686" s="27"/>
      <c r="AB686" s="27"/>
      <c r="AC686" s="1072"/>
      <c r="AD686" s="585"/>
    </row>
    <row r="687" spans="6:30" ht="10.5" customHeight="1">
      <c r="F687" s="371"/>
      <c r="G687" s="346"/>
      <c r="H687" s="346"/>
      <c r="I687" s="346"/>
      <c r="J687" s="346"/>
      <c r="K687" s="346"/>
      <c r="L687" s="346"/>
      <c r="M687" s="346"/>
      <c r="N687" s="346"/>
      <c r="O687" s="346"/>
      <c r="P687" s="642" t="s">
        <v>2259</v>
      </c>
      <c r="Q687" s="323"/>
      <c r="R687" s="190"/>
      <c r="S687" s="448"/>
      <c r="T687" s="572" t="s">
        <v>2102</v>
      </c>
      <c r="U687" s="572" t="s">
        <v>1327</v>
      </c>
      <c r="AA687" s="27"/>
      <c r="AB687" s="27"/>
      <c r="AC687" s="1072"/>
      <c r="AD687" s="585"/>
    </row>
    <row r="688" spans="6:30" ht="10.5" customHeight="1">
      <c r="F688" s="371"/>
      <c r="G688" s="346"/>
      <c r="H688" s="346"/>
      <c r="I688" s="346"/>
      <c r="J688" s="346"/>
      <c r="K688" s="346"/>
      <c r="L688" s="346"/>
      <c r="M688" s="346"/>
      <c r="N688" s="346"/>
      <c r="O688" s="346"/>
      <c r="P688" s="642" t="s">
        <v>1804</v>
      </c>
      <c r="Q688" s="323"/>
      <c r="R688" s="190"/>
      <c r="S688" s="448"/>
      <c r="T688" s="572" t="s">
        <v>1623</v>
      </c>
      <c r="U688" s="572" t="s">
        <v>1313</v>
      </c>
      <c r="AA688" s="27"/>
      <c r="AB688" s="27"/>
      <c r="AC688" s="1072"/>
      <c r="AD688" s="585"/>
    </row>
    <row r="689" spans="6:30" ht="10.5" customHeight="1">
      <c r="F689" s="371"/>
      <c r="G689" s="346"/>
      <c r="H689" s="346"/>
      <c r="I689" s="346"/>
      <c r="J689" s="346"/>
      <c r="K689" s="346"/>
      <c r="L689" s="346"/>
      <c r="M689" s="346"/>
      <c r="N689" s="346"/>
      <c r="O689" s="346"/>
      <c r="P689" s="642" t="s">
        <v>1117</v>
      </c>
      <c r="Q689" s="323"/>
      <c r="R689" s="190"/>
      <c r="S689" s="448"/>
      <c r="T689" s="572" t="s">
        <v>937</v>
      </c>
      <c r="U689" s="572" t="s">
        <v>2242</v>
      </c>
      <c r="AA689" s="27"/>
      <c r="AB689" s="27"/>
      <c r="AC689" s="1072"/>
      <c r="AD689" s="585"/>
    </row>
    <row r="690" spans="6:30" ht="10.5" customHeight="1">
      <c r="F690" s="371"/>
      <c r="G690" s="346"/>
      <c r="H690" s="346"/>
      <c r="I690" s="346"/>
      <c r="J690" s="346"/>
      <c r="K690" s="346"/>
      <c r="L690" s="346"/>
      <c r="M690" s="346"/>
      <c r="N690" s="346"/>
      <c r="O690" s="346"/>
      <c r="P690" s="642" t="s">
        <v>2047</v>
      </c>
      <c r="Q690" s="323"/>
      <c r="R690" s="190"/>
      <c r="S690" s="448"/>
      <c r="T690" s="572" t="s">
        <v>939</v>
      </c>
      <c r="U690" s="572" t="s">
        <v>319</v>
      </c>
      <c r="AA690" s="27"/>
      <c r="AB690" s="27"/>
      <c r="AC690" s="1072"/>
      <c r="AD690" s="585"/>
    </row>
    <row r="691" spans="6:30" ht="10.5" customHeight="1">
      <c r="F691" s="371"/>
      <c r="G691" s="346"/>
      <c r="H691" s="346"/>
      <c r="I691" s="346"/>
      <c r="J691" s="346"/>
      <c r="K691" s="346"/>
      <c r="L691" s="346"/>
      <c r="M691" s="346"/>
      <c r="N691" s="346"/>
      <c r="O691" s="346"/>
      <c r="P691" s="642" t="s">
        <v>1968</v>
      </c>
      <c r="Q691" s="323"/>
      <c r="R691" s="190"/>
      <c r="S691" s="448"/>
      <c r="T691" s="572" t="s">
        <v>2502</v>
      </c>
      <c r="U691" s="572" t="s">
        <v>628</v>
      </c>
      <c r="AA691" s="27"/>
      <c r="AB691" s="27"/>
      <c r="AC691" s="1072"/>
      <c r="AD691" s="585"/>
    </row>
    <row r="692" spans="6:30" ht="10.5" customHeight="1">
      <c r="F692" s="371"/>
      <c r="G692" s="346"/>
      <c r="H692" s="346"/>
      <c r="I692" s="346"/>
      <c r="J692" s="346"/>
      <c r="K692" s="346"/>
      <c r="L692" s="346"/>
      <c r="M692" s="346"/>
      <c r="N692" s="346"/>
      <c r="O692" s="346"/>
      <c r="P692" s="642" t="s">
        <v>1970</v>
      </c>
      <c r="Q692" s="323"/>
      <c r="R692" s="190"/>
      <c r="S692" s="448"/>
      <c r="T692" s="572" t="s">
        <v>4747</v>
      </c>
      <c r="U692" s="572" t="s">
        <v>628</v>
      </c>
      <c r="AA692" s="27"/>
      <c r="AB692" s="27"/>
      <c r="AC692" s="1072"/>
      <c r="AD692" s="585"/>
    </row>
    <row r="693" spans="6:30" ht="10.5" customHeight="1">
      <c r="F693" s="371"/>
      <c r="G693" s="346"/>
      <c r="H693" s="346"/>
      <c r="I693" s="346"/>
      <c r="J693" s="346"/>
      <c r="K693" s="346"/>
      <c r="L693" s="346"/>
      <c r="M693" s="346"/>
      <c r="N693" s="346"/>
      <c r="O693" s="346"/>
      <c r="P693" s="642" t="s">
        <v>1972</v>
      </c>
      <c r="Q693" s="323"/>
      <c r="R693" s="190"/>
      <c r="S693" s="448"/>
      <c r="T693" s="572" t="s">
        <v>1900</v>
      </c>
      <c r="U693" s="572" t="s">
        <v>121</v>
      </c>
      <c r="AA693" s="27"/>
      <c r="AB693" s="27"/>
      <c r="AC693" s="1072"/>
      <c r="AD693" s="585"/>
    </row>
    <row r="694" spans="6:30" ht="10.5" customHeight="1">
      <c r="F694" s="371"/>
      <c r="G694" s="346"/>
      <c r="H694" s="346"/>
      <c r="I694" s="346"/>
      <c r="J694" s="346"/>
      <c r="K694" s="346"/>
      <c r="L694" s="346"/>
      <c r="M694" s="346"/>
      <c r="N694" s="346"/>
      <c r="O694" s="346"/>
      <c r="P694" s="642" t="s">
        <v>494</v>
      </c>
      <c r="Q694" s="323"/>
      <c r="R694" s="190"/>
      <c r="S694" s="448"/>
      <c r="T694" s="572" t="s">
        <v>1903</v>
      </c>
      <c r="U694" s="572" t="s">
        <v>2242</v>
      </c>
      <c r="AA694" s="27"/>
      <c r="AB694" s="27"/>
      <c r="AC694" s="1072"/>
      <c r="AD694" s="585"/>
    </row>
    <row r="695" spans="6:30" ht="10.5" customHeight="1">
      <c r="F695" s="371"/>
      <c r="G695" s="346"/>
      <c r="H695" s="346"/>
      <c r="I695" s="346"/>
      <c r="J695" s="346"/>
      <c r="K695" s="346"/>
      <c r="L695" s="346"/>
      <c r="M695" s="346"/>
      <c r="N695" s="346"/>
      <c r="O695" s="346"/>
      <c r="P695" s="642" t="s">
        <v>453</v>
      </c>
      <c r="Q695" s="323"/>
      <c r="R695" s="190"/>
      <c r="S695" s="448"/>
      <c r="T695" s="572" t="s">
        <v>1905</v>
      </c>
      <c r="U695" s="572" t="s">
        <v>162</v>
      </c>
      <c r="AA695" s="27"/>
      <c r="AB695" s="27"/>
      <c r="AC695" s="1072"/>
      <c r="AD695" s="585"/>
    </row>
    <row r="696" spans="6:30" ht="10.5" customHeight="1">
      <c r="F696" s="371"/>
      <c r="G696" s="346"/>
      <c r="H696" s="346"/>
      <c r="I696" s="346"/>
      <c r="J696" s="346"/>
      <c r="K696" s="346"/>
      <c r="L696" s="346"/>
      <c r="M696" s="346"/>
      <c r="N696" s="346"/>
      <c r="O696" s="346"/>
      <c r="P696" s="642" t="s">
        <v>2097</v>
      </c>
      <c r="Q696" s="323"/>
      <c r="R696" s="190"/>
      <c r="S696" s="448"/>
      <c r="T696" s="572" t="s">
        <v>644</v>
      </c>
      <c r="U696" s="572" t="s">
        <v>2401</v>
      </c>
      <c r="AA696" s="27"/>
      <c r="AB696" s="27"/>
      <c r="AC696" s="1072"/>
      <c r="AD696" s="585"/>
    </row>
    <row r="697" spans="6:30" ht="10.5" customHeight="1">
      <c r="F697" s="371"/>
      <c r="G697" s="346"/>
      <c r="H697" s="346"/>
      <c r="I697" s="346"/>
      <c r="J697" s="346"/>
      <c r="K697" s="346"/>
      <c r="L697" s="346"/>
      <c r="M697" s="346"/>
      <c r="N697" s="346"/>
      <c r="O697" s="346"/>
      <c r="P697" s="642" t="s">
        <v>2124</v>
      </c>
      <c r="Q697" s="1122"/>
      <c r="R697" s="1122"/>
      <c r="S697" s="1123"/>
      <c r="T697" s="572" t="s">
        <v>817</v>
      </c>
      <c r="U697" s="572" t="s">
        <v>2172</v>
      </c>
      <c r="AA697" s="27"/>
      <c r="AB697" s="27"/>
      <c r="AC697" s="1072"/>
      <c r="AD697" s="585"/>
    </row>
    <row r="698" spans="6:30" ht="10.5" customHeight="1">
      <c r="F698" s="371"/>
      <c r="G698" s="346"/>
      <c r="H698" s="346"/>
      <c r="I698" s="346"/>
      <c r="J698" s="346"/>
      <c r="K698" s="346"/>
      <c r="L698" s="346"/>
      <c r="M698" s="346"/>
      <c r="N698" s="346"/>
      <c r="O698" s="346"/>
      <c r="P698" s="1121"/>
      <c r="Q698" s="647"/>
      <c r="R698" s="187"/>
      <c r="S698" s="346"/>
      <c r="T698" s="572" t="s">
        <v>1075</v>
      </c>
      <c r="U698" s="572" t="s">
        <v>1911</v>
      </c>
      <c r="AA698" s="27"/>
      <c r="AB698" s="27"/>
      <c r="AC698" s="1072"/>
      <c r="AD698" s="585"/>
    </row>
    <row r="699" spans="6:30" ht="10.5" customHeight="1">
      <c r="F699" s="371"/>
      <c r="G699" s="346"/>
      <c r="H699" s="346"/>
      <c r="I699" s="346"/>
      <c r="J699" s="346"/>
      <c r="K699" s="346"/>
      <c r="L699" s="346"/>
      <c r="M699" s="346"/>
      <c r="N699" s="346"/>
      <c r="O699" s="346"/>
      <c r="P699" s="646"/>
      <c r="Q699" s="346"/>
      <c r="R699" s="346"/>
      <c r="S699" s="346"/>
      <c r="T699" s="572" t="s">
        <v>1076</v>
      </c>
      <c r="U699" s="572" t="s">
        <v>2005</v>
      </c>
      <c r="AA699" s="27"/>
      <c r="AB699" s="27"/>
      <c r="AC699" s="1072"/>
      <c r="AD699" s="585"/>
    </row>
    <row r="700" spans="6:30" ht="10.5" customHeight="1">
      <c r="F700" s="371"/>
      <c r="G700" s="346"/>
      <c r="H700" s="346"/>
      <c r="I700" s="346"/>
      <c r="J700" s="346"/>
      <c r="K700" s="647"/>
      <c r="L700" s="187"/>
      <c r="M700" s="346"/>
      <c r="N700" s="346"/>
      <c r="O700" s="346"/>
      <c r="P700" s="346"/>
      <c r="Q700" s="346"/>
      <c r="R700" s="346"/>
      <c r="S700" s="346"/>
      <c r="T700" s="572" t="s">
        <v>1464</v>
      </c>
      <c r="U700" s="572" t="s">
        <v>1210</v>
      </c>
      <c r="AA700" s="27"/>
      <c r="AB700" s="27"/>
      <c r="AC700" s="1072"/>
      <c r="AD700" s="585"/>
    </row>
    <row r="701" spans="6:30" ht="10.5" customHeight="1">
      <c r="F701" s="371"/>
      <c r="G701" s="346"/>
      <c r="H701" s="346"/>
      <c r="I701" s="346"/>
      <c r="J701" s="646"/>
      <c r="K701" s="647"/>
      <c r="L701" s="187"/>
      <c r="M701" s="346"/>
      <c r="N701" s="346"/>
      <c r="O701" s="346"/>
      <c r="P701" s="346"/>
      <c r="Q701" s="346"/>
      <c r="R701" s="346"/>
      <c r="S701" s="346"/>
      <c r="T701" s="572" t="s">
        <v>2309</v>
      </c>
      <c r="U701" s="572" t="s">
        <v>121</v>
      </c>
      <c r="AA701" s="27"/>
      <c r="AB701" s="27"/>
      <c r="AC701" s="1072"/>
      <c r="AD701" s="585"/>
    </row>
    <row r="702" spans="6:30" ht="10.5" customHeight="1">
      <c r="F702" s="371"/>
      <c r="G702" s="346"/>
      <c r="H702" s="346"/>
      <c r="I702" s="346"/>
      <c r="J702" s="646"/>
      <c r="K702" s="647"/>
      <c r="L702" s="187"/>
      <c r="M702" s="346"/>
      <c r="N702" s="346"/>
      <c r="O702" s="346"/>
      <c r="P702" s="346"/>
      <c r="Q702" s="346"/>
      <c r="R702" s="346"/>
      <c r="S702" s="346"/>
      <c r="T702" s="643" t="s">
        <v>1413</v>
      </c>
      <c r="U702" s="643" t="s">
        <v>2242</v>
      </c>
      <c r="AA702" s="27"/>
      <c r="AB702" s="27"/>
      <c r="AC702" s="1072"/>
      <c r="AD702" s="585"/>
    </row>
    <row r="703" spans="6:30" ht="10.5" customHeight="1">
      <c r="F703" s="371"/>
      <c r="G703" s="346"/>
      <c r="H703" s="346"/>
      <c r="I703" s="346"/>
      <c r="J703" s="646"/>
      <c r="K703" s="647"/>
      <c r="L703" s="187"/>
      <c r="M703" s="346"/>
      <c r="N703" s="346"/>
      <c r="O703" s="346"/>
      <c r="P703" s="346"/>
      <c r="Q703" s="346"/>
      <c r="R703" s="346"/>
      <c r="S703" s="346"/>
      <c r="T703" s="572" t="s">
        <v>2256</v>
      </c>
      <c r="U703" s="572" t="s">
        <v>1917</v>
      </c>
      <c r="AA703" s="27"/>
      <c r="AB703" s="27"/>
      <c r="AC703" s="1073"/>
      <c r="AD703" s="585"/>
    </row>
    <row r="704" spans="6:30" ht="10.5" customHeight="1">
      <c r="F704" s="371"/>
      <c r="G704" s="346"/>
      <c r="H704" s="346"/>
      <c r="I704" s="346"/>
      <c r="J704" s="646"/>
      <c r="K704" s="647"/>
      <c r="L704" s="187"/>
      <c r="M704" s="346"/>
      <c r="N704" s="346"/>
      <c r="O704" s="346"/>
      <c r="P704" s="346"/>
      <c r="Q704" s="346"/>
      <c r="R704" s="346"/>
      <c r="S704" s="346"/>
      <c r="T704" s="572" t="s">
        <v>2258</v>
      </c>
      <c r="U704" s="572" t="s">
        <v>2168</v>
      </c>
      <c r="AA704" s="27"/>
      <c r="AB704" s="27"/>
      <c r="AC704" s="1072"/>
      <c r="AD704" s="585"/>
    </row>
    <row r="705" spans="6:30" ht="10.5" customHeight="1">
      <c r="F705" s="371"/>
      <c r="G705" s="346"/>
      <c r="H705" s="346"/>
      <c r="I705" s="346"/>
      <c r="J705" s="646"/>
      <c r="K705" s="647"/>
      <c r="L705" s="187"/>
      <c r="M705" s="346"/>
      <c r="N705" s="346"/>
      <c r="O705" s="346"/>
      <c r="P705" s="346"/>
      <c r="Q705" s="346"/>
      <c r="R705" s="346"/>
      <c r="S705" s="346"/>
      <c r="T705" s="572" t="s">
        <v>2260</v>
      </c>
      <c r="U705" s="572" t="s">
        <v>2401</v>
      </c>
      <c r="AA705" s="27"/>
      <c r="AB705" s="27"/>
      <c r="AC705" s="1072"/>
      <c r="AD705" s="585"/>
    </row>
    <row r="706" spans="6:30" ht="10.5" customHeight="1">
      <c r="F706" s="371"/>
      <c r="G706" s="346"/>
      <c r="H706" s="346"/>
      <c r="I706" s="346"/>
      <c r="J706" s="646"/>
      <c r="K706" s="647"/>
      <c r="L706" s="187"/>
      <c r="M706" s="346"/>
      <c r="N706" s="346"/>
      <c r="O706" s="346"/>
      <c r="P706" s="346"/>
      <c r="Q706" s="346"/>
      <c r="R706" s="346"/>
      <c r="S706" s="346"/>
      <c r="T706" s="572" t="s">
        <v>2875</v>
      </c>
      <c r="U706" s="572" t="s">
        <v>159</v>
      </c>
      <c r="AA706" s="27"/>
      <c r="AB706" s="27"/>
      <c r="AC706" s="1072"/>
      <c r="AD706" s="585"/>
    </row>
    <row r="707" spans="6:30" ht="10.5" customHeight="1">
      <c r="F707" s="371"/>
      <c r="G707" s="346"/>
      <c r="H707" s="346"/>
      <c r="I707" s="346"/>
      <c r="J707" s="646"/>
      <c r="K707" s="647"/>
      <c r="L707" s="187"/>
      <c r="M707" s="346"/>
      <c r="N707" s="346"/>
      <c r="O707" s="346"/>
      <c r="P707" s="346"/>
      <c r="Q707" s="346"/>
      <c r="R707" s="346"/>
      <c r="S707" s="346"/>
      <c r="T707" s="572" t="s">
        <v>1116</v>
      </c>
      <c r="U707" s="572" t="s">
        <v>2179</v>
      </c>
      <c r="AA707" s="27"/>
      <c r="AB707" s="27"/>
      <c r="AC707" s="1072"/>
      <c r="AD707" s="585"/>
    </row>
    <row r="708" spans="6:30" ht="10.5" customHeight="1">
      <c r="F708" s="371"/>
      <c r="G708" s="346"/>
      <c r="H708" s="346"/>
      <c r="I708" s="346"/>
      <c r="J708" s="646"/>
      <c r="K708" s="647"/>
      <c r="L708" s="187"/>
      <c r="M708" s="346"/>
      <c r="N708" s="346"/>
      <c r="O708" s="346"/>
      <c r="P708" s="346"/>
      <c r="Q708" s="346"/>
      <c r="R708" s="346"/>
      <c r="S708" s="346"/>
      <c r="T708" s="572" t="s">
        <v>1118</v>
      </c>
      <c r="U708" s="572" t="s">
        <v>1093</v>
      </c>
      <c r="AA708" s="27"/>
      <c r="AB708" s="27"/>
      <c r="AC708" s="1072"/>
      <c r="AD708" s="585"/>
    </row>
    <row r="709" spans="6:30" ht="10.5" customHeight="1">
      <c r="F709" s="371"/>
      <c r="G709" s="346"/>
      <c r="H709" s="346"/>
      <c r="I709" s="346"/>
      <c r="J709" s="646"/>
      <c r="K709" s="647"/>
      <c r="L709" s="187"/>
      <c r="M709" s="346"/>
      <c r="N709" s="346"/>
      <c r="O709" s="346"/>
      <c r="P709" s="346"/>
      <c r="Q709" s="346"/>
      <c r="R709" s="346"/>
      <c r="S709" s="346"/>
      <c r="T709" s="572" t="s">
        <v>2048</v>
      </c>
      <c r="U709" s="572" t="s">
        <v>314</v>
      </c>
      <c r="AA709" s="27"/>
      <c r="AB709" s="27"/>
      <c r="AC709" s="1072"/>
      <c r="AD709" s="585"/>
    </row>
    <row r="710" spans="6:30" ht="10.5" customHeight="1">
      <c r="F710" s="371"/>
      <c r="G710" s="346"/>
      <c r="H710" s="346"/>
      <c r="I710" s="346"/>
      <c r="J710" s="646"/>
      <c r="K710" s="647"/>
      <c r="L710" s="187"/>
      <c r="M710" s="346"/>
      <c r="N710" s="346"/>
      <c r="O710" s="346"/>
      <c r="P710" s="346"/>
      <c r="Q710" s="346"/>
      <c r="R710" s="346"/>
      <c r="S710" s="346"/>
      <c r="T710" s="572" t="s">
        <v>1969</v>
      </c>
      <c r="U710" s="572" t="s">
        <v>122</v>
      </c>
      <c r="AA710" s="27"/>
      <c r="AB710" s="27"/>
      <c r="AC710" s="1072"/>
      <c r="AD710" s="585"/>
    </row>
    <row r="711" spans="6:30" ht="10.5" customHeight="1">
      <c r="F711" s="371"/>
      <c r="G711" s="346"/>
      <c r="H711" s="346"/>
      <c r="I711" s="346"/>
      <c r="J711" s="646"/>
      <c r="K711" s="647"/>
      <c r="L711" s="187"/>
      <c r="M711" s="346"/>
      <c r="N711" s="346"/>
      <c r="O711" s="346"/>
      <c r="P711" s="346"/>
      <c r="Q711" s="346"/>
      <c r="R711" s="346"/>
      <c r="S711" s="346"/>
      <c r="T711" s="572" t="s">
        <v>1971</v>
      </c>
      <c r="U711" s="572" t="s">
        <v>323</v>
      </c>
      <c r="AA711" s="27"/>
      <c r="AB711" s="27"/>
      <c r="AC711" s="1072"/>
      <c r="AD711" s="585"/>
    </row>
    <row r="712" spans="6:30" ht="10.5" customHeight="1">
      <c r="F712" s="371"/>
      <c r="G712" s="346"/>
      <c r="H712" s="346"/>
      <c r="I712" s="346"/>
      <c r="J712" s="646"/>
      <c r="K712" s="647"/>
      <c r="L712" s="187"/>
      <c r="M712" s="346"/>
      <c r="N712" s="346"/>
      <c r="O712" s="346"/>
      <c r="P712" s="346"/>
      <c r="Q712" s="346"/>
      <c r="R712" s="346"/>
      <c r="S712" s="346"/>
      <c r="T712" s="643" t="s">
        <v>1973</v>
      </c>
      <c r="U712" s="643" t="s">
        <v>184</v>
      </c>
      <c r="AA712" s="27"/>
      <c r="AB712" s="27"/>
      <c r="AC712" s="1072"/>
      <c r="AD712" s="585"/>
    </row>
    <row r="713" spans="6:30" ht="10.5" customHeight="1">
      <c r="F713" s="371"/>
      <c r="G713" s="346"/>
      <c r="H713" s="346"/>
      <c r="I713" s="346"/>
      <c r="J713" s="646"/>
      <c r="K713" s="647"/>
      <c r="L713" s="187"/>
      <c r="M713" s="346"/>
      <c r="N713" s="346"/>
      <c r="O713" s="346"/>
      <c r="P713" s="346"/>
      <c r="Q713" s="346"/>
      <c r="R713" s="346"/>
      <c r="S713" s="346"/>
      <c r="T713" s="572" t="s">
        <v>2876</v>
      </c>
      <c r="U713" s="572" t="s">
        <v>1911</v>
      </c>
      <c r="AA713" s="27"/>
      <c r="AB713" s="27"/>
      <c r="AC713" s="1073"/>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1314</v>
      </c>
      <c r="AA714" s="27"/>
      <c r="AB714" s="27"/>
      <c r="AC714" s="1072"/>
      <c r="AD714" s="585"/>
    </row>
    <row r="715" spans="6:30" ht="10.5" customHeight="1">
      <c r="F715" s="371"/>
      <c r="G715" s="346"/>
      <c r="H715" s="346"/>
      <c r="I715" s="346"/>
      <c r="J715" s="646"/>
      <c r="K715" s="647"/>
      <c r="L715" s="187"/>
      <c r="M715" s="346"/>
      <c r="N715" s="346"/>
      <c r="O715" s="346"/>
      <c r="P715" s="346"/>
      <c r="Q715" s="346"/>
      <c r="R715" s="346"/>
      <c r="S715" s="346"/>
      <c r="T715" s="572" t="s">
        <v>2098</v>
      </c>
      <c r="U715" s="572" t="s">
        <v>733</v>
      </c>
      <c r="AA715" s="27"/>
      <c r="AB715" s="27"/>
      <c r="AC715" s="1072"/>
      <c r="AD715" s="585"/>
    </row>
    <row r="716" spans="6:30" ht="10.5" customHeight="1">
      <c r="F716" s="371"/>
      <c r="G716" s="346"/>
      <c r="H716" s="346"/>
      <c r="I716" s="346"/>
      <c r="J716" s="646"/>
      <c r="K716" s="647"/>
      <c r="L716" s="187"/>
      <c r="M716" s="346"/>
      <c r="N716" s="346"/>
      <c r="O716" s="346"/>
      <c r="P716" s="346"/>
      <c r="Q716" s="346"/>
      <c r="R716" s="346"/>
      <c r="S716" s="346"/>
      <c r="T716" s="572" t="s">
        <v>2125</v>
      </c>
      <c r="U716" s="572" t="s">
        <v>106</v>
      </c>
      <c r="AA716" s="27"/>
      <c r="AB716" s="27"/>
      <c r="AC716" s="1072"/>
      <c r="AD716" s="585"/>
    </row>
    <row r="717" spans="6:30" ht="10.5" customHeight="1">
      <c r="F717" s="371"/>
      <c r="G717" s="346"/>
      <c r="H717" s="346"/>
      <c r="I717" s="346"/>
      <c r="J717" s="646"/>
      <c r="K717" s="647"/>
      <c r="L717" s="187"/>
      <c r="M717" s="346"/>
      <c r="N717" s="346"/>
      <c r="O717" s="346"/>
      <c r="P717" s="346"/>
      <c r="Q717" s="346"/>
      <c r="R717" s="346"/>
      <c r="S717" s="346"/>
      <c r="T717" s="572" t="s">
        <v>833</v>
      </c>
      <c r="U717" s="572" t="s">
        <v>2005</v>
      </c>
      <c r="AA717" s="27"/>
      <c r="AB717" s="27"/>
      <c r="AC717" s="1072"/>
      <c r="AD717" s="585"/>
    </row>
    <row r="718" spans="6:30" ht="10.5" customHeight="1">
      <c r="F718" s="371"/>
      <c r="G718" s="346"/>
      <c r="H718" s="346"/>
      <c r="I718" s="346"/>
      <c r="J718" s="646"/>
      <c r="K718" s="647"/>
      <c r="L718" s="187"/>
      <c r="M718" s="346"/>
      <c r="N718" s="346"/>
      <c r="O718" s="346"/>
      <c r="P718" s="346"/>
      <c r="Q718" s="346"/>
      <c r="R718" s="346"/>
      <c r="S718" s="346"/>
      <c r="T718" s="572" t="s">
        <v>2126</v>
      </c>
      <c r="U718" s="572" t="s">
        <v>2005</v>
      </c>
      <c r="AA718" s="27"/>
      <c r="AB718" s="27"/>
      <c r="AC718" s="1072"/>
      <c r="AD718" s="585"/>
    </row>
    <row r="719" spans="6:30" ht="10.5" customHeight="1">
      <c r="F719" s="371"/>
      <c r="G719" s="346"/>
      <c r="H719" s="346"/>
      <c r="I719" s="346"/>
      <c r="J719" s="646"/>
      <c r="K719" s="647"/>
      <c r="L719" s="187"/>
      <c r="M719" s="346"/>
      <c r="N719" s="346"/>
      <c r="O719" s="346"/>
      <c r="P719" s="346"/>
      <c r="Q719" s="346"/>
      <c r="R719" s="346"/>
      <c r="S719" s="346"/>
      <c r="T719" s="572" t="s">
        <v>2127</v>
      </c>
      <c r="U719" s="572" t="s">
        <v>1666</v>
      </c>
      <c r="AA719" s="27"/>
      <c r="AB719" s="27"/>
      <c r="AC719" s="1072"/>
      <c r="AD719" s="585"/>
    </row>
    <row r="720" spans="6:30" ht="10.5" customHeight="1">
      <c r="F720" s="371"/>
      <c r="G720" s="346"/>
      <c r="H720" s="346"/>
      <c r="I720" s="346"/>
      <c r="J720" s="646"/>
      <c r="K720" s="647"/>
      <c r="L720" s="187"/>
      <c r="M720" s="346"/>
      <c r="N720" s="346"/>
      <c r="O720" s="346"/>
      <c r="P720" s="346"/>
      <c r="Q720" s="346"/>
      <c r="R720" s="346"/>
      <c r="S720" s="346"/>
      <c r="T720" s="572" t="s">
        <v>2332</v>
      </c>
      <c r="U720" s="572" t="s">
        <v>1876</v>
      </c>
      <c r="AA720" s="27"/>
      <c r="AB720" s="27"/>
      <c r="AC720" s="1072"/>
      <c r="AD720" s="585"/>
    </row>
    <row r="721" spans="6:30" ht="10.5" customHeight="1">
      <c r="F721" s="371"/>
      <c r="G721" s="346"/>
      <c r="H721" s="346"/>
      <c r="I721" s="346"/>
      <c r="J721" s="646"/>
      <c r="K721" s="647"/>
      <c r="L721" s="187"/>
      <c r="M721" s="346"/>
      <c r="N721" s="346"/>
      <c r="O721" s="346"/>
      <c r="P721" s="346"/>
      <c r="Q721" s="346"/>
      <c r="R721" s="346"/>
      <c r="S721" s="346"/>
      <c r="T721" s="643" t="s">
        <v>2333</v>
      </c>
      <c r="U721" s="643" t="s">
        <v>159</v>
      </c>
      <c r="AA721" s="27"/>
      <c r="AB721" s="27"/>
      <c r="AC721" s="1072"/>
      <c r="AD721" s="585"/>
    </row>
    <row r="722" spans="6:30" ht="10.5" customHeight="1">
      <c r="F722" s="371"/>
      <c r="G722" s="346"/>
      <c r="H722" s="346"/>
      <c r="I722" s="346"/>
      <c r="J722" s="646"/>
      <c r="K722" s="647"/>
      <c r="L722" s="187"/>
      <c r="M722" s="346"/>
      <c r="N722" s="346"/>
      <c r="O722" s="346"/>
      <c r="P722" s="346"/>
      <c r="Q722" s="346"/>
      <c r="R722" s="346"/>
      <c r="S722" s="346"/>
      <c r="T722" s="572" t="s">
        <v>2334</v>
      </c>
      <c r="U722" s="572" t="s">
        <v>1668</v>
      </c>
      <c r="AA722" s="27"/>
      <c r="AB722" s="27"/>
      <c r="AC722" s="1073"/>
      <c r="AD722" s="585"/>
    </row>
    <row r="723" spans="6:30" ht="10.5" customHeight="1">
      <c r="F723" s="371"/>
      <c r="G723" s="346"/>
      <c r="H723" s="346"/>
      <c r="I723" s="346"/>
      <c r="J723" s="646"/>
      <c r="K723" s="647"/>
      <c r="L723" s="187"/>
      <c r="M723" s="346"/>
      <c r="N723" s="346"/>
      <c r="O723" s="346"/>
      <c r="P723" s="346"/>
      <c r="Q723" s="346"/>
      <c r="R723" s="346"/>
      <c r="S723" s="346"/>
      <c r="T723" s="572" t="s">
        <v>2335</v>
      </c>
      <c r="U723" s="572" t="s">
        <v>1105</v>
      </c>
      <c r="AA723" s="27"/>
      <c r="AB723" s="27"/>
      <c r="AC723" s="1072"/>
      <c r="AD723" s="585"/>
    </row>
    <row r="724" spans="6:30" ht="10.5" customHeight="1">
      <c r="F724" s="371"/>
      <c r="G724" s="346"/>
      <c r="H724" s="346"/>
      <c r="I724" s="346"/>
      <c r="J724" s="646"/>
      <c r="K724" s="647"/>
      <c r="L724" s="187"/>
      <c r="M724" s="346"/>
      <c r="N724" s="346"/>
      <c r="O724" s="346"/>
      <c r="P724" s="346"/>
      <c r="Q724" s="346"/>
      <c r="R724" s="346"/>
      <c r="S724" s="346"/>
      <c r="T724" s="572" t="s">
        <v>2336</v>
      </c>
      <c r="U724" s="572" t="s">
        <v>2397</v>
      </c>
      <c r="AA724" s="27"/>
      <c r="AB724" s="27"/>
      <c r="AC724" s="1072"/>
      <c r="AD724" s="585"/>
    </row>
    <row r="725" spans="6:30" ht="10.5" customHeight="1">
      <c r="F725" s="371"/>
      <c r="G725" s="346"/>
      <c r="H725" s="346"/>
      <c r="I725" s="346"/>
      <c r="J725" s="646"/>
      <c r="K725" s="647"/>
      <c r="L725" s="187"/>
      <c r="M725" s="346"/>
      <c r="N725" s="346"/>
      <c r="O725" s="346"/>
      <c r="P725" s="346"/>
      <c r="Q725" s="346"/>
      <c r="R725" s="346"/>
      <c r="S725" s="346"/>
      <c r="T725" s="572" t="s">
        <v>2261</v>
      </c>
      <c r="U725" s="572" t="s">
        <v>2173</v>
      </c>
      <c r="AA725" s="27"/>
      <c r="AB725" s="27"/>
      <c r="AC725" s="1072"/>
      <c r="AD725" s="585"/>
    </row>
    <row r="726" spans="6:30" ht="10.5" customHeight="1">
      <c r="F726" s="371"/>
      <c r="G726" s="346"/>
      <c r="H726" s="346"/>
      <c r="I726" s="346"/>
      <c r="J726" s="646"/>
      <c r="K726" s="647"/>
      <c r="L726" s="187"/>
      <c r="M726" s="346"/>
      <c r="N726" s="346"/>
      <c r="O726" s="346"/>
      <c r="P726" s="346"/>
      <c r="Q726" s="346"/>
      <c r="R726" s="346"/>
      <c r="S726" s="346"/>
      <c r="T726" s="572" t="s">
        <v>1626</v>
      </c>
      <c r="U726" s="572" t="s">
        <v>2399</v>
      </c>
      <c r="AA726" s="27"/>
      <c r="AB726" s="27"/>
      <c r="AC726" s="1072"/>
      <c r="AD726" s="585"/>
    </row>
    <row r="727" spans="6:30" ht="10.5" customHeight="1">
      <c r="F727" s="371"/>
      <c r="G727" s="346"/>
      <c r="H727" s="346"/>
      <c r="I727" s="346"/>
      <c r="J727" s="646"/>
      <c r="K727" s="647"/>
      <c r="L727" s="187"/>
      <c r="M727" s="346"/>
      <c r="N727" s="346"/>
      <c r="O727" s="346"/>
      <c r="P727" s="346"/>
      <c r="Q727" s="346"/>
      <c r="R727" s="346"/>
      <c r="S727" s="346"/>
      <c r="T727" s="572" t="s">
        <v>1627</v>
      </c>
      <c r="U727" s="572" t="s">
        <v>194</v>
      </c>
      <c r="AA727" s="27"/>
      <c r="AB727" s="27"/>
      <c r="AC727" s="1072"/>
      <c r="AD727" s="585"/>
    </row>
    <row r="728" spans="6:30" ht="10.5" customHeight="1">
      <c r="F728" s="371"/>
      <c r="G728" s="346"/>
      <c r="H728" s="346"/>
      <c r="I728" s="346"/>
      <c r="J728" s="646"/>
      <c r="K728" s="647"/>
      <c r="L728" s="187"/>
      <c r="M728" s="346"/>
      <c r="N728" s="346"/>
      <c r="O728" s="346"/>
      <c r="P728" s="346"/>
      <c r="Q728" s="346"/>
      <c r="R728" s="346"/>
      <c r="S728" s="346"/>
      <c r="T728" s="572" t="s">
        <v>1686</v>
      </c>
      <c r="U728" s="572" t="s">
        <v>162</v>
      </c>
      <c r="AA728" s="27"/>
      <c r="AB728" s="27"/>
      <c r="AC728" s="1072"/>
      <c r="AD728" s="585"/>
    </row>
    <row r="729" spans="6:30" ht="10.5" customHeight="1">
      <c r="F729" s="371"/>
      <c r="G729" s="346"/>
      <c r="H729" s="346"/>
      <c r="I729" s="346"/>
      <c r="J729" s="646"/>
      <c r="K729" s="647"/>
      <c r="L729" s="187"/>
      <c r="M729" s="346"/>
      <c r="N729" s="346"/>
      <c r="O729" s="346"/>
      <c r="P729" s="346"/>
      <c r="Q729" s="346"/>
      <c r="R729" s="346"/>
      <c r="S729" s="346"/>
      <c r="T729" s="572" t="s">
        <v>1077</v>
      </c>
      <c r="U729" s="572" t="s">
        <v>628</v>
      </c>
      <c r="AA729" s="27"/>
      <c r="AB729" s="27"/>
      <c r="AC729" s="1072"/>
      <c r="AD729" s="585"/>
    </row>
    <row r="730" spans="6:30" ht="10.5" customHeight="1">
      <c r="F730" s="371"/>
      <c r="G730" s="346"/>
      <c r="H730" s="346"/>
      <c r="I730" s="346"/>
      <c r="J730" s="646"/>
      <c r="K730" s="647"/>
      <c r="L730" s="187"/>
      <c r="M730" s="346"/>
      <c r="N730" s="346"/>
      <c r="O730" s="346"/>
      <c r="P730" s="346"/>
      <c r="Q730" s="346"/>
      <c r="R730" s="346"/>
      <c r="S730" s="346"/>
      <c r="T730" s="572" t="s">
        <v>818</v>
      </c>
      <c r="U730" s="572" t="s">
        <v>1950</v>
      </c>
      <c r="AA730" s="27"/>
      <c r="AB730" s="27"/>
      <c r="AC730" s="1072"/>
      <c r="AD730" s="585"/>
    </row>
    <row r="731" spans="6:30" ht="10.5" customHeight="1">
      <c r="F731" s="371"/>
      <c r="G731" s="346"/>
      <c r="H731" s="346"/>
      <c r="I731" s="346"/>
      <c r="J731" s="646"/>
      <c r="K731" s="647"/>
      <c r="L731" s="187"/>
      <c r="M731" s="346"/>
      <c r="N731" s="346"/>
      <c r="O731" s="346"/>
      <c r="P731" s="346"/>
      <c r="Q731" s="346"/>
      <c r="R731" s="346"/>
      <c r="S731" s="346"/>
      <c r="T731" s="572" t="s">
        <v>1687</v>
      </c>
      <c r="U731" s="572" t="s">
        <v>2531</v>
      </c>
      <c r="AA731" s="27"/>
      <c r="AB731" s="27"/>
      <c r="AC731" s="1072"/>
      <c r="AD731" s="585"/>
    </row>
    <row r="732" spans="6:30" ht="10.5" customHeight="1">
      <c r="F732" s="371"/>
      <c r="G732" s="346"/>
      <c r="H732" s="346"/>
      <c r="I732" s="346"/>
      <c r="J732" s="646"/>
      <c r="K732" s="647"/>
      <c r="L732" s="187"/>
      <c r="M732" s="346"/>
      <c r="N732" s="346"/>
      <c r="O732" s="346"/>
      <c r="P732" s="346"/>
      <c r="Q732" s="346"/>
      <c r="R732" s="346"/>
      <c r="S732" s="346"/>
      <c r="T732" s="572" t="s">
        <v>1688</v>
      </c>
      <c r="U732" s="572" t="s">
        <v>2242</v>
      </c>
      <c r="AA732" s="27"/>
      <c r="AB732" s="27"/>
      <c r="AC732" s="1072"/>
      <c r="AD732" s="585"/>
    </row>
    <row r="733" spans="6:30" ht="10.5" customHeight="1">
      <c r="F733" s="371"/>
      <c r="G733" s="346"/>
      <c r="H733" s="346"/>
      <c r="I733" s="346"/>
      <c r="J733" s="646"/>
      <c r="K733" s="647"/>
      <c r="L733" s="187"/>
      <c r="M733" s="346"/>
      <c r="N733" s="346"/>
      <c r="O733" s="346"/>
      <c r="P733" s="346"/>
      <c r="Q733" s="346"/>
      <c r="R733" s="346"/>
      <c r="S733" s="346"/>
      <c r="T733" s="572" t="s">
        <v>1689</v>
      </c>
      <c r="U733" s="572" t="s">
        <v>1668</v>
      </c>
      <c r="AA733" s="27"/>
      <c r="AB733" s="27"/>
      <c r="AC733" s="1072"/>
      <c r="AD733" s="585"/>
    </row>
    <row r="734" spans="6:30" ht="10.5" customHeight="1">
      <c r="F734" s="371"/>
      <c r="G734" s="346"/>
      <c r="H734" s="346"/>
      <c r="I734" s="346"/>
      <c r="J734" s="646"/>
      <c r="K734" s="647"/>
      <c r="L734" s="187"/>
      <c r="M734" s="346"/>
      <c r="N734" s="346"/>
      <c r="O734" s="346"/>
      <c r="P734" s="346"/>
      <c r="Q734" s="346"/>
      <c r="R734" s="346"/>
      <c r="S734" s="346"/>
      <c r="T734" s="572" t="s">
        <v>1690</v>
      </c>
      <c r="U734" s="572" t="s">
        <v>159</v>
      </c>
      <c r="AA734" s="27"/>
      <c r="AB734" s="27"/>
      <c r="AC734" s="1072"/>
      <c r="AD734" s="585"/>
    </row>
    <row r="735" spans="6:30" ht="10.5" customHeight="1">
      <c r="F735" s="371"/>
      <c r="G735" s="346"/>
      <c r="H735" s="346"/>
      <c r="I735" s="346"/>
      <c r="J735" s="646"/>
      <c r="K735" s="647"/>
      <c r="L735" s="187"/>
      <c r="M735" s="346"/>
      <c r="N735" s="346"/>
      <c r="O735" s="346"/>
      <c r="P735" s="346"/>
      <c r="Q735" s="346"/>
      <c r="R735" s="346"/>
      <c r="S735" s="346"/>
      <c r="T735" s="572" t="s">
        <v>1691</v>
      </c>
      <c r="U735" s="572" t="s">
        <v>657</v>
      </c>
      <c r="AA735" s="27"/>
      <c r="AB735" s="27"/>
      <c r="AC735" s="1072"/>
      <c r="AD735" s="585"/>
    </row>
    <row r="736" spans="6:30" ht="10.5" customHeight="1">
      <c r="F736" s="371"/>
      <c r="G736" s="346"/>
      <c r="H736" s="346"/>
      <c r="I736" s="346"/>
      <c r="J736" s="646"/>
      <c r="K736" s="647"/>
      <c r="L736" s="187"/>
      <c r="M736" s="346"/>
      <c r="N736" s="346"/>
      <c r="O736" s="346"/>
      <c r="P736" s="346"/>
      <c r="Q736" s="346"/>
      <c r="R736" s="346"/>
      <c r="S736" s="346"/>
      <c r="T736" s="572" t="s">
        <v>1692</v>
      </c>
      <c r="U736" s="572" t="s">
        <v>953</v>
      </c>
      <c r="AA736" s="27"/>
      <c r="AB736" s="27"/>
      <c r="AC736" s="1072"/>
      <c r="AD736" s="585"/>
    </row>
    <row r="737" spans="6:30" ht="10.5" customHeight="1">
      <c r="F737" s="371"/>
      <c r="G737" s="346"/>
      <c r="H737" s="346"/>
      <c r="I737" s="346"/>
      <c r="J737" s="646"/>
      <c r="K737" s="647"/>
      <c r="L737" s="187"/>
      <c r="M737" s="346"/>
      <c r="N737" s="346"/>
      <c r="O737" s="346"/>
      <c r="P737" s="346"/>
      <c r="Q737" s="346"/>
      <c r="R737" s="346"/>
      <c r="S737" s="346"/>
      <c r="T737" s="572" t="s">
        <v>1693</v>
      </c>
      <c r="U737" s="572" t="s">
        <v>1206</v>
      </c>
      <c r="AA737" s="27"/>
      <c r="AB737" s="27"/>
      <c r="AC737" s="1072"/>
      <c r="AD737" s="585"/>
    </row>
    <row r="738" spans="6:30" ht="10.5" customHeight="1">
      <c r="F738" s="371"/>
      <c r="G738" s="346"/>
      <c r="H738" s="346"/>
      <c r="I738" s="346"/>
      <c r="J738" s="646"/>
      <c r="K738" s="647"/>
      <c r="L738" s="187"/>
      <c r="M738" s="346"/>
      <c r="N738" s="346"/>
      <c r="O738" s="346"/>
      <c r="P738" s="346"/>
      <c r="Q738" s="346"/>
      <c r="R738" s="346"/>
      <c r="S738" s="346"/>
      <c r="T738" s="572" t="s">
        <v>1694</v>
      </c>
      <c r="U738" s="572" t="s">
        <v>671</v>
      </c>
      <c r="AA738" s="27"/>
      <c r="AB738" s="27"/>
      <c r="AC738" s="1072"/>
      <c r="AD738" s="585"/>
    </row>
    <row r="739" spans="6:30" ht="10.5" customHeight="1">
      <c r="F739" s="371"/>
      <c r="G739" s="346"/>
      <c r="H739" s="346"/>
      <c r="I739" s="346"/>
      <c r="J739" s="646"/>
      <c r="K739" s="647"/>
      <c r="L739" s="187"/>
      <c r="M739" s="346"/>
      <c r="N739" s="346"/>
      <c r="O739" s="346"/>
      <c r="P739" s="346"/>
      <c r="Q739" s="346"/>
      <c r="R739" s="346"/>
      <c r="S739" s="346"/>
      <c r="T739" s="572" t="s">
        <v>1078</v>
      </c>
      <c r="U739" s="572" t="s">
        <v>1668</v>
      </c>
      <c r="AA739" s="27"/>
      <c r="AB739" s="27"/>
      <c r="AC739" s="1072"/>
      <c r="AD739" s="585"/>
    </row>
    <row r="740" spans="6:30" ht="10.5" customHeight="1">
      <c r="F740" s="371"/>
      <c r="G740" s="346"/>
      <c r="H740" s="346"/>
      <c r="I740" s="346"/>
      <c r="J740" s="646"/>
      <c r="K740" s="647"/>
      <c r="L740" s="187"/>
      <c r="M740" s="346"/>
      <c r="N740" s="346"/>
      <c r="O740" s="346"/>
      <c r="P740" s="346"/>
      <c r="Q740" s="346"/>
      <c r="R740" s="346"/>
      <c r="S740" s="346"/>
      <c r="T740" s="572" t="s">
        <v>1695</v>
      </c>
      <c r="U740" s="572" t="s">
        <v>184</v>
      </c>
      <c r="AA740" s="27"/>
      <c r="AB740" s="27"/>
      <c r="AC740" s="1072"/>
      <c r="AD740" s="585"/>
    </row>
    <row r="741" spans="6:30" ht="10.5" customHeight="1">
      <c r="F741" s="371"/>
      <c r="G741" s="346"/>
      <c r="H741" s="346"/>
      <c r="I741" s="346"/>
      <c r="J741" s="646"/>
      <c r="K741" s="647"/>
      <c r="L741" s="187"/>
      <c r="M741" s="346"/>
      <c r="N741" s="346"/>
      <c r="O741" s="346"/>
      <c r="P741" s="346"/>
      <c r="Q741" s="346"/>
      <c r="R741" s="346"/>
      <c r="S741" s="346"/>
      <c r="T741" s="643" t="s">
        <v>1696</v>
      </c>
      <c r="U741" s="643" t="s">
        <v>175</v>
      </c>
      <c r="AA741" s="27"/>
      <c r="AB741" s="27"/>
      <c r="AC741" s="1072"/>
      <c r="AD741" s="585"/>
    </row>
    <row r="742" spans="6:30" ht="10.5" customHeight="1">
      <c r="F742" s="371"/>
      <c r="G742" s="346"/>
      <c r="H742" s="346"/>
      <c r="I742" s="346"/>
      <c r="J742" s="646"/>
      <c r="K742" s="647"/>
      <c r="L742" s="187"/>
      <c r="M742" s="346"/>
      <c r="N742" s="346"/>
      <c r="O742" s="346"/>
      <c r="P742" s="346"/>
      <c r="Q742" s="346"/>
      <c r="R742" s="346"/>
      <c r="S742" s="346"/>
      <c r="T742" s="572" t="s">
        <v>1697</v>
      </c>
      <c r="U742" s="572" t="s">
        <v>1950</v>
      </c>
      <c r="AA742" s="27"/>
      <c r="AB742" s="27"/>
      <c r="AC742" s="1073"/>
      <c r="AD742" s="585"/>
    </row>
    <row r="743" spans="6:30" ht="10.5" customHeight="1">
      <c r="F743" s="371"/>
      <c r="G743" s="346"/>
      <c r="H743" s="346"/>
      <c r="I743" s="346"/>
      <c r="J743" s="646"/>
      <c r="K743" s="647"/>
      <c r="L743" s="187"/>
      <c r="M743" s="346"/>
      <c r="N743" s="346"/>
      <c r="O743" s="346"/>
      <c r="P743" s="346"/>
      <c r="Q743" s="346"/>
      <c r="R743" s="346"/>
      <c r="S743" s="346"/>
      <c r="T743" s="572" t="s">
        <v>1698</v>
      </c>
      <c r="U743" s="572" t="s">
        <v>159</v>
      </c>
      <c r="AA743" s="27"/>
      <c r="AB743" s="27"/>
      <c r="AC743" s="1072"/>
      <c r="AD743" s="585"/>
    </row>
    <row r="744" spans="6:30" ht="10.5" customHeight="1">
      <c r="F744" s="371"/>
      <c r="G744" s="346"/>
      <c r="H744" s="346"/>
      <c r="I744" s="346"/>
      <c r="J744" s="646"/>
      <c r="K744" s="647"/>
      <c r="L744" s="187"/>
      <c r="M744" s="346"/>
      <c r="N744" s="346"/>
      <c r="O744" s="346"/>
      <c r="P744" s="346"/>
      <c r="Q744" s="346"/>
      <c r="R744" s="346"/>
      <c r="S744" s="346"/>
      <c r="T744" s="572" t="s">
        <v>1699</v>
      </c>
      <c r="U744" s="572" t="s">
        <v>1909</v>
      </c>
      <c r="AA744" s="27"/>
      <c r="AB744" s="27"/>
      <c r="AC744" s="1072"/>
      <c r="AD744" s="585"/>
    </row>
    <row r="745" spans="6:30" ht="10.5" customHeight="1">
      <c r="F745" s="371"/>
      <c r="G745" s="346"/>
      <c r="H745" s="346"/>
      <c r="I745" s="346"/>
      <c r="J745" s="646"/>
      <c r="K745" s="647"/>
      <c r="L745" s="187"/>
      <c r="M745" s="346"/>
      <c r="N745" s="346"/>
      <c r="O745" s="346"/>
      <c r="P745" s="346"/>
      <c r="Q745" s="346"/>
      <c r="R745" s="346"/>
      <c r="S745" s="346"/>
      <c r="T745" s="643" t="s">
        <v>1700</v>
      </c>
      <c r="U745" s="643" t="s">
        <v>1329</v>
      </c>
      <c r="AA745" s="27"/>
      <c r="AB745" s="27"/>
      <c r="AC745" s="1072"/>
      <c r="AD745" s="585"/>
    </row>
    <row r="746" spans="6:30" ht="10.5" customHeight="1">
      <c r="F746" s="371"/>
      <c r="G746" s="346"/>
      <c r="H746" s="346"/>
      <c r="I746" s="346"/>
      <c r="J746" s="646"/>
      <c r="K746" s="647"/>
      <c r="L746" s="187"/>
      <c r="M746" s="346"/>
      <c r="N746" s="346"/>
      <c r="O746" s="346"/>
      <c r="P746" s="346"/>
      <c r="Q746" s="346"/>
      <c r="R746" s="346"/>
      <c r="S746" s="346"/>
      <c r="T746" s="572" t="s">
        <v>1701</v>
      </c>
      <c r="U746" s="572" t="s">
        <v>953</v>
      </c>
      <c r="AA746" s="27"/>
      <c r="AB746" s="27"/>
      <c r="AC746" s="1073"/>
      <c r="AD746" s="585"/>
    </row>
    <row r="747" spans="6:30" ht="10.5" customHeight="1">
      <c r="F747" s="371"/>
      <c r="G747" s="346"/>
      <c r="H747" s="346"/>
      <c r="I747" s="346"/>
      <c r="J747" s="646"/>
      <c r="K747" s="647"/>
      <c r="L747" s="187"/>
      <c r="M747" s="346"/>
      <c r="N747" s="346"/>
      <c r="O747" s="346"/>
      <c r="P747" s="346"/>
      <c r="Q747" s="346"/>
      <c r="R747" s="346"/>
      <c r="S747" s="346"/>
      <c r="T747" s="572" t="s">
        <v>1702</v>
      </c>
      <c r="U747" s="572" t="s">
        <v>733</v>
      </c>
      <c r="AA747" s="27"/>
      <c r="AB747" s="27"/>
      <c r="AC747" s="1072"/>
      <c r="AD747" s="585"/>
    </row>
    <row r="748" spans="6:30" ht="10.5" customHeight="1">
      <c r="F748" s="371"/>
      <c r="G748" s="346"/>
      <c r="H748" s="346"/>
      <c r="I748" s="346"/>
      <c r="J748" s="646"/>
      <c r="K748" s="647"/>
      <c r="L748" s="187"/>
      <c r="M748" s="346"/>
      <c r="N748" s="346"/>
      <c r="O748" s="346"/>
      <c r="P748" s="346"/>
      <c r="Q748" s="346"/>
      <c r="R748" s="346"/>
      <c r="S748" s="346"/>
      <c r="T748" s="572" t="s">
        <v>1079</v>
      </c>
      <c r="U748" s="572" t="s">
        <v>2486</v>
      </c>
      <c r="AA748" s="27"/>
      <c r="AB748" s="27"/>
      <c r="AC748" s="1072"/>
      <c r="AD748" s="585"/>
    </row>
    <row r="749" spans="6:30" ht="10.5" customHeight="1">
      <c r="F749" s="371"/>
      <c r="G749" s="346"/>
      <c r="H749" s="346"/>
      <c r="I749" s="346"/>
      <c r="J749" s="646"/>
      <c r="K749" s="647"/>
      <c r="L749" s="187"/>
      <c r="M749" s="346"/>
      <c r="N749" s="346"/>
      <c r="O749" s="346"/>
      <c r="P749" s="346"/>
      <c r="Q749" s="346"/>
      <c r="R749" s="346"/>
      <c r="S749" s="346"/>
      <c r="T749" s="572" t="s">
        <v>1703</v>
      </c>
      <c r="U749" s="572" t="s">
        <v>314</v>
      </c>
      <c r="AA749" s="27"/>
      <c r="AB749" s="27"/>
      <c r="AC749" s="1072"/>
      <c r="AD749" s="585"/>
    </row>
    <row r="750" spans="6:30" ht="10.5" customHeight="1">
      <c r="F750" s="371"/>
      <c r="G750" s="346"/>
      <c r="H750" s="346"/>
      <c r="I750" s="346"/>
      <c r="J750" s="646"/>
      <c r="K750" s="647"/>
      <c r="L750" s="187"/>
      <c r="M750" s="346"/>
      <c r="N750" s="346"/>
      <c r="O750" s="346"/>
      <c r="P750" s="346"/>
      <c r="Q750" s="346"/>
      <c r="R750" s="346"/>
      <c r="S750" s="346"/>
      <c r="T750" s="572" t="s">
        <v>1704</v>
      </c>
      <c r="U750" s="572" t="s">
        <v>328</v>
      </c>
      <c r="AA750" s="27"/>
      <c r="AB750" s="27"/>
      <c r="AC750" s="1072"/>
      <c r="AD750" s="585"/>
    </row>
    <row r="751" spans="6:30" ht="10.5" customHeight="1">
      <c r="F751" s="371"/>
      <c r="G751" s="346"/>
      <c r="H751" s="346"/>
      <c r="I751" s="346"/>
      <c r="J751" s="646"/>
      <c r="K751" s="647"/>
      <c r="L751" s="187"/>
      <c r="M751" s="346"/>
      <c r="N751" s="346"/>
      <c r="O751" s="346"/>
      <c r="P751" s="346"/>
      <c r="Q751" s="346"/>
      <c r="R751" s="346"/>
      <c r="S751" s="346"/>
      <c r="T751" s="572" t="s">
        <v>1705</v>
      </c>
      <c r="U751" s="572" t="s">
        <v>164</v>
      </c>
      <c r="AA751" s="27"/>
      <c r="AB751" s="27"/>
      <c r="AC751" s="1072"/>
      <c r="AD751" s="585"/>
    </row>
    <row r="752" spans="6:30" ht="10.5" customHeight="1">
      <c r="F752" s="371"/>
      <c r="G752" s="346"/>
      <c r="H752" s="346"/>
      <c r="I752" s="346"/>
      <c r="J752" s="646"/>
      <c r="K752" s="647"/>
      <c r="L752" s="187"/>
      <c r="M752" s="346"/>
      <c r="N752" s="346"/>
      <c r="O752" s="346"/>
      <c r="P752" s="346"/>
      <c r="Q752" s="346"/>
      <c r="R752" s="346"/>
      <c r="S752" s="346"/>
      <c r="T752" s="572" t="s">
        <v>1706</v>
      </c>
      <c r="U752" s="572" t="s">
        <v>2008</v>
      </c>
      <c r="AA752" s="27"/>
      <c r="AB752" s="27"/>
      <c r="AC752" s="1072"/>
      <c r="AD752" s="585"/>
    </row>
    <row r="753" spans="6:30" ht="10.5" customHeight="1">
      <c r="F753" s="371"/>
      <c r="G753" s="346"/>
      <c r="H753" s="346"/>
      <c r="I753" s="346"/>
      <c r="J753" s="646"/>
      <c r="K753" s="647"/>
      <c r="L753" s="187"/>
      <c r="M753" s="346"/>
      <c r="N753" s="346"/>
      <c r="O753" s="346"/>
      <c r="P753" s="346"/>
      <c r="Q753" s="346"/>
      <c r="R753" s="346"/>
      <c r="S753" s="346"/>
      <c r="T753" s="572" t="s">
        <v>1707</v>
      </c>
      <c r="U753" s="572" t="s">
        <v>1456</v>
      </c>
      <c r="AA753" s="27"/>
      <c r="AB753" s="27"/>
      <c r="AC753" s="1072"/>
      <c r="AD753" s="585"/>
    </row>
    <row r="754" spans="6:30" ht="10.5" customHeight="1">
      <c r="F754" s="371"/>
      <c r="G754" s="346"/>
      <c r="H754" s="346"/>
      <c r="I754" s="346"/>
      <c r="J754" s="646"/>
      <c r="K754" s="647"/>
      <c r="L754" s="187"/>
      <c r="M754" s="346"/>
      <c r="N754" s="346"/>
      <c r="O754" s="346"/>
      <c r="P754" s="346"/>
      <c r="Q754" s="346"/>
      <c r="R754" s="346"/>
      <c r="S754" s="346"/>
      <c r="T754" s="572" t="s">
        <v>1708</v>
      </c>
      <c r="U754" s="572" t="s">
        <v>1878</v>
      </c>
      <c r="AA754" s="27"/>
      <c r="AB754" s="27"/>
      <c r="AC754" s="1072"/>
      <c r="AD754" s="585"/>
    </row>
    <row r="755" spans="6:30" ht="10.5" customHeight="1">
      <c r="F755" s="371"/>
      <c r="G755" s="346"/>
      <c r="H755" s="346"/>
      <c r="I755" s="346"/>
      <c r="J755" s="646"/>
      <c r="K755" s="647"/>
      <c r="L755" s="187"/>
      <c r="M755" s="346"/>
      <c r="N755" s="346"/>
      <c r="O755" s="346"/>
      <c r="P755" s="346"/>
      <c r="Q755" s="346"/>
      <c r="R755" s="346"/>
      <c r="S755" s="346"/>
      <c r="T755" s="572" t="s">
        <v>1709</v>
      </c>
      <c r="U755" s="572" t="s">
        <v>320</v>
      </c>
      <c r="AA755" s="27"/>
      <c r="AB755" s="27"/>
      <c r="AC755" s="1072"/>
      <c r="AD755" s="585"/>
    </row>
    <row r="756" spans="6:30" ht="10.5" customHeight="1">
      <c r="F756" s="371"/>
      <c r="G756" s="346"/>
      <c r="H756" s="346"/>
      <c r="I756" s="346"/>
      <c r="J756" s="646"/>
      <c r="K756" s="647"/>
      <c r="L756" s="187"/>
      <c r="M756" s="346"/>
      <c r="N756" s="346"/>
      <c r="O756" s="346"/>
      <c r="P756" s="346"/>
      <c r="Q756" s="346"/>
      <c r="R756" s="346"/>
      <c r="S756" s="346"/>
      <c r="T756" s="572" t="s">
        <v>1710</v>
      </c>
      <c r="U756" s="572" t="s">
        <v>104</v>
      </c>
      <c r="AA756" s="27"/>
      <c r="AB756" s="27"/>
      <c r="AC756" s="1072"/>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2401</v>
      </c>
      <c r="AA757" s="27"/>
      <c r="AB757" s="27"/>
      <c r="AC757" s="1072"/>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2397</v>
      </c>
      <c r="AA758" s="27"/>
      <c r="AB758" s="27"/>
      <c r="AC758" s="1072"/>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2590</v>
      </c>
      <c r="AA759" s="27"/>
      <c r="AB759" s="27"/>
      <c r="AC759" s="1072"/>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2009</v>
      </c>
      <c r="AA761" s="27"/>
      <c r="AB761" s="27"/>
      <c r="AC761" s="1072"/>
      <c r="AD761" s="585"/>
    </row>
    <row r="762" spans="6:30" ht="13.5">
      <c r="F762" s="371"/>
      <c r="G762" s="346"/>
      <c r="H762" s="346"/>
      <c r="I762" s="346"/>
      <c r="J762" s="646"/>
      <c r="K762" s="647"/>
      <c r="L762" s="187"/>
      <c r="M762" s="346"/>
      <c r="N762" s="346"/>
      <c r="O762" s="346"/>
      <c r="P762" s="346"/>
      <c r="Q762" s="346"/>
      <c r="R762" s="346"/>
      <c r="S762" s="346"/>
      <c r="T762" s="448" t="s">
        <v>297</v>
      </c>
      <c r="U762" s="448" t="s">
        <v>1329</v>
      </c>
      <c r="AA762" s="27"/>
      <c r="AB762" s="27"/>
      <c r="AC762" s="1072"/>
      <c r="AD762" s="585"/>
    </row>
    <row r="763" spans="6:30" ht="13.5">
      <c r="F763" s="371"/>
      <c r="G763" s="346"/>
      <c r="H763" s="346"/>
      <c r="I763" s="346"/>
      <c r="J763" s="646"/>
      <c r="K763" s="647"/>
      <c r="L763" s="187"/>
      <c r="M763" s="346"/>
      <c r="N763" s="346"/>
      <c r="O763" s="346"/>
      <c r="P763" s="346"/>
      <c r="Q763" s="346"/>
      <c r="R763" s="346"/>
      <c r="S763" s="346"/>
      <c r="T763" s="448" t="s">
        <v>298</v>
      </c>
      <c r="U763" s="448" t="s">
        <v>1915</v>
      </c>
      <c r="AA763" s="27"/>
      <c r="AB763" s="27"/>
      <c r="AC763" s="91"/>
      <c r="AD763" s="585"/>
    </row>
    <row r="764" spans="6:30" ht="13.5">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ht="13.5">
      <c r="F765" s="371"/>
      <c r="G765" s="346"/>
      <c r="H765" s="346"/>
      <c r="I765" s="346"/>
      <c r="J765" s="646"/>
      <c r="K765" s="647"/>
      <c r="L765" s="187"/>
      <c r="M765" s="346"/>
      <c r="N765" s="346"/>
      <c r="O765" s="346"/>
      <c r="P765" s="346"/>
      <c r="Q765" s="346"/>
      <c r="R765" s="346"/>
      <c r="S765" s="346"/>
      <c r="T765" s="448" t="s">
        <v>300</v>
      </c>
      <c r="U765" s="448" t="s">
        <v>669</v>
      </c>
      <c r="AA765" s="27"/>
      <c r="AB765" s="27"/>
      <c r="AC765" s="91"/>
      <c r="AD765" s="585"/>
    </row>
    <row r="766" spans="6:30" ht="13.5">
      <c r="F766" s="371"/>
      <c r="G766" s="346"/>
      <c r="H766" s="346"/>
      <c r="I766" s="346"/>
      <c r="J766" s="646"/>
      <c r="K766" s="647"/>
      <c r="L766" s="187"/>
      <c r="M766" s="346"/>
      <c r="N766" s="346"/>
      <c r="O766" s="346"/>
      <c r="P766" s="346"/>
      <c r="Q766" s="346"/>
      <c r="R766" s="346"/>
      <c r="S766" s="346"/>
      <c r="T766" s="448" t="s">
        <v>114</v>
      </c>
      <c r="U766" s="448" t="s">
        <v>1314</v>
      </c>
      <c r="AA766" s="27"/>
      <c r="AB766" s="27"/>
      <c r="AC766" s="91"/>
      <c r="AD766" s="585"/>
    </row>
    <row r="767" spans="6:30" ht="13.5">
      <c r="F767" s="371"/>
      <c r="G767" s="346"/>
      <c r="H767" s="346"/>
      <c r="I767" s="346"/>
      <c r="J767" s="646"/>
      <c r="K767" s="647"/>
      <c r="L767" s="187"/>
      <c r="M767" s="346"/>
      <c r="N767" s="346"/>
      <c r="O767" s="346"/>
      <c r="P767" s="346"/>
      <c r="Q767" s="346"/>
      <c r="R767" s="346"/>
      <c r="S767" s="346"/>
      <c r="T767" s="448" t="s">
        <v>1539</v>
      </c>
      <c r="U767" s="448" t="s">
        <v>671</v>
      </c>
      <c r="AA767" s="27"/>
      <c r="AB767" s="27"/>
      <c r="AC767" s="91"/>
      <c r="AD767" s="585"/>
    </row>
    <row r="768" spans="6:30" ht="13.5">
      <c r="F768" s="371"/>
      <c r="G768" s="346"/>
      <c r="H768" s="346"/>
      <c r="I768" s="346"/>
      <c r="J768" s="646"/>
      <c r="K768" s="647"/>
      <c r="L768" s="187"/>
      <c r="M768" s="346"/>
      <c r="N768" s="346"/>
      <c r="O768" s="346"/>
      <c r="P768" s="346"/>
      <c r="Q768" s="346"/>
      <c r="R768" s="346"/>
      <c r="S768" s="346"/>
      <c r="T768" s="448" t="s">
        <v>1080</v>
      </c>
      <c r="U768" s="448" t="s">
        <v>159</v>
      </c>
      <c r="AA768" s="27"/>
      <c r="AB768" s="27"/>
      <c r="AC768" s="91"/>
      <c r="AD768" s="585"/>
    </row>
    <row r="769" spans="6:30" ht="13.5">
      <c r="F769" s="371"/>
      <c r="G769" s="346"/>
      <c r="H769" s="346"/>
      <c r="I769" s="346"/>
      <c r="J769" s="646"/>
      <c r="K769" s="647"/>
      <c r="L769" s="187"/>
      <c r="M769" s="346"/>
      <c r="N769" s="346"/>
      <c r="O769" s="346"/>
      <c r="P769" s="346"/>
      <c r="Q769" s="346"/>
      <c r="R769" s="346"/>
      <c r="S769" s="346"/>
      <c r="T769" s="448" t="s">
        <v>1540</v>
      </c>
      <c r="U769" s="448" t="s">
        <v>733</v>
      </c>
      <c r="AA769" s="27"/>
      <c r="AB769" s="27"/>
      <c r="AC769" s="91"/>
      <c r="AD769" s="585"/>
    </row>
    <row r="770" spans="6:30" ht="13.5">
      <c r="F770" s="371"/>
      <c r="G770" s="346"/>
      <c r="H770" s="346"/>
      <c r="I770" s="346"/>
      <c r="J770" s="646"/>
      <c r="K770" s="346"/>
      <c r="L770" s="346"/>
      <c r="M770" s="346"/>
      <c r="N770" s="346"/>
      <c r="O770" s="346"/>
      <c r="P770" s="346"/>
      <c r="Q770" s="346"/>
      <c r="R770" s="346"/>
      <c r="S770" s="346"/>
      <c r="T770" s="448" t="s">
        <v>1541</v>
      </c>
      <c r="U770" s="448" t="s">
        <v>1777</v>
      </c>
      <c r="AA770" s="27"/>
      <c r="AB770" s="27"/>
      <c r="AC770" s="91"/>
      <c r="AD770" s="585"/>
    </row>
    <row r="771" spans="6:30" ht="13.5">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ht="13.5">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ht="13.5">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ht="13.5">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ht="13.5">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ht="13.5">
      <c r="F776" s="371"/>
      <c r="G776" s="346"/>
      <c r="H776" s="346"/>
      <c r="I776" s="346"/>
      <c r="J776" s="346"/>
      <c r="K776" s="346"/>
      <c r="L776" s="346"/>
      <c r="M776" s="346"/>
      <c r="N776" s="346"/>
      <c r="O776" s="346"/>
      <c r="P776" s="346"/>
      <c r="Q776" s="346"/>
      <c r="R776" s="346"/>
      <c r="S776" s="346"/>
      <c r="T776" s="448" t="s">
        <v>1546</v>
      </c>
      <c r="U776" s="448" t="s">
        <v>1878</v>
      </c>
      <c r="AA776" s="27"/>
      <c r="AB776" s="27"/>
      <c r="AC776" s="91"/>
      <c r="AD776" s="585"/>
    </row>
    <row r="777" spans="6:30" ht="13.5">
      <c r="F777" s="371"/>
      <c r="G777" s="346"/>
      <c r="H777" s="346"/>
      <c r="I777" s="346"/>
      <c r="J777" s="346"/>
      <c r="K777" s="346"/>
      <c r="L777" s="346"/>
      <c r="M777" s="346"/>
      <c r="N777" s="346"/>
      <c r="O777" s="346"/>
      <c r="P777" s="346"/>
      <c r="Q777" s="346"/>
      <c r="R777" s="346"/>
      <c r="S777" s="346"/>
      <c r="T777" s="448" t="s">
        <v>1547</v>
      </c>
      <c r="U777" s="448" t="s">
        <v>2179</v>
      </c>
      <c r="AA777" s="27"/>
      <c r="AB777" s="27"/>
      <c r="AC777" s="91"/>
      <c r="AD777" s="585"/>
    </row>
    <row r="778" spans="6:30" ht="13.5">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ht="13.5">
      <c r="F779" s="371"/>
      <c r="G779" s="346"/>
      <c r="H779" s="346"/>
      <c r="I779" s="346"/>
      <c r="J779" s="346"/>
      <c r="K779" s="346"/>
      <c r="L779" s="346"/>
      <c r="M779" s="346"/>
      <c r="N779" s="346"/>
      <c r="O779" s="346"/>
      <c r="P779" s="346"/>
      <c r="Q779" s="346"/>
      <c r="R779" s="346"/>
      <c r="S779" s="346"/>
      <c r="T779" s="448" t="s">
        <v>2381</v>
      </c>
      <c r="U779" s="448" t="s">
        <v>671</v>
      </c>
      <c r="AA779" s="27"/>
      <c r="AB779" s="27"/>
      <c r="AC779" s="91"/>
      <c r="AD779" s="585"/>
    </row>
    <row r="780" spans="6:30" ht="13.5">
      <c r="F780" s="371"/>
      <c r="G780" s="346"/>
      <c r="H780" s="346"/>
      <c r="I780" s="346"/>
      <c r="J780" s="346"/>
      <c r="K780" s="346"/>
      <c r="L780" s="346"/>
      <c r="M780" s="346"/>
      <c r="N780" s="346"/>
      <c r="O780" s="346"/>
      <c r="P780" s="346"/>
      <c r="Q780" s="346"/>
      <c r="R780" s="346"/>
      <c r="S780" s="346"/>
      <c r="T780" s="448" t="s">
        <v>2382</v>
      </c>
      <c r="U780" s="448" t="s">
        <v>657</v>
      </c>
      <c r="AA780" s="27"/>
      <c r="AB780" s="27"/>
      <c r="AC780" s="91"/>
      <c r="AD780" s="585"/>
    </row>
    <row r="781" spans="6:30" ht="13.5">
      <c r="F781" s="371"/>
      <c r="G781" s="346"/>
      <c r="H781" s="346"/>
      <c r="I781" s="346"/>
      <c r="J781" s="346"/>
      <c r="K781" s="346"/>
      <c r="L781" s="346"/>
      <c r="M781" s="346"/>
      <c r="N781" s="346"/>
      <c r="O781" s="346"/>
      <c r="P781" s="346"/>
      <c r="Q781" s="346"/>
      <c r="R781" s="346"/>
      <c r="S781" s="346"/>
      <c r="T781" s="448" t="s">
        <v>2383</v>
      </c>
      <c r="U781" s="448" t="s">
        <v>328</v>
      </c>
      <c r="AA781" s="27"/>
      <c r="AB781" s="27"/>
      <c r="AC781" s="91"/>
      <c r="AD781" s="585"/>
    </row>
    <row r="782" spans="6:30" ht="13.5">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ht="13.5">
      <c r="F783" s="371"/>
      <c r="G783" s="346"/>
      <c r="H783" s="346"/>
      <c r="I783" s="346"/>
      <c r="J783" s="346"/>
      <c r="K783" s="346"/>
      <c r="L783" s="346"/>
      <c r="M783" s="346"/>
      <c r="N783" s="346"/>
      <c r="O783" s="346"/>
      <c r="P783" s="346"/>
      <c r="Q783" s="346"/>
      <c r="R783" s="346"/>
      <c r="S783" s="346"/>
      <c r="T783" s="448" t="s">
        <v>835</v>
      </c>
      <c r="U783" s="448" t="s">
        <v>2005</v>
      </c>
      <c r="AA783" s="27"/>
      <c r="AB783" s="27"/>
      <c r="AC783" s="91"/>
      <c r="AD783" s="585"/>
    </row>
    <row r="784" spans="6:30" ht="13.5">
      <c r="F784" s="371"/>
      <c r="G784" s="346"/>
      <c r="H784" s="346"/>
      <c r="I784" s="346"/>
      <c r="J784" s="346"/>
      <c r="K784" s="346"/>
      <c r="L784" s="346"/>
      <c r="M784" s="346"/>
      <c r="N784" s="346"/>
      <c r="O784" s="346"/>
      <c r="P784" s="346"/>
      <c r="Q784" s="346"/>
      <c r="R784" s="346"/>
      <c r="S784" s="346"/>
      <c r="T784" s="448" t="s">
        <v>2877</v>
      </c>
      <c r="U784" s="448" t="s">
        <v>114</v>
      </c>
      <c r="AA784" s="27"/>
      <c r="AB784" s="27"/>
      <c r="AC784" s="91"/>
      <c r="AD784" s="585"/>
    </row>
    <row r="785" spans="6:30" ht="13.5">
      <c r="F785" s="371"/>
      <c r="G785" s="346"/>
      <c r="H785" s="346"/>
      <c r="I785" s="346"/>
      <c r="J785" s="346"/>
      <c r="K785" s="346"/>
      <c r="L785" s="346"/>
      <c r="M785" s="346"/>
      <c r="N785" s="346"/>
      <c r="O785" s="346"/>
      <c r="P785" s="346"/>
      <c r="Q785" s="346"/>
      <c r="R785" s="346"/>
      <c r="S785" s="346"/>
      <c r="T785" s="448" t="s">
        <v>836</v>
      </c>
      <c r="U785" s="448" t="s">
        <v>1911</v>
      </c>
      <c r="AA785" s="27"/>
      <c r="AB785" s="27"/>
      <c r="AC785" s="91"/>
      <c r="AD785" s="585"/>
    </row>
    <row r="786" spans="6:30" ht="13.5">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ht="13.5">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5">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S2102"/>
  <sheetViews>
    <sheetView showGridLines="0" zoomScaleNormal="100" workbookViewId="0">
      <selection sqref="A1:XFD1048576"/>
    </sheetView>
  </sheetViews>
  <sheetFormatPr defaultColWidth="9.140625" defaultRowHeight="12.75"/>
  <cols>
    <col min="1" max="7" width="9.28515625" style="742" bestFit="1" customWidth="1"/>
    <col min="8" max="8" width="12.28515625" style="742" bestFit="1" customWidth="1"/>
    <col min="9" max="9" width="14.42578125" style="742" bestFit="1" customWidth="1"/>
    <col min="10" max="10" width="12.28515625" style="742" bestFit="1" customWidth="1"/>
    <col min="11" max="15" width="13" style="742" bestFit="1" customWidth="1"/>
    <col min="16" max="16" width="12.28515625" style="742" bestFit="1" customWidth="1"/>
    <col min="17" max="357" width="9.28515625" style="742" bestFit="1" customWidth="1"/>
    <col min="358" max="16384" width="9.140625" style="742"/>
  </cols>
  <sheetData>
    <row r="1" spans="1:1" ht="15.75">
      <c r="A1" s="2717" t="s">
        <v>979</v>
      </c>
    </row>
    <row r="2" spans="1:1" ht="16.5">
      <c r="A2" s="1644" t="str">
        <f>'Part I-Project Information'!F34</f>
        <v>Stone Terrace Phase II</v>
      </c>
    </row>
    <row r="3" spans="1:1" ht="16.5">
      <c r="A3" s="1644" t="str">
        <f>CONCATENATE('Part I-Project Information'!F38,", ", 'Part I-Project Information'!J39," County")</f>
        <v>Stonecrest, DeKalb County</v>
      </c>
    </row>
    <row r="5" spans="1:1" ht="12.75" customHeight="1">
      <c r="A5" s="1682" t="str">
        <f>'Project Narrative'!$A$5</f>
        <v>Stone Terrace is a proposed new construction affordable community consisting of 84 units.  It is located in the newly formed city of Stone Crest which is on the eastern side of the Atlanta MSA.  The project will be a high quailty affordable housing community built in the garden style.   The community will have a mix of one, two, three, and four bedroom units all targeting to families earning 60% of the area median income or less.  The property is part of a larger planned development that will eventually contain a mix of residential and commercial properties.  Given the sites easy access to I20, the growing need for affordable housing, and the high quaily construction, we believe Stone Terrace will be a very succesful project that tenants will love to call home.</v>
      </c>
    </row>
    <row r="6" spans="1:1">
      <c r="A6" s="1682"/>
    </row>
    <row r="7" spans="1:1">
      <c r="A7" s="1682"/>
    </row>
    <row r="8" spans="1:1">
      <c r="A8" s="1682"/>
    </row>
    <row r="9" spans="1:1">
      <c r="A9" s="1682"/>
    </row>
    <row r="10" spans="1:1">
      <c r="A10" s="1682"/>
    </row>
    <row r="11" spans="1:1">
      <c r="A11" s="1682"/>
    </row>
    <row r="12" spans="1:1">
      <c r="A12" s="1682"/>
    </row>
    <row r="13" spans="1:1">
      <c r="A13" s="1682"/>
    </row>
    <row r="14" spans="1:1">
      <c r="A14" s="1682"/>
    </row>
    <row r="15" spans="1:1">
      <c r="A15" s="1682"/>
    </row>
    <row r="16" spans="1:1">
      <c r="A16" s="1682"/>
    </row>
    <row r="17" spans="1:16">
      <c r="A17" s="1682"/>
    </row>
    <row r="18" spans="1:16">
      <c r="A18" s="1682"/>
    </row>
    <row r="19" spans="1:16">
      <c r="A19" s="1682"/>
    </row>
    <row r="20" spans="1:16">
      <c r="A20" s="1682"/>
    </row>
    <row r="21" spans="1:16">
      <c r="A21" s="1682"/>
    </row>
    <row r="22" spans="1:16">
      <c r="A22" s="1682"/>
    </row>
    <row r="23" spans="1:16">
      <c r="A23" s="1682"/>
    </row>
    <row r="24" spans="1:16">
      <c r="A24" s="1647" t="str">
        <f>CONCATENATE("PART ONE - PROJECT INFORMATION"," - ",$O$6," ",$F$34,", ",'Part I-Project Information'!F61,", ",'Part I-Project Information'!J62," County")</f>
        <v>PART ONE - PROJECT INFORMATION -  4% Credit/TE Bond, ,  County</v>
      </c>
      <c r="B24" s="1647"/>
      <c r="C24" s="1647"/>
      <c r="D24" s="1647"/>
      <c r="E24" s="1647"/>
      <c r="F24" s="1647"/>
      <c r="G24" s="1647"/>
      <c r="H24" s="1647"/>
      <c r="I24" s="1647"/>
      <c r="J24" s="1647"/>
      <c r="K24" s="1647"/>
      <c r="L24" s="1647"/>
      <c r="M24" s="1647"/>
      <c r="N24" s="1647"/>
      <c r="O24" s="1647"/>
      <c r="P24" s="1647"/>
    </row>
    <row r="25" spans="1:16">
      <c r="A25" s="1651"/>
      <c r="B25" s="1651"/>
      <c r="C25" s="1651"/>
      <c r="D25" s="1651"/>
      <c r="E25" s="1651"/>
      <c r="F25" s="1651"/>
      <c r="G25" s="1651"/>
      <c r="H25" s="1651"/>
      <c r="I25" s="1651"/>
      <c r="J25" s="1651"/>
      <c r="K25" s="1651"/>
      <c r="L25" s="1651"/>
      <c r="M25" s="1651"/>
      <c r="N25" s="1651"/>
      <c r="O25" s="1651"/>
      <c r="P25" s="1651"/>
    </row>
    <row r="26" spans="1:16" ht="12.75" customHeight="1">
      <c r="A26" s="1703" t="s">
        <v>4463</v>
      </c>
      <c r="B26" s="1703"/>
      <c r="C26" s="1703"/>
      <c r="D26" s="1703"/>
      <c r="E26" s="1703"/>
      <c r="F26" s="1703"/>
      <c r="G26" s="1703"/>
      <c r="H26" s="1703"/>
      <c r="I26" s="1703"/>
      <c r="J26" s="1703"/>
      <c r="K26" s="1703"/>
      <c r="L26" s="1703"/>
      <c r="M26" s="1703"/>
      <c r="N26" s="1703"/>
      <c r="O26" s="1703"/>
      <c r="P26" s="1703"/>
    </row>
    <row r="27" spans="1:16">
      <c r="A27" s="1651"/>
      <c r="B27" s="1651"/>
      <c r="C27" s="1651"/>
      <c r="D27" s="1651"/>
      <c r="E27" s="1651"/>
      <c r="F27" s="1651"/>
      <c r="G27" s="1651"/>
      <c r="H27" s="1651"/>
      <c r="I27" s="1651"/>
      <c r="J27" s="1651"/>
      <c r="K27" s="1651"/>
      <c r="L27" s="1651"/>
      <c r="M27" s="1651"/>
      <c r="N27" s="1651"/>
      <c r="O27" s="1651"/>
      <c r="P27" s="1651"/>
    </row>
    <row r="28" spans="1:16" ht="13.5">
      <c r="A28" s="1647"/>
      <c r="B28" s="1654" t="s">
        <v>2364</v>
      </c>
      <c r="C28" s="1647"/>
      <c r="D28" s="1647"/>
      <c r="E28" s="1647"/>
      <c r="F28" s="1651"/>
      <c r="G28" s="1649" t="s">
        <v>5140</v>
      </c>
      <c r="H28" s="1647"/>
      <c r="I28" s="1647"/>
      <c r="J28" s="1647"/>
      <c r="K28" s="1647"/>
      <c r="L28" s="1651"/>
      <c r="M28" s="1647"/>
      <c r="N28" s="1647"/>
      <c r="O28" s="1647"/>
      <c r="P28" s="1657" t="s">
        <v>3872</v>
      </c>
    </row>
    <row r="29" spans="1:16" ht="14.25" customHeight="1">
      <c r="A29" s="1647"/>
      <c r="B29" s="2718" t="str">
        <f>'Part I-Project Information'!B6</f>
        <v>May 2019 Final</v>
      </c>
      <c r="C29" s="2718">
        <f>'Part I-Project Information'!C6</f>
        <v>0</v>
      </c>
      <c r="D29" s="2718">
        <f>'Part I-Project Information'!D6</f>
        <v>0</v>
      </c>
      <c r="E29" s="1636"/>
      <c r="F29" s="1651"/>
      <c r="G29" s="1649" t="s">
        <v>5141</v>
      </c>
      <c r="H29" s="1651"/>
      <c r="I29" s="1651"/>
      <c r="J29" s="1651"/>
      <c r="K29" s="1647"/>
      <c r="L29" s="1647"/>
      <c r="M29" s="1647"/>
      <c r="N29" s="1647"/>
      <c r="O29" s="1647" t="str">
        <f>'Part I-Project Information'!$O$6</f>
        <v>2019-5</v>
      </c>
      <c r="P29" s="1647"/>
    </row>
    <row r="30" spans="1:16" ht="12.75" customHeight="1">
      <c r="A30" s="1647"/>
      <c r="B30" s="2718">
        <f>'Part I-Project Information'!B7</f>
        <v>0</v>
      </c>
      <c r="C30" s="2718">
        <f>'Part I-Project Information'!C7</f>
        <v>0</v>
      </c>
      <c r="D30" s="2718">
        <f>'Part I-Project Information'!D7</f>
        <v>0</v>
      </c>
      <c r="E30" s="1636"/>
      <c r="F30" s="1647"/>
      <c r="G30" s="1652" t="s">
        <v>3318</v>
      </c>
      <c r="H30" s="1651"/>
      <c r="I30" s="1651"/>
      <c r="J30" s="1651"/>
      <c r="K30" s="1647"/>
      <c r="L30" s="1647"/>
      <c r="M30" s="1647"/>
      <c r="N30" s="1647"/>
      <c r="O30" s="1647"/>
      <c r="P30" s="1647"/>
    </row>
    <row r="31" spans="1:16" ht="12.75" customHeight="1">
      <c r="A31" s="1651"/>
      <c r="B31" s="2718">
        <f>'Part I-Project Information'!B8</f>
        <v>0</v>
      </c>
      <c r="C31" s="2718">
        <f>'Part I-Project Information'!C8</f>
        <v>0</v>
      </c>
      <c r="D31" s="2718">
        <f>'Part I-Project Information'!D8</f>
        <v>0</v>
      </c>
      <c r="E31" s="1651"/>
      <c r="F31" s="1647"/>
      <c r="G31" s="1647"/>
      <c r="H31" s="1651"/>
      <c r="I31" s="1651"/>
      <c r="J31" s="1647"/>
      <c r="K31" s="1647"/>
      <c r="L31" s="1647"/>
      <c r="M31" s="1651"/>
      <c r="N31" s="1647"/>
      <c r="O31" s="1647"/>
      <c r="P31" s="1647"/>
    </row>
    <row r="32" spans="1:16">
      <c r="A32" s="1647" t="s">
        <v>616</v>
      </c>
      <c r="B32" s="1647" t="s">
        <v>2375</v>
      </c>
      <c r="C32" s="1647"/>
      <c r="D32" s="1653"/>
      <c r="E32" s="1651"/>
      <c r="F32" s="1654" t="s">
        <v>3800</v>
      </c>
      <c r="G32" s="1647"/>
      <c r="H32" s="1647"/>
      <c r="I32" s="1655">
        <f>'Part I-Project Information'!I9</f>
        <v>660058</v>
      </c>
      <c r="J32" s="1655">
        <f>'Part I-Project Information'!J9</f>
        <v>0</v>
      </c>
      <c r="K32" s="1647"/>
      <c r="L32" s="1647" t="s">
        <v>3801</v>
      </c>
      <c r="M32" s="1647"/>
      <c r="N32" s="1647"/>
      <c r="O32" s="1656">
        <f>'Part I-Project Information'!O9</f>
        <v>0</v>
      </c>
      <c r="P32" s="1656">
        <f>'Part I-Project Information'!P9</f>
        <v>0</v>
      </c>
    </row>
    <row r="33" spans="1:16">
      <c r="A33" s="1647"/>
      <c r="B33" s="1647"/>
      <c r="C33" s="1647"/>
      <c r="D33" s="1653"/>
      <c r="E33" s="1651"/>
      <c r="F33" s="1651"/>
      <c r="G33" s="1647"/>
      <c r="H33" s="1647"/>
      <c r="I33" s="1654"/>
      <c r="J33" s="1647"/>
      <c r="K33" s="1647"/>
      <c r="L33" s="1647"/>
      <c r="M33" s="1647"/>
      <c r="N33" s="1657"/>
      <c r="O33" s="1647"/>
      <c r="P33" s="1647"/>
    </row>
    <row r="34" spans="1:16" ht="13.5">
      <c r="A34" s="1654" t="s">
        <v>740</v>
      </c>
      <c r="B34" s="1647" t="s">
        <v>2040</v>
      </c>
      <c r="C34" s="1647"/>
      <c r="D34" s="1647"/>
      <c r="E34" s="1647"/>
      <c r="F34" s="1710" t="str">
        <f>'Part I-Project Information'!$F$11</f>
        <v>4% Credit/TE Bond</v>
      </c>
      <c r="G34" s="1710"/>
      <c r="H34" s="1710"/>
      <c r="I34" s="2719" t="s">
        <v>3715</v>
      </c>
      <c r="J34" s="1647" t="s">
        <v>5142</v>
      </c>
      <c r="K34" s="1647"/>
      <c r="L34" s="1651"/>
      <c r="M34" s="1647"/>
      <c r="N34" s="1647"/>
      <c r="O34" s="1647" t="str">
        <f>'Part I-Project Information'!$O$11</f>
        <v>2019PA-538</v>
      </c>
      <c r="P34" s="1647"/>
    </row>
    <row r="35" spans="1:16" ht="13.5">
      <c r="A35" s="1651"/>
      <c r="B35" s="1665"/>
      <c r="C35" s="1665"/>
      <c r="D35" s="1665"/>
      <c r="E35" s="1665"/>
      <c r="F35" s="1647"/>
      <c r="G35" s="1647"/>
      <c r="H35" s="1651"/>
      <c r="I35" s="1647"/>
      <c r="J35" s="1649" t="s">
        <v>5095</v>
      </c>
      <c r="K35" s="1654"/>
      <c r="L35" s="1647"/>
      <c r="M35" s="1651"/>
      <c r="N35" s="1647"/>
      <c r="O35" s="1647" t="str">
        <f>'Part I-Project Information'!$O$12</f>
        <v>No</v>
      </c>
      <c r="P35" s="1647"/>
    </row>
    <row r="36" spans="1:16">
      <c r="A36" s="1651"/>
      <c r="B36" s="1665"/>
      <c r="C36" s="1665"/>
      <c r="D36" s="1665"/>
      <c r="E36" s="1665"/>
      <c r="F36" s="1647"/>
      <c r="G36" s="1647"/>
      <c r="H36" s="1651"/>
      <c r="I36" s="1647"/>
      <c r="J36" s="1654"/>
      <c r="K36" s="1654"/>
      <c r="L36" s="1647"/>
      <c r="M36" s="1651"/>
      <c r="N36" s="1647"/>
      <c r="O36" s="1647"/>
      <c r="P36" s="1647"/>
    </row>
    <row r="37" spans="1:16" ht="13.5">
      <c r="A37" s="1651"/>
      <c r="B37" s="1665" t="s">
        <v>5055</v>
      </c>
      <c r="C37" s="1665"/>
      <c r="D37" s="1665"/>
      <c r="E37" s="1665"/>
      <c r="F37" s="1729" t="str">
        <f>'Part I-Project Information'!F14</f>
        <v>No</v>
      </c>
      <c r="G37" s="1654" t="s">
        <v>5056</v>
      </c>
      <c r="H37" s="1647"/>
      <c r="I37" s="1647"/>
      <c r="J37" s="1647"/>
      <c r="K37" s="1647"/>
      <c r="L37" s="1647"/>
      <c r="M37" s="1647"/>
      <c r="N37" s="1710" t="str">
        <f>'Part I-Project Information'!N14</f>
        <v>&lt;&lt;Select previous Application Type&gt;&gt;</v>
      </c>
      <c r="O37" s="1710">
        <f>'Part I-Project Information'!O14</f>
        <v>0</v>
      </c>
      <c r="P37" s="1710">
        <f>'Part I-Project Information'!P14</f>
        <v>0</v>
      </c>
    </row>
    <row r="38" spans="1:16">
      <c r="A38" s="1651"/>
      <c r="B38" s="1647" t="s">
        <v>3873</v>
      </c>
      <c r="C38" s="1647"/>
      <c r="D38" s="1647"/>
      <c r="E38" s="1647"/>
      <c r="F38" s="2023">
        <f>'Part I-Project Information'!F15</f>
        <v>0</v>
      </c>
      <c r="G38" s="2023">
        <f>'Part I-Project Information'!G15</f>
        <v>0</v>
      </c>
      <c r="H38" s="2023">
        <f>'Part I-Project Information'!H15</f>
        <v>0</v>
      </c>
      <c r="I38" s="2023">
        <f>'Part I-Project Information'!I15</f>
        <v>0</v>
      </c>
      <c r="J38" s="2023">
        <f>'Part I-Project Information'!J15</f>
        <v>0</v>
      </c>
      <c r="K38" s="2023">
        <f>'Part I-Project Information'!K15</f>
        <v>0</v>
      </c>
      <c r="L38" s="1647" t="s">
        <v>5042</v>
      </c>
      <c r="M38" s="1647"/>
      <c r="N38" s="1647"/>
      <c r="O38" s="1647">
        <f>'Part I-Project Information'!O15</f>
        <v>0</v>
      </c>
      <c r="P38" s="1647">
        <f>'Part I-Project Information'!P15</f>
        <v>0</v>
      </c>
    </row>
    <row r="39" spans="1:16" ht="13.5">
      <c r="A39" s="1651"/>
      <c r="B39" s="1647" t="s">
        <v>3799</v>
      </c>
      <c r="C39" s="1647"/>
      <c r="D39" s="1647"/>
      <c r="E39" s="1647"/>
      <c r="F39" s="1729">
        <f>'Part I-Project Information'!F16</f>
        <v>0</v>
      </c>
      <c r="G39" s="1647" t="s">
        <v>5043</v>
      </c>
      <c r="H39" s="1651"/>
      <c r="I39" s="1652"/>
      <c r="J39" s="1654"/>
      <c r="K39" s="1647"/>
      <c r="L39" s="1647"/>
      <c r="M39" s="1647"/>
      <c r="N39" s="1710" t="str">
        <f>'Part I-Project Information'!N16</f>
        <v>&lt;&lt; Select Designation &gt;&gt;</v>
      </c>
      <c r="O39" s="1710">
        <f>'Part I-Project Information'!O16</f>
        <v>0</v>
      </c>
      <c r="P39" s="1710">
        <f>'Part I-Project Information'!P16</f>
        <v>0</v>
      </c>
    </row>
    <row r="40" spans="1:16">
      <c r="A40" s="1647"/>
      <c r="B40" s="1647"/>
      <c r="C40" s="1647"/>
      <c r="D40" s="1647"/>
      <c r="E40" s="1647"/>
      <c r="F40" s="1647"/>
      <c r="G40" s="1647"/>
      <c r="H40" s="1647"/>
      <c r="I40" s="1653"/>
      <c r="J40" s="1653"/>
      <c r="K40" s="1653"/>
      <c r="L40" s="1653"/>
      <c r="M40" s="1653"/>
      <c r="N40" s="1653"/>
      <c r="O40" s="1653"/>
      <c r="P40" s="1653"/>
    </row>
    <row r="41" spans="1:16">
      <c r="A41" s="1654" t="s">
        <v>742</v>
      </c>
      <c r="B41" s="1647" t="s">
        <v>4483</v>
      </c>
      <c r="C41" s="1647"/>
      <c r="D41" s="1654"/>
      <c r="E41" s="1651"/>
      <c r="F41" s="1647"/>
      <c r="G41" s="1651"/>
      <c r="H41" s="1651"/>
      <c r="I41" s="1651"/>
      <c r="J41" s="1647"/>
      <c r="K41" s="1647"/>
      <c r="L41" s="1657"/>
      <c r="M41" s="1647"/>
      <c r="N41" s="1647"/>
      <c r="O41" s="1647"/>
      <c r="P41" s="1647"/>
    </row>
    <row r="42" spans="1:16">
      <c r="A42" s="1654"/>
      <c r="B42" s="1651"/>
      <c r="C42" s="1647"/>
      <c r="D42" s="1654"/>
      <c r="E42" s="1651"/>
      <c r="F42" s="1647"/>
      <c r="G42" s="1651"/>
      <c r="H42" s="1651"/>
      <c r="I42" s="1651"/>
      <c r="J42" s="1647"/>
      <c r="K42" s="1657"/>
      <c r="L42" s="1657"/>
      <c r="M42" s="1647"/>
      <c r="N42" s="1647"/>
      <c r="O42" s="1651"/>
      <c r="P42" s="1647"/>
    </row>
    <row r="43" spans="1:16">
      <c r="A43" s="1647"/>
      <c r="B43" s="1647" t="s">
        <v>3882</v>
      </c>
      <c r="C43" s="1647"/>
      <c r="D43" s="1647"/>
      <c r="E43" s="1647"/>
      <c r="F43" s="1647" t="str">
        <f>'Part I-Project Information'!F20</f>
        <v>Flatiron Partners, LLC</v>
      </c>
      <c r="G43" s="1647">
        <f>'Part I-Project Information'!G20</f>
        <v>0</v>
      </c>
      <c r="H43" s="1647">
        <f>'Part I-Project Information'!H20</f>
        <v>0</v>
      </c>
      <c r="I43" s="1647" t="s">
        <v>1797</v>
      </c>
      <c r="J43" s="1647" t="str">
        <f>'Part I-Project Information'!J20</f>
        <v>Charles F. Irick, Jr.</v>
      </c>
      <c r="K43" s="1647">
        <f>'Part I-Project Information'!K20</f>
        <v>0</v>
      </c>
      <c r="L43" s="1647">
        <f>'Part I-Project Information'!L20</f>
        <v>0</v>
      </c>
      <c r="M43" s="1654" t="s">
        <v>1980</v>
      </c>
      <c r="N43" s="1647" t="str">
        <f>'Part I-Project Information'!N20</f>
        <v>Principal</v>
      </c>
      <c r="O43" s="1647">
        <f>'Part I-Project Information'!O20</f>
        <v>0</v>
      </c>
      <c r="P43" s="1647">
        <f>'Part I-Project Information'!P20</f>
        <v>0</v>
      </c>
    </row>
    <row r="44" spans="1:16" ht="12.75" customHeight="1">
      <c r="A44" s="1647"/>
      <c r="B44" s="1654" t="s">
        <v>1981</v>
      </c>
      <c r="C44" s="1647"/>
      <c r="D44" s="1647"/>
      <c r="E44" s="1647"/>
      <c r="F44" s="1647" t="str">
        <f>'Part I-Project Information'!F21</f>
        <v>1714 East Boulevard</v>
      </c>
      <c r="G44" s="1647">
        <f>'Part I-Project Information'!G21</f>
        <v>0</v>
      </c>
      <c r="H44" s="1647">
        <f>'Part I-Project Information'!H21</f>
        <v>0</v>
      </c>
      <c r="I44" s="1647">
        <f>'Part I-Project Information'!I21</f>
        <v>0</v>
      </c>
      <c r="J44" s="1647">
        <f>'Part I-Project Information'!J21</f>
        <v>0</v>
      </c>
      <c r="K44" s="1647">
        <f>'Part I-Project Information'!K21</f>
        <v>0</v>
      </c>
      <c r="L44" s="1647">
        <f>'Part I-Project Information'!L21</f>
        <v>0</v>
      </c>
      <c r="M44" s="1659" t="s">
        <v>3881</v>
      </c>
      <c r="N44" s="1659"/>
      <c r="O44" s="1659"/>
      <c r="P44" s="1659"/>
    </row>
    <row r="45" spans="1:16" ht="12.75" customHeight="1">
      <c r="A45" s="1647"/>
      <c r="B45" s="1654" t="s">
        <v>618</v>
      </c>
      <c r="C45" s="1647"/>
      <c r="D45" s="1647"/>
      <c r="E45" s="1647"/>
      <c r="F45" s="1647" t="str">
        <f>'Part I-Project Information'!F22</f>
        <v>Charlotte</v>
      </c>
      <c r="G45" s="1647">
        <f>'Part I-Project Information'!G22</f>
        <v>0</v>
      </c>
      <c r="H45" s="1647">
        <f>'Part I-Project Information'!H22</f>
        <v>0</v>
      </c>
      <c r="I45" s="1654" t="s">
        <v>1799</v>
      </c>
      <c r="J45" s="1680" t="str">
        <f>'Part I-Project Information'!J22</f>
        <v>NC</v>
      </c>
      <c r="K45" s="1647"/>
      <c r="L45" s="1647"/>
      <c r="M45" s="1659"/>
      <c r="N45" s="1659"/>
      <c r="O45" s="1659"/>
      <c r="P45" s="1659"/>
    </row>
    <row r="46" spans="1:16">
      <c r="A46" s="1647"/>
      <c r="B46" s="1654" t="s">
        <v>2229</v>
      </c>
      <c r="C46" s="1647"/>
      <c r="D46" s="1647"/>
      <c r="E46" s="1647"/>
      <c r="F46" s="2115">
        <f>'Part I-Project Information'!F23</f>
        <v>282035824</v>
      </c>
      <c r="G46" s="2115">
        <f>'Part I-Project Information'!G23</f>
        <v>0</v>
      </c>
      <c r="H46" s="2115">
        <f>'Part I-Project Information'!H23</f>
        <v>0</v>
      </c>
      <c r="I46" s="1654" t="s">
        <v>1720</v>
      </c>
      <c r="J46" s="2116">
        <f>'Part I-Project Information'!J23</f>
        <v>7043359112</v>
      </c>
      <c r="K46" s="2116">
        <f>'Part I-Project Information'!K23</f>
        <v>0</v>
      </c>
      <c r="L46" s="1651" t="s">
        <v>1719</v>
      </c>
      <c r="M46" s="1651">
        <f>'Part I-Project Information'!M23</f>
        <v>0</v>
      </c>
      <c r="N46" s="1654" t="s">
        <v>1721</v>
      </c>
      <c r="O46" s="2116">
        <f>'Part I-Project Information'!O23</f>
        <v>7043359112</v>
      </c>
      <c r="P46" s="2116">
        <f>'Part I-Project Information'!P23</f>
        <v>0</v>
      </c>
    </row>
    <row r="47" spans="1:16">
      <c r="A47" s="1647"/>
      <c r="B47" s="1654" t="s">
        <v>1984</v>
      </c>
      <c r="C47" s="1647"/>
      <c r="D47" s="1647"/>
      <c r="E47" s="1647"/>
      <c r="F47" s="1647" t="str">
        <f>'Part I-Project Information'!F24</f>
        <v>cirick@flatironenterprises.com</v>
      </c>
      <c r="G47" s="1647">
        <f>'Part I-Project Information'!G24</f>
        <v>0</v>
      </c>
      <c r="H47" s="1647">
        <f>'Part I-Project Information'!H24</f>
        <v>0</v>
      </c>
      <c r="I47" s="1647">
        <f>'Part I-Project Information'!I24</f>
        <v>0</v>
      </c>
      <c r="J47" s="1647">
        <f>'Part I-Project Information'!J24</f>
        <v>0</v>
      </c>
      <c r="K47" s="1647">
        <f>'Part I-Project Information'!K24</f>
        <v>0</v>
      </c>
      <c r="L47" s="1647"/>
      <c r="M47" s="1647"/>
      <c r="N47" s="1654" t="s">
        <v>1979</v>
      </c>
      <c r="O47" s="2116">
        <f>'Part I-Project Information'!O24</f>
        <v>8032694235</v>
      </c>
      <c r="P47" s="2116">
        <f>'Part I-Project Information'!P24</f>
        <v>0</v>
      </c>
    </row>
    <row r="48" spans="1:16">
      <c r="A48" s="1651"/>
      <c r="B48" s="1647" t="s">
        <v>4482</v>
      </c>
      <c r="C48" s="1653"/>
      <c r="D48" s="1647"/>
      <c r="E48" s="1647"/>
      <c r="F48" s="1647"/>
      <c r="G48" s="1647"/>
      <c r="H48" s="1651"/>
      <c r="I48" s="1647"/>
      <c r="J48" s="1653"/>
      <c r="K48" s="1647"/>
      <c r="L48" s="1647"/>
      <c r="M48" s="1647"/>
      <c r="N48" s="1647"/>
      <c r="O48" s="1647"/>
      <c r="P48" s="1660"/>
    </row>
    <row r="49" spans="1:16">
      <c r="A49" s="1647"/>
      <c r="B49" s="1647" t="s">
        <v>3882</v>
      </c>
      <c r="C49" s="1647"/>
      <c r="D49" s="1647"/>
      <c r="E49" s="1647"/>
      <c r="F49" s="1647">
        <f>'Part I-Project Information'!F26</f>
        <v>0</v>
      </c>
      <c r="G49" s="1647">
        <f>'Part I-Project Information'!G26</f>
        <v>0</v>
      </c>
      <c r="H49" s="1647">
        <f>'Part I-Project Information'!H26</f>
        <v>0</v>
      </c>
      <c r="I49" s="1647" t="s">
        <v>1797</v>
      </c>
      <c r="J49" s="1647">
        <f>'Part I-Project Information'!J26</f>
        <v>0</v>
      </c>
      <c r="K49" s="1647">
        <f>'Part I-Project Information'!K26</f>
        <v>0</v>
      </c>
      <c r="L49" s="1647">
        <f>'Part I-Project Information'!L26</f>
        <v>0</v>
      </c>
      <c r="M49" s="1654" t="s">
        <v>1980</v>
      </c>
      <c r="N49" s="1647">
        <f>'Part I-Project Information'!N26</f>
        <v>0</v>
      </c>
      <c r="O49" s="1647">
        <f>'Part I-Project Information'!O26</f>
        <v>0</v>
      </c>
      <c r="P49" s="1647">
        <f>'Part I-Project Information'!P26</f>
        <v>0</v>
      </c>
    </row>
    <row r="50" spans="1:16" ht="12.75" customHeight="1">
      <c r="A50" s="1647"/>
      <c r="B50" s="1654" t="s">
        <v>1981</v>
      </c>
      <c r="C50" s="1647"/>
      <c r="D50" s="1647"/>
      <c r="E50" s="1647"/>
      <c r="F50" s="1647">
        <f>'Part I-Project Information'!F27</f>
        <v>0</v>
      </c>
      <c r="G50" s="1647">
        <f>'Part I-Project Information'!G27</f>
        <v>0</v>
      </c>
      <c r="H50" s="1647">
        <f>'Part I-Project Information'!H27</f>
        <v>0</v>
      </c>
      <c r="I50" s="1647">
        <f>'Part I-Project Information'!I27</f>
        <v>0</v>
      </c>
      <c r="J50" s="1647">
        <f>'Part I-Project Information'!J27</f>
        <v>0</v>
      </c>
      <c r="K50" s="1647">
        <f>'Part I-Project Information'!K27</f>
        <v>0</v>
      </c>
      <c r="L50" s="1647">
        <f>'Part I-Project Information'!L27</f>
        <v>0</v>
      </c>
      <c r="M50" s="1659" t="s">
        <v>3881</v>
      </c>
      <c r="N50" s="1659"/>
      <c r="O50" s="1659"/>
      <c r="P50" s="1659"/>
    </row>
    <row r="51" spans="1:16" ht="12.75" customHeight="1">
      <c r="A51" s="1647"/>
      <c r="B51" s="1654" t="s">
        <v>618</v>
      </c>
      <c r="C51" s="1647"/>
      <c r="D51" s="1647"/>
      <c r="E51" s="1647"/>
      <c r="F51" s="1647">
        <f>'Part I-Project Information'!F28</f>
        <v>0</v>
      </c>
      <c r="G51" s="1647">
        <f>'Part I-Project Information'!G28</f>
        <v>0</v>
      </c>
      <c r="H51" s="1647">
        <f>'Part I-Project Information'!H28</f>
        <v>0</v>
      </c>
      <c r="I51" s="1654" t="s">
        <v>1799</v>
      </c>
      <c r="J51" s="1680">
        <f>'Part I-Project Information'!J28</f>
        <v>0</v>
      </c>
      <c r="K51" s="1647"/>
      <c r="L51" s="1647"/>
      <c r="M51" s="1659"/>
      <c r="N51" s="1659"/>
      <c r="O51" s="1659"/>
      <c r="P51" s="1659"/>
    </row>
    <row r="52" spans="1:16">
      <c r="A52" s="1647"/>
      <c r="B52" s="1654" t="s">
        <v>2229</v>
      </c>
      <c r="C52" s="1647"/>
      <c r="D52" s="1647"/>
      <c r="E52" s="1647"/>
      <c r="F52" s="2115">
        <f>'Part I-Project Information'!F29</f>
        <v>0</v>
      </c>
      <c r="G52" s="2115">
        <f>'Part I-Project Information'!G29</f>
        <v>0</v>
      </c>
      <c r="H52" s="2115">
        <f>'Part I-Project Information'!H29</f>
        <v>0</v>
      </c>
      <c r="I52" s="1654" t="s">
        <v>1720</v>
      </c>
      <c r="J52" s="2116">
        <f>'Part I-Project Information'!J29</f>
        <v>0</v>
      </c>
      <c r="K52" s="2116">
        <f>'Part I-Project Information'!K29</f>
        <v>0</v>
      </c>
      <c r="L52" s="1651" t="s">
        <v>1719</v>
      </c>
      <c r="M52" s="1651">
        <f>'Part I-Project Information'!M29</f>
        <v>0</v>
      </c>
      <c r="N52" s="1654" t="s">
        <v>1721</v>
      </c>
      <c r="O52" s="2116">
        <f>'Part I-Project Information'!O29</f>
        <v>0</v>
      </c>
      <c r="P52" s="2116">
        <f>'Part I-Project Information'!P29</f>
        <v>0</v>
      </c>
    </row>
    <row r="53" spans="1:16">
      <c r="A53" s="1647"/>
      <c r="B53" s="1654" t="s">
        <v>1984</v>
      </c>
      <c r="C53" s="1647"/>
      <c r="D53" s="1647"/>
      <c r="E53" s="1647"/>
      <c r="F53" s="1647">
        <f>'Part I-Project Information'!F30</f>
        <v>0</v>
      </c>
      <c r="G53" s="1647">
        <f>'Part I-Project Information'!G30</f>
        <v>0</v>
      </c>
      <c r="H53" s="1647">
        <f>'Part I-Project Information'!H30</f>
        <v>0</v>
      </c>
      <c r="I53" s="1647">
        <f>'Part I-Project Information'!I30</f>
        <v>0</v>
      </c>
      <c r="J53" s="1647">
        <f>'Part I-Project Information'!J30</f>
        <v>0</v>
      </c>
      <c r="K53" s="1647">
        <f>'Part I-Project Information'!K30</f>
        <v>0</v>
      </c>
      <c r="L53" s="1647"/>
      <c r="M53" s="1647"/>
      <c r="N53" s="1654" t="s">
        <v>1979</v>
      </c>
      <c r="O53" s="2116">
        <f>'Part I-Project Information'!O30</f>
        <v>0</v>
      </c>
      <c r="P53" s="2116">
        <f>'Part I-Project Information'!P30</f>
        <v>0</v>
      </c>
    </row>
    <row r="54" spans="1:16">
      <c r="A54" s="1651"/>
      <c r="B54" s="1651"/>
      <c r="C54" s="1653"/>
      <c r="D54" s="1647"/>
      <c r="E54" s="1647"/>
      <c r="F54" s="1647"/>
      <c r="G54" s="1647"/>
      <c r="H54" s="1651"/>
      <c r="I54" s="1647"/>
      <c r="J54" s="1653"/>
      <c r="K54" s="1647"/>
      <c r="L54" s="1647"/>
      <c r="M54" s="1647"/>
      <c r="N54" s="1647"/>
      <c r="O54" s="1647"/>
      <c r="P54" s="1660"/>
    </row>
    <row r="55" spans="1:16">
      <c r="A55" s="1654" t="s">
        <v>1792</v>
      </c>
      <c r="B55" s="1647" t="s">
        <v>1474</v>
      </c>
      <c r="C55" s="1647"/>
      <c r="D55" s="1653"/>
      <c r="E55" s="1651"/>
      <c r="F55" s="1651"/>
      <c r="G55" s="1654"/>
      <c r="H55" s="1651"/>
      <c r="I55" s="1651"/>
      <c r="J55" s="1651"/>
      <c r="K55" s="1647"/>
      <c r="L55" s="1657"/>
      <c r="M55" s="1657"/>
      <c r="N55" s="1647"/>
      <c r="O55" s="1647"/>
      <c r="P55" s="1647"/>
    </row>
    <row r="56" spans="1:16">
      <c r="A56" s="1654"/>
      <c r="B56" s="1647"/>
      <c r="C56" s="1647"/>
      <c r="D56" s="1653"/>
      <c r="E56" s="1651"/>
      <c r="F56" s="1651"/>
      <c r="G56" s="1654"/>
      <c r="H56" s="1651"/>
      <c r="I56" s="1651"/>
      <c r="J56" s="1651"/>
      <c r="K56" s="1647"/>
      <c r="L56" s="1657"/>
      <c r="M56" s="1647"/>
      <c r="N56" s="1647"/>
      <c r="O56" s="1647"/>
      <c r="P56" s="1647"/>
    </row>
    <row r="57" spans="1:16">
      <c r="A57" s="1647"/>
      <c r="B57" s="1647" t="s">
        <v>617</v>
      </c>
      <c r="C57" s="1647"/>
      <c r="D57" s="1647"/>
      <c r="E57" s="1647"/>
      <c r="F57" s="2023" t="str">
        <f>'Part I-Project Information'!F34</f>
        <v>Stone Terrace Phase II</v>
      </c>
      <c r="G57" s="2023">
        <f>'Part I-Project Information'!G34</f>
        <v>0</v>
      </c>
      <c r="H57" s="2023">
        <f>'Part I-Project Information'!H34</f>
        <v>0</v>
      </c>
      <c r="I57" s="2023">
        <f>'Part I-Project Information'!I34</f>
        <v>0</v>
      </c>
      <c r="J57" s="2023">
        <f>'Part I-Project Information'!J34</f>
        <v>0</v>
      </c>
      <c r="K57" s="2023">
        <f>'Part I-Project Information'!K34</f>
        <v>0</v>
      </c>
      <c r="L57" s="1654" t="s">
        <v>2192</v>
      </c>
      <c r="M57" s="1647"/>
      <c r="N57" s="1647"/>
      <c r="O57" s="1647" t="str">
        <f>'Part I-Project Information'!O34</f>
        <v>Yes - no Master Plan</v>
      </c>
      <c r="P57" s="1647">
        <f>'Part I-Project Information'!P34</f>
        <v>0</v>
      </c>
    </row>
    <row r="58" spans="1:16">
      <c r="A58" s="1657"/>
      <c r="B58" s="1647" t="s">
        <v>2699</v>
      </c>
      <c r="C58" s="1647"/>
      <c r="D58" s="1657"/>
      <c r="E58" s="1647"/>
      <c r="F58" s="2023" t="str">
        <f>'Part I-Project Information'!F35</f>
        <v>6659 Chupp Road</v>
      </c>
      <c r="G58" s="2023">
        <f>'Part I-Project Information'!G35</f>
        <v>0</v>
      </c>
      <c r="H58" s="2023">
        <f>'Part I-Project Information'!H35</f>
        <v>0</v>
      </c>
      <c r="I58" s="2023">
        <f>'Part I-Project Information'!I35</f>
        <v>0</v>
      </c>
      <c r="J58" s="2023">
        <f>'Part I-Project Information'!J35</f>
        <v>0</v>
      </c>
      <c r="K58" s="2023">
        <f>'Part I-Project Information'!K35</f>
        <v>0</v>
      </c>
      <c r="L58" s="1647" t="s">
        <v>3683</v>
      </c>
      <c r="M58" s="1647"/>
      <c r="N58" s="1647"/>
      <c r="O58" s="1647">
        <f>'Part I-Project Information'!O35</f>
        <v>0</v>
      </c>
      <c r="P58" s="1647">
        <f>'Part I-Project Information'!P35</f>
        <v>0</v>
      </c>
    </row>
    <row r="59" spans="1:16">
      <c r="A59" s="1657"/>
      <c r="B59" s="1647" t="s">
        <v>5096</v>
      </c>
      <c r="C59" s="1647"/>
      <c r="D59" s="1657"/>
      <c r="E59" s="1647"/>
      <c r="F59" s="2023">
        <f>'Part I-Project Information'!F36</f>
        <v>0</v>
      </c>
      <c r="G59" s="2023">
        <f>'Part I-Project Information'!G36</f>
        <v>0</v>
      </c>
      <c r="H59" s="2023">
        <f>'Part I-Project Information'!H36</f>
        <v>0</v>
      </c>
      <c r="I59" s="2023">
        <f>'Part I-Project Information'!I36</f>
        <v>0</v>
      </c>
      <c r="J59" s="2023">
        <f>'Part I-Project Information'!J36</f>
        <v>0</v>
      </c>
      <c r="K59" s="2023">
        <f>'Part I-Project Information'!K36</f>
        <v>0</v>
      </c>
      <c r="L59" s="1654" t="s">
        <v>2050</v>
      </c>
      <c r="M59" s="1647"/>
      <c r="N59" s="1651" t="str">
        <f>'Part I-Project Information'!N36</f>
        <v>No</v>
      </c>
      <c r="O59" s="1651" t="s">
        <v>3682</v>
      </c>
      <c r="P59" s="1651">
        <f>'Part I-Project Information'!P36</f>
        <v>0</v>
      </c>
    </row>
    <row r="60" spans="1:16">
      <c r="A60" s="1657"/>
      <c r="B60" s="1647" t="s">
        <v>3738</v>
      </c>
      <c r="C60" s="1647"/>
      <c r="D60" s="1657"/>
      <c r="E60" s="1647"/>
      <c r="F60" s="1647" t="s">
        <v>3717</v>
      </c>
      <c r="G60" s="2117">
        <f>'Part I-Project Information'!G37</f>
        <v>33.704946999999997</v>
      </c>
      <c r="H60" s="2117">
        <f>'Part I-Project Information'!H37</f>
        <v>0</v>
      </c>
      <c r="I60" s="1651" t="s">
        <v>3718</v>
      </c>
      <c r="J60" s="2117">
        <f>'Part I-Project Information'!J37</f>
        <v>-84.122478999999998</v>
      </c>
      <c r="K60" s="2117">
        <f>'Part I-Project Information'!K37</f>
        <v>0</v>
      </c>
      <c r="L60" s="1654" t="s">
        <v>2283</v>
      </c>
      <c r="M60" s="1647"/>
      <c r="N60" s="1647"/>
      <c r="O60" s="2118">
        <f>'Part I-Project Information'!O37</f>
        <v>0</v>
      </c>
      <c r="P60" s="2118">
        <f>'Part I-Project Information'!P37</f>
        <v>0</v>
      </c>
    </row>
    <row r="61" spans="1:16" ht="16.5">
      <c r="A61" s="1651"/>
      <c r="B61" s="1647" t="s">
        <v>618</v>
      </c>
      <c r="C61" s="1647"/>
      <c r="D61" s="1647"/>
      <c r="E61" s="1647"/>
      <c r="F61" s="1647" t="str">
        <f>'Part I-Project Information'!F38</f>
        <v>Stonecrest</v>
      </c>
      <c r="G61" s="1647">
        <f>'Part I-Project Information'!G38</f>
        <v>0</v>
      </c>
      <c r="H61" s="1647">
        <f>'Part I-Project Information'!H38</f>
        <v>0</v>
      </c>
      <c r="I61" s="1661" t="s">
        <v>5143</v>
      </c>
      <c r="J61" s="2115">
        <f>'Part I-Project Information'!J38</f>
        <v>300587633</v>
      </c>
      <c r="K61" s="2115">
        <f>'Part I-Project Information'!K38</f>
        <v>0</v>
      </c>
      <c r="L61" s="1647" t="str">
        <f>IF(AND(NOT(F57=""),NOT(F61="Select from list"),J61=""),"Enter Zip!","")</f>
        <v/>
      </c>
      <c r="M61" s="1662" t="s">
        <v>2906</v>
      </c>
      <c r="N61" s="1647"/>
      <c r="O61" s="2119" t="str">
        <f>'Part I-Project Information'!O38</f>
        <v>233.10</v>
      </c>
      <c r="P61" s="2120">
        <f>'Part I-Project Information'!P38</f>
        <v>0</v>
      </c>
    </row>
    <row r="62" spans="1:16">
      <c r="A62" s="1651"/>
      <c r="B62" s="1647" t="s">
        <v>3569</v>
      </c>
      <c r="C62" s="1647"/>
      <c r="D62" s="1647"/>
      <c r="E62" s="1647"/>
      <c r="F62" s="1647" t="str">
        <f>'Part I-Project Information'!F39</f>
        <v>Within City Limits</v>
      </c>
      <c r="G62" s="1647">
        <f>'Part I-Project Information'!G39</f>
        <v>0</v>
      </c>
      <c r="H62" s="1647">
        <f>'Part I-Project Information'!H39</f>
        <v>0</v>
      </c>
      <c r="I62" s="1663" t="s">
        <v>619</v>
      </c>
      <c r="J62" s="2023" t="str">
        <f>'Part I-Project Information'!J39</f>
        <v>DeKalb</v>
      </c>
      <c r="K62" s="2023"/>
      <c r="L62" s="1647"/>
      <c r="M62" s="1654" t="s">
        <v>451</v>
      </c>
      <c r="N62" s="1664" t="str">
        <f>'Part I-Project Information'!N39</f>
        <v>Yes</v>
      </c>
      <c r="O62" s="1651" t="s">
        <v>452</v>
      </c>
      <c r="P62" s="1664">
        <f>'Part I-Project Information'!P39</f>
        <v>0</v>
      </c>
    </row>
    <row r="63" spans="1:16">
      <c r="A63" s="1651"/>
      <c r="B63" s="1647"/>
      <c r="C63" s="1647" t="s">
        <v>1558</v>
      </c>
      <c r="D63" s="1647"/>
      <c r="E63" s="1647"/>
      <c r="F63" s="1654">
        <f>'Part I-Project Information'!F40</f>
        <v>0</v>
      </c>
      <c r="G63" s="1647" t="s">
        <v>2781</v>
      </c>
      <c r="H63" s="1647"/>
      <c r="I63" s="1651" t="str">
        <f>'Part I-Project Information'!I40</f>
        <v>No</v>
      </c>
      <c r="J63" s="1651" t="s">
        <v>2801</v>
      </c>
      <c r="K63" s="1651" t="str">
        <f>'Part I-Project Information'!K40</f>
        <v>Urban</v>
      </c>
      <c r="L63" s="1647"/>
      <c r="M63" s="1654" t="s">
        <v>2611</v>
      </c>
      <c r="N63" s="1651" t="str">
        <f>'Part I-Project Information'!N40</f>
        <v>MSA</v>
      </c>
      <c r="O63" s="1647" t="str">
        <f>'Part I-Project Information'!O40</f>
        <v>Atlanta-Sandy Springs-Marietta</v>
      </c>
      <c r="P63" s="1647">
        <f>'Part I-Project Information'!P40</f>
        <v>0</v>
      </c>
    </row>
    <row r="64" spans="1:16">
      <c r="A64" s="1651"/>
      <c r="B64" s="1647"/>
      <c r="C64" s="1647"/>
      <c r="D64" s="1647"/>
      <c r="E64" s="1647"/>
      <c r="F64" s="1647"/>
      <c r="G64" s="1647"/>
      <c r="H64" s="1647"/>
      <c r="I64" s="1654"/>
      <c r="J64" s="1647"/>
      <c r="K64" s="1647"/>
      <c r="L64" s="1664"/>
      <c r="M64" s="1664"/>
      <c r="N64" s="1664"/>
      <c r="O64" s="1664"/>
      <c r="P64" s="1664"/>
    </row>
    <row r="65" spans="1:16" ht="13.5">
      <c r="A65" s="1651"/>
      <c r="B65" s="1647"/>
      <c r="C65" s="1647" t="s">
        <v>5144</v>
      </c>
      <c r="D65" s="1647"/>
      <c r="E65" s="1647"/>
      <c r="F65" s="1665" t="s">
        <v>2762</v>
      </c>
      <c r="G65" s="1665"/>
      <c r="H65" s="1647" t="s">
        <v>736</v>
      </c>
      <c r="I65" s="1647"/>
      <c r="J65" s="1647" t="s">
        <v>737</v>
      </c>
      <c r="K65" s="1647"/>
      <c r="L65" s="1787" t="s">
        <v>5145</v>
      </c>
      <c r="M65" s="1647"/>
      <c r="N65" s="1647"/>
      <c r="O65" s="1647"/>
      <c r="P65" s="1647"/>
    </row>
    <row r="66" spans="1:16">
      <c r="A66" s="1651"/>
      <c r="B66" s="1647" t="s">
        <v>5097</v>
      </c>
      <c r="C66" s="1647"/>
      <c r="D66" s="1647"/>
      <c r="E66" s="1647"/>
      <c r="F66" s="2121">
        <f>'Part I-Project Information'!F43</f>
        <v>4</v>
      </c>
      <c r="G66" s="2121">
        <f>'Part I-Project Information'!G43</f>
        <v>0</v>
      </c>
      <c r="H66" s="2121">
        <f>'Part I-Project Information'!H43</f>
        <v>92</v>
      </c>
      <c r="I66" s="2121">
        <f>'Part I-Project Information'!I43</f>
        <v>0</v>
      </c>
      <c r="J66" s="2121">
        <f>'Part I-Project Information'!J43</f>
        <v>43</v>
      </c>
      <c r="K66" s="2121">
        <f>'Part I-Project Information'!K43</f>
        <v>0</v>
      </c>
      <c r="L66" s="1652" t="s">
        <v>1283</v>
      </c>
      <c r="M66" s="1647"/>
      <c r="N66" s="1667" t="s">
        <v>1284</v>
      </c>
      <c r="O66" s="1667"/>
      <c r="P66" s="1667"/>
    </row>
    <row r="67" spans="1:16">
      <c r="A67" s="1651"/>
      <c r="B67" s="1654" t="s">
        <v>738</v>
      </c>
      <c r="C67" s="1647"/>
      <c r="D67" s="1647"/>
      <c r="E67" s="1647"/>
      <c r="F67" s="2121">
        <f>'Part I-Project Information'!F44</f>
        <v>0</v>
      </c>
      <c r="G67" s="2121">
        <f>'Part I-Project Information'!G44</f>
        <v>0</v>
      </c>
      <c r="H67" s="2121">
        <f>'Part I-Project Information'!H44</f>
        <v>0</v>
      </c>
      <c r="I67" s="2121">
        <f>'Part I-Project Information'!I44</f>
        <v>0</v>
      </c>
      <c r="J67" s="2121">
        <f>'Part I-Project Information'!J44</f>
        <v>0</v>
      </c>
      <c r="K67" s="2121">
        <f>'Part I-Project Information'!K44</f>
        <v>0</v>
      </c>
      <c r="L67" s="1652" t="s">
        <v>2760</v>
      </c>
      <c r="M67" s="1647"/>
      <c r="N67" s="1668" t="s">
        <v>2759</v>
      </c>
      <c r="O67" s="1668"/>
      <c r="P67" s="1647"/>
    </row>
    <row r="68" spans="1:16">
      <c r="A68" s="1651"/>
      <c r="B68" s="1647"/>
      <c r="C68" s="1647"/>
      <c r="D68" s="1647"/>
      <c r="E68" s="1647"/>
      <c r="F68" s="1647"/>
      <c r="G68" s="1647"/>
      <c r="H68" s="1647"/>
      <c r="I68" s="1664"/>
      <c r="J68" s="1664"/>
      <c r="K68" s="1664"/>
      <c r="L68" s="1647"/>
      <c r="M68" s="1647"/>
      <c r="N68" s="1647"/>
      <c r="O68" s="1647"/>
      <c r="P68" s="1647"/>
    </row>
    <row r="69" spans="1:16">
      <c r="A69" s="1651"/>
      <c r="B69" s="1647" t="s">
        <v>637</v>
      </c>
      <c r="C69" s="1647"/>
      <c r="D69" s="1647"/>
      <c r="E69" s="1647"/>
      <c r="F69" s="1779" t="str">
        <f>'Part I-Project Information'!F46</f>
        <v>City of Stonecrest</v>
      </c>
      <c r="G69" s="1779">
        <f>'Part I-Project Information'!G46</f>
        <v>0</v>
      </c>
      <c r="H69" s="1779">
        <f>'Part I-Project Information'!H46</f>
        <v>0</v>
      </c>
      <c r="I69" s="1779">
        <f>'Part I-Project Information'!I46</f>
        <v>0</v>
      </c>
      <c r="J69" s="1779">
        <f>'Part I-Project Information'!J46</f>
        <v>0</v>
      </c>
      <c r="K69" s="1779">
        <f>'Part I-Project Information'!K46</f>
        <v>0</v>
      </c>
      <c r="L69" s="1669" t="s">
        <v>2704</v>
      </c>
      <c r="M69" s="1647" t="str">
        <f>'Part I-Project Information'!M46</f>
        <v>http://www.stonecrestga.gov/</v>
      </c>
      <c r="N69" s="1647">
        <f>'Part I-Project Information'!N46</f>
        <v>0</v>
      </c>
      <c r="O69" s="1647">
        <f>'Part I-Project Information'!O46</f>
        <v>0</v>
      </c>
      <c r="P69" s="1647">
        <f>'Part I-Project Information'!P46</f>
        <v>0</v>
      </c>
    </row>
    <row r="70" spans="1:16">
      <c r="A70" s="1651"/>
      <c r="B70" s="1647" t="s">
        <v>638</v>
      </c>
      <c r="C70" s="1647"/>
      <c r="D70" s="1647"/>
      <c r="E70" s="1647"/>
      <c r="F70" s="1779" t="str">
        <f>'Part I-Project Information'!F47</f>
        <v>Jason Lary</v>
      </c>
      <c r="G70" s="1779">
        <f>'Part I-Project Information'!G47</f>
        <v>0</v>
      </c>
      <c r="H70" s="1779">
        <f>'Part I-Project Information'!H47</f>
        <v>0</v>
      </c>
      <c r="I70" s="1651" t="s">
        <v>1980</v>
      </c>
      <c r="J70" s="1647" t="str">
        <f>'Part I-Project Information'!J47</f>
        <v>Mayor</v>
      </c>
      <c r="K70" s="1647">
        <f>'Part I-Project Information'!K47</f>
        <v>0</v>
      </c>
      <c r="L70" s="1669"/>
      <c r="M70" s="1647"/>
      <c r="N70" s="1647"/>
      <c r="O70" s="1647"/>
      <c r="P70" s="1647"/>
    </row>
    <row r="71" spans="1:16">
      <c r="A71" s="1651"/>
      <c r="B71" s="1647" t="s">
        <v>1981</v>
      </c>
      <c r="C71" s="1647"/>
      <c r="D71" s="1647"/>
      <c r="E71" s="1647"/>
      <c r="F71" s="1779" t="str">
        <f>'Part I-Project Information'!F48</f>
        <v>3120 Stonecrest Boulevard</v>
      </c>
      <c r="G71" s="1779">
        <f>'Part I-Project Information'!G48</f>
        <v>0</v>
      </c>
      <c r="H71" s="1779">
        <f>'Part I-Project Information'!H48</f>
        <v>0</v>
      </c>
      <c r="I71" s="1779">
        <f>'Part I-Project Information'!I48</f>
        <v>0</v>
      </c>
      <c r="J71" s="1779">
        <f>'Part I-Project Information'!J48</f>
        <v>0</v>
      </c>
      <c r="K71" s="1779">
        <f>'Part I-Project Information'!K48</f>
        <v>0</v>
      </c>
      <c r="L71" s="1654" t="s">
        <v>618</v>
      </c>
      <c r="M71" s="1779" t="str">
        <f>'Part I-Project Information'!M48</f>
        <v>Stonecrest</v>
      </c>
      <c r="N71" s="1779">
        <f>'Part I-Project Information'!N48</f>
        <v>0</v>
      </c>
      <c r="O71" s="1779">
        <f>'Part I-Project Information'!O48</f>
        <v>0</v>
      </c>
      <c r="P71" s="1779">
        <f>'Part I-Project Information'!P48</f>
        <v>0</v>
      </c>
    </row>
    <row r="72" spans="1:16">
      <c r="A72" s="1651"/>
      <c r="B72" s="1654" t="s">
        <v>2229</v>
      </c>
      <c r="C72" s="1647"/>
      <c r="D72" s="1647"/>
      <c r="E72" s="1647"/>
      <c r="F72" s="2115">
        <f>'Part I-Project Information'!F49</f>
        <v>300382693</v>
      </c>
      <c r="G72" s="2115">
        <f>'Part I-Project Information'!G49</f>
        <v>0</v>
      </c>
      <c r="H72" s="1651" t="s">
        <v>1982</v>
      </c>
      <c r="I72" s="2116">
        <f>'Part I-Project Information'!I49</f>
        <v>7702240200</v>
      </c>
      <c r="J72" s="2116">
        <f>'Part I-Project Information'!J49</f>
        <v>0</v>
      </c>
      <c r="K72" s="2116">
        <f>'Part I-Project Information'!K49</f>
        <v>0</v>
      </c>
      <c r="L72" s="1654" t="s">
        <v>1800</v>
      </c>
      <c r="M72" s="1779" t="str">
        <f>'Part I-Project Information'!M49</f>
        <v>jlary@stonecrestga.gov</v>
      </c>
      <c r="N72" s="1779">
        <f>'Part I-Project Information'!N49</f>
        <v>0</v>
      </c>
      <c r="O72" s="1779">
        <f>'Part I-Project Information'!O49</f>
        <v>0</v>
      </c>
      <c r="P72" s="1779">
        <f>'Part I-Project Information'!P49</f>
        <v>0</v>
      </c>
    </row>
    <row r="73" spans="1:16">
      <c r="A73" s="1651"/>
      <c r="B73" s="1651"/>
      <c r="C73" s="1661"/>
      <c r="D73" s="1661"/>
      <c r="E73" s="1661"/>
      <c r="F73" s="1651"/>
      <c r="G73" s="1651"/>
      <c r="H73" s="1651"/>
      <c r="I73" s="1651"/>
      <c r="J73" s="1661"/>
      <c r="K73" s="1651"/>
      <c r="L73" s="1651"/>
      <c r="M73" s="1647"/>
      <c r="N73" s="1647"/>
      <c r="O73" s="1647"/>
      <c r="P73" s="1660"/>
    </row>
    <row r="74" spans="1:16">
      <c r="A74" s="1654" t="s">
        <v>1794</v>
      </c>
      <c r="B74" s="1647" t="s">
        <v>1475</v>
      </c>
      <c r="C74" s="1647"/>
      <c r="D74" s="1647"/>
      <c r="E74" s="1647"/>
      <c r="F74" s="1671"/>
      <c r="G74" s="1647"/>
      <c r="H74" s="1647"/>
      <c r="I74" s="1654"/>
      <c r="J74" s="1647"/>
      <c r="K74" s="1647"/>
      <c r="L74" s="1647"/>
      <c r="M74" s="1647"/>
      <c r="N74" s="1647"/>
      <c r="O74" s="1647"/>
      <c r="P74" s="1647"/>
    </row>
    <row r="75" spans="1:16">
      <c r="A75" s="1651"/>
      <c r="B75" s="1647"/>
      <c r="C75" s="1647"/>
      <c r="D75" s="1647"/>
      <c r="E75" s="1647"/>
      <c r="F75" s="1647"/>
      <c r="G75" s="1647"/>
      <c r="H75" s="1647"/>
      <c r="I75" s="1654"/>
      <c r="J75" s="1647"/>
      <c r="K75" s="1647"/>
      <c r="L75" s="1647"/>
      <c r="M75" s="1647"/>
      <c r="N75" s="1647"/>
      <c r="O75" s="1647"/>
      <c r="P75" s="1647"/>
    </row>
    <row r="76" spans="1:16">
      <c r="A76" s="1651"/>
      <c r="B76" s="1651" t="s">
        <v>1983</v>
      </c>
      <c r="C76" s="1647" t="s">
        <v>5098</v>
      </c>
      <c r="D76" s="1647"/>
      <c r="E76" s="1647"/>
      <c r="F76" s="1647"/>
      <c r="G76" s="1647"/>
      <c r="H76" s="1647"/>
      <c r="I76" s="1647"/>
      <c r="J76" s="1647"/>
      <c r="K76" s="1652"/>
      <c r="L76" s="1647"/>
      <c r="M76" s="1667"/>
      <c r="N76" s="1667"/>
      <c r="O76" s="1667"/>
      <c r="P76" s="1667"/>
    </row>
    <row r="77" spans="1:16" ht="13.5">
      <c r="A77" s="1653"/>
      <c r="B77" s="1651"/>
      <c r="C77" s="1647" t="s">
        <v>2295</v>
      </c>
      <c r="D77" s="1647"/>
      <c r="E77" s="1647"/>
      <c r="F77" s="1653"/>
      <c r="G77" s="1653"/>
      <c r="H77" s="1672">
        <f>'Part VI-Revenues &amp; Expenses'!$O$103</f>
        <v>84</v>
      </c>
      <c r="I77" s="1653"/>
      <c r="J77" s="1653"/>
      <c r="K77" s="1654" t="s">
        <v>3674</v>
      </c>
      <c r="L77" s="1647"/>
      <c r="M77" s="1673" t="s">
        <v>3673</v>
      </c>
      <c r="N77" s="1672">
        <f>'Part VI-Revenues &amp; Expenses'!$O$110</f>
        <v>0</v>
      </c>
      <c r="O77" s="1674" t="s">
        <v>3357</v>
      </c>
      <c r="P77" s="1672">
        <f>'Part VI-Revenues &amp; Expenses'!$O$111</f>
        <v>0</v>
      </c>
    </row>
    <row r="78" spans="1:16">
      <c r="A78" s="1651"/>
      <c r="B78" s="1651"/>
      <c r="C78" s="1675" t="s">
        <v>347</v>
      </c>
      <c r="D78" s="1647"/>
      <c r="E78" s="1647"/>
      <c r="F78" s="1647"/>
      <c r="G78" s="1647"/>
      <c r="H78" s="1672">
        <f>'Part VI-Revenues &amp; Expenses'!$O$109</f>
        <v>0</v>
      </c>
      <c r="I78" s="1647"/>
      <c r="J78" s="1647"/>
      <c r="K78" s="1675" t="s">
        <v>366</v>
      </c>
      <c r="L78" s="1647"/>
      <c r="M78" s="1647"/>
      <c r="N78" s="1647"/>
      <c r="O78" s="1647"/>
      <c r="P78" s="1672">
        <f>'Part VI-Revenues &amp; Expenses'!$O$113</f>
        <v>0</v>
      </c>
    </row>
    <row r="79" spans="1:16">
      <c r="A79" s="1647"/>
      <c r="B79" s="1651"/>
      <c r="C79" s="1654" t="s">
        <v>346</v>
      </c>
      <c r="D79" s="1647"/>
      <c r="E79" s="1647"/>
      <c r="F79" s="1647"/>
      <c r="G79" s="1647"/>
      <c r="H79" s="1672">
        <f>'Part VI-Revenues &amp; Expenses'!$O$106</f>
        <v>0</v>
      </c>
      <c r="I79" s="1676" t="s">
        <v>2910</v>
      </c>
      <c r="J79" s="1647"/>
      <c r="K79" s="1647" t="s">
        <v>348</v>
      </c>
      <c r="L79" s="1647"/>
      <c r="M79" s="1647"/>
      <c r="N79" s="1647"/>
      <c r="O79" s="1647"/>
      <c r="P79" s="2122">
        <f>'Part I-Project Information'!P56</f>
        <v>0</v>
      </c>
    </row>
    <row r="80" spans="1:16">
      <c r="A80" s="1651"/>
      <c r="B80" s="1647"/>
      <c r="C80" s="1647"/>
      <c r="D80" s="1647"/>
      <c r="E80" s="1647"/>
      <c r="F80" s="1647"/>
      <c r="G80" s="1647"/>
      <c r="H80" s="1647"/>
      <c r="I80" s="1647"/>
      <c r="J80" s="1647"/>
      <c r="K80" s="1647"/>
      <c r="L80" s="1647"/>
      <c r="M80" s="1647"/>
      <c r="N80" s="1647"/>
      <c r="O80" s="1647"/>
      <c r="P80" s="1647"/>
    </row>
    <row r="81" spans="1:16">
      <c r="A81" s="1651"/>
      <c r="B81" s="1651" t="s">
        <v>1985</v>
      </c>
      <c r="C81" s="1647" t="s">
        <v>2296</v>
      </c>
      <c r="D81" s="1647"/>
      <c r="E81" s="1647"/>
      <c r="F81" s="1647"/>
      <c r="G81" s="1647"/>
      <c r="H81" s="1651">
        <f>'Part I-Project Information'!H58</f>
        <v>0</v>
      </c>
      <c r="I81" s="1647"/>
      <c r="J81" s="1647"/>
      <c r="K81" s="1647"/>
      <c r="L81" s="1647"/>
      <c r="M81" s="1647"/>
      <c r="N81" s="1647"/>
      <c r="O81" s="1667"/>
      <c r="P81" s="1652"/>
    </row>
    <row r="82" spans="1:16">
      <c r="A82" s="1651"/>
      <c r="B82" s="1647"/>
      <c r="C82" s="1647"/>
      <c r="D82" s="1647"/>
      <c r="E82" s="1647"/>
      <c r="F82" s="1647"/>
      <c r="G82" s="1647"/>
      <c r="H82" s="1647"/>
      <c r="I82" s="1647"/>
      <c r="J82" s="1652"/>
      <c r="K82" s="1677"/>
      <c r="L82" s="1652"/>
      <c r="M82" s="1677"/>
      <c r="N82" s="1677"/>
      <c r="O82" s="1677"/>
      <c r="P82" s="1677"/>
    </row>
    <row r="83" spans="1:16">
      <c r="A83" s="1651"/>
      <c r="B83" s="1657" t="s">
        <v>749</v>
      </c>
      <c r="C83" s="1647" t="s">
        <v>2276</v>
      </c>
      <c r="D83" s="1647"/>
      <c r="E83" s="1647"/>
      <c r="F83" s="1647"/>
      <c r="G83" s="1647"/>
      <c r="H83" s="1647"/>
      <c r="I83" s="1678" t="s">
        <v>3565</v>
      </c>
      <c r="J83" s="1657" t="s">
        <v>2115</v>
      </c>
      <c r="K83" s="1653" t="s">
        <v>2302</v>
      </c>
      <c r="L83" s="1647"/>
      <c r="M83" s="1647"/>
      <c r="N83" s="1647"/>
      <c r="O83" s="1647"/>
      <c r="P83" s="1651"/>
    </row>
    <row r="84" spans="1:16">
      <c r="A84" s="1651"/>
      <c r="B84" s="1680"/>
      <c r="C84" s="1653" t="s">
        <v>2277</v>
      </c>
      <c r="D84" s="1647"/>
      <c r="E84" s="1647"/>
      <c r="F84" s="1647"/>
      <c r="G84" s="1647"/>
      <c r="H84" s="1681">
        <f>SUM(H85:H91)</f>
        <v>84</v>
      </c>
      <c r="I84" s="1681">
        <f>SUM(I85:I91)</f>
        <v>0</v>
      </c>
      <c r="J84" s="1651"/>
      <c r="K84" s="1653" t="s">
        <v>2773</v>
      </c>
      <c r="L84" s="1647"/>
      <c r="M84" s="1647"/>
      <c r="N84" s="1647"/>
      <c r="O84" s="1647"/>
      <c r="P84" s="1681">
        <f>SUM(P85:P91)</f>
        <v>85704</v>
      </c>
    </row>
    <row r="85" spans="1:16">
      <c r="A85" s="1651"/>
      <c r="B85" s="1680"/>
      <c r="C85" s="1653"/>
      <c r="D85" s="1665" t="s">
        <v>4717</v>
      </c>
      <c r="E85" s="1647"/>
      <c r="F85" s="1647"/>
      <c r="G85" s="1647"/>
      <c r="H85" s="1681">
        <f>'Part VI-Revenues &amp; Expenses'!$O$56</f>
        <v>0</v>
      </c>
      <c r="I85" s="1681">
        <f>'Part VI-Revenues &amp; Expenses'!$O$81</f>
        <v>0</v>
      </c>
      <c r="J85" s="1651"/>
      <c r="K85" s="1653"/>
      <c r="L85" s="1665" t="s">
        <v>4717</v>
      </c>
      <c r="M85" s="1647"/>
      <c r="N85" s="1647"/>
      <c r="O85" s="1647"/>
      <c r="P85" s="1681">
        <f>'Part VI-Revenues &amp; Expenses'!$O$145</f>
        <v>0</v>
      </c>
    </row>
    <row r="86" spans="1:16">
      <c r="A86" s="1651"/>
      <c r="B86" s="1680"/>
      <c r="C86" s="1653"/>
      <c r="D86" s="1665" t="s">
        <v>4718</v>
      </c>
      <c r="E86" s="1647"/>
      <c r="F86" s="1647"/>
      <c r="G86" s="1647"/>
      <c r="H86" s="1681">
        <f>'Part VI-Revenues &amp; Expenses'!$O$57</f>
        <v>0</v>
      </c>
      <c r="I86" s="1681">
        <f>'Part VI-Revenues &amp; Expenses'!$O$82</f>
        <v>0</v>
      </c>
      <c r="J86" s="1651"/>
      <c r="K86" s="1653"/>
      <c r="L86" s="1665" t="s">
        <v>4718</v>
      </c>
      <c r="M86" s="1647"/>
      <c r="N86" s="1647"/>
      <c r="O86" s="1647"/>
      <c r="P86" s="1681">
        <f>'Part VI-Revenues &amp; Expenses'!$O$146</f>
        <v>0</v>
      </c>
    </row>
    <row r="87" spans="1:16">
      <c r="A87" s="1651"/>
      <c r="B87" s="1653"/>
      <c r="C87" s="1647"/>
      <c r="D87" s="1665" t="s">
        <v>4715</v>
      </c>
      <c r="E87" s="1665"/>
      <c r="F87" s="1647"/>
      <c r="G87" s="1647"/>
      <c r="H87" s="1681">
        <f>'Part VI-Revenues &amp; Expenses'!$O$58</f>
        <v>84</v>
      </c>
      <c r="I87" s="1681">
        <f>'Part VI-Revenues &amp; Expenses'!$O$83</f>
        <v>0</v>
      </c>
      <c r="J87" s="1647"/>
      <c r="K87" s="1647"/>
      <c r="L87" s="1665" t="s">
        <v>4715</v>
      </c>
      <c r="M87" s="1647"/>
      <c r="N87" s="1647"/>
      <c r="O87" s="1647"/>
      <c r="P87" s="1681">
        <f>'Part VI-Revenues &amp; Expenses'!$O$147</f>
        <v>85704</v>
      </c>
    </row>
    <row r="88" spans="1:16">
      <c r="A88" s="1651"/>
      <c r="B88" s="1647"/>
      <c r="C88" s="1647"/>
      <c r="D88" s="1665" t="s">
        <v>4716</v>
      </c>
      <c r="E88" s="1647"/>
      <c r="F88" s="1647"/>
      <c r="G88" s="1647"/>
      <c r="H88" s="1681">
        <f>'Part VI-Revenues &amp; Expenses'!$O$59</f>
        <v>0</v>
      </c>
      <c r="I88" s="1681">
        <f>'Part VI-Revenues &amp; Expenses'!$O$84</f>
        <v>0</v>
      </c>
      <c r="J88" s="1647"/>
      <c r="K88" s="1647"/>
      <c r="L88" s="1665" t="s">
        <v>4716</v>
      </c>
      <c r="M88" s="1647"/>
      <c r="N88" s="1647"/>
      <c r="O88" s="1647"/>
      <c r="P88" s="1681">
        <f>'Part VI-Revenues &amp; Expenses'!$O$148</f>
        <v>0</v>
      </c>
    </row>
    <row r="89" spans="1:16">
      <c r="A89" s="1651"/>
      <c r="B89" s="1647"/>
      <c r="C89" s="1647"/>
      <c r="D89" s="1665" t="s">
        <v>4719</v>
      </c>
      <c r="E89" s="1665"/>
      <c r="F89" s="1647"/>
      <c r="G89" s="1647"/>
      <c r="H89" s="1681">
        <f>'Part VI-Revenues &amp; Expenses'!$O$60</f>
        <v>0</v>
      </c>
      <c r="I89" s="1681">
        <f>'Part VI-Revenues &amp; Expenses'!$O$85</f>
        <v>0</v>
      </c>
      <c r="J89" s="1647"/>
      <c r="K89" s="1647"/>
      <c r="L89" s="1665" t="s">
        <v>4719</v>
      </c>
      <c r="M89" s="1647"/>
      <c r="N89" s="1647"/>
      <c r="O89" s="1647"/>
      <c r="P89" s="1681">
        <f>'Part VI-Revenues &amp; Expenses'!$O$149</f>
        <v>0</v>
      </c>
    </row>
    <row r="90" spans="1:16">
      <c r="A90" s="1651"/>
      <c r="B90" s="1647"/>
      <c r="C90" s="1647"/>
      <c r="D90" s="1665" t="s">
        <v>4720</v>
      </c>
      <c r="E90" s="1665"/>
      <c r="F90" s="1647"/>
      <c r="G90" s="1647"/>
      <c r="H90" s="1681">
        <f>'Part VI-Revenues &amp; Expenses'!$O$61</f>
        <v>0</v>
      </c>
      <c r="I90" s="1681">
        <f>'Part VI-Revenues &amp; Expenses'!$O$86</f>
        <v>0</v>
      </c>
      <c r="J90" s="1647"/>
      <c r="K90" s="1647"/>
      <c r="L90" s="1665" t="s">
        <v>4720</v>
      </c>
      <c r="M90" s="1647"/>
      <c r="N90" s="1647"/>
      <c r="O90" s="1647"/>
      <c r="P90" s="1681">
        <f>'Part VI-Revenues &amp; Expenses'!$O$150</f>
        <v>0</v>
      </c>
    </row>
    <row r="91" spans="1:16">
      <c r="A91" s="1651"/>
      <c r="B91" s="1647"/>
      <c r="C91" s="1647"/>
      <c r="D91" s="1665" t="s">
        <v>4721</v>
      </c>
      <c r="E91" s="1665"/>
      <c r="F91" s="1647"/>
      <c r="G91" s="1647"/>
      <c r="H91" s="1681">
        <f>'Part VI-Revenues &amp; Expenses'!$O$62</f>
        <v>0</v>
      </c>
      <c r="I91" s="1681">
        <f>'Part VI-Revenues &amp; Expenses'!$O$87</f>
        <v>0</v>
      </c>
      <c r="J91" s="1647"/>
      <c r="K91" s="1647"/>
      <c r="L91" s="1665" t="s">
        <v>4721</v>
      </c>
      <c r="M91" s="1647"/>
      <c r="N91" s="1647"/>
      <c r="O91" s="1647"/>
      <c r="P91" s="1681">
        <f>'Part VI-Revenues &amp; Expenses'!$O$151</f>
        <v>0</v>
      </c>
    </row>
    <row r="92" spans="1:16">
      <c r="A92" s="1651"/>
      <c r="B92" s="1647"/>
      <c r="C92" s="1653" t="s">
        <v>253</v>
      </c>
      <c r="D92" s="1647"/>
      <c r="E92" s="1647"/>
      <c r="F92" s="1647"/>
      <c r="G92" s="1647"/>
      <c r="H92" s="1681">
        <f>'Part VI-Revenues &amp; Expenses'!$O$64</f>
        <v>0</v>
      </c>
      <c r="I92" s="1647"/>
      <c r="J92" s="1651"/>
      <c r="K92" s="1653" t="s">
        <v>2774</v>
      </c>
      <c r="L92" s="1647"/>
      <c r="M92" s="1647"/>
      <c r="N92" s="1647"/>
      <c r="O92" s="1647"/>
      <c r="P92" s="1681">
        <f>'Part VI-Revenues &amp; Expenses'!$O$153</f>
        <v>0</v>
      </c>
    </row>
    <row r="93" spans="1:16">
      <c r="A93" s="1651"/>
      <c r="B93" s="1647"/>
      <c r="C93" s="1653" t="s">
        <v>2407</v>
      </c>
      <c r="D93" s="1647"/>
      <c r="E93" s="1647"/>
      <c r="F93" s="1647"/>
      <c r="G93" s="1647"/>
      <c r="H93" s="1681">
        <f>H84+H92</f>
        <v>84</v>
      </c>
      <c r="I93" s="1647"/>
      <c r="J93" s="1651"/>
      <c r="K93" s="1653" t="s">
        <v>2775</v>
      </c>
      <c r="L93" s="1647"/>
      <c r="M93" s="1647"/>
      <c r="N93" s="1647"/>
      <c r="O93" s="1647"/>
      <c r="P93" s="1681">
        <f>P84+P92</f>
        <v>85704</v>
      </c>
    </row>
    <row r="94" spans="1:16">
      <c r="A94" s="1651"/>
      <c r="B94" s="1647"/>
      <c r="C94" s="1653" t="s">
        <v>2408</v>
      </c>
      <c r="D94" s="1647"/>
      <c r="E94" s="1647"/>
      <c r="F94" s="1647"/>
      <c r="G94" s="1647"/>
      <c r="H94" s="1681">
        <f>'Part VI-Revenues &amp; Expenses'!$O$66</f>
        <v>0</v>
      </c>
      <c r="I94" s="1647"/>
      <c r="J94" s="1651"/>
      <c r="K94" s="1653" t="s">
        <v>2776</v>
      </c>
      <c r="L94" s="1647"/>
      <c r="M94" s="1647"/>
      <c r="N94" s="1647"/>
      <c r="O94" s="1647"/>
      <c r="P94" s="1681">
        <f>'Part VI-Revenues &amp; Expenses'!$O$155</f>
        <v>0</v>
      </c>
    </row>
    <row r="95" spans="1:16">
      <c r="A95" s="1651"/>
      <c r="B95" s="1647"/>
      <c r="C95" s="1653" t="s">
        <v>1793</v>
      </c>
      <c r="D95" s="1647"/>
      <c r="E95" s="1647"/>
      <c r="F95" s="1647"/>
      <c r="G95" s="1647"/>
      <c r="H95" s="1681">
        <f>+H93+H94</f>
        <v>84</v>
      </c>
      <c r="I95" s="1647"/>
      <c r="J95" s="1647"/>
      <c r="K95" s="1653" t="s">
        <v>1420</v>
      </c>
      <c r="L95" s="1647"/>
      <c r="M95" s="1647"/>
      <c r="N95" s="1647"/>
      <c r="O95" s="1647"/>
      <c r="P95" s="1681">
        <f>+P93+P94</f>
        <v>85704</v>
      </c>
    </row>
    <row r="96" spans="1:16">
      <c r="A96" s="1651"/>
      <c r="B96" s="1647"/>
      <c r="C96" s="1647"/>
      <c r="D96" s="1647"/>
      <c r="E96" s="1647"/>
      <c r="F96" s="1647"/>
      <c r="G96" s="1647"/>
      <c r="H96" s="1647"/>
      <c r="I96" s="1651"/>
      <c r="J96" s="1647"/>
      <c r="K96" s="1647"/>
      <c r="L96" s="1651"/>
      <c r="M96" s="1651"/>
      <c r="N96" s="1647"/>
      <c r="O96" s="1647"/>
      <c r="P96" s="1660"/>
    </row>
    <row r="97" spans="1:16" ht="13.5">
      <c r="A97" s="1651"/>
      <c r="B97" s="1651" t="s">
        <v>1735</v>
      </c>
      <c r="C97" s="1647" t="s">
        <v>2297</v>
      </c>
      <c r="D97" s="1665" t="s">
        <v>1996</v>
      </c>
      <c r="E97" s="1647"/>
      <c r="F97" s="1647"/>
      <c r="G97" s="1647"/>
      <c r="H97" s="1681">
        <f>'Part I-Project Information'!H74</f>
        <v>8</v>
      </c>
      <c r="I97" s="1647"/>
      <c r="J97" s="1647"/>
      <c r="K97" s="1653" t="s">
        <v>5146</v>
      </c>
      <c r="L97" s="1647"/>
      <c r="M97" s="1647"/>
      <c r="N97" s="1647"/>
      <c r="O97" s="1647"/>
      <c r="P97" s="1681">
        <f>'Part I-Project Information'!P74</f>
        <v>0</v>
      </c>
    </row>
    <row r="98" spans="1:16">
      <c r="A98" s="1651"/>
      <c r="B98" s="1651"/>
      <c r="C98" s="1647"/>
      <c r="D98" s="1680" t="s">
        <v>1997</v>
      </c>
      <c r="E98" s="1647"/>
      <c r="F98" s="1647"/>
      <c r="G98" s="1647"/>
      <c r="H98" s="1681">
        <f>'Part I-Project Information'!H75</f>
        <v>1</v>
      </c>
      <c r="I98" s="1647"/>
      <c r="J98" s="1647"/>
      <c r="K98" s="1653" t="s">
        <v>252</v>
      </c>
      <c r="L98" s="1647"/>
      <c r="M98" s="1647"/>
      <c r="N98" s="1647"/>
      <c r="O98" s="1647"/>
      <c r="P98" s="1681">
        <f>+P95+P97</f>
        <v>85704</v>
      </c>
    </row>
    <row r="99" spans="1:16">
      <c r="A99" s="1651"/>
      <c r="B99" s="1651"/>
      <c r="C99" s="1647"/>
      <c r="D99" s="1680" t="s">
        <v>1998</v>
      </c>
      <c r="E99" s="1647"/>
      <c r="F99" s="1647"/>
      <c r="G99" s="1647"/>
      <c r="H99" s="1681">
        <f>+H97+H98</f>
        <v>9</v>
      </c>
      <c r="I99" s="1647"/>
      <c r="J99" s="1647"/>
      <c r="K99" s="1647"/>
      <c r="L99" s="1647"/>
      <c r="M99" s="1647"/>
      <c r="N99" s="1647"/>
      <c r="O99" s="1647"/>
      <c r="P99" s="1647"/>
    </row>
    <row r="100" spans="1:16">
      <c r="A100" s="1651"/>
      <c r="B100" s="1651"/>
      <c r="C100" s="1647"/>
      <c r="D100" s="1647"/>
      <c r="E100" s="1647"/>
      <c r="F100" s="1647"/>
      <c r="G100" s="1651"/>
      <c r="H100" s="1647"/>
      <c r="I100" s="1653"/>
      <c r="J100" s="1647"/>
      <c r="K100" s="1647"/>
      <c r="L100" s="1647"/>
      <c r="M100" s="1647"/>
      <c r="N100" s="1647"/>
      <c r="O100" s="1647"/>
      <c r="P100" s="1660"/>
    </row>
    <row r="101" spans="1:16" ht="12.75" customHeight="1">
      <c r="A101" s="1651"/>
      <c r="B101" s="1651" t="s">
        <v>1736</v>
      </c>
      <c r="C101" s="1647" t="s">
        <v>2843</v>
      </c>
      <c r="D101" s="1647"/>
      <c r="E101" s="1647"/>
      <c r="F101" s="1647"/>
      <c r="G101" s="1647"/>
      <c r="H101" s="1681">
        <f>'Part I-Project Information'!H78</f>
        <v>0</v>
      </c>
      <c r="I101" s="1647"/>
      <c r="J101" s="1647"/>
      <c r="K101" s="1682" t="s">
        <v>3856</v>
      </c>
      <c r="L101" s="1682"/>
      <c r="M101" s="1682"/>
      <c r="N101" s="1682"/>
      <c r="O101" s="1682"/>
      <c r="P101" s="1682"/>
    </row>
    <row r="102" spans="1:16">
      <c r="A102" s="1651"/>
      <c r="B102" s="1651"/>
      <c r="C102" s="1653"/>
      <c r="D102" s="1647"/>
      <c r="E102" s="1647"/>
      <c r="F102" s="1647"/>
      <c r="G102" s="1651"/>
      <c r="H102" s="1647"/>
      <c r="I102" s="1653"/>
      <c r="J102" s="1653"/>
      <c r="K102" s="1682"/>
      <c r="L102" s="1682"/>
      <c r="M102" s="1682"/>
      <c r="N102" s="1682"/>
      <c r="O102" s="1682"/>
      <c r="P102" s="1682"/>
    </row>
    <row r="103" spans="1:16">
      <c r="A103" s="1651" t="s">
        <v>530</v>
      </c>
      <c r="B103" s="1665" t="s">
        <v>1191</v>
      </c>
      <c r="C103" s="1647"/>
      <c r="D103" s="1665"/>
      <c r="E103" s="1665"/>
      <c r="F103" s="1647"/>
      <c r="G103" s="1651"/>
      <c r="H103" s="1647"/>
      <c r="I103" s="1647"/>
      <c r="J103" s="1647"/>
      <c r="K103" s="1682"/>
      <c r="L103" s="1682"/>
      <c r="M103" s="1682"/>
      <c r="N103" s="1682"/>
      <c r="O103" s="1682"/>
      <c r="P103" s="1682"/>
    </row>
    <row r="104" spans="1:16">
      <c r="A104" s="1651"/>
      <c r="B104" s="1647"/>
      <c r="C104" s="1680"/>
      <c r="D104" s="1680"/>
      <c r="E104" s="1680"/>
      <c r="F104" s="1647"/>
      <c r="G104" s="1651"/>
      <c r="H104" s="1647"/>
      <c r="I104" s="1647"/>
      <c r="J104" s="1647"/>
      <c r="K104" s="1647"/>
      <c r="L104" s="1647"/>
      <c r="M104" s="1647"/>
      <c r="N104" s="1647"/>
      <c r="O104" s="1647"/>
      <c r="P104" s="1660"/>
    </row>
    <row r="105" spans="1:16">
      <c r="A105" s="1651"/>
      <c r="B105" s="1651" t="s">
        <v>1983</v>
      </c>
      <c r="C105" s="1654" t="s">
        <v>4494</v>
      </c>
      <c r="D105" s="1680"/>
      <c r="E105" s="1680"/>
      <c r="F105" s="1647"/>
      <c r="G105" s="1651"/>
      <c r="H105" s="1647" t="str">
        <f>'Part I-Project Information'!H82</f>
        <v>Family</v>
      </c>
      <c r="I105" s="1647">
        <f>'Part I-Project Information'!I82</f>
        <v>0</v>
      </c>
      <c r="J105" s="1647"/>
      <c r="K105" s="1647" t="s">
        <v>1772</v>
      </c>
      <c r="L105" s="1647"/>
      <c r="M105" s="1647">
        <f>'Part I-Project Information'!M82</f>
        <v>0</v>
      </c>
      <c r="N105" s="1647">
        <f>'Part I-Project Information'!N82</f>
        <v>0</v>
      </c>
      <c r="O105" s="1647">
        <f>'Part I-Project Information'!O82</f>
        <v>0</v>
      </c>
      <c r="P105" s="1647">
        <f>'Part I-Project Information'!P82</f>
        <v>0</v>
      </c>
    </row>
    <row r="106" spans="1:16">
      <c r="A106" s="1651"/>
      <c r="B106" s="1651"/>
      <c r="C106" s="1647"/>
      <c r="D106" s="1680"/>
      <c r="E106" s="1680"/>
      <c r="F106" s="1680"/>
      <c r="G106" s="1680"/>
      <c r="H106" s="1647"/>
      <c r="I106" s="1651"/>
      <c r="J106" s="1647"/>
      <c r="K106" s="1654"/>
      <c r="L106" s="1654"/>
      <c r="M106" s="1651"/>
      <c r="N106" s="1647"/>
      <c r="O106" s="1647"/>
      <c r="P106" s="1660"/>
    </row>
    <row r="107" spans="1:16" ht="12.75" customHeight="1">
      <c r="A107" s="1651"/>
      <c r="B107" s="1651"/>
      <c r="C107" s="1647"/>
      <c r="D107" s="1647"/>
      <c r="E107" s="1680"/>
      <c r="F107" s="1647"/>
      <c r="G107" s="1647"/>
      <c r="H107" s="1647"/>
      <c r="I107" s="1647"/>
      <c r="J107" s="1647"/>
      <c r="K107" s="1682" t="s">
        <v>4967</v>
      </c>
      <c r="L107" s="1685" t="s">
        <v>2911</v>
      </c>
      <c r="M107" s="1681">
        <f>'Part I-Project Information'!M84</f>
        <v>240</v>
      </c>
      <c r="N107" s="1685" t="s">
        <v>2912</v>
      </c>
      <c r="O107" s="1681">
        <f>'Part I-Project Information'!O84</f>
        <v>0</v>
      </c>
      <c r="P107" s="1654" t="s">
        <v>4966</v>
      </c>
    </row>
    <row r="108" spans="1:16">
      <c r="A108" s="1651"/>
      <c r="B108" s="1651"/>
      <c r="C108" s="1647"/>
      <c r="D108" s="1654"/>
      <c r="E108" s="1680"/>
      <c r="F108" s="1647"/>
      <c r="G108" s="1647"/>
      <c r="H108" s="1647"/>
      <c r="I108" s="1647"/>
      <c r="J108" s="1682"/>
      <c r="K108" s="1682"/>
      <c r="L108" s="1657" t="s">
        <v>2913</v>
      </c>
      <c r="M108" s="1681">
        <f>'Part I-Project Information'!M85</f>
        <v>0</v>
      </c>
      <c r="N108" s="1657" t="s">
        <v>3877</v>
      </c>
      <c r="O108" s="1681">
        <f>'Part I-Project Information'!O85</f>
        <v>0</v>
      </c>
      <c r="P108" s="1681">
        <f>'Part I-Project Information'!P85</f>
        <v>0</v>
      </c>
    </row>
    <row r="109" spans="1:16">
      <c r="A109" s="1651"/>
      <c r="B109" s="1651"/>
      <c r="C109" s="1647"/>
      <c r="D109" s="1680"/>
      <c r="E109" s="1680"/>
      <c r="F109" s="1680"/>
      <c r="G109" s="1680"/>
      <c r="H109" s="1647"/>
      <c r="I109" s="1651"/>
      <c r="J109" s="1647"/>
      <c r="K109" s="1654"/>
      <c r="L109" s="1654"/>
      <c r="M109" s="1651"/>
      <c r="N109" s="1647"/>
      <c r="O109" s="1647"/>
      <c r="P109" s="1660"/>
    </row>
    <row r="110" spans="1:16">
      <c r="A110" s="1651"/>
      <c r="B110" s="1651" t="s">
        <v>1985</v>
      </c>
      <c r="C110" s="1647" t="s">
        <v>1411</v>
      </c>
      <c r="D110" s="1647"/>
      <c r="E110" s="1665"/>
      <c r="F110" s="1680" t="s">
        <v>796</v>
      </c>
      <c r="G110" s="1647"/>
      <c r="H110" s="1681">
        <f>'Part VIII-Threshold Criteria'!K329</f>
        <v>0</v>
      </c>
      <c r="I110" s="1647"/>
      <c r="J110" s="1647"/>
      <c r="K110" s="1647" t="s">
        <v>520</v>
      </c>
      <c r="L110" s="1647"/>
      <c r="M110" s="1647"/>
      <c r="N110" s="1686">
        <f>IF('Part VI-Revenues &amp; Expenses'!$O$67=0,0,H110/'Part VI-Revenues &amp; Expenses'!$O$67)</f>
        <v>0</v>
      </c>
      <c r="O110" s="1657" t="s">
        <v>3696</v>
      </c>
      <c r="P110" s="1687">
        <f>'DCA Underwriting Assumptions'!$Q$139</f>
        <v>0.05</v>
      </c>
    </row>
    <row r="111" spans="1:16">
      <c r="A111" s="1651"/>
      <c r="B111" s="1651"/>
      <c r="C111" s="1647"/>
      <c r="D111" s="1680" t="s">
        <v>2841</v>
      </c>
      <c r="E111" s="1680"/>
      <c r="F111" s="1680" t="s">
        <v>796</v>
      </c>
      <c r="G111" s="1647"/>
      <c r="H111" s="1681">
        <f>'Part VIII-Threshold Criteria'!K330</f>
        <v>0</v>
      </c>
      <c r="I111" s="1647"/>
      <c r="J111" s="1647"/>
      <c r="K111" s="1647" t="s">
        <v>2842</v>
      </c>
      <c r="L111" s="1647"/>
      <c r="M111" s="1647"/>
      <c r="N111" s="1686">
        <f>IF(H110=0,0,H111/H110)</f>
        <v>0</v>
      </c>
      <c r="O111" s="1657" t="s">
        <v>3696</v>
      </c>
      <c r="P111" s="1687">
        <f>'DCA Underwriting Assumptions'!$Q$140</f>
        <v>0.4</v>
      </c>
    </row>
    <row r="112" spans="1:16">
      <c r="A112" s="1651"/>
      <c r="B112" s="1651"/>
      <c r="C112" s="1647"/>
      <c r="D112" s="1680"/>
      <c r="E112" s="1680"/>
      <c r="F112" s="1680"/>
      <c r="G112" s="1647"/>
      <c r="H112" s="1647"/>
      <c r="I112" s="1651"/>
      <c r="J112" s="1647"/>
      <c r="K112" s="1654"/>
      <c r="L112" s="1654"/>
      <c r="M112" s="1651"/>
      <c r="N112" s="1651"/>
      <c r="O112" s="1647"/>
      <c r="P112" s="1651"/>
    </row>
    <row r="113" spans="1:16">
      <c r="A113" s="1651"/>
      <c r="B113" s="1651" t="s">
        <v>749</v>
      </c>
      <c r="C113" s="1647" t="s">
        <v>1844</v>
      </c>
      <c r="D113" s="1665"/>
      <c r="E113" s="1665"/>
      <c r="F113" s="1680" t="s">
        <v>796</v>
      </c>
      <c r="G113" s="1647"/>
      <c r="H113" s="1681">
        <f>'Part VIII-Threshold Criteria'!K332</f>
        <v>0</v>
      </c>
      <c r="I113" s="1647"/>
      <c r="J113" s="1647"/>
      <c r="K113" s="1647" t="s">
        <v>520</v>
      </c>
      <c r="L113" s="1647"/>
      <c r="M113" s="1647"/>
      <c r="N113" s="1686">
        <f>IF('Part VI-Revenues &amp; Expenses'!$O$67=0,0,H113/'Part VI-Revenues &amp; Expenses'!$O$67)</f>
        <v>0</v>
      </c>
      <c r="O113" s="1657" t="s">
        <v>3696</v>
      </c>
      <c r="P113" s="1687">
        <f>'DCA Underwriting Assumptions'!$Q$141</f>
        <v>0.02</v>
      </c>
    </row>
    <row r="114" spans="1:16">
      <c r="A114" s="1651"/>
      <c r="B114" s="1651"/>
      <c r="C114" s="1647"/>
      <c r="D114" s="1680"/>
      <c r="E114" s="1680"/>
      <c r="F114" s="1680"/>
      <c r="G114" s="1680"/>
      <c r="H114" s="1647"/>
      <c r="I114" s="1651"/>
      <c r="J114" s="1651"/>
      <c r="K114" s="1651"/>
      <c r="L114" s="1651"/>
      <c r="M114" s="1651"/>
      <c r="N114" s="1647"/>
      <c r="O114" s="1647"/>
      <c r="P114" s="1660"/>
    </row>
    <row r="115" spans="1:16">
      <c r="A115" s="1653" t="s">
        <v>772</v>
      </c>
      <c r="B115" s="1680" t="s">
        <v>4873</v>
      </c>
      <c r="C115" s="1647"/>
      <c r="D115" s="1680"/>
      <c r="E115" s="1680"/>
      <c r="F115" s="1680"/>
      <c r="G115" s="1680"/>
      <c r="H115" s="1680"/>
      <c r="I115" s="1651"/>
      <c r="J115" s="1647"/>
      <c r="K115" s="1647"/>
      <c r="L115" s="1647"/>
      <c r="M115" s="1651"/>
      <c r="N115" s="1647"/>
      <c r="O115" s="1647"/>
      <c r="P115" s="1660"/>
    </row>
    <row r="116" spans="1:16">
      <c r="A116" s="1651"/>
      <c r="B116" s="1651"/>
      <c r="C116" s="1680"/>
      <c r="D116" s="1680"/>
      <c r="E116" s="1680"/>
      <c r="F116" s="1680"/>
      <c r="G116" s="1647"/>
      <c r="H116" s="1647"/>
      <c r="I116" s="1647"/>
      <c r="J116" s="1647"/>
      <c r="K116" s="1647"/>
      <c r="L116" s="1651"/>
      <c r="M116" s="1651"/>
      <c r="N116" s="1647"/>
      <c r="O116" s="1647"/>
      <c r="P116" s="1647"/>
    </row>
    <row r="117" spans="1:16">
      <c r="A117" s="1651"/>
      <c r="B117" s="1651" t="s">
        <v>1983</v>
      </c>
      <c r="C117" s="1654" t="s">
        <v>2376</v>
      </c>
      <c r="D117" s="1680"/>
      <c r="E117" s="1647"/>
      <c r="F117" s="1654"/>
      <c r="G117" s="1647"/>
      <c r="H117" s="1647"/>
      <c r="I117" s="1647"/>
      <c r="J117" s="1647"/>
      <c r="K117" s="1647" t="str">
        <f>'Part I-Project Information'!K94</f>
        <v>40% of Units at 60% of AMI</v>
      </c>
      <c r="L117" s="1647">
        <f>'Part I-Project Information'!L94</f>
        <v>0</v>
      </c>
      <c r="M117" s="1647">
        <f>'Part I-Project Information'!M94</f>
        <v>0</v>
      </c>
      <c r="N117" s="1647"/>
      <c r="O117" s="1647"/>
      <c r="P117" s="1647"/>
    </row>
    <row r="118" spans="1:16">
      <c r="A118" s="1651"/>
      <c r="B118" s="1651"/>
      <c r="C118" s="1647"/>
      <c r="D118" s="1680"/>
      <c r="E118" s="1647"/>
      <c r="F118" s="1680"/>
      <c r="G118" s="1680"/>
      <c r="H118" s="1647"/>
      <c r="I118" s="1647"/>
      <c r="J118" s="1647"/>
      <c r="K118" s="1647"/>
      <c r="L118" s="1651"/>
      <c r="M118" s="1651"/>
      <c r="N118" s="1647"/>
      <c r="O118" s="1647"/>
      <c r="P118" s="1647"/>
    </row>
    <row r="119" spans="1:16">
      <c r="A119" s="1647"/>
      <c r="B119" s="1651" t="s">
        <v>1985</v>
      </c>
      <c r="C119" s="1647" t="s">
        <v>1534</v>
      </c>
      <c r="D119" s="1647"/>
      <c r="E119" s="1647"/>
      <c r="F119" s="1647"/>
      <c r="G119" s="1647"/>
      <c r="H119" s="1647"/>
      <c r="I119" s="1647"/>
      <c r="J119" s="1647"/>
      <c r="K119" s="1654" t="s">
        <v>4942</v>
      </c>
      <c r="L119" s="1647"/>
      <c r="M119" s="1647"/>
      <c r="N119" s="2720"/>
      <c r="O119" s="1647"/>
      <c r="P119" s="1651" t="str">
        <f>'Part I-Project Information'!P96</f>
        <v>N/a</v>
      </c>
    </row>
    <row r="120" spans="1:16">
      <c r="A120" s="1651"/>
      <c r="B120" s="1651"/>
      <c r="C120" s="1647"/>
      <c r="D120" s="1680"/>
      <c r="E120" s="1680"/>
      <c r="F120" s="1680"/>
      <c r="G120" s="1680"/>
      <c r="H120" s="1647"/>
      <c r="I120" s="1651"/>
      <c r="J120" s="1651"/>
      <c r="K120" s="1651"/>
      <c r="L120" s="1651"/>
      <c r="M120" s="1651"/>
      <c r="N120" s="1647"/>
      <c r="O120" s="1647"/>
      <c r="P120" s="1660"/>
    </row>
    <row r="121" spans="1:16">
      <c r="A121" s="1653" t="s">
        <v>292</v>
      </c>
      <c r="B121" s="1680" t="s">
        <v>2041</v>
      </c>
      <c r="C121" s="1647"/>
      <c r="D121" s="1680"/>
      <c r="E121" s="1647"/>
      <c r="F121" s="1647"/>
      <c r="G121" s="1647"/>
      <c r="H121" s="1647"/>
      <c r="I121" s="1647"/>
      <c r="J121" s="1647"/>
      <c r="K121" s="1647"/>
      <c r="L121" s="1647"/>
      <c r="M121" s="1647"/>
      <c r="N121" s="1647"/>
      <c r="O121" s="1647"/>
      <c r="P121" s="1647"/>
    </row>
    <row r="122" spans="1:16">
      <c r="A122" s="1651"/>
      <c r="B122" s="1651"/>
      <c r="C122" s="1647"/>
      <c r="D122" s="1680"/>
      <c r="E122" s="1647"/>
      <c r="F122" s="1647"/>
      <c r="G122" s="1647"/>
      <c r="H122" s="1647"/>
      <c r="I122" s="1647"/>
      <c r="J122" s="1647"/>
      <c r="K122" s="1647"/>
      <c r="L122" s="1647"/>
      <c r="M122" s="1647"/>
      <c r="N122" s="1647"/>
      <c r="O122" s="1647"/>
      <c r="P122" s="1660"/>
    </row>
    <row r="123" spans="1:16">
      <c r="A123" s="1653"/>
      <c r="B123" s="1651" t="s">
        <v>1983</v>
      </c>
      <c r="C123" s="1647" t="s">
        <v>2708</v>
      </c>
      <c r="D123" s="1647"/>
      <c r="E123" s="1647"/>
      <c r="F123" s="1665" t="s">
        <v>2600</v>
      </c>
      <c r="G123" s="1647"/>
      <c r="H123" s="1651" t="str">
        <f>'Part I-Project Information'!H100</f>
        <v>No</v>
      </c>
      <c r="I123" s="1647"/>
      <c r="J123" s="1647"/>
      <c r="K123" s="1654" t="s">
        <v>3895</v>
      </c>
      <c r="L123" s="1647"/>
      <c r="M123" s="1647"/>
      <c r="N123" s="1647"/>
      <c r="O123" s="1647"/>
      <c r="P123" s="1651" t="str">
        <f>'Part I-Project Information'!P100</f>
        <v>No</v>
      </c>
    </row>
    <row r="124" spans="1:16">
      <c r="A124" s="1653"/>
      <c r="B124" s="1651"/>
      <c r="C124" s="1647"/>
      <c r="D124" s="1647"/>
      <c r="E124" s="1647"/>
      <c r="F124" s="1680" t="s">
        <v>3901</v>
      </c>
      <c r="G124" s="1647"/>
      <c r="H124" s="1651" t="str">
        <f>'Part I-Project Information'!H101</f>
        <v>No</v>
      </c>
      <c r="I124" s="1647"/>
      <c r="J124" s="1647"/>
      <c r="K124" s="1654" t="s">
        <v>4733</v>
      </c>
      <c r="L124" s="1647"/>
      <c r="M124" s="1647"/>
      <c r="N124" s="1647"/>
      <c r="O124" s="1647"/>
      <c r="P124" s="1651" t="str">
        <f>'Part I-Project Information'!P101</f>
        <v>No</v>
      </c>
    </row>
    <row r="125" spans="1:16">
      <c r="A125" s="1651"/>
      <c r="B125" s="1651"/>
      <c r="C125" s="1680"/>
      <c r="D125" s="1647"/>
      <c r="E125" s="1647"/>
      <c r="F125" s="1680"/>
      <c r="G125" s="1647"/>
      <c r="H125" s="1680"/>
      <c r="I125" s="1647"/>
      <c r="J125" s="1651"/>
      <c r="K125" s="1651"/>
      <c r="L125" s="1651"/>
      <c r="M125" s="1651"/>
      <c r="N125" s="1651"/>
      <c r="O125" s="1647"/>
      <c r="P125" s="1660"/>
    </row>
    <row r="126" spans="1:16">
      <c r="A126" s="1653"/>
      <c r="B126" s="1651" t="s">
        <v>1985</v>
      </c>
      <c r="C126" s="1647" t="s">
        <v>2709</v>
      </c>
      <c r="D126" s="1647"/>
      <c r="E126" s="1647"/>
      <c r="F126" s="1654" t="s">
        <v>2679</v>
      </c>
      <c r="G126" s="1647"/>
      <c r="H126" s="1651" t="str">
        <f>'Part I-Project Information'!H103</f>
        <v>No</v>
      </c>
      <c r="I126" s="1689" t="s">
        <v>2710</v>
      </c>
      <c r="J126" s="1651"/>
      <c r="K126" s="1647"/>
      <c r="L126" s="1651"/>
      <c r="M126" s="1647"/>
      <c r="N126" s="1647"/>
      <c r="O126" s="1647"/>
      <c r="P126" s="1647"/>
    </row>
    <row r="127" spans="1:16">
      <c r="A127" s="1651"/>
      <c r="B127" s="1651"/>
      <c r="C127" s="1647"/>
      <c r="D127" s="1680"/>
      <c r="E127" s="1680"/>
      <c r="F127" s="1680"/>
      <c r="G127" s="1680"/>
      <c r="H127" s="1647"/>
      <c r="I127" s="1651"/>
      <c r="J127" s="1651"/>
      <c r="K127" s="1651"/>
      <c r="L127" s="1651"/>
      <c r="M127" s="1651"/>
      <c r="N127" s="1647"/>
      <c r="O127" s="1647"/>
      <c r="P127" s="1660"/>
    </row>
    <row r="128" spans="1:16">
      <c r="A128" s="1653" t="s">
        <v>426</v>
      </c>
      <c r="B128" s="1680" t="s">
        <v>2783</v>
      </c>
      <c r="C128" s="1647"/>
      <c r="D128" s="1680"/>
      <c r="E128" s="1647"/>
      <c r="F128" s="1647"/>
      <c r="G128" s="1647"/>
      <c r="H128" s="1647" t="str">
        <f>'Part I-Project Information'!H105</f>
        <v>N/A - 4% Bond</v>
      </c>
      <c r="I128" s="1647">
        <f>'Part I-Project Information'!I105</f>
        <v>0</v>
      </c>
      <c r="J128" s="1651"/>
      <c r="K128" s="1647"/>
      <c r="L128" s="1647"/>
      <c r="M128" s="1647"/>
      <c r="N128" s="1647"/>
      <c r="O128" s="1647"/>
      <c r="P128" s="1647"/>
    </row>
    <row r="129" spans="1:16">
      <c r="A129" s="1651"/>
      <c r="B129" s="1647"/>
      <c r="C129" s="1647"/>
      <c r="D129" s="1661"/>
      <c r="E129" s="1647"/>
      <c r="F129" s="1647"/>
      <c r="G129" s="1647"/>
      <c r="H129" s="1647"/>
      <c r="I129" s="1661"/>
      <c r="J129" s="1653"/>
      <c r="K129" s="1647"/>
      <c r="L129" s="1647"/>
      <c r="M129" s="1647"/>
      <c r="N129" s="1647"/>
      <c r="O129" s="1647"/>
      <c r="P129" s="1660"/>
    </row>
    <row r="130" spans="1:16">
      <c r="A130" s="1653" t="s">
        <v>362</v>
      </c>
      <c r="B130" s="1653" t="s">
        <v>1189</v>
      </c>
      <c r="C130" s="1647"/>
      <c r="D130" s="1647"/>
      <c r="E130" s="1647"/>
      <c r="F130" s="1647"/>
      <c r="G130" s="1647"/>
      <c r="H130" s="1647"/>
      <c r="I130" s="1661"/>
      <c r="J130" s="1653"/>
      <c r="K130" s="1647"/>
      <c r="L130" s="1647"/>
      <c r="M130" s="1647"/>
      <c r="N130" s="1647"/>
      <c r="O130" s="1647"/>
      <c r="P130" s="1660"/>
    </row>
    <row r="131" spans="1:16">
      <c r="A131" s="1653"/>
      <c r="B131" s="1651"/>
      <c r="C131" s="1653"/>
      <c r="D131" s="1647"/>
      <c r="E131" s="1647"/>
      <c r="F131" s="1647"/>
      <c r="G131" s="1647"/>
      <c r="H131" s="1647"/>
      <c r="I131" s="1661"/>
      <c r="J131" s="1653"/>
      <c r="K131" s="1647"/>
      <c r="L131" s="1647"/>
      <c r="M131" s="1647"/>
      <c r="N131" s="1647"/>
      <c r="O131" s="1647"/>
      <c r="P131" s="1647"/>
    </row>
    <row r="132" spans="1:16">
      <c r="A132" s="1651"/>
      <c r="B132" s="1651"/>
      <c r="C132" s="1653" t="s">
        <v>552</v>
      </c>
      <c r="D132" s="1647"/>
      <c r="E132" s="1647" t="str">
        <f>'Part I-Project Information'!E109</f>
        <v>Housing Authority of the County of DeKalb, Georgia</v>
      </c>
      <c r="F132" s="1647">
        <f>'Part I-Project Information'!F109</f>
        <v>0</v>
      </c>
      <c r="G132" s="1647">
        <f>'Part I-Project Information'!G109</f>
        <v>0</v>
      </c>
      <c r="H132" s="1647">
        <f>'Part I-Project Information'!H109</f>
        <v>0</v>
      </c>
      <c r="I132" s="1647">
        <f>'Part I-Project Information'!I109</f>
        <v>0</v>
      </c>
      <c r="J132" s="1647">
        <f>'Part I-Project Information'!J109</f>
        <v>0</v>
      </c>
      <c r="K132" s="1647">
        <f>'Part I-Project Information'!K109</f>
        <v>0</v>
      </c>
      <c r="L132" s="1647">
        <f>'Part I-Project Information'!L109</f>
        <v>0</v>
      </c>
      <c r="M132" s="1665" t="s">
        <v>553</v>
      </c>
      <c r="N132" s="1665"/>
      <c r="O132" s="2123">
        <f>'Part I-Project Information'!O109</f>
        <v>42636</v>
      </c>
      <c r="P132" s="2123">
        <f>'Part I-Project Information'!P109</f>
        <v>0</v>
      </c>
    </row>
    <row r="133" spans="1:16">
      <c r="A133" s="1647"/>
      <c r="B133" s="1647"/>
      <c r="C133" s="1654" t="s">
        <v>1021</v>
      </c>
      <c r="D133" s="1657"/>
      <c r="E133" s="1647" t="str">
        <f>'Part I-Project Information'!E110</f>
        <v>750 Commerce Drive</v>
      </c>
      <c r="F133" s="1647">
        <f>'Part I-Project Information'!F110</f>
        <v>0</v>
      </c>
      <c r="G133" s="1647">
        <f>'Part I-Project Information'!G110</f>
        <v>0</v>
      </c>
      <c r="H133" s="1647">
        <f>'Part I-Project Information'!H110</f>
        <v>0</v>
      </c>
      <c r="I133" s="1647">
        <f>'Part I-Project Information'!I110</f>
        <v>0</v>
      </c>
      <c r="J133" s="1647">
        <f>'Part I-Project Information'!J110</f>
        <v>0</v>
      </c>
      <c r="K133" s="1647">
        <f>'Part I-Project Information'!K110</f>
        <v>0</v>
      </c>
      <c r="L133" s="1647">
        <f>'Part I-Project Information'!L110</f>
        <v>0</v>
      </c>
      <c r="M133" s="1665" t="s">
        <v>808</v>
      </c>
      <c r="N133" s="1665"/>
      <c r="O133" s="2023">
        <f>'Part I-Project Information'!O110</f>
        <v>2019</v>
      </c>
      <c r="P133" s="2023">
        <f>'Part I-Project Information'!P110</f>
        <v>0</v>
      </c>
    </row>
    <row r="134" spans="1:16">
      <c r="A134" s="1647"/>
      <c r="B134" s="1647"/>
      <c r="C134" s="1654" t="s">
        <v>618</v>
      </c>
      <c r="D134" s="1647"/>
      <c r="E134" s="1647" t="str">
        <f>'Part I-Project Information'!E111</f>
        <v>Decatur</v>
      </c>
      <c r="F134" s="1665">
        <f>'Part I-Project Information'!F111</f>
        <v>0</v>
      </c>
      <c r="G134" s="1665">
        <f>'Part I-Project Information'!G111</f>
        <v>0</v>
      </c>
      <c r="H134" s="1651" t="s">
        <v>1799</v>
      </c>
      <c r="I134" s="1654" t="str">
        <f>'Part I-Project Information'!I111</f>
        <v>GA</v>
      </c>
      <c r="J134" s="1651" t="s">
        <v>2229</v>
      </c>
      <c r="K134" s="2115">
        <f>'Part I-Project Information'!K111</f>
        <v>300302628</v>
      </c>
      <c r="L134" s="1665">
        <f>'Part I-Project Information'!L111</f>
        <v>0</v>
      </c>
      <c r="M134" s="1653" t="s">
        <v>3664</v>
      </c>
      <c r="N134" s="1653"/>
      <c r="O134" s="1766">
        <f>'Part I-Project Information'!O111</f>
        <v>23500000</v>
      </c>
      <c r="P134" s="1766">
        <f>'Part I-Project Information'!P111</f>
        <v>0</v>
      </c>
    </row>
    <row r="135" spans="1:16">
      <c r="A135" s="1647"/>
      <c r="B135" s="1647"/>
      <c r="C135" s="1647" t="s">
        <v>2194</v>
      </c>
      <c r="D135" s="1647"/>
      <c r="E135" s="1647" t="str">
        <f>'Part I-Project Information'!E112</f>
        <v>Deidre Randle</v>
      </c>
      <c r="F135" s="1665">
        <f>'Part I-Project Information'!F112</f>
        <v>0</v>
      </c>
      <c r="G135" s="1665">
        <f>'Part I-Project Information'!G112</f>
        <v>0</v>
      </c>
      <c r="H135" s="1651" t="s">
        <v>1980</v>
      </c>
      <c r="I135" s="1647" t="str">
        <f>'Part I-Project Information'!I112</f>
        <v>Bond Compliance Manager</v>
      </c>
      <c r="J135" s="1665">
        <f>'Part I-Project Information'!J112</f>
        <v>0</v>
      </c>
      <c r="K135" s="1665">
        <f>'Part I-Project Information'!K112</f>
        <v>0</v>
      </c>
      <c r="L135" s="1651" t="s">
        <v>1984</v>
      </c>
      <c r="M135" s="1647" t="str">
        <f>'Part I-Project Information'!M112</f>
        <v>bonds@dekalbhousing.org</v>
      </c>
      <c r="N135" s="1665">
        <f>'Part I-Project Information'!N112</f>
        <v>0</v>
      </c>
      <c r="O135" s="1665">
        <f>'Part I-Project Information'!O112</f>
        <v>0</v>
      </c>
      <c r="P135" s="1665">
        <f>'Part I-Project Information'!P112</f>
        <v>0</v>
      </c>
    </row>
    <row r="136" spans="1:16">
      <c r="A136" s="1647"/>
      <c r="B136" s="1647"/>
      <c r="C136" s="1654" t="s">
        <v>2193</v>
      </c>
      <c r="D136" s="1647"/>
      <c r="E136" s="2116">
        <f>'Part I-Project Information'!E113</f>
        <v>4042702545</v>
      </c>
      <c r="F136" s="2116">
        <f>'Part I-Project Information'!F113</f>
        <v>0</v>
      </c>
      <c r="G136" s="2116">
        <f>'Part I-Project Information'!G113</f>
        <v>0</v>
      </c>
      <c r="H136" s="1651" t="s">
        <v>1802</v>
      </c>
      <c r="I136" s="2116">
        <f>'Part I-Project Information'!I113</f>
        <v>6788529841</v>
      </c>
      <c r="J136" s="1665">
        <f>'Part I-Project Information'!J113</f>
        <v>0</v>
      </c>
      <c r="K136" s="1651" t="s">
        <v>2704</v>
      </c>
      <c r="L136" s="2023" t="str">
        <f>'Part I-Project Information'!L113</f>
        <v>http://www.dekalbhousing.org/</v>
      </c>
      <c r="M136" s="2023">
        <f>'Part I-Project Information'!M113</f>
        <v>0</v>
      </c>
      <c r="N136" s="2023">
        <f>'Part I-Project Information'!N113</f>
        <v>0</v>
      </c>
      <c r="O136" s="2023">
        <f>'Part I-Project Information'!O113</f>
        <v>0</v>
      </c>
      <c r="P136" s="2023">
        <f>'Part I-Project Information'!P113</f>
        <v>0</v>
      </c>
    </row>
    <row r="137" spans="1:16">
      <c r="A137" s="1651"/>
      <c r="B137" s="1651"/>
      <c r="C137" s="1647"/>
      <c r="D137" s="1647"/>
      <c r="E137" s="1647"/>
      <c r="F137" s="1647"/>
      <c r="G137" s="1661"/>
      <c r="H137" s="1651"/>
      <c r="I137" s="1651"/>
      <c r="J137" s="1647"/>
      <c r="K137" s="1647"/>
      <c r="L137" s="1647"/>
      <c r="M137" s="1660"/>
      <c r="N137" s="1647"/>
      <c r="O137" s="1647"/>
      <c r="P137" s="1647"/>
    </row>
    <row r="138" spans="1:16">
      <c r="A138" s="1653" t="s">
        <v>363</v>
      </c>
      <c r="B138" s="1680" t="s">
        <v>1669</v>
      </c>
      <c r="C138" s="1647"/>
      <c r="D138" s="1661"/>
      <c r="E138" s="1661"/>
      <c r="F138" s="1651"/>
      <c r="G138" s="1651"/>
      <c r="H138" s="1651"/>
      <c r="I138" s="1647"/>
      <c r="J138" s="1647"/>
      <c r="K138" s="1647"/>
      <c r="L138" s="1647"/>
      <c r="M138" s="1647"/>
      <c r="N138" s="1647"/>
      <c r="O138" s="1647"/>
      <c r="P138" s="1660"/>
    </row>
    <row r="139" spans="1:16">
      <c r="A139" s="1653"/>
      <c r="B139" s="1680"/>
      <c r="C139" s="1647"/>
      <c r="D139" s="1661"/>
      <c r="E139" s="1661"/>
      <c r="F139" s="1651"/>
      <c r="G139" s="1651"/>
      <c r="H139" s="1651"/>
      <c r="I139" s="1651"/>
      <c r="J139" s="1661"/>
      <c r="K139" s="1651"/>
      <c r="L139" s="1651"/>
      <c r="M139" s="1647"/>
      <c r="N139" s="1647"/>
      <c r="O139" s="1647"/>
      <c r="P139" s="1660"/>
    </row>
    <row r="140" spans="1:16">
      <c r="A140" s="1647"/>
      <c r="B140" s="1665" t="s">
        <v>2153</v>
      </c>
      <c r="C140" s="1647"/>
      <c r="D140" s="1658"/>
      <c r="E140" s="1658"/>
      <c r="F140" s="1658"/>
      <c r="G140" s="1658"/>
      <c r="H140" s="1658"/>
      <c r="I140" s="1658"/>
      <c r="J140" s="1658"/>
      <c r="K140" s="1658"/>
      <c r="L140" s="1658"/>
      <c r="M140" s="1658"/>
      <c r="N140" s="1658"/>
      <c r="O140" s="1658"/>
      <c r="P140" s="1658"/>
    </row>
    <row r="141" spans="1:16">
      <c r="A141" s="1651"/>
      <c r="B141" s="1651"/>
      <c r="C141" s="1690"/>
      <c r="D141" s="1690"/>
      <c r="E141" s="1690"/>
      <c r="F141" s="1690"/>
      <c r="G141" s="1690"/>
      <c r="H141" s="1690"/>
      <c r="I141" s="1690"/>
      <c r="J141" s="1690"/>
      <c r="K141" s="1690"/>
      <c r="L141" s="1690"/>
      <c r="M141" s="1690"/>
      <c r="N141" s="1690"/>
      <c r="O141" s="1690"/>
      <c r="P141" s="1690"/>
    </row>
    <row r="142" spans="1:16">
      <c r="A142" s="1651"/>
      <c r="B142" s="1651" t="s">
        <v>1983</v>
      </c>
      <c r="C142" s="1680" t="s">
        <v>1412</v>
      </c>
      <c r="D142" s="1680"/>
      <c r="E142" s="1680"/>
      <c r="F142" s="1651"/>
      <c r="G142" s="1651"/>
      <c r="H142" s="1661">
        <f>'Part I-Project Information'!H119</f>
        <v>0</v>
      </c>
      <c r="I142" s="1647"/>
      <c r="J142" s="1647"/>
      <c r="K142" s="1647"/>
      <c r="L142" s="1647"/>
      <c r="M142" s="1647"/>
      <c r="N142" s="1647"/>
      <c r="O142" s="1647"/>
      <c r="P142" s="1647"/>
    </row>
    <row r="143" spans="1:16">
      <c r="A143" s="1651"/>
      <c r="B143" s="1651"/>
      <c r="C143" s="1690"/>
      <c r="D143" s="1690"/>
      <c r="E143" s="1690"/>
      <c r="F143" s="1690"/>
      <c r="G143" s="1690"/>
      <c r="H143" s="1690"/>
      <c r="I143" s="1647"/>
      <c r="J143" s="1690"/>
      <c r="K143" s="1647"/>
      <c r="L143" s="1647"/>
      <c r="M143" s="1690"/>
      <c r="N143" s="1690"/>
      <c r="O143" s="1690"/>
      <c r="P143" s="1647"/>
    </row>
    <row r="144" spans="1:16">
      <c r="A144" s="1651"/>
      <c r="B144" s="1651" t="s">
        <v>1985</v>
      </c>
      <c r="C144" s="1680" t="s">
        <v>416</v>
      </c>
      <c r="D144" s="1680"/>
      <c r="E144" s="1680"/>
      <c r="F144" s="1651"/>
      <c r="G144" s="1651"/>
      <c r="H144" s="2124">
        <f>'Part I-Project Information'!H121</f>
        <v>0</v>
      </c>
      <c r="I144" s="1647"/>
      <c r="J144" s="1661"/>
      <c r="K144" s="1654"/>
      <c r="L144" s="1647"/>
      <c r="M144" s="1647"/>
      <c r="N144" s="1647"/>
      <c r="O144" s="1647"/>
      <c r="P144" s="1647"/>
    </row>
    <row r="145" spans="1:16">
      <c r="A145" s="1651"/>
      <c r="B145" s="1651"/>
      <c r="C145" s="1690"/>
      <c r="D145" s="1690"/>
      <c r="E145" s="1690"/>
      <c r="F145" s="1690"/>
      <c r="G145" s="1690"/>
      <c r="H145" s="1690"/>
      <c r="I145" s="1690"/>
      <c r="J145" s="1690"/>
      <c r="K145" s="1690"/>
      <c r="L145" s="1647"/>
      <c r="M145" s="1690"/>
      <c r="N145" s="1690"/>
      <c r="O145" s="1690"/>
      <c r="P145" s="1690"/>
    </row>
    <row r="146" spans="1:16">
      <c r="A146" s="1647"/>
      <c r="B146" s="1651" t="s">
        <v>749</v>
      </c>
      <c r="C146" s="1680" t="s">
        <v>302</v>
      </c>
      <c r="D146" s="1680"/>
      <c r="E146" s="1680"/>
      <c r="F146" s="1651"/>
      <c r="G146" s="1651"/>
      <c r="H146" s="1651"/>
      <c r="I146" s="1651"/>
      <c r="J146" s="1661"/>
      <c r="K146" s="1651"/>
      <c r="L146" s="1651"/>
      <c r="M146" s="1647"/>
      <c r="N146" s="1647"/>
      <c r="O146" s="1647"/>
      <c r="P146" s="1647"/>
    </row>
    <row r="147" spans="1:16">
      <c r="A147" s="1647"/>
      <c r="B147" s="1651"/>
      <c r="C147" s="1680" t="s">
        <v>2135</v>
      </c>
      <c r="D147" s="1680"/>
      <c r="E147" s="1647"/>
      <c r="F147" s="1680" t="s">
        <v>1134</v>
      </c>
      <c r="G147" s="1651"/>
      <c r="H147" s="1651"/>
      <c r="I147" s="1651" t="s">
        <v>1294</v>
      </c>
      <c r="J147" s="1680" t="s">
        <v>2135</v>
      </c>
      <c r="K147" s="1680"/>
      <c r="L147" s="1647"/>
      <c r="M147" s="1680" t="s">
        <v>1134</v>
      </c>
      <c r="N147" s="1651"/>
      <c r="O147" s="1651"/>
      <c r="P147" s="1651" t="s">
        <v>1294</v>
      </c>
    </row>
    <row r="148" spans="1:16" ht="13.5">
      <c r="A148" s="1651"/>
      <c r="B148" s="1651"/>
      <c r="C148" s="1710">
        <f>'Part I-Project Information'!C125</f>
        <v>1</v>
      </c>
      <c r="D148" s="1710">
        <f>'Part I-Project Information'!D125</f>
        <v>0</v>
      </c>
      <c r="E148" s="1710">
        <f>'Part I-Project Information'!E125</f>
        <v>0</v>
      </c>
      <c r="F148" s="1710">
        <f>'Part I-Project Information'!F125</f>
        <v>0</v>
      </c>
      <c r="G148" s="1710">
        <f>'Part I-Project Information'!G125</f>
        <v>0</v>
      </c>
      <c r="H148" s="1710">
        <f>'Part I-Project Information'!H125</f>
        <v>0</v>
      </c>
      <c r="I148" s="2133">
        <f>'Part I-Project Information'!I125</f>
        <v>0</v>
      </c>
      <c r="J148" s="1710">
        <f>'Part I-Project Information'!J125</f>
        <v>7</v>
      </c>
      <c r="K148" s="1710">
        <f>'Part I-Project Information'!K125</f>
        <v>0</v>
      </c>
      <c r="L148" s="1710">
        <f>'Part I-Project Information'!L125</f>
        <v>0</v>
      </c>
      <c r="M148" s="1710">
        <f>'Part I-Project Information'!M125</f>
        <v>0</v>
      </c>
      <c r="N148" s="1710">
        <f>'Part I-Project Information'!N125</f>
        <v>0</v>
      </c>
      <c r="O148" s="1710">
        <f>'Part I-Project Information'!O125</f>
        <v>0</v>
      </c>
      <c r="P148" s="2133">
        <f>'Part I-Project Information'!P125</f>
        <v>0</v>
      </c>
    </row>
    <row r="149" spans="1:16" ht="13.5">
      <c r="A149" s="1651"/>
      <c r="B149" s="1651"/>
      <c r="C149" s="1710">
        <f>'Part I-Project Information'!C126</f>
        <v>2</v>
      </c>
      <c r="D149" s="1710">
        <f>'Part I-Project Information'!D126</f>
        <v>0</v>
      </c>
      <c r="E149" s="1710">
        <f>'Part I-Project Information'!E126</f>
        <v>0</v>
      </c>
      <c r="F149" s="1710">
        <f>'Part I-Project Information'!F126</f>
        <v>0</v>
      </c>
      <c r="G149" s="1710">
        <f>'Part I-Project Information'!G126</f>
        <v>0</v>
      </c>
      <c r="H149" s="1710">
        <f>'Part I-Project Information'!H126</f>
        <v>0</v>
      </c>
      <c r="I149" s="2133">
        <f>'Part I-Project Information'!I126</f>
        <v>0</v>
      </c>
      <c r="J149" s="1710">
        <f>'Part I-Project Information'!J126</f>
        <v>8</v>
      </c>
      <c r="K149" s="1710">
        <f>'Part I-Project Information'!K126</f>
        <v>0</v>
      </c>
      <c r="L149" s="1710">
        <f>'Part I-Project Information'!L126</f>
        <v>0</v>
      </c>
      <c r="M149" s="1710">
        <f>'Part I-Project Information'!M126</f>
        <v>0</v>
      </c>
      <c r="N149" s="1710">
        <f>'Part I-Project Information'!N126</f>
        <v>0</v>
      </c>
      <c r="O149" s="1710">
        <f>'Part I-Project Information'!O126</f>
        <v>0</v>
      </c>
      <c r="P149" s="2133">
        <f>'Part I-Project Information'!P126</f>
        <v>0</v>
      </c>
    </row>
    <row r="150" spans="1:16" ht="13.5">
      <c r="A150" s="1651"/>
      <c r="B150" s="1651"/>
      <c r="C150" s="1710">
        <f>'Part I-Project Information'!C127</f>
        <v>3</v>
      </c>
      <c r="D150" s="1710">
        <f>'Part I-Project Information'!D127</f>
        <v>0</v>
      </c>
      <c r="E150" s="1710">
        <f>'Part I-Project Information'!E127</f>
        <v>0</v>
      </c>
      <c r="F150" s="1710">
        <f>'Part I-Project Information'!F127</f>
        <v>0</v>
      </c>
      <c r="G150" s="1710">
        <f>'Part I-Project Information'!G127</f>
        <v>0</v>
      </c>
      <c r="H150" s="1710">
        <f>'Part I-Project Information'!H127</f>
        <v>0</v>
      </c>
      <c r="I150" s="2133">
        <f>'Part I-Project Information'!I127</f>
        <v>0</v>
      </c>
      <c r="J150" s="1710">
        <f>'Part I-Project Information'!J127</f>
        <v>9</v>
      </c>
      <c r="K150" s="1710">
        <f>'Part I-Project Information'!K127</f>
        <v>0</v>
      </c>
      <c r="L150" s="1710">
        <f>'Part I-Project Information'!L127</f>
        <v>0</v>
      </c>
      <c r="M150" s="1710">
        <f>'Part I-Project Information'!M127</f>
        <v>0</v>
      </c>
      <c r="N150" s="1710">
        <f>'Part I-Project Information'!N127</f>
        <v>0</v>
      </c>
      <c r="O150" s="1710">
        <f>'Part I-Project Information'!O127</f>
        <v>0</v>
      </c>
      <c r="P150" s="2133">
        <f>'Part I-Project Information'!P127</f>
        <v>0</v>
      </c>
    </row>
    <row r="151" spans="1:16" ht="13.5">
      <c r="A151" s="1651"/>
      <c r="B151" s="1651"/>
      <c r="C151" s="1710">
        <f>'Part I-Project Information'!C128</f>
        <v>4</v>
      </c>
      <c r="D151" s="1710">
        <f>'Part I-Project Information'!D128</f>
        <v>0</v>
      </c>
      <c r="E151" s="1710">
        <f>'Part I-Project Information'!E128</f>
        <v>0</v>
      </c>
      <c r="F151" s="1710">
        <f>'Part I-Project Information'!F128</f>
        <v>0</v>
      </c>
      <c r="G151" s="1710">
        <f>'Part I-Project Information'!G128</f>
        <v>0</v>
      </c>
      <c r="H151" s="1710">
        <f>'Part I-Project Information'!H128</f>
        <v>0</v>
      </c>
      <c r="I151" s="2133">
        <f>'Part I-Project Information'!I128</f>
        <v>0</v>
      </c>
      <c r="J151" s="1710">
        <f>'Part I-Project Information'!J128</f>
        <v>10</v>
      </c>
      <c r="K151" s="1710">
        <f>'Part I-Project Information'!K128</f>
        <v>0</v>
      </c>
      <c r="L151" s="1710">
        <f>'Part I-Project Information'!L128</f>
        <v>0</v>
      </c>
      <c r="M151" s="1710">
        <f>'Part I-Project Information'!M128</f>
        <v>0</v>
      </c>
      <c r="N151" s="1710">
        <f>'Part I-Project Information'!N128</f>
        <v>0</v>
      </c>
      <c r="O151" s="1710">
        <f>'Part I-Project Information'!O128</f>
        <v>0</v>
      </c>
      <c r="P151" s="2133">
        <f>'Part I-Project Information'!P128</f>
        <v>0</v>
      </c>
    </row>
    <row r="152" spans="1:16" ht="13.5">
      <c r="A152" s="1651"/>
      <c r="B152" s="1651"/>
      <c r="C152" s="1710">
        <f>'Part I-Project Information'!C129</f>
        <v>5</v>
      </c>
      <c r="D152" s="1710">
        <f>'Part I-Project Information'!D129</f>
        <v>0</v>
      </c>
      <c r="E152" s="1710">
        <f>'Part I-Project Information'!E129</f>
        <v>0</v>
      </c>
      <c r="F152" s="1710">
        <f>'Part I-Project Information'!F129</f>
        <v>0</v>
      </c>
      <c r="G152" s="1710">
        <f>'Part I-Project Information'!G129</f>
        <v>0</v>
      </c>
      <c r="H152" s="1710">
        <f>'Part I-Project Information'!H129</f>
        <v>0</v>
      </c>
      <c r="I152" s="2133">
        <f>'Part I-Project Information'!I129</f>
        <v>0</v>
      </c>
      <c r="J152" s="1710">
        <f>'Part I-Project Information'!J129</f>
        <v>11</v>
      </c>
      <c r="K152" s="1710">
        <f>'Part I-Project Information'!K129</f>
        <v>0</v>
      </c>
      <c r="L152" s="1710">
        <f>'Part I-Project Information'!L129</f>
        <v>0</v>
      </c>
      <c r="M152" s="1710">
        <f>'Part I-Project Information'!M129</f>
        <v>0</v>
      </c>
      <c r="N152" s="1710">
        <f>'Part I-Project Information'!N129</f>
        <v>0</v>
      </c>
      <c r="O152" s="1710">
        <f>'Part I-Project Information'!O129</f>
        <v>0</v>
      </c>
      <c r="P152" s="2133">
        <f>'Part I-Project Information'!P129</f>
        <v>0</v>
      </c>
    </row>
    <row r="153" spans="1:16" ht="13.5">
      <c r="A153" s="1651"/>
      <c r="B153" s="1651"/>
      <c r="C153" s="1710">
        <f>'Part I-Project Information'!C130</f>
        <v>6</v>
      </c>
      <c r="D153" s="1710">
        <f>'Part I-Project Information'!D130</f>
        <v>0</v>
      </c>
      <c r="E153" s="1710">
        <f>'Part I-Project Information'!E130</f>
        <v>0</v>
      </c>
      <c r="F153" s="1710">
        <f>'Part I-Project Information'!F130</f>
        <v>0</v>
      </c>
      <c r="G153" s="1710">
        <f>'Part I-Project Information'!G130</f>
        <v>0</v>
      </c>
      <c r="H153" s="1710">
        <f>'Part I-Project Information'!H130</f>
        <v>0</v>
      </c>
      <c r="I153" s="2133">
        <f>'Part I-Project Information'!I130</f>
        <v>0</v>
      </c>
      <c r="J153" s="1710">
        <f>'Part I-Project Information'!J130</f>
        <v>12</v>
      </c>
      <c r="K153" s="1710">
        <f>'Part I-Project Information'!K130</f>
        <v>0</v>
      </c>
      <c r="L153" s="1710">
        <f>'Part I-Project Information'!L130</f>
        <v>0</v>
      </c>
      <c r="M153" s="1710">
        <f>'Part I-Project Information'!M130</f>
        <v>0</v>
      </c>
      <c r="N153" s="1710">
        <f>'Part I-Project Information'!N130</f>
        <v>0</v>
      </c>
      <c r="O153" s="1710">
        <f>'Part I-Project Information'!O130</f>
        <v>0</v>
      </c>
      <c r="P153" s="2133">
        <f>'Part I-Project Information'!P130</f>
        <v>0</v>
      </c>
    </row>
    <row r="154" spans="1:16">
      <c r="A154" s="1651"/>
      <c r="B154" s="1651"/>
      <c r="C154" s="1690"/>
      <c r="D154" s="1690"/>
      <c r="E154" s="1690"/>
      <c r="F154" s="1690"/>
      <c r="G154" s="1690"/>
      <c r="H154" s="1690"/>
      <c r="I154" s="1690"/>
      <c r="J154" s="1690"/>
      <c r="K154" s="1690"/>
      <c r="L154" s="1690"/>
      <c r="M154" s="1690"/>
      <c r="N154" s="1690"/>
      <c r="O154" s="1690"/>
      <c r="P154" s="1690"/>
    </row>
    <row r="155" spans="1:16" ht="12.75" customHeight="1">
      <c r="A155" s="1651"/>
      <c r="B155" s="1651" t="s">
        <v>2115</v>
      </c>
      <c r="C155" s="1658" t="s">
        <v>1847</v>
      </c>
      <c r="D155" s="1658"/>
      <c r="E155" s="1658"/>
      <c r="F155" s="1658"/>
      <c r="G155" s="1658"/>
      <c r="H155" s="1658"/>
      <c r="I155" s="1658"/>
      <c r="J155" s="1658"/>
      <c r="K155" s="1658"/>
      <c r="L155" s="1658"/>
      <c r="M155" s="1658"/>
      <c r="N155" s="1658"/>
      <c r="O155" s="1658"/>
      <c r="P155" s="1658"/>
    </row>
    <row r="156" spans="1:16">
      <c r="A156" s="1651"/>
      <c r="B156" s="1651"/>
      <c r="C156" s="1658"/>
      <c r="D156" s="1658"/>
      <c r="E156" s="1658"/>
      <c r="F156" s="1658"/>
      <c r="G156" s="1658"/>
      <c r="H156" s="1658"/>
      <c r="I156" s="1658"/>
      <c r="J156" s="1658"/>
      <c r="K156" s="1658"/>
      <c r="L156" s="1658"/>
      <c r="M156" s="1658"/>
      <c r="N156" s="1658"/>
      <c r="O156" s="1658"/>
      <c r="P156" s="1658"/>
    </row>
    <row r="157" spans="1:16">
      <c r="A157" s="1647"/>
      <c r="B157" s="1651"/>
      <c r="C157" s="1680" t="s">
        <v>2135</v>
      </c>
      <c r="D157" s="1680"/>
      <c r="E157" s="1647"/>
      <c r="F157" s="1680" t="s">
        <v>1134</v>
      </c>
      <c r="G157" s="1651"/>
      <c r="H157" s="1651"/>
      <c r="I157" s="1651"/>
      <c r="J157" s="1680" t="s">
        <v>2135</v>
      </c>
      <c r="K157" s="1680"/>
      <c r="L157" s="1647"/>
      <c r="M157" s="1680" t="s">
        <v>1134</v>
      </c>
      <c r="N157" s="1651"/>
      <c r="O157" s="1651"/>
      <c r="P157" s="1651"/>
    </row>
    <row r="158" spans="1:16" ht="13.5">
      <c r="A158" s="1651"/>
      <c r="B158" s="1651"/>
      <c r="C158" s="1710">
        <f>'Part I-Project Information'!C135</f>
        <v>1</v>
      </c>
      <c r="D158" s="1710">
        <f>'Part I-Project Information'!D135</f>
        <v>0</v>
      </c>
      <c r="E158" s="1710">
        <f>'Part I-Project Information'!E135</f>
        <v>0</v>
      </c>
      <c r="F158" s="1710">
        <f>'Part I-Project Information'!F135</f>
        <v>0</v>
      </c>
      <c r="G158" s="1710">
        <f>'Part I-Project Information'!G135</f>
        <v>0</v>
      </c>
      <c r="H158" s="1710">
        <f>'Part I-Project Information'!H135</f>
        <v>0</v>
      </c>
      <c r="I158" s="1710">
        <f>'Part I-Project Information'!I135</f>
        <v>0</v>
      </c>
      <c r="J158" s="1710">
        <f>'Part I-Project Information'!J135</f>
        <v>7</v>
      </c>
      <c r="K158" s="1710">
        <f>'Part I-Project Information'!K135</f>
        <v>0</v>
      </c>
      <c r="L158" s="1710">
        <f>'Part I-Project Information'!L135</f>
        <v>0</v>
      </c>
      <c r="M158" s="1710">
        <f>'Part I-Project Information'!M135</f>
        <v>0</v>
      </c>
      <c r="N158" s="1710">
        <f>'Part I-Project Information'!N135</f>
        <v>0</v>
      </c>
      <c r="O158" s="1710">
        <f>'Part I-Project Information'!O135</f>
        <v>0</v>
      </c>
      <c r="P158" s="1710">
        <f>'Part I-Project Information'!P135</f>
        <v>0</v>
      </c>
    </row>
    <row r="159" spans="1:16" ht="13.5">
      <c r="A159" s="1651"/>
      <c r="B159" s="1651"/>
      <c r="C159" s="1710">
        <f>'Part I-Project Information'!C136</f>
        <v>2</v>
      </c>
      <c r="D159" s="1710">
        <f>'Part I-Project Information'!D136</f>
        <v>0</v>
      </c>
      <c r="E159" s="1710">
        <f>'Part I-Project Information'!E136</f>
        <v>0</v>
      </c>
      <c r="F159" s="1710">
        <f>'Part I-Project Information'!F136</f>
        <v>0</v>
      </c>
      <c r="G159" s="1710">
        <f>'Part I-Project Information'!G136</f>
        <v>0</v>
      </c>
      <c r="H159" s="1710">
        <f>'Part I-Project Information'!H136</f>
        <v>0</v>
      </c>
      <c r="I159" s="1710">
        <f>'Part I-Project Information'!I136</f>
        <v>0</v>
      </c>
      <c r="J159" s="1710">
        <f>'Part I-Project Information'!J136</f>
        <v>8</v>
      </c>
      <c r="K159" s="1710">
        <f>'Part I-Project Information'!K136</f>
        <v>0</v>
      </c>
      <c r="L159" s="1710">
        <f>'Part I-Project Information'!L136</f>
        <v>0</v>
      </c>
      <c r="M159" s="1710">
        <f>'Part I-Project Information'!M136</f>
        <v>0</v>
      </c>
      <c r="N159" s="1710">
        <f>'Part I-Project Information'!N136</f>
        <v>0</v>
      </c>
      <c r="O159" s="1710">
        <f>'Part I-Project Information'!O136</f>
        <v>0</v>
      </c>
      <c r="P159" s="1710">
        <f>'Part I-Project Information'!P136</f>
        <v>0</v>
      </c>
    </row>
    <row r="160" spans="1:16" ht="13.5">
      <c r="A160" s="1651"/>
      <c r="B160" s="1651"/>
      <c r="C160" s="1710">
        <f>'Part I-Project Information'!C137</f>
        <v>3</v>
      </c>
      <c r="D160" s="1710">
        <f>'Part I-Project Information'!D137</f>
        <v>0</v>
      </c>
      <c r="E160" s="1710">
        <f>'Part I-Project Information'!E137</f>
        <v>0</v>
      </c>
      <c r="F160" s="1710">
        <f>'Part I-Project Information'!F137</f>
        <v>0</v>
      </c>
      <c r="G160" s="1710">
        <f>'Part I-Project Information'!G137</f>
        <v>0</v>
      </c>
      <c r="H160" s="1710">
        <f>'Part I-Project Information'!H137</f>
        <v>0</v>
      </c>
      <c r="I160" s="1710">
        <f>'Part I-Project Information'!I137</f>
        <v>0</v>
      </c>
      <c r="J160" s="1710">
        <f>'Part I-Project Information'!J137</f>
        <v>9</v>
      </c>
      <c r="K160" s="1710">
        <f>'Part I-Project Information'!K137</f>
        <v>0</v>
      </c>
      <c r="L160" s="1710">
        <f>'Part I-Project Information'!L137</f>
        <v>0</v>
      </c>
      <c r="M160" s="1710">
        <f>'Part I-Project Information'!M137</f>
        <v>0</v>
      </c>
      <c r="N160" s="1710">
        <f>'Part I-Project Information'!N137</f>
        <v>0</v>
      </c>
      <c r="O160" s="1710">
        <f>'Part I-Project Information'!O137</f>
        <v>0</v>
      </c>
      <c r="P160" s="1710">
        <f>'Part I-Project Information'!P137</f>
        <v>0</v>
      </c>
    </row>
    <row r="161" spans="1:16" ht="13.5">
      <c r="A161" s="1651"/>
      <c r="B161" s="1651"/>
      <c r="C161" s="1710">
        <f>'Part I-Project Information'!C138</f>
        <v>4</v>
      </c>
      <c r="D161" s="1710">
        <f>'Part I-Project Information'!D138</f>
        <v>0</v>
      </c>
      <c r="E161" s="1710">
        <f>'Part I-Project Information'!E138</f>
        <v>0</v>
      </c>
      <c r="F161" s="1710">
        <f>'Part I-Project Information'!F138</f>
        <v>0</v>
      </c>
      <c r="G161" s="1710">
        <f>'Part I-Project Information'!G138</f>
        <v>0</v>
      </c>
      <c r="H161" s="1710">
        <f>'Part I-Project Information'!H138</f>
        <v>0</v>
      </c>
      <c r="I161" s="1710">
        <f>'Part I-Project Information'!I138</f>
        <v>0</v>
      </c>
      <c r="J161" s="1710">
        <f>'Part I-Project Information'!J138</f>
        <v>10</v>
      </c>
      <c r="K161" s="1710">
        <f>'Part I-Project Information'!K138</f>
        <v>0</v>
      </c>
      <c r="L161" s="1710">
        <f>'Part I-Project Information'!L138</f>
        <v>0</v>
      </c>
      <c r="M161" s="1710">
        <f>'Part I-Project Information'!M138</f>
        <v>0</v>
      </c>
      <c r="N161" s="1710">
        <f>'Part I-Project Information'!N138</f>
        <v>0</v>
      </c>
      <c r="O161" s="1710">
        <f>'Part I-Project Information'!O138</f>
        <v>0</v>
      </c>
      <c r="P161" s="1710">
        <f>'Part I-Project Information'!P138</f>
        <v>0</v>
      </c>
    </row>
    <row r="162" spans="1:16" ht="13.5">
      <c r="A162" s="1651"/>
      <c r="B162" s="1651"/>
      <c r="C162" s="1710">
        <f>'Part I-Project Information'!C139</f>
        <v>5</v>
      </c>
      <c r="D162" s="1710">
        <f>'Part I-Project Information'!D139</f>
        <v>0</v>
      </c>
      <c r="E162" s="1710">
        <f>'Part I-Project Information'!E139</f>
        <v>0</v>
      </c>
      <c r="F162" s="1710">
        <f>'Part I-Project Information'!F139</f>
        <v>0</v>
      </c>
      <c r="G162" s="1710">
        <f>'Part I-Project Information'!G139</f>
        <v>0</v>
      </c>
      <c r="H162" s="1710">
        <f>'Part I-Project Information'!H139</f>
        <v>0</v>
      </c>
      <c r="I162" s="1710">
        <f>'Part I-Project Information'!I139</f>
        <v>0</v>
      </c>
      <c r="J162" s="1710">
        <f>'Part I-Project Information'!J139</f>
        <v>11</v>
      </c>
      <c r="K162" s="1710">
        <f>'Part I-Project Information'!K139</f>
        <v>0</v>
      </c>
      <c r="L162" s="1710">
        <f>'Part I-Project Information'!L139</f>
        <v>0</v>
      </c>
      <c r="M162" s="1710">
        <f>'Part I-Project Information'!M139</f>
        <v>0</v>
      </c>
      <c r="N162" s="1710">
        <f>'Part I-Project Information'!N139</f>
        <v>0</v>
      </c>
      <c r="O162" s="1710">
        <f>'Part I-Project Information'!O139</f>
        <v>0</v>
      </c>
      <c r="P162" s="1710">
        <f>'Part I-Project Information'!P139</f>
        <v>0</v>
      </c>
    </row>
    <row r="163" spans="1:16" ht="13.5">
      <c r="A163" s="1651"/>
      <c r="B163" s="1651"/>
      <c r="C163" s="1710">
        <f>'Part I-Project Information'!C140</f>
        <v>6</v>
      </c>
      <c r="D163" s="1710">
        <f>'Part I-Project Information'!D140</f>
        <v>0</v>
      </c>
      <c r="E163" s="1710">
        <f>'Part I-Project Information'!E140</f>
        <v>0</v>
      </c>
      <c r="F163" s="1710">
        <f>'Part I-Project Information'!F140</f>
        <v>0</v>
      </c>
      <c r="G163" s="1710">
        <f>'Part I-Project Information'!G140</f>
        <v>0</v>
      </c>
      <c r="H163" s="1710">
        <f>'Part I-Project Information'!H140</f>
        <v>0</v>
      </c>
      <c r="I163" s="1710">
        <f>'Part I-Project Information'!I140</f>
        <v>0</v>
      </c>
      <c r="J163" s="1710">
        <f>'Part I-Project Information'!J140</f>
        <v>12</v>
      </c>
      <c r="K163" s="1710">
        <f>'Part I-Project Information'!K140</f>
        <v>0</v>
      </c>
      <c r="L163" s="1710">
        <f>'Part I-Project Information'!L140</f>
        <v>0</v>
      </c>
      <c r="M163" s="1710">
        <f>'Part I-Project Information'!M140</f>
        <v>0</v>
      </c>
      <c r="N163" s="1710">
        <f>'Part I-Project Information'!N140</f>
        <v>0</v>
      </c>
      <c r="O163" s="1710">
        <f>'Part I-Project Information'!O140</f>
        <v>0</v>
      </c>
      <c r="P163" s="1710">
        <f>'Part I-Project Information'!P140</f>
        <v>0</v>
      </c>
    </row>
    <row r="164" spans="1:16">
      <c r="A164" s="1651"/>
      <c r="B164" s="1651"/>
      <c r="C164" s="1680"/>
      <c r="D164" s="1680"/>
      <c r="E164" s="1680"/>
      <c r="F164" s="1651"/>
      <c r="G164" s="1651"/>
      <c r="H164" s="1651"/>
      <c r="I164" s="1651"/>
      <c r="J164" s="1661"/>
      <c r="K164" s="1651"/>
      <c r="L164" s="1651"/>
      <c r="M164" s="1647"/>
      <c r="N164" s="1647"/>
      <c r="O164" s="1647"/>
      <c r="P164" s="1660"/>
    </row>
    <row r="165" spans="1:16">
      <c r="A165" s="1651"/>
      <c r="B165" s="1651"/>
      <c r="C165" s="1680"/>
      <c r="D165" s="1680"/>
      <c r="E165" s="1680"/>
      <c r="F165" s="1651"/>
      <c r="G165" s="1651"/>
      <c r="H165" s="1651"/>
      <c r="I165" s="1651"/>
      <c r="J165" s="1661"/>
      <c r="K165" s="1651"/>
      <c r="L165" s="1651"/>
      <c r="M165" s="1647"/>
      <c r="N165" s="1647"/>
      <c r="O165" s="1647"/>
      <c r="P165" s="1660"/>
    </row>
    <row r="166" spans="1:16">
      <c r="A166" s="1647" t="s">
        <v>364</v>
      </c>
      <c r="B166" s="1647" t="s">
        <v>5099</v>
      </c>
      <c r="C166" s="1647"/>
      <c r="D166" s="1647"/>
      <c r="E166" s="1647"/>
      <c r="F166" s="1647"/>
      <c r="G166" s="1647"/>
      <c r="H166" s="1647"/>
      <c r="I166" s="1651" t="str">
        <f>'Part I-Project Information'!I143</f>
        <v>No</v>
      </c>
      <c r="J166" s="1647"/>
      <c r="K166" s="1647"/>
      <c r="L166" s="1647"/>
      <c r="M166" s="1651"/>
      <c r="N166" s="1647"/>
      <c r="O166" s="1647"/>
      <c r="P166" s="1660"/>
    </row>
    <row r="167" spans="1:16">
      <c r="A167" s="1653"/>
      <c r="B167" s="1651"/>
      <c r="C167" s="1680"/>
      <c r="D167" s="1680"/>
      <c r="E167" s="1680"/>
      <c r="F167" s="1680"/>
      <c r="G167" s="1651"/>
      <c r="H167" s="1647"/>
      <c r="I167" s="1647"/>
      <c r="J167" s="1647"/>
      <c r="K167" s="1647"/>
      <c r="L167" s="1647"/>
      <c r="M167" s="1651"/>
      <c r="N167" s="1647"/>
      <c r="O167" s="1647"/>
      <c r="P167" s="1647"/>
    </row>
    <row r="168" spans="1:16">
      <c r="A168" s="1651"/>
      <c r="B168" s="1651" t="s">
        <v>1983</v>
      </c>
      <c r="C168" s="1654" t="s">
        <v>1713</v>
      </c>
      <c r="D168" s="1647"/>
      <c r="E168" s="1647"/>
      <c r="F168" s="1647"/>
      <c r="G168" s="1647"/>
      <c r="H168" s="1647"/>
      <c r="I168" s="1651">
        <f>'Part I-Project Information'!I145</f>
        <v>0</v>
      </c>
      <c r="J168" s="1647"/>
      <c r="K168" s="1647"/>
      <c r="L168" s="1647"/>
      <c r="M168" s="1651"/>
      <c r="N168" s="1647"/>
      <c r="O168" s="1647"/>
      <c r="P168" s="1660"/>
    </row>
    <row r="169" spans="1:16">
      <c r="A169" s="1651"/>
      <c r="B169" s="1651"/>
      <c r="C169" s="1680" t="s">
        <v>2420</v>
      </c>
      <c r="D169" s="1680"/>
      <c r="E169" s="1680"/>
      <c r="F169" s="1651"/>
      <c r="G169" s="1647"/>
      <c r="H169" s="1647"/>
      <c r="I169" s="1651">
        <f>'Part I-Project Information'!I146</f>
        <v>0</v>
      </c>
      <c r="J169" s="1647"/>
      <c r="K169" s="1647"/>
      <c r="L169" s="1647"/>
      <c r="M169" s="1647"/>
      <c r="N169" s="1647"/>
      <c r="O169" s="1647"/>
      <c r="P169" s="1660"/>
    </row>
    <row r="170" spans="1:16">
      <c r="A170" s="1651"/>
      <c r="B170" s="1651"/>
      <c r="C170" s="1692" t="s">
        <v>1712</v>
      </c>
      <c r="D170" s="1654"/>
      <c r="E170" s="1647"/>
      <c r="F170" s="1647"/>
      <c r="G170" s="1647"/>
      <c r="H170" s="1647"/>
      <c r="I170" s="1651">
        <f>'Part I-Project Information'!I147</f>
        <v>0</v>
      </c>
      <c r="J170" s="1647"/>
      <c r="K170" s="1647"/>
      <c r="L170" s="1647"/>
      <c r="M170" s="1647"/>
      <c r="N170" s="1647"/>
      <c r="O170" s="1647"/>
      <c r="P170" s="1660"/>
    </row>
    <row r="171" spans="1:16">
      <c r="A171" s="1651"/>
      <c r="B171" s="1651"/>
      <c r="C171" s="1680" t="s">
        <v>2421</v>
      </c>
      <c r="D171" s="1680"/>
      <c r="E171" s="1680"/>
      <c r="F171" s="1651"/>
      <c r="G171" s="1647"/>
      <c r="H171" s="1647"/>
      <c r="I171" s="1651">
        <f>'Part I-Project Information'!I148</f>
        <v>0</v>
      </c>
      <c r="J171" s="1647"/>
      <c r="K171" s="1653" t="s">
        <v>2245</v>
      </c>
      <c r="L171" s="1647"/>
      <c r="M171" s="1647"/>
      <c r="N171" s="1647"/>
      <c r="O171" s="1647" t="str">
        <f>'Part I-Project Information'!O148</f>
        <v>GA-</v>
      </c>
      <c r="P171" s="1647">
        <f>'Part I-Project Information'!P148</f>
        <v>0</v>
      </c>
    </row>
    <row r="172" spans="1:16">
      <c r="A172" s="1651"/>
      <c r="B172" s="1651"/>
      <c r="C172" s="1680" t="s">
        <v>2419</v>
      </c>
      <c r="D172" s="1647"/>
      <c r="E172" s="1647"/>
      <c r="F172" s="1651"/>
      <c r="G172" s="1647"/>
      <c r="H172" s="1647"/>
      <c r="I172" s="1651">
        <f>'Part I-Project Information'!I149</f>
        <v>0</v>
      </c>
      <c r="J172" s="1647"/>
      <c r="K172" s="1653" t="s">
        <v>2246</v>
      </c>
      <c r="L172" s="1647"/>
      <c r="M172" s="1647"/>
      <c r="N172" s="1647"/>
      <c r="O172" s="1647" t="str">
        <f>'Part I-Project Information'!O149</f>
        <v>GA-</v>
      </c>
      <c r="P172" s="1647">
        <f>'Part I-Project Information'!P149</f>
        <v>0</v>
      </c>
    </row>
    <row r="173" spans="1:16">
      <c r="A173" s="1651"/>
      <c r="B173" s="1651"/>
      <c r="C173" s="1680" t="s">
        <v>2166</v>
      </c>
      <c r="D173" s="1680"/>
      <c r="E173" s="1680"/>
      <c r="F173" s="1651"/>
      <c r="G173" s="1647"/>
      <c r="H173" s="1647"/>
      <c r="I173" s="2123">
        <f>'Part I-Project Information'!I150</f>
        <v>0</v>
      </c>
      <c r="J173" s="2123">
        <f>'Part I-Project Information'!J150</f>
        <v>0</v>
      </c>
      <c r="K173" s="1647"/>
      <c r="L173" s="1647"/>
      <c r="M173" s="1647"/>
      <c r="N173" s="1647"/>
      <c r="O173" s="1647"/>
      <c r="P173" s="1660"/>
    </row>
    <row r="174" spans="1:16">
      <c r="A174" s="1651"/>
      <c r="B174" s="1651"/>
      <c r="C174" s="1680"/>
      <c r="D174" s="1680"/>
      <c r="E174" s="1680"/>
      <c r="F174" s="1651"/>
      <c r="G174" s="1651"/>
      <c r="H174" s="1647"/>
      <c r="I174" s="1647"/>
      <c r="J174" s="1647"/>
      <c r="K174" s="1647"/>
      <c r="L174" s="1647"/>
      <c r="M174" s="1651"/>
      <c r="N174" s="1647"/>
      <c r="O174" s="1647"/>
      <c r="P174" s="1660"/>
    </row>
    <row r="175" spans="1:16">
      <c r="A175" s="1651"/>
      <c r="B175" s="1651" t="s">
        <v>1985</v>
      </c>
      <c r="C175" s="1756" t="s">
        <v>2701</v>
      </c>
      <c r="D175" s="1680"/>
      <c r="E175" s="1665" t="s">
        <v>5147</v>
      </c>
      <c r="F175" s="1665"/>
      <c r="G175" s="1665"/>
      <c r="H175" s="1647"/>
      <c r="I175" s="1661">
        <f>'Part I-Project Information'!I152</f>
        <v>0</v>
      </c>
      <c r="J175" s="1647"/>
      <c r="K175" s="1665" t="s">
        <v>5061</v>
      </c>
      <c r="L175" s="1665"/>
      <c r="M175" s="1665"/>
      <c r="N175" s="1647"/>
      <c r="O175" s="1661">
        <f>'Part I-Project Information'!O152</f>
        <v>0</v>
      </c>
      <c r="P175" s="1660"/>
    </row>
    <row r="176" spans="1:16">
      <c r="A176" s="1651"/>
      <c r="B176" s="1647"/>
      <c r="C176" s="1680"/>
      <c r="D176" s="1680"/>
      <c r="E176" s="1665" t="s">
        <v>5148</v>
      </c>
      <c r="F176" s="1665"/>
      <c r="G176" s="1665"/>
      <c r="H176" s="1647"/>
      <c r="I176" s="1661">
        <f>'Part I-Project Information'!I153</f>
        <v>0</v>
      </c>
      <c r="J176" s="1647"/>
      <c r="K176" s="1665"/>
      <c r="L176" s="1665"/>
      <c r="M176" s="1665"/>
      <c r="N176" s="1647"/>
      <c r="O176" s="1647"/>
      <c r="P176" s="1660"/>
    </row>
    <row r="177" spans="1:16">
      <c r="A177" s="1651"/>
      <c r="B177" s="1651"/>
      <c r="C177" s="1680"/>
      <c r="D177" s="1680"/>
      <c r="E177" s="1680"/>
      <c r="F177" s="1651"/>
      <c r="G177" s="1647"/>
      <c r="H177" s="1647"/>
      <c r="I177" s="1647"/>
      <c r="J177" s="1647"/>
      <c r="K177" s="1647"/>
      <c r="L177" s="1647"/>
      <c r="M177" s="1647"/>
      <c r="N177" s="1647"/>
      <c r="O177" s="1647"/>
      <c r="P177" s="1660"/>
    </row>
    <row r="178" spans="1:16">
      <c r="A178" s="1651"/>
      <c r="B178" s="1651" t="s">
        <v>749</v>
      </c>
      <c r="C178" s="1680" t="s">
        <v>5058</v>
      </c>
      <c r="D178" s="1680"/>
      <c r="E178" s="1680"/>
      <c r="F178" s="1651"/>
      <c r="G178" s="1647"/>
      <c r="H178" s="1647"/>
      <c r="I178" s="1661">
        <f>'Part I-Project Information'!I155</f>
        <v>0</v>
      </c>
      <c r="J178" s="1647"/>
      <c r="K178" s="1647"/>
      <c r="L178" s="1647"/>
      <c r="M178" s="1647"/>
      <c r="N178" s="1647"/>
      <c r="O178" s="1647"/>
      <c r="P178" s="1660"/>
    </row>
    <row r="179" spans="1:16">
      <c r="A179" s="1651"/>
      <c r="B179" s="1651"/>
      <c r="C179" s="1680"/>
      <c r="D179" s="1680"/>
      <c r="E179" s="1680"/>
      <c r="F179" s="1651"/>
      <c r="G179" s="1651"/>
      <c r="H179" s="1651"/>
      <c r="I179" s="1651"/>
      <c r="J179" s="1661"/>
      <c r="K179" s="1651"/>
      <c r="L179" s="1651"/>
      <c r="M179" s="1647"/>
      <c r="N179" s="1647"/>
      <c r="O179" s="1647"/>
      <c r="P179" s="1660"/>
    </row>
    <row r="180" spans="1:16">
      <c r="A180" s="1653" t="s">
        <v>1726</v>
      </c>
      <c r="B180" s="1665" t="s">
        <v>1190</v>
      </c>
      <c r="C180" s="1647"/>
      <c r="D180" s="1665"/>
      <c r="E180" s="1665"/>
      <c r="F180" s="1665"/>
      <c r="G180" s="1651"/>
      <c r="H180" s="1651"/>
      <c r="I180" s="1651"/>
      <c r="J180" s="1661"/>
      <c r="K180" s="1651"/>
      <c r="L180" s="1651"/>
      <c r="M180" s="1647"/>
      <c r="N180" s="1647"/>
      <c r="O180" s="1647"/>
      <c r="P180" s="1660"/>
    </row>
    <row r="181" spans="1:16">
      <c r="A181" s="1653"/>
      <c r="B181" s="1651"/>
      <c r="C181" s="1680"/>
      <c r="D181" s="1680"/>
      <c r="E181" s="1680"/>
      <c r="F181" s="1680"/>
      <c r="G181" s="1651"/>
      <c r="H181" s="1651"/>
      <c r="I181" s="1651"/>
      <c r="J181" s="1661"/>
      <c r="K181" s="1651"/>
      <c r="L181" s="1651"/>
      <c r="M181" s="1647"/>
      <c r="N181" s="1647"/>
      <c r="O181" s="1647"/>
      <c r="P181" s="1647"/>
    </row>
    <row r="182" spans="1:16">
      <c r="A182" s="1651"/>
      <c r="B182" s="1651" t="s">
        <v>1983</v>
      </c>
      <c r="C182" s="1661" t="s">
        <v>1822</v>
      </c>
      <c r="D182" s="1647"/>
      <c r="E182" s="1647"/>
      <c r="F182" s="1651"/>
      <c r="G182" s="1651"/>
      <c r="H182" s="1651"/>
      <c r="I182" s="1651"/>
      <c r="J182" s="1661"/>
      <c r="K182" s="1651"/>
      <c r="L182" s="1651"/>
      <c r="M182" s="1647"/>
      <c r="N182" s="1647"/>
      <c r="O182" s="1647"/>
      <c r="P182" s="1660"/>
    </row>
    <row r="183" spans="1:16">
      <c r="A183" s="1651"/>
      <c r="B183" s="1651"/>
      <c r="C183" s="1665" t="s">
        <v>1527</v>
      </c>
      <c r="D183" s="1661"/>
      <c r="E183" s="1661"/>
      <c r="F183" s="1651"/>
      <c r="G183" s="1651"/>
      <c r="H183" s="1651"/>
      <c r="I183" s="1661" t="str">
        <f>'Part I-Project Information'!I160</f>
        <v>No</v>
      </c>
      <c r="J183" s="1647"/>
      <c r="K183" s="1647"/>
      <c r="L183" s="1647"/>
      <c r="M183" s="1647"/>
      <c r="N183" s="1647"/>
      <c r="O183" s="1647"/>
      <c r="P183" s="1660"/>
    </row>
    <row r="184" spans="1:16" ht="12.75" customHeight="1">
      <c r="A184" s="1651"/>
      <c r="B184" s="1651"/>
      <c r="C184" s="1682" t="s">
        <v>5090</v>
      </c>
      <c r="D184" s="1682"/>
      <c r="E184" s="1682"/>
      <c r="F184" s="1682"/>
      <c r="G184" s="1647" t="s">
        <v>4786</v>
      </c>
      <c r="H184" s="1647"/>
      <c r="I184" s="1681">
        <f>'Part I-Project Information'!I161</f>
        <v>0</v>
      </c>
      <c r="J184" s="1647"/>
      <c r="K184" s="1654" t="s">
        <v>1795</v>
      </c>
      <c r="L184" s="1647"/>
      <c r="M184" s="1647"/>
      <c r="N184" s="1647"/>
      <c r="O184" s="1647"/>
      <c r="P184" s="1693">
        <f>IF('Part VI-Revenues &amp; Expenses'!$O$65=0,0,I184/'Part VI-Revenues &amp; Expenses'!$O$65)</f>
        <v>0</v>
      </c>
    </row>
    <row r="185" spans="1:16">
      <c r="A185" s="1651"/>
      <c r="B185" s="1651"/>
      <c r="C185" s="1682"/>
      <c r="D185" s="1682"/>
      <c r="E185" s="1682"/>
      <c r="F185" s="1682"/>
      <c r="G185" s="1647" t="s">
        <v>4785</v>
      </c>
      <c r="H185" s="1647"/>
      <c r="I185" s="1681">
        <f>'Part I-Project Information'!I162</f>
        <v>0</v>
      </c>
      <c r="J185" s="1647"/>
      <c r="K185" s="1654" t="s">
        <v>1795</v>
      </c>
      <c r="L185" s="1647"/>
      <c r="M185" s="1647"/>
      <c r="N185" s="1647"/>
      <c r="O185" s="1647"/>
      <c r="P185" s="1693">
        <f>IF('Part VI-Revenues &amp; Expenses'!$O$65=0,0,I185/'Part VI-Revenues &amp; Expenses'!$O$65)</f>
        <v>0</v>
      </c>
    </row>
    <row r="186" spans="1:16">
      <c r="A186" s="1651"/>
      <c r="B186" s="1651"/>
      <c r="C186" s="1654" t="s">
        <v>4787</v>
      </c>
      <c r="D186" s="1647"/>
      <c r="E186" s="1647"/>
      <c r="F186" s="1647"/>
      <c r="G186" s="1647"/>
      <c r="H186" s="1647"/>
      <c r="I186" s="1681">
        <f>'Part I-Project Information'!I163</f>
        <v>0</v>
      </c>
      <c r="J186" s="1647"/>
      <c r="K186" s="1654" t="s">
        <v>1795</v>
      </c>
      <c r="L186" s="1647"/>
      <c r="M186" s="1647"/>
      <c r="N186" s="1647"/>
      <c r="O186" s="1693"/>
      <c r="P186" s="1693">
        <f>IF('Part VI-Revenues &amp; Expenses'!$O$65=0,0,I186/'Part VI-Revenues &amp; Expenses'!$O$65)</f>
        <v>0</v>
      </c>
    </row>
    <row r="187" spans="1:16">
      <c r="A187" s="1651"/>
      <c r="B187" s="1651"/>
      <c r="C187" s="1647"/>
      <c r="D187" s="1647"/>
      <c r="E187" s="1647"/>
      <c r="F187" s="1647"/>
      <c r="G187" s="1647"/>
      <c r="H187" s="1647"/>
      <c r="I187" s="1647"/>
      <c r="J187" s="1647"/>
      <c r="K187" s="1647"/>
      <c r="L187" s="1647"/>
      <c r="M187" s="1647"/>
      <c r="N187" s="1647"/>
      <c r="O187" s="1647"/>
      <c r="P187" s="1647"/>
    </row>
    <row r="188" spans="1:16">
      <c r="A188" s="1651"/>
      <c r="B188" s="1651"/>
      <c r="C188" s="1647" t="s">
        <v>1796</v>
      </c>
      <c r="D188" s="1647">
        <f>'Part I-Project Information'!D165</f>
        <v>0</v>
      </c>
      <c r="E188" s="1647">
        <f>'Part I-Project Information'!E165</f>
        <v>0</v>
      </c>
      <c r="F188" s="1647">
        <f>'Part I-Project Information'!F165</f>
        <v>0</v>
      </c>
      <c r="G188" s="1647">
        <f>'Part I-Project Information'!G165</f>
        <v>0</v>
      </c>
      <c r="H188" s="1647">
        <f>'Part I-Project Information'!H165</f>
        <v>0</v>
      </c>
      <c r="I188" s="1654" t="s">
        <v>4731</v>
      </c>
      <c r="J188" s="1647"/>
      <c r="K188" s="1647"/>
      <c r="L188" s="1647"/>
      <c r="M188" s="1647"/>
      <c r="N188" s="2116">
        <f>'Part I-Project Information'!N165</f>
        <v>0</v>
      </c>
      <c r="O188" s="2116">
        <f>'Part I-Project Information'!O165</f>
        <v>0</v>
      </c>
      <c r="P188" s="2116">
        <f>'Part I-Project Information'!P165</f>
        <v>0</v>
      </c>
    </row>
    <row r="189" spans="1:16">
      <c r="A189" s="1651"/>
      <c r="B189" s="1651"/>
      <c r="C189" s="1654" t="s">
        <v>4732</v>
      </c>
      <c r="D189" s="1647">
        <f>'Part I-Project Information'!D166</f>
        <v>0</v>
      </c>
      <c r="E189" s="1647">
        <f>'Part I-Project Information'!E166</f>
        <v>0</v>
      </c>
      <c r="F189" s="1647">
        <f>'Part I-Project Information'!F166</f>
        <v>0</v>
      </c>
      <c r="G189" s="1647">
        <f>'Part I-Project Information'!G166</f>
        <v>0</v>
      </c>
      <c r="H189" s="1647">
        <f>'Part I-Project Information'!H166</f>
        <v>0</v>
      </c>
      <c r="I189" s="1647" t="s">
        <v>1797</v>
      </c>
      <c r="J189" s="1647">
        <f>'Part I-Project Information'!J166</f>
        <v>0</v>
      </c>
      <c r="K189" s="1647">
        <f>'Part I-Project Information'!K166</f>
        <v>0</v>
      </c>
      <c r="L189" s="1647">
        <f>'Part I-Project Information'!L166</f>
        <v>0</v>
      </c>
      <c r="M189" s="1647" t="s">
        <v>1980</v>
      </c>
      <c r="N189" s="2116">
        <f>'Part I-Project Information'!N166</f>
        <v>0</v>
      </c>
      <c r="O189" s="2116">
        <f>'Part I-Project Information'!O166</f>
        <v>0</v>
      </c>
      <c r="P189" s="2116">
        <f>'Part I-Project Information'!P166</f>
        <v>0</v>
      </c>
    </row>
    <row r="190" spans="1:16">
      <c r="A190" s="1651"/>
      <c r="B190" s="1651"/>
      <c r="C190" s="1654" t="s">
        <v>618</v>
      </c>
      <c r="D190" s="1647">
        <f>'Part I-Project Information'!D167</f>
        <v>0</v>
      </c>
      <c r="E190" s="1647">
        <f>'Part I-Project Information'!E167</f>
        <v>0</v>
      </c>
      <c r="F190" s="1647" t="s">
        <v>2229</v>
      </c>
      <c r="G190" s="2115">
        <f>'Part I-Project Information'!G167</f>
        <v>0</v>
      </c>
      <c r="H190" s="2115">
        <f>'Part I-Project Information'!H167</f>
        <v>0</v>
      </c>
      <c r="I190" s="1654" t="s">
        <v>1802</v>
      </c>
      <c r="J190" s="1647">
        <f>'Part I-Project Information'!J167</f>
        <v>0</v>
      </c>
      <c r="K190" s="1647">
        <f>'Part I-Project Information'!K167</f>
        <v>0</v>
      </c>
      <c r="L190" s="1647">
        <f>'Part I-Project Information'!L167</f>
        <v>0</v>
      </c>
      <c r="M190" s="1647" t="s">
        <v>1979</v>
      </c>
      <c r="N190" s="2116">
        <f>'Part I-Project Information'!N167</f>
        <v>0</v>
      </c>
      <c r="O190" s="2116">
        <f>'Part I-Project Information'!O167</f>
        <v>0</v>
      </c>
      <c r="P190" s="2116">
        <f>'Part I-Project Information'!P167</f>
        <v>0</v>
      </c>
    </row>
    <row r="191" spans="1:16">
      <c r="A191" s="1651"/>
      <c r="B191" s="1651"/>
      <c r="C191" s="1647" t="s">
        <v>2704</v>
      </c>
      <c r="D191" s="1647">
        <f>'Part I-Project Information'!D168</f>
        <v>0</v>
      </c>
      <c r="E191" s="1647">
        <f>'Part I-Project Information'!E168</f>
        <v>0</v>
      </c>
      <c r="F191" s="1647">
        <f>'Part I-Project Information'!F168</f>
        <v>0</v>
      </c>
      <c r="G191" s="1647">
        <f>'Part I-Project Information'!G168</f>
        <v>0</v>
      </c>
      <c r="H191" s="1647">
        <f>'Part I-Project Information'!H168</f>
        <v>0</v>
      </c>
      <c r="I191" s="1654" t="s">
        <v>1800</v>
      </c>
      <c r="J191" s="2023">
        <f>'Part I-Project Information'!J168</f>
        <v>0</v>
      </c>
      <c r="K191" s="2023">
        <f>'Part I-Project Information'!K168</f>
        <v>0</v>
      </c>
      <c r="L191" s="2023">
        <f>'Part I-Project Information'!L168</f>
        <v>0</v>
      </c>
      <c r="M191" s="2023">
        <f>'Part I-Project Information'!M168</f>
        <v>0</v>
      </c>
      <c r="N191" s="2023">
        <f>'Part I-Project Information'!N168</f>
        <v>0</v>
      </c>
      <c r="O191" s="2023">
        <f>'Part I-Project Information'!O168</f>
        <v>0</v>
      </c>
      <c r="P191" s="2023">
        <f>'Part I-Project Information'!P168</f>
        <v>0</v>
      </c>
    </row>
    <row r="192" spans="1:16">
      <c r="A192" s="1651"/>
      <c r="B192" s="1651"/>
      <c r="C192" s="1647" t="s">
        <v>4788</v>
      </c>
      <c r="D192" s="1647"/>
      <c r="E192" s="1695"/>
      <c r="F192" s="1695"/>
      <c r="G192" s="1695"/>
      <c r="H192" s="1651"/>
      <c r="I192" s="1661">
        <f>'Part I-Project Information'!I169</f>
        <v>0</v>
      </c>
      <c r="J192" s="1665" t="s">
        <v>761</v>
      </c>
      <c r="K192" s="1665"/>
      <c r="L192" s="1661">
        <f>'Part I-Project Information'!L169</f>
        <v>0</v>
      </c>
      <c r="M192" s="1695"/>
      <c r="N192" s="1651"/>
      <c r="O192" s="1695"/>
      <c r="P192" s="1695"/>
    </row>
    <row r="193" spans="1:16">
      <c r="A193" s="1651"/>
      <c r="B193" s="1651"/>
      <c r="C193" s="1647"/>
      <c r="D193" s="1647"/>
      <c r="E193" s="1647"/>
      <c r="F193" s="1647"/>
      <c r="G193" s="1647"/>
      <c r="H193" s="1647"/>
      <c r="I193" s="1647"/>
      <c r="J193" s="1647"/>
      <c r="K193" s="1647"/>
      <c r="L193" s="1647"/>
      <c r="M193" s="1647"/>
      <c r="N193" s="1647"/>
      <c r="O193" s="1647"/>
      <c r="P193" s="1647"/>
    </row>
    <row r="194" spans="1:16">
      <c r="A194" s="1651"/>
      <c r="B194" s="1651" t="s">
        <v>1985</v>
      </c>
      <c r="C194" s="1654" t="s">
        <v>2702</v>
      </c>
      <c r="D194" s="1654"/>
      <c r="E194" s="1654"/>
      <c r="F194" s="1654"/>
      <c r="G194" s="1654"/>
      <c r="H194" s="1647"/>
      <c r="I194" s="1651">
        <f>'Part I-Project Information'!I171</f>
        <v>0</v>
      </c>
      <c r="J194" s="1647" t="s">
        <v>761</v>
      </c>
      <c r="K194" s="1647"/>
      <c r="L194" s="1651">
        <f>'Part I-Project Information'!L171</f>
        <v>0</v>
      </c>
      <c r="M194" s="1647" t="s">
        <v>2326</v>
      </c>
      <c r="N194" s="1647"/>
      <c r="O194" s="1647"/>
      <c r="P194" s="1736">
        <f>'Part I-Project Information'!P171</f>
        <v>0</v>
      </c>
    </row>
    <row r="195" spans="1:16">
      <c r="A195" s="1651"/>
      <c r="B195" s="1651"/>
      <c r="C195" s="1654" t="s">
        <v>2703</v>
      </c>
      <c r="D195" s="1654"/>
      <c r="E195" s="1654"/>
      <c r="F195" s="1654"/>
      <c r="G195" s="1654"/>
      <c r="H195" s="1647"/>
      <c r="I195" s="1651" t="str">
        <f>'Part I-Project Information'!I172</f>
        <v>Yes</v>
      </c>
      <c r="J195" s="1647" t="s">
        <v>761</v>
      </c>
      <c r="K195" s="1647"/>
      <c r="L195" s="1651">
        <f>'Part I-Project Information'!L172</f>
        <v>2037</v>
      </c>
      <c r="M195" s="1647" t="s">
        <v>2326</v>
      </c>
      <c r="N195" s="1647"/>
      <c r="O195" s="1647"/>
      <c r="P195" s="1736">
        <f>'Part I-Project Information'!P172</f>
        <v>5</v>
      </c>
    </row>
    <row r="196" spans="1:16">
      <c r="A196" s="1651"/>
      <c r="B196" s="1651"/>
      <c r="C196" s="1654"/>
      <c r="D196" s="1654"/>
      <c r="E196" s="1647"/>
      <c r="F196" s="1654"/>
      <c r="G196" s="1654"/>
      <c r="H196" s="1647"/>
      <c r="I196" s="1647"/>
      <c r="J196" s="1647"/>
      <c r="K196" s="1651"/>
      <c r="L196" s="1647"/>
      <c r="M196" s="1647"/>
      <c r="N196" s="1647"/>
      <c r="O196" s="1651"/>
      <c r="P196" s="1660"/>
    </row>
    <row r="197" spans="1:16">
      <c r="A197" s="1651"/>
      <c r="B197" s="1651" t="s">
        <v>749</v>
      </c>
      <c r="C197" s="1654" t="s">
        <v>1757</v>
      </c>
      <c r="D197" s="1654"/>
      <c r="E197" s="1654"/>
      <c r="F197" s="1654"/>
      <c r="G197" s="1654"/>
      <c r="H197" s="1647"/>
      <c r="I197" s="1651" t="str">
        <f>'Part I-Project Information'!I174</f>
        <v>No</v>
      </c>
      <c r="J197" s="1647"/>
      <c r="K197" s="1647"/>
      <c r="L197" s="1647"/>
      <c r="M197" s="1647"/>
      <c r="N197" s="1647"/>
      <c r="O197" s="1647"/>
      <c r="P197" s="1660"/>
    </row>
    <row r="198" spans="1:16">
      <c r="A198" s="1651"/>
      <c r="B198" s="1651"/>
      <c r="C198" s="1654"/>
      <c r="D198" s="1647"/>
      <c r="E198" s="1695"/>
      <c r="F198" s="1695"/>
      <c r="G198" s="1695"/>
      <c r="H198" s="1647"/>
      <c r="I198" s="1695"/>
      <c r="J198" s="1695"/>
      <c r="K198" s="1651"/>
      <c r="L198" s="1695"/>
      <c r="M198" s="1695"/>
      <c r="N198" s="1651"/>
      <c r="O198" s="1695"/>
      <c r="P198" s="1695"/>
    </row>
    <row r="199" spans="1:16">
      <c r="A199" s="1651"/>
      <c r="B199" s="1651" t="s">
        <v>2115</v>
      </c>
      <c r="C199" s="1647" t="s">
        <v>1978</v>
      </c>
      <c r="D199" s="1647"/>
      <c r="E199" s="1647"/>
      <c r="F199" s="1647"/>
      <c r="G199" s="1654"/>
      <c r="H199" s="1647"/>
      <c r="I199" s="1651" t="str">
        <f>'Part I-Project Information'!I176</f>
        <v>No</v>
      </c>
      <c r="J199" s="1696" t="s">
        <v>2753</v>
      </c>
      <c r="K199" s="1647"/>
      <c r="L199" s="1647" t="s">
        <v>4497</v>
      </c>
      <c r="M199" s="1647"/>
      <c r="N199" s="1654"/>
      <c r="O199" s="1654"/>
      <c r="P199" s="1681">
        <f>'Part I-Project Information'!P176</f>
        <v>0</v>
      </c>
    </row>
    <row r="200" spans="1:16">
      <c r="A200" s="1647"/>
      <c r="B200" s="1651"/>
      <c r="C200" s="1647"/>
      <c r="D200" s="1647"/>
      <c r="E200" s="1647"/>
      <c r="F200" s="1647"/>
      <c r="G200" s="1647"/>
      <c r="H200" s="1647"/>
      <c r="I200" s="1647"/>
      <c r="J200" s="1647"/>
      <c r="K200" s="1647"/>
      <c r="L200" s="1647" t="s">
        <v>797</v>
      </c>
      <c r="M200" s="1647"/>
      <c r="N200" s="1680"/>
      <c r="O200" s="1680"/>
      <c r="P200" s="1681">
        <f>'Part I-Project Information'!P177</f>
        <v>0</v>
      </c>
    </row>
    <row r="201" spans="1:16">
      <c r="A201" s="1651"/>
      <c r="B201" s="1651"/>
      <c r="C201" s="1647"/>
      <c r="D201" s="1647"/>
      <c r="E201" s="1647"/>
      <c r="F201" s="1647"/>
      <c r="G201" s="1647"/>
      <c r="H201" s="1647"/>
      <c r="I201" s="1647"/>
      <c r="J201" s="1647"/>
      <c r="K201" s="1647"/>
      <c r="L201" s="1647" t="s">
        <v>1791</v>
      </c>
      <c r="M201" s="1647"/>
      <c r="N201" s="1680"/>
      <c r="O201" s="1680"/>
      <c r="P201" s="2721" t="e">
        <f>IF(P199="","",P200/P199)</f>
        <v>#DIV/0!</v>
      </c>
    </row>
    <row r="202" spans="1:16">
      <c r="A202" s="1651"/>
      <c r="B202" s="1651" t="s">
        <v>1735</v>
      </c>
      <c r="C202" s="1654" t="s">
        <v>1609</v>
      </c>
      <c r="D202" s="1680"/>
      <c r="E202" s="1680"/>
      <c r="F202" s="1680"/>
      <c r="G202" s="1680"/>
      <c r="H202" s="1651"/>
      <c r="I202" s="1647"/>
      <c r="J202" s="1653"/>
      <c r="K202" s="1661"/>
      <c r="L202" s="1647"/>
      <c r="M202" s="1647"/>
      <c r="N202" s="1647"/>
      <c r="O202" s="1651"/>
      <c r="P202" s="1660"/>
    </row>
    <row r="203" spans="1:16">
      <c r="A203" s="1651"/>
      <c r="B203" s="1651"/>
      <c r="C203" s="1647" t="s">
        <v>2212</v>
      </c>
      <c r="D203" s="1647"/>
      <c r="E203" s="1647"/>
      <c r="F203" s="1647"/>
      <c r="G203" s="1647"/>
      <c r="H203" s="1647"/>
      <c r="I203" s="1661" t="str">
        <f>'Part I-Project Information'!I180</f>
        <v>No</v>
      </c>
      <c r="J203" s="1647"/>
      <c r="K203" s="1647"/>
      <c r="L203" s="1647" t="s">
        <v>1610</v>
      </c>
      <c r="M203" s="1647"/>
      <c r="N203" s="1647"/>
      <c r="O203" s="1647"/>
      <c r="P203" s="1661" t="str">
        <f>'Part I-Project Information'!P180</f>
        <v>Yes</v>
      </c>
    </row>
    <row r="204" spans="1:16">
      <c r="A204" s="1651"/>
      <c r="B204" s="1651"/>
      <c r="C204" s="1647" t="s">
        <v>2213</v>
      </c>
      <c r="D204" s="1647"/>
      <c r="E204" s="1647"/>
      <c r="F204" s="1647"/>
      <c r="G204" s="1647"/>
      <c r="H204" s="1647"/>
      <c r="I204" s="1661" t="str">
        <f>'Part I-Project Information'!I181</f>
        <v>No</v>
      </c>
      <c r="J204" s="1647"/>
      <c r="K204" s="1647"/>
      <c r="L204" s="1647" t="s">
        <v>2846</v>
      </c>
      <c r="M204" s="1647"/>
      <c r="N204" s="1647"/>
      <c r="O204" s="1647"/>
      <c r="P204" s="1661" t="str">
        <f>'Part I-Project Information'!P181</f>
        <v>No</v>
      </c>
    </row>
    <row r="205" spans="1:16" ht="13.5">
      <c r="A205" s="1651"/>
      <c r="B205" s="1647"/>
      <c r="C205" s="1647" t="s">
        <v>2722</v>
      </c>
      <c r="D205" s="1647"/>
      <c r="E205" s="1647"/>
      <c r="F205" s="1647"/>
      <c r="G205" s="1647"/>
      <c r="H205" s="1647"/>
      <c r="I205" s="1661" t="str">
        <f>'Part I-Project Information'!I182</f>
        <v>No</v>
      </c>
      <c r="J205" s="1647"/>
      <c r="K205" s="1647"/>
      <c r="L205" s="1647" t="s">
        <v>2690</v>
      </c>
      <c r="M205" s="1647"/>
      <c r="N205" s="2125">
        <f>'Part I-Project Information'!N182</f>
        <v>0</v>
      </c>
      <c r="O205" s="2125">
        <f>'Part I-Project Information'!O182</f>
        <v>0</v>
      </c>
      <c r="P205" s="1661" t="str">
        <f>'Part I-Project Information'!P182</f>
        <v>No</v>
      </c>
    </row>
    <row r="206" spans="1:16" ht="13.5">
      <c r="A206" s="1651"/>
      <c r="B206" s="1651"/>
      <c r="C206" s="1647" t="s">
        <v>1285</v>
      </c>
      <c r="D206" s="1710"/>
      <c r="E206" s="1647"/>
      <c r="F206" s="1647"/>
      <c r="G206" s="1647"/>
      <c r="H206" s="1647"/>
      <c r="I206" s="1661" t="str">
        <f>'Part I-Project Information'!I183</f>
        <v>No</v>
      </c>
      <c r="J206" s="1647"/>
      <c r="K206" s="1647"/>
      <c r="L206" s="1647" t="s">
        <v>3482</v>
      </c>
      <c r="M206" s="1647"/>
      <c r="N206" s="1647"/>
      <c r="O206" s="1647"/>
      <c r="P206" s="1661" t="str">
        <f>'Part I-Project Information'!P183</f>
        <v>No</v>
      </c>
    </row>
    <row r="207" spans="1:16">
      <c r="A207" s="1651"/>
      <c r="B207" s="1647"/>
      <c r="C207" s="1647" t="s">
        <v>1807</v>
      </c>
      <c r="D207" s="1647"/>
      <c r="E207" s="1647"/>
      <c r="F207" s="1647"/>
      <c r="G207" s="1647"/>
      <c r="H207" s="1647"/>
      <c r="I207" s="1661" t="str">
        <f>'Part I-Project Information'!I184</f>
        <v>No</v>
      </c>
      <c r="J207" s="1696" t="s">
        <v>2754</v>
      </c>
      <c r="K207" s="1647"/>
      <c r="L207" s="1647"/>
      <c r="M207" s="1647"/>
      <c r="N207" s="1647"/>
      <c r="O207" s="2126">
        <f>'Part I-Project Information'!O184</f>
        <v>0</v>
      </c>
      <c r="P207" s="2126">
        <f>'Part I-Project Information'!P184</f>
        <v>0</v>
      </c>
    </row>
    <row r="208" spans="1:16">
      <c r="A208" s="1651"/>
      <c r="B208" s="1651"/>
      <c r="C208" s="1647" t="s">
        <v>2903</v>
      </c>
      <c r="D208" s="1647"/>
      <c r="E208" s="1647"/>
      <c r="F208" s="1647"/>
      <c r="G208" s="1647"/>
      <c r="H208" s="1647"/>
      <c r="I208" s="1661" t="str">
        <f>'Part I-Project Information'!I185</f>
        <v>No</v>
      </c>
      <c r="J208" s="1696" t="s">
        <v>2754</v>
      </c>
      <c r="K208" s="1647"/>
      <c r="L208" s="1647"/>
      <c r="M208" s="1647"/>
      <c r="N208" s="1647"/>
      <c r="O208" s="2126">
        <f>'Part I-Project Information'!O185</f>
        <v>0</v>
      </c>
      <c r="P208" s="2126">
        <f>'Part I-Project Information'!P185</f>
        <v>0</v>
      </c>
    </row>
    <row r="209" spans="1:19">
      <c r="A209" s="1651"/>
      <c r="B209" s="1651"/>
      <c r="C209" s="1647"/>
      <c r="D209" s="1647"/>
      <c r="E209" s="1647"/>
      <c r="F209" s="1647"/>
      <c r="G209" s="1647"/>
      <c r="H209" s="1647"/>
      <c r="I209" s="1647"/>
      <c r="J209" s="1647"/>
      <c r="K209" s="1647"/>
      <c r="L209" s="1647"/>
      <c r="M209" s="1647"/>
      <c r="N209" s="1647"/>
      <c r="O209" s="1647"/>
      <c r="P209" s="1653"/>
    </row>
    <row r="210" spans="1:19">
      <c r="A210" s="1647"/>
      <c r="B210" s="1651" t="s">
        <v>1736</v>
      </c>
      <c r="C210" s="1654" t="s">
        <v>739</v>
      </c>
      <c r="D210" s="1647"/>
      <c r="E210" s="1647"/>
      <c r="F210" s="1647"/>
      <c r="G210" s="1647"/>
      <c r="H210" s="1647"/>
      <c r="I210" s="1647"/>
      <c r="J210" s="1647"/>
      <c r="K210" s="1647"/>
      <c r="L210" s="1647"/>
      <c r="M210" s="1647"/>
      <c r="N210" s="1647"/>
      <c r="O210" s="1647"/>
      <c r="P210" s="1647"/>
    </row>
    <row r="211" spans="1:19">
      <c r="A211" s="1651"/>
      <c r="B211" s="1651"/>
      <c r="C211" s="1654" t="s">
        <v>639</v>
      </c>
      <c r="D211" s="1680"/>
      <c r="E211" s="1680"/>
      <c r="F211" s="1651"/>
      <c r="G211" s="1651"/>
      <c r="H211" s="2123">
        <f>'Part I-Project Information'!H188</f>
        <v>0</v>
      </c>
      <c r="I211" s="2123">
        <f>'Part I-Project Information'!I188</f>
        <v>0</v>
      </c>
      <c r="J211" s="1647"/>
      <c r="K211" s="1647"/>
      <c r="L211" s="1647"/>
      <c r="M211" s="1647"/>
      <c r="N211" s="1647"/>
      <c r="O211" s="1647"/>
      <c r="P211" s="1660"/>
    </row>
    <row r="212" spans="1:19">
      <c r="A212" s="1651"/>
      <c r="B212" s="1651"/>
      <c r="C212" s="1654" t="s">
        <v>276</v>
      </c>
      <c r="D212" s="1680"/>
      <c r="E212" s="1680"/>
      <c r="F212" s="1651"/>
      <c r="G212" s="1651"/>
      <c r="H212" s="2123">
        <f>'Part I-Project Information'!H189</f>
        <v>0</v>
      </c>
      <c r="I212" s="2123">
        <f>'Part I-Project Information'!I189</f>
        <v>0</v>
      </c>
      <c r="J212" s="1647"/>
      <c r="K212" s="1647"/>
      <c r="L212" s="1647"/>
      <c r="M212" s="1647"/>
      <c r="N212" s="1647"/>
      <c r="O212" s="1647"/>
      <c r="P212" s="1660"/>
    </row>
    <row r="213" spans="1:19">
      <c r="A213" s="1651"/>
      <c r="B213" s="1651"/>
      <c r="C213" s="1654" t="s">
        <v>2295</v>
      </c>
      <c r="D213" s="1680"/>
      <c r="E213" s="1680"/>
      <c r="F213" s="1651"/>
      <c r="G213" s="1651"/>
      <c r="H213" s="2123">
        <f>'Part I-Project Information'!H190</f>
        <v>44926</v>
      </c>
      <c r="I213" s="2123">
        <f>'Part I-Project Information'!I190</f>
        <v>0</v>
      </c>
      <c r="J213" s="1647"/>
      <c r="K213" s="1647"/>
      <c r="L213" s="1647"/>
      <c r="M213" s="1647"/>
      <c r="N213" s="1647"/>
      <c r="O213" s="1647"/>
      <c r="P213" s="1660"/>
    </row>
    <row r="214" spans="1:19">
      <c r="A214" s="1647"/>
      <c r="B214" s="1647"/>
      <c r="C214" s="1647"/>
      <c r="D214" s="1647"/>
      <c r="E214" s="1647"/>
      <c r="F214" s="1647"/>
      <c r="G214" s="1647"/>
      <c r="H214" s="1647"/>
      <c r="I214" s="1647"/>
      <c r="J214" s="1647"/>
      <c r="K214" s="1647"/>
      <c r="L214" s="1653"/>
      <c r="M214" s="1653"/>
      <c r="N214" s="1653"/>
      <c r="O214" s="1653"/>
      <c r="P214" s="1657"/>
    </row>
    <row r="215" spans="1:19">
      <c r="A215" s="1653" t="s">
        <v>2782</v>
      </c>
      <c r="B215" s="1665"/>
      <c r="C215" s="1653" t="s">
        <v>572</v>
      </c>
      <c r="D215" s="1653"/>
      <c r="E215" s="1653"/>
      <c r="F215" s="1653"/>
      <c r="G215" s="1653"/>
      <c r="H215" s="1653"/>
      <c r="I215" s="1653"/>
      <c r="J215" s="1653"/>
      <c r="K215" s="1653"/>
      <c r="L215" s="1653"/>
      <c r="M215" s="1653" t="s">
        <v>2251</v>
      </c>
      <c r="N215" s="1653" t="s">
        <v>79</v>
      </c>
      <c r="O215" s="1653"/>
      <c r="P215" s="1653"/>
    </row>
    <row r="216" spans="1:19" ht="12.75" customHeight="1">
      <c r="A216" s="1708">
        <f>'Part I-Project Information'!A193</f>
        <v>0</v>
      </c>
      <c r="B216" s="1708">
        <f>'Part I-Project Information'!B193</f>
        <v>0</v>
      </c>
      <c r="C216" s="1708">
        <f>'Part I-Project Information'!C193</f>
        <v>0</v>
      </c>
      <c r="D216" s="1708">
        <f>'Part I-Project Information'!D193</f>
        <v>0</v>
      </c>
      <c r="E216" s="1708">
        <f>'Part I-Project Information'!E193</f>
        <v>0</v>
      </c>
      <c r="F216" s="1708">
        <f>'Part I-Project Information'!F193</f>
        <v>0</v>
      </c>
      <c r="G216" s="1708">
        <f>'Part I-Project Information'!G193</f>
        <v>0</v>
      </c>
      <c r="H216" s="1708">
        <f>'Part I-Project Information'!H193</f>
        <v>0</v>
      </c>
      <c r="I216" s="1708">
        <f>'Part I-Project Information'!I193</f>
        <v>0</v>
      </c>
      <c r="J216" s="1708">
        <f>'Part I-Project Information'!J193</f>
        <v>0</v>
      </c>
      <c r="K216" s="1708">
        <f>'Part I-Project Information'!K193</f>
        <v>0</v>
      </c>
      <c r="L216" s="1708">
        <f>'Part I-Project Information'!L193</f>
        <v>0</v>
      </c>
      <c r="M216" s="1708">
        <f>'Part I-Project Information'!M193</f>
        <v>0</v>
      </c>
      <c r="N216" s="1708">
        <f>'Part I-Project Information'!N193</f>
        <v>0</v>
      </c>
      <c r="O216" s="1708">
        <f>'Part I-Project Information'!O193</f>
        <v>0</v>
      </c>
      <c r="P216" s="1708">
        <f>'Part I-Project Information'!P193</f>
        <v>0</v>
      </c>
    </row>
    <row r="219" spans="1:19">
      <c r="A219" s="1647" t="str">
        <f>CONCATENATE("PART TWO - DEVELOPMENT TEAM INFORMATION","  -  ",'Part I-Project Information'!$O$6," ",'Part I-Project Information'!$F$34,", ",'Part I-Project Information'!F256,", ",'Part I-Project Information'!J257," County")</f>
        <v>PART TWO - DEVELOPMENT TEAM INFORMATION  -  2019-5 Stone Terrace Phase II, ,  County</v>
      </c>
      <c r="B219" s="1647"/>
      <c r="C219" s="1647"/>
      <c r="D219" s="1647"/>
      <c r="E219" s="1647"/>
      <c r="F219" s="1647"/>
      <c r="G219" s="1647"/>
      <c r="H219" s="1647"/>
      <c r="I219" s="1647"/>
      <c r="J219" s="1647"/>
      <c r="K219" s="1647"/>
      <c r="L219" s="1647"/>
      <c r="M219" s="1647"/>
      <c r="N219" s="1647"/>
      <c r="O219" s="1647"/>
      <c r="P219" s="1647"/>
      <c r="Q219" s="1647"/>
      <c r="R219" s="1647"/>
      <c r="S219" s="1647"/>
    </row>
    <row r="220" spans="1:19">
      <c r="A220" s="1654" t="s">
        <v>4462</v>
      </c>
      <c r="B220" s="1653"/>
      <c r="C220" s="1653"/>
      <c r="D220" s="1653"/>
      <c r="E220" s="1653"/>
      <c r="F220" s="1653"/>
      <c r="G220" s="1653"/>
      <c r="H220" s="1653"/>
      <c r="I220" s="1653"/>
      <c r="J220" s="1653"/>
      <c r="K220" s="1653"/>
      <c r="L220" s="1653"/>
      <c r="M220" s="1653"/>
      <c r="N220" s="1653"/>
      <c r="O220" s="1653"/>
      <c r="P220" s="1653"/>
      <c r="Q220" s="1653"/>
      <c r="R220" s="1653"/>
      <c r="S220" s="1653"/>
    </row>
    <row r="221" spans="1:19" ht="13.5">
      <c r="A221" s="1647" t="s">
        <v>616</v>
      </c>
      <c r="B221" s="1654" t="s">
        <v>1858</v>
      </c>
      <c r="C221" s="1654"/>
      <c r="D221" s="1647"/>
      <c r="E221" s="1654"/>
      <c r="F221" s="1654"/>
      <c r="G221" s="1654"/>
      <c r="H221" s="1649" t="s">
        <v>4259</v>
      </c>
      <c r="I221" s="1647"/>
      <c r="J221" s="1647"/>
      <c r="K221" s="1647"/>
      <c r="L221" s="1647"/>
      <c r="M221" s="1647"/>
      <c r="N221" s="1647"/>
      <c r="O221" s="2119" t="str">
        <f>'Part I-Project Information'!$B$6</f>
        <v>May 2019 Final</v>
      </c>
      <c r="P221" s="2119"/>
      <c r="Q221" s="2119"/>
      <c r="R221" s="2119"/>
      <c r="S221" s="2119"/>
    </row>
    <row r="222" spans="1:19">
      <c r="A222" s="1647"/>
      <c r="B222" s="1647"/>
      <c r="C222" s="1647"/>
      <c r="D222" s="1654"/>
      <c r="E222" s="1654"/>
      <c r="F222" s="1654"/>
      <c r="G222" s="1654"/>
      <c r="H222" s="1654"/>
      <c r="I222" s="1654"/>
      <c r="J222" s="1654"/>
      <c r="K222" s="1647"/>
      <c r="L222" s="1647"/>
      <c r="M222" s="1647"/>
      <c r="N222" s="1647"/>
      <c r="O222" s="1647"/>
      <c r="P222" s="1647"/>
      <c r="Q222" s="1647"/>
      <c r="R222" s="1647"/>
      <c r="S222" s="1647"/>
    </row>
    <row r="223" spans="1:19">
      <c r="A223" s="1647"/>
      <c r="B223" s="1647" t="s">
        <v>1983</v>
      </c>
      <c r="C223" s="1654" t="s">
        <v>1854</v>
      </c>
      <c r="D223" s="1647"/>
      <c r="E223" s="1647"/>
      <c r="F223" s="1647"/>
      <c r="G223" s="1647"/>
      <c r="H223" s="1647" t="str">
        <f>'Part II-Development Team'!H5</f>
        <v>Stone Terrace II GA LLC</v>
      </c>
      <c r="I223" s="1665"/>
      <c r="J223" s="1665"/>
      <c r="K223" s="1665"/>
      <c r="L223" s="1665"/>
      <c r="M223" s="1665"/>
      <c r="N223" s="1665"/>
      <c r="O223" s="1654" t="s">
        <v>1989</v>
      </c>
      <c r="P223" s="1654"/>
      <c r="Q223" s="1647" t="str">
        <f>'Part II-Development Team'!Q5</f>
        <v>Charles F. Irick, Jr.</v>
      </c>
      <c r="R223" s="1665"/>
      <c r="S223" s="1665"/>
    </row>
    <row r="224" spans="1:19">
      <c r="A224" s="1647"/>
      <c r="B224" s="1647"/>
      <c r="C224" s="1647"/>
      <c r="D224" s="1663"/>
      <c r="E224" s="1654" t="s">
        <v>1021</v>
      </c>
      <c r="F224" s="1657"/>
      <c r="G224" s="1647"/>
      <c r="H224" s="1647" t="str">
        <f>'Part II-Development Team'!H6</f>
        <v>1714 East Boulevard</v>
      </c>
      <c r="I224" s="1665"/>
      <c r="J224" s="1665"/>
      <c r="K224" s="1665"/>
      <c r="L224" s="1665"/>
      <c r="M224" s="1665"/>
      <c r="N224" s="1665"/>
      <c r="O224" s="1654" t="s">
        <v>1747</v>
      </c>
      <c r="P224" s="1647"/>
      <c r="Q224" s="1647" t="str">
        <f>'Part II-Development Team'!Q6</f>
        <v>Principal</v>
      </c>
      <c r="R224" s="1665"/>
      <c r="S224" s="1665"/>
    </row>
    <row r="225" spans="1:19">
      <c r="A225" s="1647"/>
      <c r="B225" s="1647"/>
      <c r="C225" s="1647"/>
      <c r="D225" s="1663"/>
      <c r="E225" s="1654" t="s">
        <v>618</v>
      </c>
      <c r="F225" s="1647"/>
      <c r="G225" s="1647"/>
      <c r="H225" s="1647" t="str">
        <f>'Part II-Development Team'!H7</f>
        <v>Charlotte</v>
      </c>
      <c r="I225" s="1665"/>
      <c r="J225" s="1665"/>
      <c r="K225" s="1651" t="s">
        <v>762</v>
      </c>
      <c r="L225" s="1647" t="str">
        <f>'Part II-Development Team'!L7</f>
        <v>84-3444032</v>
      </c>
      <c r="M225" s="1665"/>
      <c r="N225" s="1665"/>
      <c r="O225" s="1654" t="s">
        <v>1721</v>
      </c>
      <c r="P225" s="1647"/>
      <c r="Q225" s="1647">
        <f>'Part II-Development Team'!Q7</f>
        <v>7043359112</v>
      </c>
      <c r="R225" s="1665"/>
      <c r="S225" s="1665"/>
    </row>
    <row r="226" spans="1:19">
      <c r="A226" s="1647"/>
      <c r="B226" s="1647"/>
      <c r="C226" s="1647"/>
      <c r="D226" s="1663"/>
      <c r="E226" s="1654" t="s">
        <v>1799</v>
      </c>
      <c r="F226" s="1647"/>
      <c r="G226" s="1647"/>
      <c r="H226" s="1654" t="str">
        <f>'Part II-Development Team'!H8</f>
        <v>NC</v>
      </c>
      <c r="I226" s="1651" t="s">
        <v>2229</v>
      </c>
      <c r="J226" s="2115">
        <f>'Part II-Development Team'!J8</f>
        <v>282035824</v>
      </c>
      <c r="K226" s="1665"/>
      <c r="L226" s="1647" t="s">
        <v>3688</v>
      </c>
      <c r="M226" s="1647" t="str">
        <f>'Part II-Development Team'!M8</f>
        <v>For Profit</v>
      </c>
      <c r="N226" s="1647"/>
      <c r="O226" s="1654" t="s">
        <v>1979</v>
      </c>
      <c r="P226" s="1647"/>
      <c r="Q226" s="1647">
        <f>'Part II-Development Team'!Q8</f>
        <v>8032694235</v>
      </c>
      <c r="R226" s="1665"/>
      <c r="S226" s="1665"/>
    </row>
    <row r="227" spans="1:19">
      <c r="A227" s="1647"/>
      <c r="B227" s="1647"/>
      <c r="C227" s="1647"/>
      <c r="D227" s="1663"/>
      <c r="E227" s="1654" t="s">
        <v>4260</v>
      </c>
      <c r="F227" s="1647"/>
      <c r="G227" s="1647"/>
      <c r="H227" s="2116">
        <f>'Part II-Development Team'!H9</f>
        <v>7043359112</v>
      </c>
      <c r="I227" s="2116"/>
      <c r="J227" s="1661">
        <f>'Part II-Development Team'!J9</f>
        <v>0</v>
      </c>
      <c r="K227" s="1651" t="s">
        <v>1984</v>
      </c>
      <c r="L227" s="2023" t="str">
        <f>'Part II-Development Team'!L9</f>
        <v>cirick@flatironenterprises.com</v>
      </c>
      <c r="M227" s="2023"/>
      <c r="N227" s="2023"/>
      <c r="O227" s="2023"/>
      <c r="P227" s="2023"/>
      <c r="Q227" s="2023"/>
      <c r="R227" s="2023"/>
      <c r="S227" s="2023"/>
    </row>
    <row r="228" spans="1:19" ht="13.5">
      <c r="A228" s="1647"/>
      <c r="B228" s="1647"/>
      <c r="C228" s="1647"/>
      <c r="D228" s="1663"/>
      <c r="E228" s="1649" t="s">
        <v>4259</v>
      </c>
      <c r="F228" s="1647"/>
      <c r="G228" s="1647"/>
      <c r="H228" s="1695"/>
      <c r="I228" s="1647"/>
      <c r="J228" s="1647"/>
      <c r="K228" s="1710"/>
      <c r="L228" s="1647"/>
      <c r="M228" s="1647"/>
      <c r="N228" s="1647" t="s">
        <v>4498</v>
      </c>
      <c r="O228" s="1647"/>
      <c r="P228" s="1647"/>
      <c r="Q228" s="1651"/>
      <c r="R228" s="1647"/>
      <c r="S228" s="1647"/>
    </row>
    <row r="229" spans="1:19">
      <c r="A229" s="1647"/>
      <c r="B229" s="1647"/>
      <c r="C229" s="1647"/>
      <c r="D229" s="1685"/>
      <c r="E229" s="1654"/>
      <c r="F229" s="1654"/>
      <c r="G229" s="1654"/>
      <c r="H229" s="1654"/>
      <c r="I229" s="1654"/>
      <c r="J229" s="1654"/>
      <c r="K229" s="1647"/>
      <c r="L229" s="1647"/>
      <c r="M229" s="1647"/>
      <c r="N229" s="1654"/>
      <c r="O229" s="1654"/>
      <c r="P229" s="1654"/>
      <c r="Q229" s="1654"/>
      <c r="R229" s="1654"/>
      <c r="S229" s="1654"/>
    </row>
    <row r="230" spans="1:19" ht="13.5">
      <c r="A230" s="1647"/>
      <c r="B230" s="1665" t="s">
        <v>1985</v>
      </c>
      <c r="C230" s="1654" t="s">
        <v>1855</v>
      </c>
      <c r="D230" s="1647"/>
      <c r="E230" s="1647"/>
      <c r="F230" s="1654"/>
      <c r="G230" s="1654"/>
      <c r="H230" s="1654"/>
      <c r="I230" s="1654"/>
      <c r="J230" s="1647"/>
      <c r="K230" s="1647"/>
      <c r="L230" s="1647"/>
      <c r="M230" s="1647"/>
      <c r="N230" s="2127" t="s">
        <v>1284</v>
      </c>
      <c r="O230" s="1647"/>
      <c r="P230" s="1647"/>
      <c r="Q230" s="1647"/>
      <c r="R230" s="1647"/>
      <c r="S230" s="1647"/>
    </row>
    <row r="231" spans="1:19" ht="13.5">
      <c r="A231" s="1647"/>
      <c r="B231" s="1647"/>
      <c r="C231" s="2722" t="s">
        <v>1986</v>
      </c>
      <c r="D231" s="1665" t="s">
        <v>1987</v>
      </c>
      <c r="E231" s="1647"/>
      <c r="F231" s="1647"/>
      <c r="G231" s="1647"/>
      <c r="H231" s="1647"/>
      <c r="I231" s="1647"/>
      <c r="J231" s="1647"/>
      <c r="K231" s="1647"/>
      <c r="L231" s="1647"/>
      <c r="M231" s="1647"/>
      <c r="N231" s="1710"/>
      <c r="O231" s="1647"/>
      <c r="P231" s="1647"/>
      <c r="Q231" s="1647"/>
      <c r="R231" s="1647"/>
      <c r="S231" s="1647"/>
    </row>
    <row r="232" spans="1:19">
      <c r="A232" s="1647"/>
      <c r="B232" s="1647"/>
      <c r="C232" s="1647"/>
      <c r="D232" s="1647" t="s">
        <v>2116</v>
      </c>
      <c r="E232" s="1647" t="s">
        <v>1856</v>
      </c>
      <c r="F232" s="1647"/>
      <c r="G232" s="1647"/>
      <c r="H232" s="1647" t="str">
        <f>'Part II-Development Team'!H14</f>
        <v>Stone Terrace II GP LLC</v>
      </c>
      <c r="I232" s="1665"/>
      <c r="J232" s="1665"/>
      <c r="K232" s="1665"/>
      <c r="L232" s="1665"/>
      <c r="M232" s="1665"/>
      <c r="N232" s="1665"/>
      <c r="O232" s="1654" t="s">
        <v>1989</v>
      </c>
      <c r="P232" s="1654"/>
      <c r="Q232" s="1647" t="str">
        <f>'Part II-Development Team'!Q14</f>
        <v>Charles F. Irick, Jr.</v>
      </c>
      <c r="R232" s="1665"/>
      <c r="S232" s="1665"/>
    </row>
    <row r="233" spans="1:19">
      <c r="A233" s="1647"/>
      <c r="B233" s="1647"/>
      <c r="C233" s="1647"/>
      <c r="D233" s="1663"/>
      <c r="E233" s="1654" t="s">
        <v>1021</v>
      </c>
      <c r="F233" s="1657"/>
      <c r="G233" s="1647"/>
      <c r="H233" s="1647" t="str">
        <f>'Part II-Development Team'!H15</f>
        <v xml:space="preserve">1714 East Boulevard </v>
      </c>
      <c r="I233" s="1665"/>
      <c r="J233" s="1665"/>
      <c r="K233" s="1665"/>
      <c r="L233" s="1665"/>
      <c r="M233" s="1665"/>
      <c r="N233" s="1665"/>
      <c r="O233" s="1654" t="s">
        <v>1747</v>
      </c>
      <c r="P233" s="1647"/>
      <c r="Q233" s="1647" t="str">
        <f>'Part II-Development Team'!Q15</f>
        <v>Principal</v>
      </c>
      <c r="R233" s="1665"/>
      <c r="S233" s="1665"/>
    </row>
    <row r="234" spans="1:19">
      <c r="A234" s="1647"/>
      <c r="B234" s="1647"/>
      <c r="C234" s="1647"/>
      <c r="D234" s="1663"/>
      <c r="E234" s="1654" t="s">
        <v>618</v>
      </c>
      <c r="F234" s="1647"/>
      <c r="G234" s="1647"/>
      <c r="H234" s="1647" t="str">
        <f>'Part II-Development Team'!H16</f>
        <v>Charlotte</v>
      </c>
      <c r="I234" s="1665"/>
      <c r="J234" s="1665"/>
      <c r="K234" s="1651" t="s">
        <v>2704</v>
      </c>
      <c r="L234" s="1647" t="str">
        <f>'Part II-Development Team'!L16</f>
        <v>http://www.flatirondevelopment.com/</v>
      </c>
      <c r="M234" s="1665"/>
      <c r="N234" s="1665"/>
      <c r="O234" s="1654" t="s">
        <v>1721</v>
      </c>
      <c r="P234" s="1647"/>
      <c r="Q234" s="2116">
        <f>'Part II-Development Team'!Q16</f>
        <v>7043359112</v>
      </c>
      <c r="R234" s="2116"/>
      <c r="S234" s="2116"/>
    </row>
    <row r="235" spans="1:19">
      <c r="A235" s="1647"/>
      <c r="B235" s="1647"/>
      <c r="C235" s="1647"/>
      <c r="D235" s="1647"/>
      <c r="E235" s="1654" t="s">
        <v>1799</v>
      </c>
      <c r="F235" s="1647"/>
      <c r="G235" s="1647"/>
      <c r="H235" s="1654" t="str">
        <f>'Part II-Development Team'!H17</f>
        <v>NC</v>
      </c>
      <c r="I235" s="1647"/>
      <c r="J235" s="1647"/>
      <c r="K235" s="1651" t="s">
        <v>2229</v>
      </c>
      <c r="L235" s="2115">
        <f>'Part II-Development Team'!L17</f>
        <v>282035824</v>
      </c>
      <c r="M235" s="1665"/>
      <c r="N235" s="1647"/>
      <c r="O235" s="1654" t="s">
        <v>1979</v>
      </c>
      <c r="P235" s="1647"/>
      <c r="Q235" s="2116">
        <f>'Part II-Development Team'!Q17</f>
        <v>8032694235</v>
      </c>
      <c r="R235" s="2116"/>
      <c r="S235" s="2116"/>
    </row>
    <row r="236" spans="1:19">
      <c r="A236" s="1647"/>
      <c r="B236" s="1647"/>
      <c r="C236" s="1647"/>
      <c r="D236" s="1663"/>
      <c r="E236" s="1654" t="s">
        <v>4260</v>
      </c>
      <c r="F236" s="1647"/>
      <c r="G236" s="1647"/>
      <c r="H236" s="2116">
        <f>'Part II-Development Team'!H18</f>
        <v>7043359112</v>
      </c>
      <c r="I236" s="2116"/>
      <c r="J236" s="1661">
        <f>'Part II-Development Team'!J18</f>
        <v>0</v>
      </c>
      <c r="K236" s="1651" t="s">
        <v>1984</v>
      </c>
      <c r="L236" s="2023" t="str">
        <f>'Part II-Development Team'!L18</f>
        <v>cirick@flatironenterprises.com</v>
      </c>
      <c r="M236" s="2023"/>
      <c r="N236" s="2023"/>
      <c r="O236" s="2023"/>
      <c r="P236" s="2023"/>
      <c r="Q236" s="2023"/>
      <c r="R236" s="2023"/>
      <c r="S236" s="2023"/>
    </row>
    <row r="237" spans="1:19">
      <c r="A237" s="1653"/>
      <c r="B237" s="1653"/>
      <c r="C237" s="1653"/>
      <c r="D237" s="1653"/>
      <c r="E237" s="1653"/>
      <c r="F237" s="1653"/>
      <c r="G237" s="1653"/>
      <c r="H237" s="2116"/>
      <c r="I237" s="2116"/>
      <c r="J237" s="2116"/>
      <c r="K237" s="1651"/>
      <c r="L237" s="2116"/>
      <c r="M237" s="2116"/>
      <c r="N237" s="1651"/>
      <c r="O237" s="2116"/>
      <c r="P237" s="2116"/>
      <c r="Q237" s="1651"/>
      <c r="R237" s="2116"/>
      <c r="S237" s="2116"/>
    </row>
    <row r="238" spans="1:19">
      <c r="A238" s="1647"/>
      <c r="B238" s="1647"/>
      <c r="C238" s="1647"/>
      <c r="D238" s="1647" t="s">
        <v>2117</v>
      </c>
      <c r="E238" s="1647" t="s">
        <v>1857</v>
      </c>
      <c r="F238" s="1647"/>
      <c r="G238" s="1647"/>
      <c r="H238" s="1647">
        <f>'Part II-Development Team'!H20</f>
        <v>0</v>
      </c>
      <c r="I238" s="1665"/>
      <c r="J238" s="1665"/>
      <c r="K238" s="1665"/>
      <c r="L238" s="1665"/>
      <c r="M238" s="1665"/>
      <c r="N238" s="1665"/>
      <c r="O238" s="1654" t="s">
        <v>1989</v>
      </c>
      <c r="P238" s="1654"/>
      <c r="Q238" s="1647">
        <f>'Part II-Development Team'!Q20</f>
        <v>0</v>
      </c>
      <c r="R238" s="1665"/>
      <c r="S238" s="1665"/>
    </row>
    <row r="239" spans="1:19">
      <c r="A239" s="1647"/>
      <c r="B239" s="1647"/>
      <c r="C239" s="1647"/>
      <c r="D239" s="1663"/>
      <c r="E239" s="1654" t="s">
        <v>1021</v>
      </c>
      <c r="F239" s="1657"/>
      <c r="G239" s="1647"/>
      <c r="H239" s="1647">
        <f>'Part II-Development Team'!H21</f>
        <v>0</v>
      </c>
      <c r="I239" s="1665"/>
      <c r="J239" s="1665"/>
      <c r="K239" s="1665"/>
      <c r="L239" s="1665"/>
      <c r="M239" s="1665"/>
      <c r="N239" s="1665"/>
      <c r="O239" s="1654" t="s">
        <v>1747</v>
      </c>
      <c r="P239" s="1647"/>
      <c r="Q239" s="1647">
        <f>'Part II-Development Team'!Q21</f>
        <v>0</v>
      </c>
      <c r="R239" s="1665"/>
      <c r="S239" s="1665"/>
    </row>
    <row r="240" spans="1:19">
      <c r="A240" s="1647"/>
      <c r="B240" s="1647"/>
      <c r="C240" s="1647"/>
      <c r="D240" s="1663"/>
      <c r="E240" s="1654" t="s">
        <v>618</v>
      </c>
      <c r="F240" s="1647"/>
      <c r="G240" s="1647"/>
      <c r="H240" s="1647">
        <f>'Part II-Development Team'!H22</f>
        <v>0</v>
      </c>
      <c r="I240" s="1665"/>
      <c r="J240" s="1665"/>
      <c r="K240" s="1651" t="s">
        <v>2704</v>
      </c>
      <c r="L240" s="1647">
        <f>'Part II-Development Team'!L22</f>
        <v>0</v>
      </c>
      <c r="M240" s="1665"/>
      <c r="N240" s="1665"/>
      <c r="O240" s="1654" t="s">
        <v>1721</v>
      </c>
      <c r="P240" s="1647"/>
      <c r="Q240" s="2116">
        <f>'Part II-Development Team'!Q22</f>
        <v>0</v>
      </c>
      <c r="R240" s="2116"/>
      <c r="S240" s="2116"/>
    </row>
    <row r="241" spans="1:19">
      <c r="A241" s="1647"/>
      <c r="B241" s="1647"/>
      <c r="C241" s="1647"/>
      <c r="D241" s="1647"/>
      <c r="E241" s="1654" t="s">
        <v>1799</v>
      </c>
      <c r="F241" s="1647"/>
      <c r="G241" s="1647"/>
      <c r="H241" s="1654">
        <f>'Part II-Development Team'!H23</f>
        <v>0</v>
      </c>
      <c r="I241" s="1647"/>
      <c r="J241" s="1647"/>
      <c r="K241" s="1651" t="s">
        <v>2229</v>
      </c>
      <c r="L241" s="2115">
        <f>'Part II-Development Team'!L23</f>
        <v>0</v>
      </c>
      <c r="M241" s="1665"/>
      <c r="N241" s="1647"/>
      <c r="O241" s="1654" t="s">
        <v>1979</v>
      </c>
      <c r="P241" s="1647"/>
      <c r="Q241" s="2116">
        <f>'Part II-Development Team'!Q23</f>
        <v>0</v>
      </c>
      <c r="R241" s="2116"/>
      <c r="S241" s="2116"/>
    </row>
    <row r="242" spans="1:19">
      <c r="A242" s="1647"/>
      <c r="B242" s="1647"/>
      <c r="C242" s="1647"/>
      <c r="D242" s="1663"/>
      <c r="E242" s="1654" t="s">
        <v>4260</v>
      </c>
      <c r="F242" s="1647"/>
      <c r="G242" s="1647"/>
      <c r="H242" s="2116">
        <f>'Part II-Development Team'!H24</f>
        <v>0</v>
      </c>
      <c r="I242" s="2116"/>
      <c r="J242" s="1661">
        <f>'Part II-Development Team'!J24</f>
        <v>0</v>
      </c>
      <c r="K242" s="1651" t="s">
        <v>1984</v>
      </c>
      <c r="L242" s="2023">
        <f>'Part II-Development Team'!L24</f>
        <v>0</v>
      </c>
      <c r="M242" s="2023"/>
      <c r="N242" s="2023"/>
      <c r="O242" s="2023"/>
      <c r="P242" s="2023"/>
      <c r="Q242" s="2023"/>
      <c r="R242" s="2023"/>
      <c r="S242" s="2023"/>
    </row>
    <row r="243" spans="1:19">
      <c r="A243" s="1647"/>
      <c r="B243" s="1647"/>
      <c r="C243" s="1647"/>
      <c r="D243" s="1663"/>
      <c r="E243" s="1647"/>
      <c r="F243" s="1647"/>
      <c r="G243" s="1654"/>
      <c r="H243" s="2116"/>
      <c r="I243" s="2116"/>
      <c r="J243" s="2116"/>
      <c r="K243" s="1651"/>
      <c r="L243" s="2116"/>
      <c r="M243" s="2116"/>
      <c r="N243" s="1651"/>
      <c r="O243" s="2116"/>
      <c r="P243" s="2116"/>
      <c r="Q243" s="1651"/>
      <c r="R243" s="2116"/>
      <c r="S243" s="2116"/>
    </row>
    <row r="244" spans="1:19">
      <c r="A244" s="1647"/>
      <c r="B244" s="1647"/>
      <c r="C244" s="1647"/>
      <c r="D244" s="1647" t="s">
        <v>1734</v>
      </c>
      <c r="E244" s="1647" t="s">
        <v>1857</v>
      </c>
      <c r="F244" s="1647"/>
      <c r="G244" s="1647"/>
      <c r="H244" s="1647">
        <f>'Part II-Development Team'!H26</f>
        <v>0</v>
      </c>
      <c r="I244" s="1665"/>
      <c r="J244" s="1665"/>
      <c r="K244" s="1665"/>
      <c r="L244" s="1665"/>
      <c r="M244" s="1665"/>
      <c r="N244" s="1665"/>
      <c r="O244" s="1654" t="s">
        <v>1989</v>
      </c>
      <c r="P244" s="1654"/>
      <c r="Q244" s="1647">
        <f>'Part II-Development Team'!Q26</f>
        <v>0</v>
      </c>
      <c r="R244" s="1665"/>
      <c r="S244" s="1665"/>
    </row>
    <row r="245" spans="1:19">
      <c r="A245" s="1647"/>
      <c r="B245" s="1647"/>
      <c r="C245" s="1647"/>
      <c r="D245" s="1663"/>
      <c r="E245" s="1654" t="s">
        <v>1021</v>
      </c>
      <c r="F245" s="1657"/>
      <c r="G245" s="1647"/>
      <c r="H245" s="1647">
        <f>'Part II-Development Team'!H27</f>
        <v>0</v>
      </c>
      <c r="I245" s="1665"/>
      <c r="J245" s="1665"/>
      <c r="K245" s="1665"/>
      <c r="L245" s="1665"/>
      <c r="M245" s="1665"/>
      <c r="N245" s="1665"/>
      <c r="O245" s="1654" t="s">
        <v>1747</v>
      </c>
      <c r="P245" s="1647"/>
      <c r="Q245" s="1647">
        <f>'Part II-Development Team'!Q27</f>
        <v>0</v>
      </c>
      <c r="R245" s="1665"/>
      <c r="S245" s="1665"/>
    </row>
    <row r="246" spans="1:19">
      <c r="A246" s="1647"/>
      <c r="B246" s="1647"/>
      <c r="C246" s="1647"/>
      <c r="D246" s="1663"/>
      <c r="E246" s="1654" t="s">
        <v>618</v>
      </c>
      <c r="F246" s="1647"/>
      <c r="G246" s="1647"/>
      <c r="H246" s="1647">
        <f>'Part II-Development Team'!H28</f>
        <v>0</v>
      </c>
      <c r="I246" s="1665"/>
      <c r="J246" s="1665"/>
      <c r="K246" s="1651" t="s">
        <v>2704</v>
      </c>
      <c r="L246" s="1647">
        <f>'Part II-Development Team'!L28</f>
        <v>0</v>
      </c>
      <c r="M246" s="1665"/>
      <c r="N246" s="1665"/>
      <c r="O246" s="1654" t="s">
        <v>1721</v>
      </c>
      <c r="P246" s="1647"/>
      <c r="Q246" s="2116">
        <f>'Part II-Development Team'!Q28</f>
        <v>0</v>
      </c>
      <c r="R246" s="2116"/>
      <c r="S246" s="2116"/>
    </row>
    <row r="247" spans="1:19">
      <c r="A247" s="1647"/>
      <c r="B247" s="1647"/>
      <c r="C247" s="1647"/>
      <c r="D247" s="1647"/>
      <c r="E247" s="1654" t="s">
        <v>1799</v>
      </c>
      <c r="F247" s="1647"/>
      <c r="G247" s="1647"/>
      <c r="H247" s="1654">
        <f>'Part II-Development Team'!H29</f>
        <v>0</v>
      </c>
      <c r="I247" s="1647"/>
      <c r="J247" s="1647"/>
      <c r="K247" s="1651" t="s">
        <v>2229</v>
      </c>
      <c r="L247" s="2115">
        <f>'Part II-Development Team'!L29</f>
        <v>0</v>
      </c>
      <c r="M247" s="1665"/>
      <c r="N247" s="1647"/>
      <c r="O247" s="1654" t="s">
        <v>1979</v>
      </c>
      <c r="P247" s="1647"/>
      <c r="Q247" s="2116">
        <f>'Part II-Development Team'!Q29</f>
        <v>0</v>
      </c>
      <c r="R247" s="2116"/>
      <c r="S247" s="2116"/>
    </row>
    <row r="248" spans="1:19">
      <c r="A248" s="1647"/>
      <c r="B248" s="1647"/>
      <c r="C248" s="1647"/>
      <c r="D248" s="1663"/>
      <c r="E248" s="1654" t="s">
        <v>4260</v>
      </c>
      <c r="F248" s="1647"/>
      <c r="G248" s="1647"/>
      <c r="H248" s="2116">
        <f>'Part II-Development Team'!H30</f>
        <v>0</v>
      </c>
      <c r="I248" s="2116"/>
      <c r="J248" s="1661">
        <f>'Part II-Development Team'!J30</f>
        <v>0</v>
      </c>
      <c r="K248" s="1651" t="s">
        <v>1984</v>
      </c>
      <c r="L248" s="2023">
        <f>'Part II-Development Team'!L30</f>
        <v>0</v>
      </c>
      <c r="M248" s="2023"/>
      <c r="N248" s="2023"/>
      <c r="O248" s="2023"/>
      <c r="P248" s="2023"/>
      <c r="Q248" s="2023"/>
      <c r="R248" s="2023"/>
      <c r="S248" s="2023"/>
    </row>
    <row r="249" spans="1:19">
      <c r="A249" s="1653"/>
      <c r="B249" s="1653"/>
      <c r="C249" s="1653"/>
      <c r="D249" s="1653"/>
      <c r="E249" s="1653"/>
      <c r="F249" s="1653"/>
      <c r="G249" s="1653"/>
      <c r="H249" s="1653"/>
      <c r="I249" s="1653"/>
      <c r="J249" s="1653"/>
      <c r="K249" s="1653"/>
      <c r="L249" s="1653"/>
      <c r="M249" s="1653"/>
      <c r="N249" s="1653"/>
      <c r="O249" s="1653"/>
      <c r="P249" s="1653"/>
      <c r="Q249" s="1653"/>
      <c r="R249" s="1653"/>
      <c r="S249" s="1653"/>
    </row>
    <row r="250" spans="1:19" ht="13.5">
      <c r="A250" s="1647"/>
      <c r="B250" s="1647"/>
      <c r="C250" s="2722" t="s">
        <v>1988</v>
      </c>
      <c r="D250" s="1665" t="s">
        <v>1859</v>
      </c>
      <c r="E250" s="1647"/>
      <c r="F250" s="1647"/>
      <c r="G250" s="1647"/>
      <c r="H250" s="1647"/>
      <c r="I250" s="1647"/>
      <c r="J250" s="1647"/>
      <c r="K250" s="1649" t="s">
        <v>4259</v>
      </c>
      <c r="L250" s="1647"/>
      <c r="M250" s="1647"/>
      <c r="N250" s="1647"/>
      <c r="O250" s="1647"/>
      <c r="P250" s="1647"/>
      <c r="Q250" s="1647"/>
      <c r="R250" s="1647"/>
      <c r="S250" s="1647"/>
    </row>
    <row r="251" spans="1:19">
      <c r="A251" s="1647"/>
      <c r="B251" s="1647"/>
      <c r="C251" s="1647"/>
      <c r="D251" s="1647" t="s">
        <v>2116</v>
      </c>
      <c r="E251" s="1647" t="s">
        <v>750</v>
      </c>
      <c r="F251" s="1647"/>
      <c r="G251" s="1647"/>
      <c r="H251" s="1647" t="str">
        <f>'Part II-Development Team'!H33</f>
        <v>Raymond James Tax Credit Funds, Inc.</v>
      </c>
      <c r="I251" s="1665"/>
      <c r="J251" s="1665"/>
      <c r="K251" s="1665"/>
      <c r="L251" s="1665"/>
      <c r="M251" s="1665"/>
      <c r="N251" s="1665"/>
      <c r="O251" s="1654" t="s">
        <v>1989</v>
      </c>
      <c r="P251" s="1654"/>
      <c r="Q251" s="1647" t="str">
        <f>'Part II-Development Team'!Q33</f>
        <v>John W. Colvin</v>
      </c>
      <c r="R251" s="1665"/>
      <c r="S251" s="1665"/>
    </row>
    <row r="252" spans="1:19">
      <c r="A252" s="1647"/>
      <c r="B252" s="1647"/>
      <c r="C252" s="1647"/>
      <c r="D252" s="1663"/>
      <c r="E252" s="1654" t="s">
        <v>1021</v>
      </c>
      <c r="F252" s="1657"/>
      <c r="G252" s="1647"/>
      <c r="H252" s="1647" t="str">
        <f>'Part II-Development Team'!H34</f>
        <v>880 Carillion Parkway</v>
      </c>
      <c r="I252" s="1665"/>
      <c r="J252" s="1665"/>
      <c r="K252" s="1665"/>
      <c r="L252" s="1665"/>
      <c r="M252" s="1665"/>
      <c r="N252" s="1665"/>
      <c r="O252" s="1654" t="s">
        <v>1747</v>
      </c>
      <c r="P252" s="1647"/>
      <c r="Q252" s="1647" t="str">
        <f>'Part II-Development Team'!Q34</f>
        <v>Vice President</v>
      </c>
      <c r="R252" s="1665"/>
      <c r="S252" s="1665"/>
    </row>
    <row r="253" spans="1:19">
      <c r="A253" s="1647"/>
      <c r="B253" s="1647"/>
      <c r="C253" s="1647"/>
      <c r="D253" s="1663"/>
      <c r="E253" s="1654" t="s">
        <v>618</v>
      </c>
      <c r="F253" s="1647"/>
      <c r="G253" s="1647"/>
      <c r="H253" s="1647" t="str">
        <f>'Part II-Development Team'!H35</f>
        <v>St. Petersburg</v>
      </c>
      <c r="I253" s="1665"/>
      <c r="J253" s="1665"/>
      <c r="K253" s="1651" t="s">
        <v>2704</v>
      </c>
      <c r="L253" s="1647" t="str">
        <f>'Part II-Development Team'!L35</f>
        <v>http://www.raymondjames.com/</v>
      </c>
      <c r="M253" s="1665"/>
      <c r="N253" s="1665"/>
      <c r="O253" s="1654" t="s">
        <v>1721</v>
      </c>
      <c r="P253" s="1647"/>
      <c r="Q253" s="2116">
        <f>'Part II-Development Team'!Q35</f>
        <v>7275671000</v>
      </c>
      <c r="R253" s="2116"/>
      <c r="S253" s="2116"/>
    </row>
    <row r="254" spans="1:19">
      <c r="A254" s="1647"/>
      <c r="B254" s="1647"/>
      <c r="C254" s="1647"/>
      <c r="D254" s="1647"/>
      <c r="E254" s="1654" t="s">
        <v>1799</v>
      </c>
      <c r="F254" s="1647"/>
      <c r="G254" s="1647"/>
      <c r="H254" s="1654" t="str">
        <f>'Part II-Development Team'!H36</f>
        <v>FL</v>
      </c>
      <c r="I254" s="1647"/>
      <c r="J254" s="1647"/>
      <c r="K254" s="1651" t="s">
        <v>2229</v>
      </c>
      <c r="L254" s="2115">
        <f>'Part II-Development Team'!L36</f>
        <v>337161102</v>
      </c>
      <c r="M254" s="1665"/>
      <c r="N254" s="1647"/>
      <c r="O254" s="1654" t="s">
        <v>1979</v>
      </c>
      <c r="P254" s="1647"/>
      <c r="Q254" s="2116">
        <f>'Part II-Development Team'!Q36</f>
        <v>0</v>
      </c>
      <c r="R254" s="2116"/>
      <c r="S254" s="2116"/>
    </row>
    <row r="255" spans="1:19">
      <c r="A255" s="1647"/>
      <c r="B255" s="1647"/>
      <c r="C255" s="1647"/>
      <c r="D255" s="1663"/>
      <c r="E255" s="1654" t="s">
        <v>4260</v>
      </c>
      <c r="F255" s="1647"/>
      <c r="G255" s="1647"/>
      <c r="H255" s="2116">
        <f>'Part II-Development Team'!H37</f>
        <v>0</v>
      </c>
      <c r="I255" s="2116"/>
      <c r="J255" s="1661">
        <f>'Part II-Development Team'!J37</f>
        <v>0</v>
      </c>
      <c r="K255" s="1651" t="s">
        <v>1984</v>
      </c>
      <c r="L255" s="2023">
        <f>'Part II-Development Team'!L37</f>
        <v>0</v>
      </c>
      <c r="M255" s="2023"/>
      <c r="N255" s="2023"/>
      <c r="O255" s="2023"/>
      <c r="P255" s="2023"/>
      <c r="Q255" s="2023"/>
      <c r="R255" s="2023"/>
      <c r="S255" s="2023"/>
    </row>
    <row r="256" spans="1:19">
      <c r="A256" s="1653"/>
      <c r="B256" s="1653"/>
      <c r="C256" s="1653"/>
      <c r="D256" s="1653"/>
      <c r="E256" s="1653"/>
      <c r="F256" s="1653"/>
      <c r="G256" s="1653"/>
      <c r="H256" s="2116"/>
      <c r="I256" s="2116"/>
      <c r="J256" s="2116"/>
      <c r="K256" s="1651"/>
      <c r="L256" s="2116"/>
      <c r="M256" s="2116"/>
      <c r="N256" s="1651"/>
      <c r="O256" s="2116"/>
      <c r="P256" s="2116"/>
      <c r="Q256" s="1651"/>
      <c r="R256" s="2116"/>
      <c r="S256" s="2116"/>
    </row>
    <row r="257" spans="1:19">
      <c r="A257" s="1647"/>
      <c r="B257" s="1647"/>
      <c r="C257" s="1647"/>
      <c r="D257" s="1647" t="s">
        <v>2117</v>
      </c>
      <c r="E257" s="1647" t="s">
        <v>751</v>
      </c>
      <c r="F257" s="1647"/>
      <c r="G257" s="1647"/>
      <c r="H257" s="1647" t="str">
        <f>'Part II-Development Team'!H39</f>
        <v>Raymond James Tax Credit Funds, Inc.</v>
      </c>
      <c r="I257" s="1665"/>
      <c r="J257" s="1665"/>
      <c r="K257" s="1665"/>
      <c r="L257" s="1665"/>
      <c r="M257" s="1665"/>
      <c r="N257" s="1665"/>
      <c r="O257" s="1654" t="s">
        <v>1989</v>
      </c>
      <c r="P257" s="1654"/>
      <c r="Q257" s="1647" t="str">
        <f>'Part II-Development Team'!Q39</f>
        <v>John W. Colvin</v>
      </c>
      <c r="R257" s="1665"/>
      <c r="S257" s="1665"/>
    </row>
    <row r="258" spans="1:19">
      <c r="A258" s="1647"/>
      <c r="B258" s="1647"/>
      <c r="C258" s="1647"/>
      <c r="D258" s="1663"/>
      <c r="E258" s="1654" t="s">
        <v>1021</v>
      </c>
      <c r="F258" s="1657"/>
      <c r="G258" s="1647"/>
      <c r="H258" s="1647" t="str">
        <f>'Part II-Development Team'!H40</f>
        <v>880 Carillion Parkway</v>
      </c>
      <c r="I258" s="1665"/>
      <c r="J258" s="1665"/>
      <c r="K258" s="1665"/>
      <c r="L258" s="1665"/>
      <c r="M258" s="1665"/>
      <c r="N258" s="1665"/>
      <c r="O258" s="1654" t="s">
        <v>1747</v>
      </c>
      <c r="P258" s="1647"/>
      <c r="Q258" s="1647" t="str">
        <f>'Part II-Development Team'!Q40</f>
        <v>Vice President</v>
      </c>
      <c r="R258" s="1665"/>
      <c r="S258" s="1665"/>
    </row>
    <row r="259" spans="1:19">
      <c r="A259" s="1647"/>
      <c r="B259" s="1647"/>
      <c r="C259" s="1647"/>
      <c r="D259" s="1663"/>
      <c r="E259" s="1654" t="s">
        <v>618</v>
      </c>
      <c r="F259" s="1647"/>
      <c r="G259" s="1647"/>
      <c r="H259" s="1647" t="str">
        <f>'Part II-Development Team'!H41</f>
        <v>St. Petersburg</v>
      </c>
      <c r="I259" s="1665"/>
      <c r="J259" s="1665"/>
      <c r="K259" s="1651" t="s">
        <v>2704</v>
      </c>
      <c r="L259" s="1647" t="str">
        <f>'Part II-Development Team'!L41</f>
        <v>http://www.raymondjames.com/</v>
      </c>
      <c r="M259" s="1665"/>
      <c r="N259" s="1665"/>
      <c r="O259" s="1654" t="s">
        <v>1721</v>
      </c>
      <c r="P259" s="1647"/>
      <c r="Q259" s="2116">
        <f>'Part II-Development Team'!Q41</f>
        <v>7275671000</v>
      </c>
      <c r="R259" s="2116"/>
      <c r="S259" s="2116"/>
    </row>
    <row r="260" spans="1:19">
      <c r="A260" s="1647"/>
      <c r="B260" s="1647"/>
      <c r="C260" s="1647"/>
      <c r="D260" s="1647"/>
      <c r="E260" s="1654" t="s">
        <v>1799</v>
      </c>
      <c r="F260" s="1647"/>
      <c r="G260" s="1647"/>
      <c r="H260" s="1654" t="str">
        <f>'Part II-Development Team'!H42</f>
        <v>FL</v>
      </c>
      <c r="I260" s="1647"/>
      <c r="J260" s="1647"/>
      <c r="K260" s="1651" t="s">
        <v>2229</v>
      </c>
      <c r="L260" s="2115">
        <f>'Part II-Development Team'!L42</f>
        <v>337161102</v>
      </c>
      <c r="M260" s="1665"/>
      <c r="N260" s="1647"/>
      <c r="O260" s="1654" t="s">
        <v>1979</v>
      </c>
      <c r="P260" s="1647"/>
      <c r="Q260" s="2116">
        <f>'Part II-Development Team'!Q42</f>
        <v>0</v>
      </c>
      <c r="R260" s="2116"/>
      <c r="S260" s="2116"/>
    </row>
    <row r="261" spans="1:19">
      <c r="A261" s="1647"/>
      <c r="B261" s="1647"/>
      <c r="C261" s="1647"/>
      <c r="D261" s="1663"/>
      <c r="E261" s="1654" t="s">
        <v>4260</v>
      </c>
      <c r="F261" s="1647"/>
      <c r="G261" s="1647"/>
      <c r="H261" s="2116">
        <f>'Part II-Development Team'!H43</f>
        <v>0</v>
      </c>
      <c r="I261" s="2116"/>
      <c r="J261" s="1661">
        <f>'Part II-Development Team'!J43</f>
        <v>0</v>
      </c>
      <c r="K261" s="1651" t="s">
        <v>1984</v>
      </c>
      <c r="L261" s="2023">
        <f>'Part II-Development Team'!L43</f>
        <v>0</v>
      </c>
      <c r="M261" s="2023"/>
      <c r="N261" s="2023"/>
      <c r="O261" s="2023"/>
      <c r="P261" s="2023"/>
      <c r="Q261" s="2023"/>
      <c r="R261" s="2023"/>
      <c r="S261" s="2023"/>
    </row>
    <row r="262" spans="1:19">
      <c r="A262" s="1647"/>
      <c r="B262" s="1647"/>
      <c r="C262" s="1647"/>
      <c r="D262" s="1663"/>
      <c r="E262" s="1654"/>
      <c r="F262" s="1647"/>
      <c r="G262" s="1647"/>
      <c r="H262" s="1695"/>
      <c r="I262" s="1695"/>
      <c r="J262" s="2128"/>
      <c r="K262" s="1651"/>
      <c r="L262" s="1695"/>
      <c r="M262" s="1695"/>
      <c r="N262" s="1651"/>
      <c r="O262" s="1695"/>
      <c r="P262" s="1695"/>
      <c r="Q262" s="1651"/>
      <c r="R262" s="1695"/>
      <c r="S262" s="1695"/>
    </row>
    <row r="263" spans="1:19" ht="13.5">
      <c r="A263" s="1647"/>
      <c r="B263" s="1647"/>
      <c r="C263" s="2723" t="s">
        <v>2534</v>
      </c>
      <c r="D263" s="1665" t="s">
        <v>651</v>
      </c>
      <c r="E263" s="1647"/>
      <c r="F263" s="1647"/>
      <c r="G263" s="1647"/>
      <c r="H263" s="1647"/>
      <c r="I263" s="1647"/>
      <c r="J263" s="1647"/>
      <c r="K263" s="1649" t="s">
        <v>4259</v>
      </c>
      <c r="L263" s="1647"/>
      <c r="M263" s="1647"/>
      <c r="N263" s="1647"/>
      <c r="O263" s="1647"/>
      <c r="P263" s="1647"/>
      <c r="Q263" s="1647"/>
      <c r="R263" s="1647"/>
      <c r="S263" s="1647"/>
    </row>
    <row r="264" spans="1:19">
      <c r="A264" s="1647"/>
      <c r="B264" s="1647"/>
      <c r="C264" s="1647"/>
      <c r="D264" s="1647"/>
      <c r="E264" s="1647" t="s">
        <v>92</v>
      </c>
      <c r="F264" s="1647"/>
      <c r="G264" s="1647"/>
      <c r="H264" s="1647">
        <f>'Part II-Development Team'!H46</f>
        <v>0</v>
      </c>
      <c r="I264" s="1665"/>
      <c r="J264" s="1665"/>
      <c r="K264" s="1665"/>
      <c r="L264" s="1665"/>
      <c r="M264" s="1665"/>
      <c r="N264" s="1665"/>
      <c r="O264" s="1654" t="s">
        <v>1989</v>
      </c>
      <c r="P264" s="1654"/>
      <c r="Q264" s="1647">
        <f>'Part II-Development Team'!Q46</f>
        <v>0</v>
      </c>
      <c r="R264" s="1665"/>
      <c r="S264" s="1665"/>
    </row>
    <row r="265" spans="1:19">
      <c r="A265" s="1647"/>
      <c r="B265" s="1647"/>
      <c r="C265" s="1647"/>
      <c r="D265" s="1663"/>
      <c r="E265" s="1654" t="s">
        <v>1021</v>
      </c>
      <c r="F265" s="1657"/>
      <c r="G265" s="1647"/>
      <c r="H265" s="1647">
        <f>'Part II-Development Team'!H47</f>
        <v>0</v>
      </c>
      <c r="I265" s="1665"/>
      <c r="J265" s="1665"/>
      <c r="K265" s="1665"/>
      <c r="L265" s="1665"/>
      <c r="M265" s="1665"/>
      <c r="N265" s="1665"/>
      <c r="O265" s="1654" t="s">
        <v>1747</v>
      </c>
      <c r="P265" s="1647"/>
      <c r="Q265" s="1647">
        <f>'Part II-Development Team'!Q47</f>
        <v>0</v>
      </c>
      <c r="R265" s="1665"/>
      <c r="S265" s="1665"/>
    </row>
    <row r="266" spans="1:19">
      <c r="A266" s="1647"/>
      <c r="B266" s="1647"/>
      <c r="C266" s="1647"/>
      <c r="D266" s="1663"/>
      <c r="E266" s="1654" t="s">
        <v>618</v>
      </c>
      <c r="F266" s="1647"/>
      <c r="G266" s="1647"/>
      <c r="H266" s="1647">
        <f>'Part II-Development Team'!H48</f>
        <v>0</v>
      </c>
      <c r="I266" s="1665"/>
      <c r="J266" s="1665"/>
      <c r="K266" s="1651" t="s">
        <v>2704</v>
      </c>
      <c r="L266" s="1647">
        <f>'Part II-Development Team'!L48</f>
        <v>0</v>
      </c>
      <c r="M266" s="1665"/>
      <c r="N266" s="1665"/>
      <c r="O266" s="1654" t="s">
        <v>1721</v>
      </c>
      <c r="P266" s="1647"/>
      <c r="Q266" s="2116">
        <f>'Part II-Development Team'!Q48</f>
        <v>0</v>
      </c>
      <c r="R266" s="2116"/>
      <c r="S266" s="2116"/>
    </row>
    <row r="267" spans="1:19">
      <c r="A267" s="1647"/>
      <c r="B267" s="1647"/>
      <c r="C267" s="1647"/>
      <c r="D267" s="1647"/>
      <c r="E267" s="1654" t="s">
        <v>1799</v>
      </c>
      <c r="F267" s="1647"/>
      <c r="G267" s="1647"/>
      <c r="H267" s="1654">
        <f>'Part II-Development Team'!H49</f>
        <v>0</v>
      </c>
      <c r="I267" s="1647"/>
      <c r="J267" s="1647"/>
      <c r="K267" s="1651" t="s">
        <v>2229</v>
      </c>
      <c r="L267" s="2115">
        <f>'Part II-Development Team'!L49</f>
        <v>0</v>
      </c>
      <c r="M267" s="1665"/>
      <c r="N267" s="1647"/>
      <c r="O267" s="1654" t="s">
        <v>1979</v>
      </c>
      <c r="P267" s="1647"/>
      <c r="Q267" s="2116">
        <f>'Part II-Development Team'!Q49</f>
        <v>0</v>
      </c>
      <c r="R267" s="2116"/>
      <c r="S267" s="2116"/>
    </row>
    <row r="268" spans="1:19">
      <c r="A268" s="1647"/>
      <c r="B268" s="1647"/>
      <c r="C268" s="1647"/>
      <c r="D268" s="1663"/>
      <c r="E268" s="1654" t="s">
        <v>4260</v>
      </c>
      <c r="F268" s="1647"/>
      <c r="G268" s="1647"/>
      <c r="H268" s="2116">
        <f>'Part II-Development Team'!H50</f>
        <v>0</v>
      </c>
      <c r="I268" s="2116"/>
      <c r="J268" s="1661">
        <f>'Part II-Development Team'!J50</f>
        <v>0</v>
      </c>
      <c r="K268" s="1651" t="s">
        <v>1984</v>
      </c>
      <c r="L268" s="2023">
        <f>'Part II-Development Team'!L50</f>
        <v>0</v>
      </c>
      <c r="M268" s="2023"/>
      <c r="N268" s="2023"/>
      <c r="O268" s="2023"/>
      <c r="P268" s="2023"/>
      <c r="Q268" s="2023"/>
      <c r="R268" s="2023"/>
      <c r="S268" s="2023"/>
    </row>
    <row r="269" spans="1:19">
      <c r="A269" s="1653"/>
      <c r="B269" s="1653"/>
      <c r="C269" s="1653"/>
      <c r="D269" s="1653"/>
      <c r="E269" s="1653"/>
      <c r="F269" s="1653"/>
      <c r="G269" s="1653"/>
      <c r="H269" s="1653"/>
      <c r="I269" s="1653"/>
      <c r="J269" s="1653"/>
      <c r="K269" s="1653"/>
      <c r="L269" s="1653"/>
      <c r="M269" s="1653"/>
      <c r="N269" s="1653"/>
      <c r="O269" s="1653"/>
      <c r="P269" s="1653"/>
      <c r="Q269" s="1653"/>
      <c r="R269" s="1653"/>
      <c r="S269" s="1653"/>
    </row>
    <row r="270" spans="1:19" ht="13.5">
      <c r="A270" s="1647" t="s">
        <v>740</v>
      </c>
      <c r="B270" s="1647" t="s">
        <v>652</v>
      </c>
      <c r="C270" s="1647"/>
      <c r="D270" s="1647"/>
      <c r="E270" s="1647"/>
      <c r="F270" s="1647"/>
      <c r="G270" s="1651"/>
      <c r="H270" s="1651"/>
      <c r="I270" s="1651"/>
      <c r="J270" s="1647"/>
      <c r="K270" s="1649" t="s">
        <v>4259</v>
      </c>
      <c r="L270" s="1647"/>
      <c r="M270" s="1647"/>
      <c r="N270" s="1647"/>
      <c r="O270" s="1647"/>
      <c r="P270" s="1647"/>
      <c r="Q270" s="1647"/>
      <c r="R270" s="1647"/>
      <c r="S270" s="1647"/>
    </row>
    <row r="271" spans="1:19">
      <c r="A271" s="1647"/>
      <c r="B271" s="1647"/>
      <c r="C271" s="1647"/>
      <c r="D271" s="1647"/>
      <c r="E271" s="1647"/>
      <c r="F271" s="1647"/>
      <c r="G271" s="1651"/>
      <c r="H271" s="2116"/>
      <c r="I271" s="2116"/>
      <c r="J271" s="2116"/>
      <c r="K271" s="1651"/>
      <c r="L271" s="2116"/>
      <c r="M271" s="2116"/>
      <c r="N271" s="1651"/>
      <c r="O271" s="2116"/>
      <c r="P271" s="2116"/>
      <c r="Q271" s="1651"/>
      <c r="R271" s="2116"/>
      <c r="S271" s="2116"/>
    </row>
    <row r="272" spans="1:19">
      <c r="A272" s="1647"/>
      <c r="B272" s="1647" t="s">
        <v>1983</v>
      </c>
      <c r="C272" s="1647" t="s">
        <v>282</v>
      </c>
      <c r="D272" s="1647"/>
      <c r="E272" s="1647"/>
      <c r="F272" s="1647"/>
      <c r="G272" s="1647"/>
      <c r="H272" s="1647" t="str">
        <f>'Part II-Development Team'!H54</f>
        <v>Flatiron Partners, LLC</v>
      </c>
      <c r="I272" s="1665"/>
      <c r="J272" s="1665"/>
      <c r="K272" s="1665"/>
      <c r="L272" s="1665"/>
      <c r="M272" s="1665"/>
      <c r="N272" s="1665"/>
      <c r="O272" s="1654" t="s">
        <v>1989</v>
      </c>
      <c r="P272" s="1654"/>
      <c r="Q272" s="1647" t="str">
        <f>'Part II-Development Team'!Q54</f>
        <v>Charles F. Irick, Jr.</v>
      </c>
      <c r="R272" s="1665"/>
      <c r="S272" s="1665"/>
    </row>
    <row r="273" spans="1:19">
      <c r="A273" s="1647"/>
      <c r="B273" s="1647"/>
      <c r="C273" s="1647"/>
      <c r="D273" s="1663"/>
      <c r="E273" s="1654" t="s">
        <v>1021</v>
      </c>
      <c r="F273" s="1657"/>
      <c r="G273" s="1647"/>
      <c r="H273" s="1647" t="str">
        <f>'Part II-Development Team'!H55</f>
        <v>1714 East Boulevard</v>
      </c>
      <c r="I273" s="1665"/>
      <c r="J273" s="1665"/>
      <c r="K273" s="1665"/>
      <c r="L273" s="1665"/>
      <c r="M273" s="1665"/>
      <c r="N273" s="1665"/>
      <c r="O273" s="1654" t="s">
        <v>1747</v>
      </c>
      <c r="P273" s="1647"/>
      <c r="Q273" s="1647" t="str">
        <f>'Part II-Development Team'!Q55</f>
        <v>Principal</v>
      </c>
      <c r="R273" s="1665"/>
      <c r="S273" s="1665"/>
    </row>
    <row r="274" spans="1:19">
      <c r="A274" s="1647"/>
      <c r="B274" s="1647"/>
      <c r="C274" s="1647"/>
      <c r="D274" s="1663"/>
      <c r="E274" s="1654" t="s">
        <v>618</v>
      </c>
      <c r="F274" s="1647"/>
      <c r="G274" s="1647"/>
      <c r="H274" s="1647" t="str">
        <f>'Part II-Development Team'!H56</f>
        <v>Charlottw</v>
      </c>
      <c r="I274" s="1665"/>
      <c r="J274" s="1665"/>
      <c r="K274" s="1651" t="s">
        <v>2704</v>
      </c>
      <c r="L274" s="1647" t="str">
        <f>'Part II-Development Team'!L56</f>
        <v>http://www.flatirondevelopment.com/</v>
      </c>
      <c r="M274" s="1665"/>
      <c r="N274" s="1665"/>
      <c r="O274" s="1654" t="s">
        <v>1721</v>
      </c>
      <c r="P274" s="1647"/>
      <c r="Q274" s="2116">
        <f>'Part II-Development Team'!Q56</f>
        <v>7043359112</v>
      </c>
      <c r="R274" s="2116"/>
      <c r="S274" s="2116"/>
    </row>
    <row r="275" spans="1:19">
      <c r="A275" s="1647"/>
      <c r="B275" s="1647"/>
      <c r="C275" s="1647"/>
      <c r="D275" s="1647"/>
      <c r="E275" s="1654" t="s">
        <v>1799</v>
      </c>
      <c r="F275" s="1647"/>
      <c r="G275" s="1647"/>
      <c r="H275" s="1654" t="str">
        <f>'Part II-Development Team'!H57</f>
        <v>NC</v>
      </c>
      <c r="I275" s="1647"/>
      <c r="J275" s="1647"/>
      <c r="K275" s="1651" t="s">
        <v>2229</v>
      </c>
      <c r="L275" s="2115">
        <f>'Part II-Development Team'!L57</f>
        <v>282035824</v>
      </c>
      <c r="M275" s="1665"/>
      <c r="N275" s="1647"/>
      <c r="O275" s="1654" t="s">
        <v>1979</v>
      </c>
      <c r="P275" s="1647"/>
      <c r="Q275" s="2116">
        <f>'Part II-Development Team'!Q57</f>
        <v>8032694235</v>
      </c>
      <c r="R275" s="2116"/>
      <c r="S275" s="2116"/>
    </row>
    <row r="276" spans="1:19">
      <c r="A276" s="1647"/>
      <c r="B276" s="1647"/>
      <c r="C276" s="1647"/>
      <c r="D276" s="1663"/>
      <c r="E276" s="1654" t="s">
        <v>4260</v>
      </c>
      <c r="F276" s="1647"/>
      <c r="G276" s="1647"/>
      <c r="H276" s="2116">
        <f>'Part II-Development Team'!H58</f>
        <v>7043359112</v>
      </c>
      <c r="I276" s="2116"/>
      <c r="J276" s="1661">
        <f>'Part II-Development Team'!J58</f>
        <v>0</v>
      </c>
      <c r="K276" s="1651" t="s">
        <v>1984</v>
      </c>
      <c r="L276" s="2023" t="str">
        <f>'Part II-Development Team'!L58</f>
        <v>cirick@flatironenterprises.com</v>
      </c>
      <c r="M276" s="2023"/>
      <c r="N276" s="2023"/>
      <c r="O276" s="2023"/>
      <c r="P276" s="2023"/>
      <c r="Q276" s="2023"/>
      <c r="R276" s="2023"/>
      <c r="S276" s="2023"/>
    </row>
    <row r="277" spans="1:19">
      <c r="A277" s="1647"/>
      <c r="B277" s="1647"/>
      <c r="C277" s="1647"/>
      <c r="D277" s="1663"/>
      <c r="E277" s="1647"/>
      <c r="F277" s="1647"/>
      <c r="G277" s="1654"/>
      <c r="H277" s="2116"/>
      <c r="I277" s="2116"/>
      <c r="J277" s="2116"/>
      <c r="K277" s="1651"/>
      <c r="L277" s="2116"/>
      <c r="M277" s="2116"/>
      <c r="N277" s="1651"/>
      <c r="O277" s="2116"/>
      <c r="P277" s="2116"/>
      <c r="Q277" s="1651"/>
      <c r="R277" s="2116"/>
      <c r="S277" s="2116"/>
    </row>
    <row r="278" spans="1:19">
      <c r="A278" s="1647"/>
      <c r="B278" s="1647" t="s">
        <v>1985</v>
      </c>
      <c r="C278" s="1647" t="s">
        <v>283</v>
      </c>
      <c r="D278" s="1647"/>
      <c r="E278" s="1647"/>
      <c r="F278" s="1647"/>
      <c r="G278" s="1647"/>
      <c r="H278" s="1647" t="str">
        <f>'Part II-Development Team'!H60</f>
        <v>Classic Development Company, LLC</v>
      </c>
      <c r="I278" s="1665"/>
      <c r="J278" s="1665"/>
      <c r="K278" s="1665"/>
      <c r="L278" s="1665"/>
      <c r="M278" s="1665"/>
      <c r="N278" s="1665"/>
      <c r="O278" s="1654" t="s">
        <v>1989</v>
      </c>
      <c r="P278" s="1654"/>
      <c r="Q278" s="1647" t="str">
        <f>'Part II-Development Team'!Q60</f>
        <v>James M. Bernstein</v>
      </c>
      <c r="R278" s="1665"/>
      <c r="S278" s="1665"/>
    </row>
    <row r="279" spans="1:19">
      <c r="A279" s="1647"/>
      <c r="B279" s="1647"/>
      <c r="C279" s="1647"/>
      <c r="D279" s="1663"/>
      <c r="E279" s="1654" t="s">
        <v>1021</v>
      </c>
      <c r="F279" s="1657"/>
      <c r="G279" s="1647"/>
      <c r="H279" s="1647" t="str">
        <f>'Part II-Development Team'!H61</f>
        <v>1075 Cottingham Drive</v>
      </c>
      <c r="I279" s="1665"/>
      <c r="J279" s="1665"/>
      <c r="K279" s="1665"/>
      <c r="L279" s="1665"/>
      <c r="M279" s="1665"/>
      <c r="N279" s="1665"/>
      <c r="O279" s="1654" t="s">
        <v>1747</v>
      </c>
      <c r="P279" s="1647"/>
      <c r="Q279" s="1647" t="str">
        <f>'Part II-Development Team'!Q61</f>
        <v>Principal</v>
      </c>
      <c r="R279" s="1665"/>
      <c r="S279" s="1665"/>
    </row>
    <row r="280" spans="1:19">
      <c r="A280" s="1647"/>
      <c r="B280" s="1647"/>
      <c r="C280" s="1647"/>
      <c r="D280" s="1663"/>
      <c r="E280" s="1654" t="s">
        <v>618</v>
      </c>
      <c r="F280" s="1647"/>
      <c r="G280" s="1647"/>
      <c r="H280" s="1647" t="str">
        <f>'Part II-Development Team'!H62</f>
        <v>Mount Pleasant</v>
      </c>
      <c r="I280" s="1665"/>
      <c r="J280" s="1665"/>
      <c r="K280" s="1651" t="s">
        <v>2704</v>
      </c>
      <c r="L280" s="1647">
        <f>'Part II-Development Team'!L62</f>
        <v>0</v>
      </c>
      <c r="M280" s="1665"/>
      <c r="N280" s="1665"/>
      <c r="O280" s="1654" t="s">
        <v>1721</v>
      </c>
      <c r="P280" s="1647"/>
      <c r="Q280" s="2116">
        <f>'Part II-Development Team'!Q62</f>
        <v>8436961541</v>
      </c>
      <c r="R280" s="2116"/>
      <c r="S280" s="2116"/>
    </row>
    <row r="281" spans="1:19">
      <c r="A281" s="1647"/>
      <c r="B281" s="1647"/>
      <c r="C281" s="1647"/>
      <c r="D281" s="1647"/>
      <c r="E281" s="1654" t="s">
        <v>1799</v>
      </c>
      <c r="F281" s="1647"/>
      <c r="G281" s="1647"/>
      <c r="H281" s="1654" t="str">
        <f>'Part II-Development Team'!H63</f>
        <v>SC</v>
      </c>
      <c r="I281" s="1647"/>
      <c r="J281" s="1647"/>
      <c r="K281" s="1651" t="s">
        <v>2229</v>
      </c>
      <c r="L281" s="2115">
        <f>'Part II-Development Team'!L63</f>
        <v>294643503</v>
      </c>
      <c r="M281" s="1665"/>
      <c r="N281" s="1647"/>
      <c r="O281" s="1654" t="s">
        <v>1979</v>
      </c>
      <c r="P281" s="1647"/>
      <c r="Q281" s="2116">
        <f>'Part II-Development Team'!Q63</f>
        <v>8436961541</v>
      </c>
      <c r="R281" s="2116"/>
      <c r="S281" s="2116"/>
    </row>
    <row r="282" spans="1:19">
      <c r="A282" s="1647"/>
      <c r="B282" s="1647"/>
      <c r="C282" s="1647"/>
      <c r="D282" s="1663"/>
      <c r="E282" s="1654" t="s">
        <v>4260</v>
      </c>
      <c r="F282" s="1647"/>
      <c r="G282" s="1647"/>
      <c r="H282" s="2116">
        <f>'Part II-Development Team'!H64</f>
        <v>8436961541</v>
      </c>
      <c r="I282" s="2116"/>
      <c r="J282" s="1661">
        <f>'Part II-Development Team'!J64</f>
        <v>0</v>
      </c>
      <c r="K282" s="1651" t="s">
        <v>1984</v>
      </c>
      <c r="L282" s="2023" t="str">
        <f>'Part II-Development Team'!L64</f>
        <v>jaymb189@gmail.com</v>
      </c>
      <c r="M282" s="2023"/>
      <c r="N282" s="2023"/>
      <c r="O282" s="2023"/>
      <c r="P282" s="2023"/>
      <c r="Q282" s="2023"/>
      <c r="R282" s="2023"/>
      <c r="S282" s="2023"/>
    </row>
    <row r="283" spans="1:19">
      <c r="A283" s="1647"/>
      <c r="B283" s="1647"/>
      <c r="C283" s="1647"/>
      <c r="D283" s="1663"/>
      <c r="E283" s="1647"/>
      <c r="F283" s="1647"/>
      <c r="G283" s="1654"/>
      <c r="H283" s="2116"/>
      <c r="I283" s="2116"/>
      <c r="J283" s="2116"/>
      <c r="K283" s="1651"/>
      <c r="L283" s="2116"/>
      <c r="M283" s="2116"/>
      <c r="N283" s="1651"/>
      <c r="O283" s="2116"/>
      <c r="P283" s="2116"/>
      <c r="Q283" s="1651"/>
      <c r="R283" s="2116"/>
      <c r="S283" s="2116"/>
    </row>
    <row r="284" spans="1:19">
      <c r="A284" s="1647"/>
      <c r="B284" s="1647" t="s">
        <v>749</v>
      </c>
      <c r="C284" s="1647" t="s">
        <v>1528</v>
      </c>
      <c r="D284" s="1647"/>
      <c r="E284" s="1647"/>
      <c r="F284" s="1647"/>
      <c r="G284" s="1647"/>
      <c r="H284" s="1647">
        <f>'Part II-Development Team'!H66</f>
        <v>0</v>
      </c>
      <c r="I284" s="1665"/>
      <c r="J284" s="1665"/>
      <c r="K284" s="1665"/>
      <c r="L284" s="1665"/>
      <c r="M284" s="1665"/>
      <c r="N284" s="1665"/>
      <c r="O284" s="1654" t="s">
        <v>1989</v>
      </c>
      <c r="P284" s="1654"/>
      <c r="Q284" s="1647">
        <f>'Part II-Development Team'!Q66</f>
        <v>0</v>
      </c>
      <c r="R284" s="1665"/>
      <c r="S284" s="1665"/>
    </row>
    <row r="285" spans="1:19">
      <c r="A285" s="1647"/>
      <c r="B285" s="1647"/>
      <c r="C285" s="1647"/>
      <c r="D285" s="1663"/>
      <c r="E285" s="1654" t="s">
        <v>1021</v>
      </c>
      <c r="F285" s="1657"/>
      <c r="G285" s="1647"/>
      <c r="H285" s="1647">
        <f>'Part II-Development Team'!H67</f>
        <v>0</v>
      </c>
      <c r="I285" s="1665"/>
      <c r="J285" s="1665"/>
      <c r="K285" s="1665"/>
      <c r="L285" s="1665"/>
      <c r="M285" s="1665"/>
      <c r="N285" s="1665"/>
      <c r="O285" s="1654" t="s">
        <v>1747</v>
      </c>
      <c r="P285" s="1647"/>
      <c r="Q285" s="1647">
        <f>'Part II-Development Team'!Q67</f>
        <v>0</v>
      </c>
      <c r="R285" s="1665"/>
      <c r="S285" s="1665"/>
    </row>
    <row r="286" spans="1:19">
      <c r="A286" s="1647"/>
      <c r="B286" s="1647"/>
      <c r="C286" s="1647"/>
      <c r="D286" s="1663"/>
      <c r="E286" s="1654" t="s">
        <v>618</v>
      </c>
      <c r="F286" s="1647"/>
      <c r="G286" s="1647"/>
      <c r="H286" s="1647">
        <f>'Part II-Development Team'!H68</f>
        <v>0</v>
      </c>
      <c r="I286" s="1665"/>
      <c r="J286" s="1665"/>
      <c r="K286" s="1651" t="s">
        <v>2704</v>
      </c>
      <c r="L286" s="1647">
        <f>'Part II-Development Team'!L68</f>
        <v>0</v>
      </c>
      <c r="M286" s="1665"/>
      <c r="N286" s="1665"/>
      <c r="O286" s="1654" t="s">
        <v>1721</v>
      </c>
      <c r="P286" s="1647"/>
      <c r="Q286" s="2116">
        <f>'Part II-Development Team'!Q68</f>
        <v>0</v>
      </c>
      <c r="R286" s="2116"/>
      <c r="S286" s="2116"/>
    </row>
    <row r="287" spans="1:19">
      <c r="A287" s="1647"/>
      <c r="B287" s="1647"/>
      <c r="C287" s="1647"/>
      <c r="D287" s="1647"/>
      <c r="E287" s="1654" t="s">
        <v>1799</v>
      </c>
      <c r="F287" s="1647"/>
      <c r="G287" s="1647"/>
      <c r="H287" s="1654">
        <f>'Part II-Development Team'!H69</f>
        <v>0</v>
      </c>
      <c r="I287" s="1647"/>
      <c r="J287" s="1647"/>
      <c r="K287" s="1651" t="s">
        <v>2229</v>
      </c>
      <c r="L287" s="2115">
        <f>'Part II-Development Team'!L69</f>
        <v>0</v>
      </c>
      <c r="M287" s="1665"/>
      <c r="N287" s="1647"/>
      <c r="O287" s="1654" t="s">
        <v>1979</v>
      </c>
      <c r="P287" s="1647"/>
      <c r="Q287" s="2116">
        <f>'Part II-Development Team'!Q69</f>
        <v>0</v>
      </c>
      <c r="R287" s="2116"/>
      <c r="S287" s="2116"/>
    </row>
    <row r="288" spans="1:19">
      <c r="A288" s="1647"/>
      <c r="B288" s="1647"/>
      <c r="C288" s="1647"/>
      <c r="D288" s="1663"/>
      <c r="E288" s="1654" t="s">
        <v>4260</v>
      </c>
      <c r="F288" s="1647"/>
      <c r="G288" s="1647"/>
      <c r="H288" s="2116">
        <f>'Part II-Development Team'!H70</f>
        <v>0</v>
      </c>
      <c r="I288" s="2116"/>
      <c r="J288" s="1661">
        <f>'Part II-Development Team'!J70</f>
        <v>0</v>
      </c>
      <c r="K288" s="1651" t="s">
        <v>1984</v>
      </c>
      <c r="L288" s="2023">
        <f>'Part II-Development Team'!L70</f>
        <v>0</v>
      </c>
      <c r="M288" s="2023"/>
      <c r="N288" s="2023"/>
      <c r="O288" s="2023"/>
      <c r="P288" s="2023"/>
      <c r="Q288" s="2023"/>
      <c r="R288" s="2023"/>
      <c r="S288" s="2023"/>
    </row>
    <row r="289" spans="1:19">
      <c r="A289" s="1653"/>
      <c r="B289" s="1653"/>
      <c r="C289" s="1653"/>
      <c r="D289" s="1653"/>
      <c r="E289" s="1653"/>
      <c r="F289" s="1653"/>
      <c r="G289" s="1653"/>
      <c r="H289" s="2116"/>
      <c r="I289" s="2116"/>
      <c r="J289" s="2116"/>
      <c r="K289" s="1651"/>
      <c r="L289" s="2116"/>
      <c r="M289" s="2116"/>
      <c r="N289" s="1651"/>
      <c r="O289" s="2116"/>
      <c r="P289" s="2116"/>
      <c r="Q289" s="1651"/>
      <c r="R289" s="2116"/>
      <c r="S289" s="2116"/>
    </row>
    <row r="290" spans="1:19">
      <c r="A290" s="1647"/>
      <c r="B290" s="1647" t="s">
        <v>2115</v>
      </c>
      <c r="C290" s="1647" t="s">
        <v>284</v>
      </c>
      <c r="D290" s="1647"/>
      <c r="E290" s="1647"/>
      <c r="F290" s="1647"/>
      <c r="G290" s="1647"/>
      <c r="H290" s="1647">
        <f>'Part II-Development Team'!H72</f>
        <v>0</v>
      </c>
      <c r="I290" s="1665"/>
      <c r="J290" s="1665"/>
      <c r="K290" s="1665"/>
      <c r="L290" s="1665"/>
      <c r="M290" s="1665"/>
      <c r="N290" s="1665"/>
      <c r="O290" s="1654" t="s">
        <v>1989</v>
      </c>
      <c r="P290" s="1654"/>
      <c r="Q290" s="1647">
        <f>'Part II-Development Team'!Q72</f>
        <v>0</v>
      </c>
      <c r="R290" s="1665"/>
      <c r="S290" s="1665"/>
    </row>
    <row r="291" spans="1:19">
      <c r="A291" s="1647"/>
      <c r="B291" s="1647"/>
      <c r="C291" s="1647"/>
      <c r="D291" s="1663"/>
      <c r="E291" s="1654" t="s">
        <v>1021</v>
      </c>
      <c r="F291" s="1657"/>
      <c r="G291" s="1647"/>
      <c r="H291" s="1647">
        <f>'Part II-Development Team'!H73</f>
        <v>0</v>
      </c>
      <c r="I291" s="1665"/>
      <c r="J291" s="1665"/>
      <c r="K291" s="1665"/>
      <c r="L291" s="1665"/>
      <c r="M291" s="1665"/>
      <c r="N291" s="1665"/>
      <c r="O291" s="1654" t="s">
        <v>1747</v>
      </c>
      <c r="P291" s="1647"/>
      <c r="Q291" s="1647">
        <f>'Part II-Development Team'!Q73</f>
        <v>0</v>
      </c>
      <c r="R291" s="1665"/>
      <c r="S291" s="1665"/>
    </row>
    <row r="292" spans="1:19">
      <c r="A292" s="1647"/>
      <c r="B292" s="1647"/>
      <c r="C292" s="1647"/>
      <c r="D292" s="1663"/>
      <c r="E292" s="1654" t="s">
        <v>618</v>
      </c>
      <c r="F292" s="1647"/>
      <c r="G292" s="1647"/>
      <c r="H292" s="1647">
        <f>'Part II-Development Team'!H74</f>
        <v>0</v>
      </c>
      <c r="I292" s="1665"/>
      <c r="J292" s="1665"/>
      <c r="K292" s="1651" t="s">
        <v>2704</v>
      </c>
      <c r="L292" s="1647">
        <f>'Part II-Development Team'!L74</f>
        <v>0</v>
      </c>
      <c r="M292" s="1665"/>
      <c r="N292" s="1665"/>
      <c r="O292" s="1654" t="s">
        <v>1721</v>
      </c>
      <c r="P292" s="1647"/>
      <c r="Q292" s="2116">
        <f>'Part II-Development Team'!Q74</f>
        <v>0</v>
      </c>
      <c r="R292" s="2116"/>
      <c r="S292" s="2116"/>
    </row>
    <row r="293" spans="1:19">
      <c r="A293" s="1647"/>
      <c r="B293" s="1647"/>
      <c r="C293" s="1647"/>
      <c r="D293" s="1647"/>
      <c r="E293" s="1654" t="s">
        <v>1799</v>
      </c>
      <c r="F293" s="1647"/>
      <c r="G293" s="1647"/>
      <c r="H293" s="1654">
        <f>'Part II-Development Team'!H75</f>
        <v>0</v>
      </c>
      <c r="I293" s="1647"/>
      <c r="J293" s="1647"/>
      <c r="K293" s="1651" t="s">
        <v>2229</v>
      </c>
      <c r="L293" s="2115">
        <f>'Part II-Development Team'!L75</f>
        <v>0</v>
      </c>
      <c r="M293" s="1665"/>
      <c r="N293" s="1647"/>
      <c r="O293" s="1654" t="s">
        <v>1979</v>
      </c>
      <c r="P293" s="1647"/>
      <c r="Q293" s="2116">
        <f>'Part II-Development Team'!Q75</f>
        <v>0</v>
      </c>
      <c r="R293" s="2116"/>
      <c r="S293" s="2116"/>
    </row>
    <row r="294" spans="1:19">
      <c r="A294" s="1647"/>
      <c r="B294" s="1647"/>
      <c r="C294" s="1647"/>
      <c r="D294" s="1663"/>
      <c r="E294" s="1654" t="s">
        <v>4260</v>
      </c>
      <c r="F294" s="1647"/>
      <c r="G294" s="1647"/>
      <c r="H294" s="2116">
        <f>'Part II-Development Team'!H76</f>
        <v>0</v>
      </c>
      <c r="I294" s="2116"/>
      <c r="J294" s="1661">
        <f>'Part II-Development Team'!J76</f>
        <v>0</v>
      </c>
      <c r="K294" s="1651" t="s">
        <v>1984</v>
      </c>
      <c r="L294" s="2023">
        <f>'Part II-Development Team'!L76</f>
        <v>0</v>
      </c>
      <c r="M294" s="2023"/>
      <c r="N294" s="2023"/>
      <c r="O294" s="2023"/>
      <c r="P294" s="2023"/>
      <c r="Q294" s="2023"/>
      <c r="R294" s="2023"/>
      <c r="S294" s="2023"/>
    </row>
    <row r="295" spans="1:19">
      <c r="A295" s="1653"/>
      <c r="B295" s="1653"/>
      <c r="C295" s="1653"/>
      <c r="D295" s="1653"/>
      <c r="E295" s="1653"/>
      <c r="F295" s="1653"/>
      <c r="G295" s="1653"/>
      <c r="H295" s="1653"/>
      <c r="I295" s="1653"/>
      <c r="J295" s="1653"/>
      <c r="K295" s="1653"/>
      <c r="L295" s="1653"/>
      <c r="M295" s="1653"/>
      <c r="N295" s="1653"/>
      <c r="O295" s="1653"/>
      <c r="P295" s="1653"/>
      <c r="Q295" s="1653"/>
      <c r="R295" s="1653"/>
      <c r="S295" s="1653"/>
    </row>
    <row r="296" spans="1:19" ht="13.5">
      <c r="A296" s="1654" t="s">
        <v>742</v>
      </c>
      <c r="B296" s="1654" t="s">
        <v>285</v>
      </c>
      <c r="C296" s="1654"/>
      <c r="D296" s="1654"/>
      <c r="E296" s="1654"/>
      <c r="F296" s="1654"/>
      <c r="G296" s="1654"/>
      <c r="H296" s="1654"/>
      <c r="I296" s="1654"/>
      <c r="J296" s="1654"/>
      <c r="K296" s="1649" t="s">
        <v>4259</v>
      </c>
      <c r="L296" s="1654"/>
      <c r="M296" s="1654"/>
      <c r="N296" s="1654"/>
      <c r="O296" s="1654"/>
      <c r="P296" s="1654"/>
      <c r="Q296" s="1654"/>
      <c r="R296" s="1654"/>
      <c r="S296" s="1654"/>
    </row>
    <row r="297" spans="1:19">
      <c r="A297" s="1654"/>
      <c r="B297" s="1654"/>
      <c r="C297" s="1654"/>
      <c r="D297" s="1654"/>
      <c r="E297" s="1654"/>
      <c r="F297" s="1654"/>
      <c r="G297" s="1654"/>
      <c r="H297" s="2116"/>
      <c r="I297" s="2116"/>
      <c r="J297" s="2116"/>
      <c r="K297" s="1651"/>
      <c r="L297" s="2116"/>
      <c r="M297" s="2116"/>
      <c r="N297" s="1651"/>
      <c r="O297" s="2116"/>
      <c r="P297" s="2116"/>
      <c r="Q297" s="1651"/>
      <c r="R297" s="2116"/>
      <c r="S297" s="2116"/>
    </row>
    <row r="298" spans="1:19">
      <c r="A298" s="1647"/>
      <c r="B298" s="1647" t="s">
        <v>1983</v>
      </c>
      <c r="C298" s="1647" t="s">
        <v>286</v>
      </c>
      <c r="D298" s="1647"/>
      <c r="E298" s="1647"/>
      <c r="F298" s="1647"/>
      <c r="G298" s="1647"/>
      <c r="H298" s="1647">
        <f>'Part II-Development Team'!H80</f>
        <v>0</v>
      </c>
      <c r="I298" s="1665"/>
      <c r="J298" s="1665"/>
      <c r="K298" s="1665"/>
      <c r="L298" s="1665"/>
      <c r="M298" s="1665"/>
      <c r="N298" s="1665"/>
      <c r="O298" s="1654" t="s">
        <v>1989</v>
      </c>
      <c r="P298" s="1654"/>
      <c r="Q298" s="1647">
        <f>'Part II-Development Team'!Q80</f>
        <v>0</v>
      </c>
      <c r="R298" s="1665"/>
      <c r="S298" s="1665"/>
    </row>
    <row r="299" spans="1:19">
      <c r="A299" s="1647"/>
      <c r="B299" s="1647"/>
      <c r="C299" s="1647"/>
      <c r="D299" s="1663"/>
      <c r="E299" s="1654" t="s">
        <v>1021</v>
      </c>
      <c r="F299" s="1657"/>
      <c r="G299" s="1647"/>
      <c r="H299" s="1647">
        <f>'Part II-Development Team'!H81</f>
        <v>0</v>
      </c>
      <c r="I299" s="1665"/>
      <c r="J299" s="1665"/>
      <c r="K299" s="1665"/>
      <c r="L299" s="1665"/>
      <c r="M299" s="1665"/>
      <c r="N299" s="1665"/>
      <c r="O299" s="1654" t="s">
        <v>1747</v>
      </c>
      <c r="P299" s="1647"/>
      <c r="Q299" s="1647">
        <f>'Part II-Development Team'!Q81</f>
        <v>0</v>
      </c>
      <c r="R299" s="1665"/>
      <c r="S299" s="1665"/>
    </row>
    <row r="300" spans="1:19">
      <c r="A300" s="1647"/>
      <c r="B300" s="1647"/>
      <c r="C300" s="1647"/>
      <c r="D300" s="1663"/>
      <c r="E300" s="1654" t="s">
        <v>618</v>
      </c>
      <c r="F300" s="1647"/>
      <c r="G300" s="1647"/>
      <c r="H300" s="1647">
        <f>'Part II-Development Team'!H82</f>
        <v>0</v>
      </c>
      <c r="I300" s="1665"/>
      <c r="J300" s="1665"/>
      <c r="K300" s="1651" t="s">
        <v>2704</v>
      </c>
      <c r="L300" s="1647">
        <f>'Part II-Development Team'!L82</f>
        <v>0</v>
      </c>
      <c r="M300" s="1665"/>
      <c r="N300" s="1665"/>
      <c r="O300" s="1654" t="s">
        <v>1721</v>
      </c>
      <c r="P300" s="1647"/>
      <c r="Q300" s="2116">
        <f>'Part II-Development Team'!Q82</f>
        <v>0</v>
      </c>
      <c r="R300" s="2116"/>
      <c r="S300" s="2116"/>
    </row>
    <row r="301" spans="1:19">
      <c r="A301" s="1647"/>
      <c r="B301" s="1647"/>
      <c r="C301" s="1647"/>
      <c r="D301" s="1647"/>
      <c r="E301" s="1654" t="s">
        <v>1799</v>
      </c>
      <c r="F301" s="1647"/>
      <c r="G301" s="1647"/>
      <c r="H301" s="1654">
        <f>'Part II-Development Team'!H83</f>
        <v>0</v>
      </c>
      <c r="I301" s="1647"/>
      <c r="J301" s="1647"/>
      <c r="K301" s="1651" t="s">
        <v>2229</v>
      </c>
      <c r="L301" s="2115">
        <f>'Part II-Development Team'!L83</f>
        <v>0</v>
      </c>
      <c r="M301" s="1665"/>
      <c r="N301" s="1647"/>
      <c r="O301" s="1654" t="s">
        <v>1979</v>
      </c>
      <c r="P301" s="1647"/>
      <c r="Q301" s="2116">
        <f>'Part II-Development Team'!Q83</f>
        <v>0</v>
      </c>
      <c r="R301" s="2116"/>
      <c r="S301" s="2116"/>
    </row>
    <row r="302" spans="1:19">
      <c r="A302" s="1647"/>
      <c r="B302" s="1647"/>
      <c r="C302" s="1647"/>
      <c r="D302" s="1663"/>
      <c r="E302" s="1654" t="s">
        <v>4260</v>
      </c>
      <c r="F302" s="1647"/>
      <c r="G302" s="1647"/>
      <c r="H302" s="2116">
        <f>'Part II-Development Team'!H84</f>
        <v>0</v>
      </c>
      <c r="I302" s="2116"/>
      <c r="J302" s="1661">
        <f>'Part II-Development Team'!J84</f>
        <v>0</v>
      </c>
      <c r="K302" s="1651" t="s">
        <v>1984</v>
      </c>
      <c r="L302" s="2023">
        <f>'Part II-Development Team'!L84</f>
        <v>0</v>
      </c>
      <c r="M302" s="2023"/>
      <c r="N302" s="2023"/>
      <c r="O302" s="2023"/>
      <c r="P302" s="2023"/>
      <c r="Q302" s="2023"/>
      <c r="R302" s="2023"/>
      <c r="S302" s="2023"/>
    </row>
    <row r="303" spans="1:19">
      <c r="A303" s="1653"/>
      <c r="B303" s="1653"/>
      <c r="C303" s="1653"/>
      <c r="D303" s="1653"/>
      <c r="E303" s="1653"/>
      <c r="F303" s="1653"/>
      <c r="G303" s="1653"/>
      <c r="H303" s="2116"/>
      <c r="I303" s="2116"/>
      <c r="J303" s="2116"/>
      <c r="K303" s="1651"/>
      <c r="L303" s="2116"/>
      <c r="M303" s="2116"/>
      <c r="N303" s="1651"/>
      <c r="O303" s="2116"/>
      <c r="P303" s="2116"/>
      <c r="Q303" s="1651"/>
      <c r="R303" s="2116"/>
      <c r="S303" s="2116"/>
    </row>
    <row r="304" spans="1:19">
      <c r="A304" s="1647"/>
      <c r="B304" s="1647" t="s">
        <v>1985</v>
      </c>
      <c r="C304" s="1647" t="s">
        <v>287</v>
      </c>
      <c r="D304" s="1647"/>
      <c r="E304" s="1647"/>
      <c r="F304" s="1647"/>
      <c r="G304" s="1647"/>
      <c r="H304" s="1647" t="str">
        <f>'Part II-Development Team'!H86</f>
        <v>To Be Determined</v>
      </c>
      <c r="I304" s="1665"/>
      <c r="J304" s="1665"/>
      <c r="K304" s="1665"/>
      <c r="L304" s="1665"/>
      <c r="M304" s="1665"/>
      <c r="N304" s="1665"/>
      <c r="O304" s="1654" t="s">
        <v>1989</v>
      </c>
      <c r="P304" s="1654"/>
      <c r="Q304" s="1647">
        <f>'Part II-Development Team'!Q86</f>
        <v>0</v>
      </c>
      <c r="R304" s="1665"/>
      <c r="S304" s="1665"/>
    </row>
    <row r="305" spans="1:19">
      <c r="A305" s="1647"/>
      <c r="B305" s="1647"/>
      <c r="C305" s="1647"/>
      <c r="D305" s="1663"/>
      <c r="E305" s="1654" t="s">
        <v>1021</v>
      </c>
      <c r="F305" s="1657"/>
      <c r="G305" s="1647"/>
      <c r="H305" s="1647">
        <f>'Part II-Development Team'!H87</f>
        <v>0</v>
      </c>
      <c r="I305" s="1665"/>
      <c r="J305" s="1665"/>
      <c r="K305" s="1665"/>
      <c r="L305" s="1665"/>
      <c r="M305" s="1665"/>
      <c r="N305" s="1665"/>
      <c r="O305" s="1654" t="s">
        <v>1747</v>
      </c>
      <c r="P305" s="1647"/>
      <c r="Q305" s="1647">
        <f>'Part II-Development Team'!Q87</f>
        <v>0</v>
      </c>
      <c r="R305" s="1665"/>
      <c r="S305" s="1665"/>
    </row>
    <row r="306" spans="1:19">
      <c r="A306" s="1647"/>
      <c r="B306" s="1647"/>
      <c r="C306" s="1647"/>
      <c r="D306" s="1663"/>
      <c r="E306" s="1654" t="s">
        <v>618</v>
      </c>
      <c r="F306" s="1647"/>
      <c r="G306" s="1647"/>
      <c r="H306" s="1647">
        <f>'Part II-Development Team'!H88</f>
        <v>0</v>
      </c>
      <c r="I306" s="1665"/>
      <c r="J306" s="1665"/>
      <c r="K306" s="1651" t="s">
        <v>2704</v>
      </c>
      <c r="L306" s="1647">
        <f>'Part II-Development Team'!L88</f>
        <v>0</v>
      </c>
      <c r="M306" s="1665"/>
      <c r="N306" s="1665"/>
      <c r="O306" s="1654" t="s">
        <v>1721</v>
      </c>
      <c r="P306" s="1647"/>
      <c r="Q306" s="2116">
        <f>'Part II-Development Team'!Q88</f>
        <v>0</v>
      </c>
      <c r="R306" s="2116"/>
      <c r="S306" s="2116"/>
    </row>
    <row r="307" spans="1:19">
      <c r="A307" s="1647"/>
      <c r="B307" s="1647"/>
      <c r="C307" s="1647"/>
      <c r="D307" s="1647"/>
      <c r="E307" s="1654" t="s">
        <v>1799</v>
      </c>
      <c r="F307" s="1647"/>
      <c r="G307" s="1647"/>
      <c r="H307" s="1654">
        <f>'Part II-Development Team'!H89</f>
        <v>0</v>
      </c>
      <c r="I307" s="1647"/>
      <c r="J307" s="1647"/>
      <c r="K307" s="1651" t="s">
        <v>2229</v>
      </c>
      <c r="L307" s="2115">
        <f>'Part II-Development Team'!L89</f>
        <v>0</v>
      </c>
      <c r="M307" s="1665"/>
      <c r="N307" s="1647"/>
      <c r="O307" s="1654" t="s">
        <v>1979</v>
      </c>
      <c r="P307" s="1647"/>
      <c r="Q307" s="2116">
        <f>'Part II-Development Team'!Q89</f>
        <v>0</v>
      </c>
      <c r="R307" s="2116"/>
      <c r="S307" s="2116"/>
    </row>
    <row r="308" spans="1:19">
      <c r="A308" s="1647"/>
      <c r="B308" s="1647"/>
      <c r="C308" s="1647"/>
      <c r="D308" s="1663"/>
      <c r="E308" s="1654" t="s">
        <v>4260</v>
      </c>
      <c r="F308" s="1647"/>
      <c r="G308" s="1647"/>
      <c r="H308" s="2116">
        <f>'Part II-Development Team'!H90</f>
        <v>0</v>
      </c>
      <c r="I308" s="2116"/>
      <c r="J308" s="1661">
        <f>'Part II-Development Team'!J90</f>
        <v>0</v>
      </c>
      <c r="K308" s="1651" t="s">
        <v>1984</v>
      </c>
      <c r="L308" s="2023">
        <f>'Part II-Development Team'!L90</f>
        <v>0</v>
      </c>
      <c r="M308" s="2023"/>
      <c r="N308" s="2023"/>
      <c r="O308" s="2023"/>
      <c r="P308" s="2023"/>
      <c r="Q308" s="2023"/>
      <c r="R308" s="2023"/>
      <c r="S308" s="2023"/>
    </row>
    <row r="309" spans="1:19">
      <c r="A309" s="1653"/>
      <c r="B309" s="1653"/>
      <c r="C309" s="1653"/>
      <c r="D309" s="1653"/>
      <c r="E309" s="1653"/>
      <c r="F309" s="1653"/>
      <c r="G309" s="1653"/>
      <c r="H309" s="2116"/>
      <c r="I309" s="2116"/>
      <c r="J309" s="2116"/>
      <c r="K309" s="1651"/>
      <c r="L309" s="2116"/>
      <c r="M309" s="2116"/>
      <c r="N309" s="1651"/>
      <c r="O309" s="2116"/>
      <c r="P309" s="2116"/>
      <c r="Q309" s="1651"/>
      <c r="R309" s="2116"/>
      <c r="S309" s="2116"/>
    </row>
    <row r="310" spans="1:19">
      <c r="A310" s="1647"/>
      <c r="B310" s="1647" t="s">
        <v>749</v>
      </c>
      <c r="C310" s="1647" t="s">
        <v>288</v>
      </c>
      <c r="D310" s="1647"/>
      <c r="E310" s="1647"/>
      <c r="F310" s="1653"/>
      <c r="G310" s="1647"/>
      <c r="H310" s="1647" t="str">
        <f>'Part II-Development Team'!H92</f>
        <v>GEM Management LLC</v>
      </c>
      <c r="I310" s="1665"/>
      <c r="J310" s="1665"/>
      <c r="K310" s="1665"/>
      <c r="L310" s="1665"/>
      <c r="M310" s="1665"/>
      <c r="N310" s="1665"/>
      <c r="O310" s="1654" t="s">
        <v>1989</v>
      </c>
      <c r="P310" s="1654"/>
      <c r="Q310" s="1647" t="str">
        <f>'Part II-Development Team'!Q92</f>
        <v>Tami Fossum</v>
      </c>
      <c r="R310" s="1665"/>
      <c r="S310" s="1665"/>
    </row>
    <row r="311" spans="1:19">
      <c r="A311" s="1647"/>
      <c r="B311" s="1647"/>
      <c r="C311" s="1647"/>
      <c r="D311" s="1663"/>
      <c r="E311" s="1654" t="s">
        <v>1021</v>
      </c>
      <c r="F311" s="1657"/>
      <c r="G311" s="1647"/>
      <c r="H311" s="1647" t="str">
        <f>'Part II-Development Team'!H93</f>
        <v>2021 Cross Beam Drive</v>
      </c>
      <c r="I311" s="1665"/>
      <c r="J311" s="1665"/>
      <c r="K311" s="1665"/>
      <c r="L311" s="1665"/>
      <c r="M311" s="1665"/>
      <c r="N311" s="1665"/>
      <c r="O311" s="1654" t="s">
        <v>1747</v>
      </c>
      <c r="P311" s="1647"/>
      <c r="Q311" s="1647" t="str">
        <f>'Part II-Development Team'!Q93</f>
        <v>Executive Director</v>
      </c>
      <c r="R311" s="1665"/>
      <c r="S311" s="1665"/>
    </row>
    <row r="312" spans="1:19">
      <c r="A312" s="1647"/>
      <c r="B312" s="1647"/>
      <c r="C312" s="1647"/>
      <c r="D312" s="1663"/>
      <c r="E312" s="1654" t="s">
        <v>618</v>
      </c>
      <c r="F312" s="1647"/>
      <c r="G312" s="1647"/>
      <c r="H312" s="1647" t="str">
        <f>'Part II-Development Team'!H94</f>
        <v>Charlotte</v>
      </c>
      <c r="I312" s="1665"/>
      <c r="J312" s="1665"/>
      <c r="K312" s="1651" t="s">
        <v>2704</v>
      </c>
      <c r="L312" s="1647" t="str">
        <f>'Part II-Development Team'!L94</f>
        <v>http://www.gemmanagement.com/</v>
      </c>
      <c r="M312" s="1665"/>
      <c r="N312" s="1665"/>
      <c r="O312" s="1654" t="s">
        <v>1721</v>
      </c>
      <c r="P312" s="1647"/>
      <c r="Q312" s="2116">
        <f>'Part II-Development Team'!Q94</f>
        <v>7043576119</v>
      </c>
      <c r="R312" s="2116"/>
      <c r="S312" s="2116"/>
    </row>
    <row r="313" spans="1:19">
      <c r="A313" s="1647"/>
      <c r="B313" s="1647"/>
      <c r="C313" s="1647"/>
      <c r="D313" s="1663"/>
      <c r="E313" s="1654" t="s">
        <v>1799</v>
      </c>
      <c r="F313" s="1647"/>
      <c r="G313" s="1647"/>
      <c r="H313" s="1654" t="str">
        <f>'Part II-Development Team'!H95</f>
        <v>NC</v>
      </c>
      <c r="I313" s="1647"/>
      <c r="J313" s="1647"/>
      <c r="K313" s="1651" t="s">
        <v>2229</v>
      </c>
      <c r="L313" s="2115">
        <f>'Part II-Development Team'!L95</f>
        <v>282172856</v>
      </c>
      <c r="M313" s="1665"/>
      <c r="N313" s="1647"/>
      <c r="O313" s="1654" t="s">
        <v>1979</v>
      </c>
      <c r="P313" s="1647"/>
      <c r="Q313" s="2116">
        <f>'Part II-Development Team'!Q95</f>
        <v>7043576000</v>
      </c>
      <c r="R313" s="2116"/>
      <c r="S313" s="2116"/>
    </row>
    <row r="314" spans="1:19">
      <c r="A314" s="1647"/>
      <c r="B314" s="1647"/>
      <c r="C314" s="1647"/>
      <c r="D314" s="1663"/>
      <c r="E314" s="1654" t="s">
        <v>4260</v>
      </c>
      <c r="F314" s="1647"/>
      <c r="G314" s="1647"/>
      <c r="H314" s="2116">
        <f>'Part II-Development Team'!H96</f>
        <v>7043576000</v>
      </c>
      <c r="I314" s="2116"/>
      <c r="J314" s="1661">
        <f>'Part II-Development Team'!J96</f>
        <v>119</v>
      </c>
      <c r="K314" s="1651" t="s">
        <v>1984</v>
      </c>
      <c r="L314" s="2023" t="str">
        <f>'Part II-Development Team'!L96</f>
        <v>tfossum@gemmanagement.com</v>
      </c>
      <c r="M314" s="2023"/>
      <c r="N314" s="2023"/>
      <c r="O314" s="2023"/>
      <c r="P314" s="2023"/>
      <c r="Q314" s="2023"/>
      <c r="R314" s="2023"/>
      <c r="S314" s="2023"/>
    </row>
    <row r="315" spans="1:19">
      <c r="A315" s="1653"/>
      <c r="B315" s="1653"/>
      <c r="C315" s="1653"/>
      <c r="D315" s="1653"/>
      <c r="E315" s="1653"/>
      <c r="F315" s="1653"/>
      <c r="G315" s="1653"/>
      <c r="H315" s="2116"/>
      <c r="I315" s="2116"/>
      <c r="J315" s="2116"/>
      <c r="K315" s="1651"/>
      <c r="L315" s="2116"/>
      <c r="M315" s="2116"/>
      <c r="N315" s="1651"/>
      <c r="O315" s="2116"/>
      <c r="P315" s="2116"/>
      <c r="Q315" s="1651"/>
      <c r="R315" s="2116"/>
      <c r="S315" s="2116"/>
    </row>
    <row r="316" spans="1:19">
      <c r="A316" s="1647"/>
      <c r="B316" s="1647" t="s">
        <v>2115</v>
      </c>
      <c r="C316" s="1647" t="s">
        <v>289</v>
      </c>
      <c r="D316" s="1647"/>
      <c r="E316" s="1647"/>
      <c r="F316" s="1647"/>
      <c r="G316" s="1647"/>
      <c r="H316" s="1647" t="str">
        <f>'Part II-Development Team'!H98</f>
        <v>Blanco Tackabery</v>
      </c>
      <c r="I316" s="1665"/>
      <c r="J316" s="1665"/>
      <c r="K316" s="1665"/>
      <c r="L316" s="1665"/>
      <c r="M316" s="1665"/>
      <c r="N316" s="1665"/>
      <c r="O316" s="1654" t="s">
        <v>1989</v>
      </c>
      <c r="P316" s="1654"/>
      <c r="Q316" s="1647" t="str">
        <f>'Part II-Development Team'!Q98</f>
        <v>Deborah L. McKinney</v>
      </c>
      <c r="R316" s="1665"/>
      <c r="S316" s="1665"/>
    </row>
    <row r="317" spans="1:19">
      <c r="A317" s="1647"/>
      <c r="B317" s="1647"/>
      <c r="C317" s="1647"/>
      <c r="D317" s="1663"/>
      <c r="E317" s="1654" t="s">
        <v>1021</v>
      </c>
      <c r="F317" s="1657"/>
      <c r="G317" s="1647"/>
      <c r="H317" s="1647" t="str">
        <f>'Part II-Development Team'!H99</f>
        <v>110 South Stratford Road, Suite 500</v>
      </c>
      <c r="I317" s="1665"/>
      <c r="J317" s="1665"/>
      <c r="K317" s="1665"/>
      <c r="L317" s="1665"/>
      <c r="M317" s="1665"/>
      <c r="N317" s="1665"/>
      <c r="O317" s="1654" t="s">
        <v>1747</v>
      </c>
      <c r="P317" s="1647"/>
      <c r="Q317" s="1647" t="str">
        <f>'Part II-Development Team'!Q99</f>
        <v>Partner</v>
      </c>
      <c r="R317" s="1665"/>
      <c r="S317" s="1665"/>
    </row>
    <row r="318" spans="1:19">
      <c r="A318" s="1647"/>
      <c r="B318" s="1647"/>
      <c r="C318" s="1647"/>
      <c r="D318" s="1663"/>
      <c r="E318" s="1654" t="s">
        <v>618</v>
      </c>
      <c r="F318" s="1647"/>
      <c r="G318" s="1647"/>
      <c r="H318" s="1647" t="str">
        <f>'Part II-Development Team'!H100</f>
        <v>Winston-Salem</v>
      </c>
      <c r="I318" s="1665"/>
      <c r="J318" s="1665"/>
      <c r="K318" s="1651" t="s">
        <v>2704</v>
      </c>
      <c r="L318" s="1647" t="str">
        <f>'Part II-Development Team'!L100</f>
        <v>http://www.blancolaw.com/</v>
      </c>
      <c r="M318" s="1665"/>
      <c r="N318" s="1665"/>
      <c r="O318" s="1654" t="s">
        <v>1721</v>
      </c>
      <c r="P318" s="1647"/>
      <c r="Q318" s="2116">
        <f>'Part II-Development Team'!Q100</f>
        <v>3362939045</v>
      </c>
      <c r="R318" s="2116"/>
      <c r="S318" s="2116"/>
    </row>
    <row r="319" spans="1:19">
      <c r="A319" s="1647"/>
      <c r="B319" s="1647"/>
      <c r="C319" s="1647"/>
      <c r="D319" s="1663"/>
      <c r="E319" s="1654" t="s">
        <v>1799</v>
      </c>
      <c r="F319" s="1647"/>
      <c r="G319" s="1647"/>
      <c r="H319" s="1654" t="str">
        <f>'Part II-Development Team'!H101</f>
        <v>NC</v>
      </c>
      <c r="I319" s="1647"/>
      <c r="J319" s="1647"/>
      <c r="K319" s="1651" t="s">
        <v>2229</v>
      </c>
      <c r="L319" s="2115">
        <f>'Part II-Development Team'!L101</f>
        <v>364692812</v>
      </c>
      <c r="M319" s="1665"/>
      <c r="N319" s="1647"/>
      <c r="O319" s="1654" t="s">
        <v>1979</v>
      </c>
      <c r="P319" s="1647"/>
      <c r="Q319" s="2116">
        <f>'Part II-Development Team'!Q101</f>
        <v>3362939045</v>
      </c>
      <c r="R319" s="2116"/>
      <c r="S319" s="2116"/>
    </row>
    <row r="320" spans="1:19">
      <c r="A320" s="1653"/>
      <c r="B320" s="1653"/>
      <c r="C320" s="1653"/>
      <c r="D320" s="1653"/>
      <c r="E320" s="1654" t="s">
        <v>4260</v>
      </c>
      <c r="F320" s="1647"/>
      <c r="G320" s="1647"/>
      <c r="H320" s="2116">
        <f>'Part II-Development Team'!H102</f>
        <v>3362939000</v>
      </c>
      <c r="I320" s="2116"/>
      <c r="J320" s="1661">
        <f>'Part II-Development Team'!J102</f>
        <v>45</v>
      </c>
      <c r="K320" s="1651" t="s">
        <v>1984</v>
      </c>
      <c r="L320" s="2023" t="str">
        <f>'Part II-Development Team'!L102</f>
        <v>dlm@blancolaw.com</v>
      </c>
      <c r="M320" s="2023"/>
      <c r="N320" s="2023"/>
      <c r="O320" s="2023"/>
      <c r="P320" s="2023"/>
      <c r="Q320" s="2023"/>
      <c r="R320" s="2023"/>
      <c r="S320" s="2023"/>
    </row>
    <row r="321" spans="1:19">
      <c r="A321" s="1653"/>
      <c r="B321" s="1653"/>
      <c r="C321" s="1653"/>
      <c r="D321" s="1653"/>
      <c r="E321" s="1654"/>
      <c r="F321" s="1647"/>
      <c r="G321" s="1647"/>
      <c r="H321" s="2116"/>
      <c r="I321" s="2116"/>
      <c r="J321" s="2116"/>
      <c r="K321" s="1651"/>
      <c r="L321" s="2116"/>
      <c r="M321" s="2116"/>
      <c r="N321" s="1651"/>
      <c r="O321" s="2116"/>
      <c r="P321" s="2116"/>
      <c r="Q321" s="1651"/>
      <c r="R321" s="2116"/>
      <c r="S321" s="2116"/>
    </row>
    <row r="322" spans="1:19">
      <c r="A322" s="1647"/>
      <c r="B322" s="1647" t="s">
        <v>1735</v>
      </c>
      <c r="C322" s="1647" t="s">
        <v>290</v>
      </c>
      <c r="D322" s="1647"/>
      <c r="E322" s="1647"/>
      <c r="F322" s="1647"/>
      <c r="G322" s="1647"/>
      <c r="H322" s="1647" t="str">
        <f>'Part II-Development Team'!H104</f>
        <v>Bernard Robinson &amp; Company, LLP</v>
      </c>
      <c r="I322" s="1665"/>
      <c r="J322" s="1665"/>
      <c r="K322" s="1665"/>
      <c r="L322" s="1665"/>
      <c r="M322" s="1665"/>
      <c r="N322" s="1665"/>
      <c r="O322" s="1654" t="s">
        <v>1989</v>
      </c>
      <c r="P322" s="1654"/>
      <c r="Q322" s="1647" t="str">
        <f>'Part II-Development Team'!Q104</f>
        <v>Tim Smith</v>
      </c>
      <c r="R322" s="1665"/>
      <c r="S322" s="1665"/>
    </row>
    <row r="323" spans="1:19">
      <c r="A323" s="1647"/>
      <c r="B323" s="1647"/>
      <c r="C323" s="1647"/>
      <c r="D323" s="1663"/>
      <c r="E323" s="1654" t="s">
        <v>1021</v>
      </c>
      <c r="F323" s="1657"/>
      <c r="G323" s="1647"/>
      <c r="H323" s="1647" t="str">
        <f>'Part II-Development Team'!H105</f>
        <v>1501 Highwoods Boulevard, Suite 300</v>
      </c>
      <c r="I323" s="1665"/>
      <c r="J323" s="1665"/>
      <c r="K323" s="1665"/>
      <c r="L323" s="1665"/>
      <c r="M323" s="1665"/>
      <c r="N323" s="1665"/>
      <c r="O323" s="1654" t="s">
        <v>1747</v>
      </c>
      <c r="P323" s="1647"/>
      <c r="Q323" s="1647" t="str">
        <f>'Part II-Development Team'!Q105</f>
        <v>Partner</v>
      </c>
      <c r="R323" s="1665"/>
      <c r="S323" s="1665"/>
    </row>
    <row r="324" spans="1:19">
      <c r="A324" s="1647"/>
      <c r="B324" s="1647"/>
      <c r="C324" s="1647"/>
      <c r="D324" s="1663"/>
      <c r="E324" s="1654" t="s">
        <v>618</v>
      </c>
      <c r="F324" s="1647"/>
      <c r="G324" s="1647"/>
      <c r="H324" s="1647" t="str">
        <f>'Part II-Development Team'!H106</f>
        <v>Greensboro</v>
      </c>
      <c r="I324" s="1665"/>
      <c r="J324" s="1665"/>
      <c r="K324" s="1651" t="s">
        <v>2704</v>
      </c>
      <c r="L324" s="1647" t="str">
        <f>'Part II-Development Team'!L106</f>
        <v>http://www.brccpa.com/</v>
      </c>
      <c r="M324" s="1665"/>
      <c r="N324" s="1665"/>
      <c r="O324" s="1654" t="s">
        <v>1721</v>
      </c>
      <c r="P324" s="1647"/>
      <c r="Q324" s="2116">
        <f>'Part II-Development Team'!Q106</f>
        <v>3362324410</v>
      </c>
      <c r="R324" s="2116"/>
      <c r="S324" s="2116"/>
    </row>
    <row r="325" spans="1:19">
      <c r="A325" s="1647"/>
      <c r="B325" s="1647"/>
      <c r="C325" s="1647"/>
      <c r="D325" s="1663"/>
      <c r="E325" s="1654" t="s">
        <v>1799</v>
      </c>
      <c r="F325" s="1647"/>
      <c r="G325" s="1647"/>
      <c r="H325" s="1654" t="str">
        <f>'Part II-Development Team'!H107</f>
        <v>NC</v>
      </c>
      <c r="I325" s="1647"/>
      <c r="J325" s="1647"/>
      <c r="K325" s="1651" t="s">
        <v>2229</v>
      </c>
      <c r="L325" s="2115">
        <f>'Part II-Development Team'!L107</f>
        <v>274100000</v>
      </c>
      <c r="M325" s="1665"/>
      <c r="N325" s="1647"/>
      <c r="O325" s="1654" t="s">
        <v>1979</v>
      </c>
      <c r="P325" s="1647"/>
      <c r="Q325" s="2116">
        <f>'Part II-Development Team'!Q107</f>
        <v>3363398808</v>
      </c>
      <c r="R325" s="2116"/>
      <c r="S325" s="2116"/>
    </row>
    <row r="326" spans="1:19">
      <c r="A326" s="1653"/>
      <c r="B326" s="1653"/>
      <c r="C326" s="1653"/>
      <c r="D326" s="1653"/>
      <c r="E326" s="1654" t="s">
        <v>4260</v>
      </c>
      <c r="F326" s="1647"/>
      <c r="G326" s="1647"/>
      <c r="H326" s="2116">
        <f>'Part II-Development Team'!H108</f>
        <v>3362324410</v>
      </c>
      <c r="I326" s="2116"/>
      <c r="J326" s="1661">
        <f>'Part II-Development Team'!J108</f>
        <v>0</v>
      </c>
      <c r="K326" s="1651" t="s">
        <v>1984</v>
      </c>
      <c r="L326" s="2023" t="str">
        <f>'Part II-Development Team'!L108</f>
        <v>tsmith@brccpa.com</v>
      </c>
      <c r="M326" s="2023"/>
      <c r="N326" s="2023"/>
      <c r="O326" s="2023"/>
      <c r="P326" s="2023"/>
      <c r="Q326" s="2023"/>
      <c r="R326" s="2023"/>
      <c r="S326" s="2023"/>
    </row>
    <row r="327" spans="1:19">
      <c r="A327" s="1653"/>
      <c r="B327" s="1653"/>
      <c r="C327" s="1653"/>
      <c r="D327" s="1653"/>
      <c r="E327" s="1654"/>
      <c r="F327" s="1647"/>
      <c r="G327" s="1647"/>
      <c r="H327" s="2116"/>
      <c r="I327" s="2116"/>
      <c r="J327" s="2116"/>
      <c r="K327" s="1651"/>
      <c r="L327" s="2116"/>
      <c r="M327" s="2116"/>
      <c r="N327" s="1651"/>
      <c r="O327" s="2116"/>
      <c r="P327" s="2116"/>
      <c r="Q327" s="1651"/>
      <c r="R327" s="2116"/>
      <c r="S327" s="2116"/>
    </row>
    <row r="328" spans="1:19">
      <c r="A328" s="1647"/>
      <c r="B328" s="1647" t="s">
        <v>1736</v>
      </c>
      <c r="C328" s="1647" t="s">
        <v>291</v>
      </c>
      <c r="D328" s="1647"/>
      <c r="E328" s="1647"/>
      <c r="F328" s="1647"/>
      <c r="G328" s="1647"/>
      <c r="H328" s="1647" t="str">
        <f>'Part II-Development Team'!H110</f>
        <v>Martin Riley Architects</v>
      </c>
      <c r="I328" s="1665"/>
      <c r="J328" s="1665"/>
      <c r="K328" s="1665"/>
      <c r="L328" s="1665"/>
      <c r="M328" s="1665"/>
      <c r="N328" s="1665"/>
      <c r="O328" s="1654" t="s">
        <v>1989</v>
      </c>
      <c r="P328" s="1654"/>
      <c r="Q328" s="1647" t="str">
        <f>'Part II-Development Team'!Q110</f>
        <v>Jackie Martin</v>
      </c>
      <c r="R328" s="1665"/>
      <c r="S328" s="1665"/>
    </row>
    <row r="329" spans="1:19">
      <c r="A329" s="1647"/>
      <c r="B329" s="1647"/>
      <c r="C329" s="1647"/>
      <c r="D329" s="1663"/>
      <c r="E329" s="1654" t="s">
        <v>1021</v>
      </c>
      <c r="F329" s="1657"/>
      <c r="G329" s="1647"/>
      <c r="H329" s="1647" t="str">
        <f>'Part II-Development Team'!H111</f>
        <v>215 Church Street</v>
      </c>
      <c r="I329" s="1665"/>
      <c r="J329" s="1665"/>
      <c r="K329" s="1665"/>
      <c r="L329" s="1665"/>
      <c r="M329" s="1665"/>
      <c r="N329" s="1665"/>
      <c r="O329" s="1654" t="s">
        <v>1747</v>
      </c>
      <c r="P329" s="1647"/>
      <c r="Q329" s="1647" t="str">
        <f>'Part II-Development Team'!Q111</f>
        <v>Principal</v>
      </c>
      <c r="R329" s="1665"/>
      <c r="S329" s="1665"/>
    </row>
    <row r="330" spans="1:19">
      <c r="A330" s="1647"/>
      <c r="B330" s="1647"/>
      <c r="C330" s="1647"/>
      <c r="D330" s="1663"/>
      <c r="E330" s="1654" t="s">
        <v>618</v>
      </c>
      <c r="F330" s="1647"/>
      <c r="G330" s="1647"/>
      <c r="H330" s="1647" t="str">
        <f>'Part II-Development Team'!H112</f>
        <v>Decatur</v>
      </c>
      <c r="I330" s="1665"/>
      <c r="J330" s="1665"/>
      <c r="K330" s="1651" t="s">
        <v>2704</v>
      </c>
      <c r="L330" s="1647" t="str">
        <f>'Part II-Development Team'!L112</f>
        <v>http://www.martinriley.com/</v>
      </c>
      <c r="M330" s="1665"/>
      <c r="N330" s="1665"/>
      <c r="O330" s="1654" t="s">
        <v>1721</v>
      </c>
      <c r="P330" s="1647"/>
      <c r="Q330" s="2116">
        <f>'Part II-Development Team'!Q112</f>
        <v>4043732800</v>
      </c>
      <c r="R330" s="2116"/>
      <c r="S330" s="2116"/>
    </row>
    <row r="331" spans="1:19">
      <c r="A331" s="1647"/>
      <c r="B331" s="1647"/>
      <c r="C331" s="1647"/>
      <c r="D331" s="1663"/>
      <c r="E331" s="1654" t="s">
        <v>1799</v>
      </c>
      <c r="F331" s="1647"/>
      <c r="G331" s="1647"/>
      <c r="H331" s="1654" t="str">
        <f>'Part II-Development Team'!H113</f>
        <v>GA</v>
      </c>
      <c r="I331" s="1647"/>
      <c r="J331" s="1647"/>
      <c r="K331" s="1651" t="s">
        <v>2229</v>
      </c>
      <c r="L331" s="2115">
        <f>'Part II-Development Team'!L113</f>
        <v>300303330</v>
      </c>
      <c r="M331" s="1665"/>
      <c r="N331" s="1647"/>
      <c r="O331" s="1654" t="s">
        <v>1979</v>
      </c>
      <c r="P331" s="1647"/>
      <c r="Q331" s="2116">
        <f>'Part II-Development Team'!Q113</f>
        <v>4043732800</v>
      </c>
      <c r="R331" s="2116"/>
      <c r="S331" s="2116"/>
    </row>
    <row r="332" spans="1:19">
      <c r="A332" s="1647"/>
      <c r="B332" s="1647"/>
      <c r="C332" s="1647"/>
      <c r="D332" s="1663"/>
      <c r="E332" s="1654" t="s">
        <v>4260</v>
      </c>
      <c r="F332" s="1647"/>
      <c r="G332" s="1647"/>
      <c r="H332" s="2116">
        <f>'Part II-Development Team'!H114</f>
        <v>4043732800</v>
      </c>
      <c r="I332" s="2116"/>
      <c r="J332" s="1661">
        <f>'Part II-Development Team'!J114</f>
        <v>0</v>
      </c>
      <c r="K332" s="1651" t="s">
        <v>1984</v>
      </c>
      <c r="L332" s="2023" t="str">
        <f>'Part II-Development Team'!L114</f>
        <v>jmartin@martinriley.com</v>
      </c>
      <c r="M332" s="2023"/>
      <c r="N332" s="2023"/>
      <c r="O332" s="2023"/>
      <c r="P332" s="2023"/>
      <c r="Q332" s="2023"/>
      <c r="R332" s="2023"/>
      <c r="S332" s="2023"/>
    </row>
    <row r="333" spans="1:19">
      <c r="A333" s="1653"/>
      <c r="B333" s="1653"/>
      <c r="C333" s="1653"/>
      <c r="D333" s="1653"/>
      <c r="E333" s="1653"/>
      <c r="F333" s="1653"/>
      <c r="G333" s="1653"/>
      <c r="H333" s="1653"/>
      <c r="I333" s="1653"/>
      <c r="J333" s="1653"/>
      <c r="K333" s="1653"/>
      <c r="L333" s="1653"/>
      <c r="M333" s="1653"/>
      <c r="N333" s="1653"/>
      <c r="O333" s="1653"/>
      <c r="P333" s="1653"/>
      <c r="Q333" s="1653"/>
      <c r="R333" s="1653"/>
      <c r="S333" s="1653"/>
    </row>
    <row r="334" spans="1:19">
      <c r="A334" s="1647" t="s">
        <v>1792</v>
      </c>
      <c r="B334" s="1647" t="s">
        <v>2603</v>
      </c>
      <c r="C334" s="1647"/>
      <c r="D334" s="1647"/>
      <c r="E334" s="1647"/>
      <c r="F334" s="1647"/>
      <c r="G334" s="1651"/>
      <c r="H334" s="1651"/>
      <c r="I334" s="1651"/>
      <c r="J334" s="1651"/>
      <c r="K334" s="1651"/>
      <c r="L334" s="1651"/>
      <c r="M334" s="1651"/>
      <c r="N334" s="1651"/>
      <c r="O334" s="1651"/>
      <c r="P334" s="1651"/>
      <c r="Q334" s="1651"/>
      <c r="R334" s="1647"/>
      <c r="S334" s="1647"/>
    </row>
    <row r="335" spans="1:19">
      <c r="A335" s="1647"/>
      <c r="B335" s="1647" t="s">
        <v>1983</v>
      </c>
      <c r="C335" s="1647" t="s">
        <v>5100</v>
      </c>
      <c r="D335" s="1647"/>
      <c r="E335" s="1647"/>
      <c r="F335" s="1647"/>
      <c r="G335" s="1647"/>
      <c r="H335" s="1647" t="str">
        <f>'Part II-Development Team'!H117</f>
        <v>CL-RB Stonecrest, LLC</v>
      </c>
      <c r="I335" s="1647"/>
      <c r="J335" s="1647"/>
      <c r="K335" s="1651" t="s">
        <v>2474</v>
      </c>
      <c r="L335" s="1647" t="str">
        <f>'Part II-Development Team'!L117</f>
        <v>Karlien De Clercq</v>
      </c>
      <c r="M335" s="1665"/>
      <c r="N335" s="1665"/>
      <c r="O335" s="1654" t="s">
        <v>3579</v>
      </c>
      <c r="P335" s="1647"/>
      <c r="Q335" s="2116">
        <f>'Part II-Development Team'!Q117</f>
        <v>0</v>
      </c>
      <c r="R335" s="2724"/>
      <c r="S335" s="2724"/>
    </row>
    <row r="336" spans="1:19">
      <c r="A336" s="1647"/>
      <c r="B336" s="1647"/>
      <c r="C336" s="1647"/>
      <c r="D336" s="1663"/>
      <c r="E336" s="1654" t="s">
        <v>1021</v>
      </c>
      <c r="F336" s="1657"/>
      <c r="G336" s="1647"/>
      <c r="H336" s="1647">
        <f>'Part II-Development Team'!H118</f>
        <v>0</v>
      </c>
      <c r="I336" s="1665"/>
      <c r="J336" s="1665"/>
      <c r="K336" s="1665"/>
      <c r="L336" s="1665"/>
      <c r="M336" s="1665"/>
      <c r="N336" s="1665"/>
      <c r="O336" s="1654" t="s">
        <v>618</v>
      </c>
      <c r="P336" s="1647"/>
      <c r="Q336" s="1647">
        <f>'Part II-Development Team'!Q118</f>
        <v>0</v>
      </c>
      <c r="R336" s="1665"/>
      <c r="S336" s="1665"/>
    </row>
    <row r="337" spans="1:19">
      <c r="A337" s="1647"/>
      <c r="B337" s="1647"/>
      <c r="C337" s="1647"/>
      <c r="D337" s="1663"/>
      <c r="E337" s="1654" t="s">
        <v>1799</v>
      </c>
      <c r="F337" s="1647"/>
      <c r="G337" s="1647"/>
      <c r="H337" s="1654">
        <f>'Part II-Development Team'!H119</f>
        <v>0</v>
      </c>
      <c r="I337" s="1651" t="s">
        <v>2229</v>
      </c>
      <c r="J337" s="2115">
        <f>'Part II-Development Team'!J119</f>
        <v>0</v>
      </c>
      <c r="K337" s="1665"/>
      <c r="L337" s="1651" t="s">
        <v>1984</v>
      </c>
      <c r="M337" s="2023" t="str">
        <f>'Part II-Development Team'!M119</f>
        <v>karlien.declercq@castlelake.com</v>
      </c>
      <c r="N337" s="2023"/>
      <c r="O337" s="2023"/>
      <c r="P337" s="2023"/>
      <c r="Q337" s="2023"/>
      <c r="R337" s="2023"/>
      <c r="S337" s="2023"/>
    </row>
    <row r="338" spans="1:19">
      <c r="A338" s="1653"/>
      <c r="B338" s="1647" t="s">
        <v>1985</v>
      </c>
      <c r="C338" s="1647" t="s">
        <v>5091</v>
      </c>
      <c r="D338" s="1653"/>
      <c r="E338" s="1653"/>
      <c r="F338" s="1653"/>
      <c r="G338" s="1653"/>
      <c r="H338" s="1682"/>
      <c r="I338" s="1682"/>
      <c r="J338" s="1682"/>
      <c r="K338" s="1682"/>
      <c r="L338" s="1682"/>
      <c r="M338" s="1682"/>
      <c r="N338" s="1682"/>
      <c r="O338" s="1682"/>
      <c r="P338" s="1682"/>
      <c r="Q338" s="1682"/>
      <c r="R338" s="1682"/>
      <c r="S338" s="1682"/>
    </row>
    <row r="339" spans="1:19" ht="13.5" customHeight="1">
      <c r="A339" s="1703" t="s">
        <v>3884</v>
      </c>
      <c r="B339" s="1703"/>
      <c r="C339" s="1703"/>
      <c r="D339" s="1703"/>
      <c r="E339" s="1703"/>
      <c r="F339" s="1661" t="s">
        <v>2510</v>
      </c>
      <c r="G339" s="1658" t="s">
        <v>3478</v>
      </c>
      <c r="H339" s="1658"/>
      <c r="I339" s="1658"/>
      <c r="J339" s="1658"/>
      <c r="K339" s="1658"/>
      <c r="L339" s="1658"/>
      <c r="M339" s="1658"/>
      <c r="N339" s="1658"/>
      <c r="O339" s="1658"/>
      <c r="P339" s="1658"/>
      <c r="Q339" s="1658"/>
      <c r="R339" s="1658"/>
      <c r="S339" s="1658"/>
    </row>
    <row r="340" spans="1:19" ht="13.5" customHeight="1">
      <c r="A340" s="1647"/>
      <c r="B340" s="1692"/>
      <c r="C340" s="2725" t="s">
        <v>1986</v>
      </c>
      <c r="D340" s="1682" t="s">
        <v>2837</v>
      </c>
      <c r="E340" s="1682"/>
      <c r="F340" s="2129" t="str">
        <f>'Part II-Development Team'!F122</f>
        <v>No</v>
      </c>
      <c r="G340" s="1890">
        <f>'Part II-Development Team'!G122</f>
        <v>0</v>
      </c>
      <c r="H340" s="1890">
        <f>'Part II-Development Team'!H122</f>
        <v>0</v>
      </c>
      <c r="I340" s="1890">
        <f>'Part II-Development Team'!I122</f>
        <v>0</v>
      </c>
      <c r="J340" s="1890">
        <f>'Part II-Development Team'!J122</f>
        <v>0</v>
      </c>
      <c r="K340" s="1890">
        <f>'Part II-Development Team'!K122</f>
        <v>0</v>
      </c>
      <c r="L340" s="1890">
        <f>'Part II-Development Team'!L122</f>
        <v>0</v>
      </c>
      <c r="M340" s="1890">
        <f>'Part II-Development Team'!M122</f>
        <v>0</v>
      </c>
      <c r="N340" s="1890">
        <f>'Part II-Development Team'!N122</f>
        <v>0</v>
      </c>
      <c r="O340" s="1890">
        <f>'Part II-Development Team'!O122</f>
        <v>0</v>
      </c>
      <c r="P340" s="1890">
        <f>'Part II-Development Team'!P122</f>
        <v>0</v>
      </c>
      <c r="Q340" s="1890">
        <f>'Part II-Development Team'!Q122</f>
        <v>0</v>
      </c>
      <c r="R340" s="1890">
        <f>'Part II-Development Team'!R122</f>
        <v>0</v>
      </c>
      <c r="S340" s="1890">
        <f>'Part II-Development Team'!S122</f>
        <v>0</v>
      </c>
    </row>
    <row r="341" spans="1:19" ht="13.5" customHeight="1">
      <c r="A341" s="1647"/>
      <c r="B341" s="1692"/>
      <c r="C341" s="2725" t="s">
        <v>1988</v>
      </c>
      <c r="D341" s="1682" t="s">
        <v>2902</v>
      </c>
      <c r="E341" s="1682"/>
      <c r="F341" s="2129" t="str">
        <f>'Part II-Development Team'!F123</f>
        <v>No</v>
      </c>
      <c r="G341" s="1890">
        <f>'Part II-Development Team'!G123</f>
        <v>0</v>
      </c>
      <c r="H341" s="1890">
        <f>'Part II-Development Team'!H123</f>
        <v>0</v>
      </c>
      <c r="I341" s="1890">
        <f>'Part II-Development Team'!I123</f>
        <v>0</v>
      </c>
      <c r="J341" s="1890">
        <f>'Part II-Development Team'!J123</f>
        <v>0</v>
      </c>
      <c r="K341" s="1890">
        <f>'Part II-Development Team'!K123</f>
        <v>0</v>
      </c>
      <c r="L341" s="1890">
        <f>'Part II-Development Team'!L123</f>
        <v>0</v>
      </c>
      <c r="M341" s="1890">
        <f>'Part II-Development Team'!M123</f>
        <v>0</v>
      </c>
      <c r="N341" s="1890">
        <f>'Part II-Development Team'!N123</f>
        <v>0</v>
      </c>
      <c r="O341" s="1890">
        <f>'Part II-Development Team'!O123</f>
        <v>0</v>
      </c>
      <c r="P341" s="1890">
        <f>'Part II-Development Team'!P123</f>
        <v>0</v>
      </c>
      <c r="Q341" s="1890">
        <f>'Part II-Development Team'!Q123</f>
        <v>0</v>
      </c>
      <c r="R341" s="1890">
        <f>'Part II-Development Team'!R123</f>
        <v>0</v>
      </c>
      <c r="S341" s="1890">
        <f>'Part II-Development Team'!S123</f>
        <v>0</v>
      </c>
    </row>
    <row r="342" spans="1:19" ht="13.5" customHeight="1">
      <c r="A342" s="1647"/>
      <c r="B342" s="1692"/>
      <c r="C342" s="2725" t="s">
        <v>2534</v>
      </c>
      <c r="D342" s="1682" t="s">
        <v>2878</v>
      </c>
      <c r="E342" s="1682"/>
      <c r="F342" s="2129" t="str">
        <f>'Part II-Development Team'!F124</f>
        <v>No</v>
      </c>
      <c r="G342" s="1890">
        <f>'Part II-Development Team'!G124</f>
        <v>0</v>
      </c>
      <c r="H342" s="1890">
        <f>'Part II-Development Team'!H124</f>
        <v>0</v>
      </c>
      <c r="I342" s="1890">
        <f>'Part II-Development Team'!I124</f>
        <v>0</v>
      </c>
      <c r="J342" s="1890">
        <f>'Part II-Development Team'!J124</f>
        <v>0</v>
      </c>
      <c r="K342" s="1890">
        <f>'Part II-Development Team'!K124</f>
        <v>0</v>
      </c>
      <c r="L342" s="1890">
        <f>'Part II-Development Team'!L124</f>
        <v>0</v>
      </c>
      <c r="M342" s="1890">
        <f>'Part II-Development Team'!M124</f>
        <v>0</v>
      </c>
      <c r="N342" s="1890">
        <f>'Part II-Development Team'!N124</f>
        <v>0</v>
      </c>
      <c r="O342" s="1890">
        <f>'Part II-Development Team'!O124</f>
        <v>0</v>
      </c>
      <c r="P342" s="1890">
        <f>'Part II-Development Team'!P124</f>
        <v>0</v>
      </c>
      <c r="Q342" s="1890">
        <f>'Part II-Development Team'!Q124</f>
        <v>0</v>
      </c>
      <c r="R342" s="1890">
        <f>'Part II-Development Team'!R124</f>
        <v>0</v>
      </c>
      <c r="S342" s="1890">
        <f>'Part II-Development Team'!S124</f>
        <v>0</v>
      </c>
    </row>
    <row r="343" spans="1:19" ht="13.5" customHeight="1">
      <c r="A343" s="1647"/>
      <c r="B343" s="1692"/>
      <c r="C343" s="2725" t="s">
        <v>1224</v>
      </c>
      <c r="D343" s="1682" t="s">
        <v>2838</v>
      </c>
      <c r="E343" s="1682"/>
      <c r="F343" s="2129" t="str">
        <f>'Part II-Development Team'!F125</f>
        <v>No</v>
      </c>
      <c r="G343" s="1890">
        <f>'Part II-Development Team'!G125</f>
        <v>0</v>
      </c>
      <c r="H343" s="1890">
        <f>'Part II-Development Team'!H125</f>
        <v>0</v>
      </c>
      <c r="I343" s="1890">
        <f>'Part II-Development Team'!I125</f>
        <v>0</v>
      </c>
      <c r="J343" s="1890">
        <f>'Part II-Development Team'!J125</f>
        <v>0</v>
      </c>
      <c r="K343" s="1890">
        <f>'Part II-Development Team'!K125</f>
        <v>0</v>
      </c>
      <c r="L343" s="1890">
        <f>'Part II-Development Team'!L125</f>
        <v>0</v>
      </c>
      <c r="M343" s="1890">
        <f>'Part II-Development Team'!M125</f>
        <v>0</v>
      </c>
      <c r="N343" s="1890">
        <f>'Part II-Development Team'!N125</f>
        <v>0</v>
      </c>
      <c r="O343" s="1890">
        <f>'Part II-Development Team'!O125</f>
        <v>0</v>
      </c>
      <c r="P343" s="1890">
        <f>'Part II-Development Team'!P125</f>
        <v>0</v>
      </c>
      <c r="Q343" s="1890">
        <f>'Part II-Development Team'!Q125</f>
        <v>0</v>
      </c>
      <c r="R343" s="1890">
        <f>'Part II-Development Team'!R125</f>
        <v>0</v>
      </c>
      <c r="S343" s="1890">
        <f>'Part II-Development Team'!S125</f>
        <v>0</v>
      </c>
    </row>
    <row r="344" spans="1:19" ht="13.5" customHeight="1">
      <c r="A344" s="1647"/>
      <c r="B344" s="1692"/>
      <c r="C344" s="2725" t="s">
        <v>1225</v>
      </c>
      <c r="D344" s="1682" t="s">
        <v>3466</v>
      </c>
      <c r="E344" s="1682"/>
      <c r="F344" s="2129" t="str">
        <f>'Part II-Development Team'!F126</f>
        <v>No</v>
      </c>
      <c r="G344" s="1890">
        <f>'Part II-Development Team'!G126</f>
        <v>0</v>
      </c>
      <c r="H344" s="1890">
        <f>'Part II-Development Team'!H126</f>
        <v>0</v>
      </c>
      <c r="I344" s="1890">
        <f>'Part II-Development Team'!I126</f>
        <v>0</v>
      </c>
      <c r="J344" s="1890">
        <f>'Part II-Development Team'!J126</f>
        <v>0</v>
      </c>
      <c r="K344" s="1890">
        <f>'Part II-Development Team'!K126</f>
        <v>0</v>
      </c>
      <c r="L344" s="1890">
        <f>'Part II-Development Team'!L126</f>
        <v>0</v>
      </c>
      <c r="M344" s="1890">
        <f>'Part II-Development Team'!M126</f>
        <v>0</v>
      </c>
      <c r="N344" s="1890">
        <f>'Part II-Development Team'!N126</f>
        <v>0</v>
      </c>
      <c r="O344" s="1890">
        <f>'Part II-Development Team'!O126</f>
        <v>0</v>
      </c>
      <c r="P344" s="1890">
        <f>'Part II-Development Team'!P126</f>
        <v>0</v>
      </c>
      <c r="Q344" s="1890">
        <f>'Part II-Development Team'!Q126</f>
        <v>0</v>
      </c>
      <c r="R344" s="1890">
        <f>'Part II-Development Team'!R126</f>
        <v>0</v>
      </c>
      <c r="S344" s="1890">
        <f>'Part II-Development Team'!S126</f>
        <v>0</v>
      </c>
    </row>
    <row r="345" spans="1:19" ht="13.5" customHeight="1">
      <c r="A345" s="1647"/>
      <c r="B345" s="1692"/>
      <c r="C345" s="2725" t="s">
        <v>1881</v>
      </c>
      <c r="D345" s="1682" t="s">
        <v>3467</v>
      </c>
      <c r="E345" s="1682"/>
      <c r="F345" s="2129" t="str">
        <f>'Part II-Development Team'!F127</f>
        <v>No</v>
      </c>
      <c r="G345" s="1890">
        <f>'Part II-Development Team'!G127</f>
        <v>0</v>
      </c>
      <c r="H345" s="1890">
        <f>'Part II-Development Team'!H127</f>
        <v>0</v>
      </c>
      <c r="I345" s="1890">
        <f>'Part II-Development Team'!I127</f>
        <v>0</v>
      </c>
      <c r="J345" s="1890">
        <f>'Part II-Development Team'!J127</f>
        <v>0</v>
      </c>
      <c r="K345" s="1890">
        <f>'Part II-Development Team'!K127</f>
        <v>0</v>
      </c>
      <c r="L345" s="1890">
        <f>'Part II-Development Team'!L127</f>
        <v>0</v>
      </c>
      <c r="M345" s="1890">
        <f>'Part II-Development Team'!M127</f>
        <v>0</v>
      </c>
      <c r="N345" s="1890">
        <f>'Part II-Development Team'!N127</f>
        <v>0</v>
      </c>
      <c r="O345" s="1890">
        <f>'Part II-Development Team'!O127</f>
        <v>0</v>
      </c>
      <c r="P345" s="1890">
        <f>'Part II-Development Team'!P127</f>
        <v>0</v>
      </c>
      <c r="Q345" s="1890">
        <f>'Part II-Development Team'!Q127</f>
        <v>0</v>
      </c>
      <c r="R345" s="1890">
        <f>'Part II-Development Team'!R127</f>
        <v>0</v>
      </c>
      <c r="S345" s="1890">
        <f>'Part II-Development Team'!S127</f>
        <v>0</v>
      </c>
    </row>
    <row r="346" spans="1:19" ht="13.5" customHeight="1">
      <c r="A346" s="1647"/>
      <c r="B346" s="1692"/>
      <c r="C346" s="2725" t="s">
        <v>503</v>
      </c>
      <c r="D346" s="1682" t="s">
        <v>2839</v>
      </c>
      <c r="E346" s="1682"/>
      <c r="F346" s="2129" t="str">
        <f>'Part II-Development Team'!F128</f>
        <v>No</v>
      </c>
      <c r="G346" s="1890">
        <f>'Part II-Development Team'!G128</f>
        <v>0</v>
      </c>
      <c r="H346" s="1890">
        <f>'Part II-Development Team'!H128</f>
        <v>0</v>
      </c>
      <c r="I346" s="1890">
        <f>'Part II-Development Team'!I128</f>
        <v>0</v>
      </c>
      <c r="J346" s="1890">
        <f>'Part II-Development Team'!J128</f>
        <v>0</v>
      </c>
      <c r="K346" s="1890">
        <f>'Part II-Development Team'!K128</f>
        <v>0</v>
      </c>
      <c r="L346" s="1890">
        <f>'Part II-Development Team'!L128</f>
        <v>0</v>
      </c>
      <c r="M346" s="1890">
        <f>'Part II-Development Team'!M128</f>
        <v>0</v>
      </c>
      <c r="N346" s="1890">
        <f>'Part II-Development Team'!N128</f>
        <v>0</v>
      </c>
      <c r="O346" s="1890">
        <f>'Part II-Development Team'!O128</f>
        <v>0</v>
      </c>
      <c r="P346" s="1890">
        <f>'Part II-Development Team'!P128</f>
        <v>0</v>
      </c>
      <c r="Q346" s="1890">
        <f>'Part II-Development Team'!Q128</f>
        <v>0</v>
      </c>
      <c r="R346" s="1890">
        <f>'Part II-Development Team'!R128</f>
        <v>0</v>
      </c>
      <c r="S346" s="1890">
        <f>'Part II-Development Team'!S128</f>
        <v>0</v>
      </c>
    </row>
    <row r="347" spans="1:19" ht="13.5" customHeight="1">
      <c r="A347" s="1647"/>
      <c r="B347" s="1692"/>
      <c r="C347" s="2725" t="s">
        <v>504</v>
      </c>
      <c r="D347" s="1682" t="s">
        <v>5037</v>
      </c>
      <c r="E347" s="1682"/>
      <c r="F347" s="2129" t="str">
        <f>'Part II-Development Team'!F129</f>
        <v>No</v>
      </c>
      <c r="G347" s="1890">
        <f>'Part II-Development Team'!G129</f>
        <v>0</v>
      </c>
      <c r="H347" s="1890">
        <f>'Part II-Development Team'!H129</f>
        <v>0</v>
      </c>
      <c r="I347" s="1890">
        <f>'Part II-Development Team'!I129</f>
        <v>0</v>
      </c>
      <c r="J347" s="1890">
        <f>'Part II-Development Team'!J129</f>
        <v>0</v>
      </c>
      <c r="K347" s="1890">
        <f>'Part II-Development Team'!K129</f>
        <v>0</v>
      </c>
      <c r="L347" s="1890">
        <f>'Part II-Development Team'!L129</f>
        <v>0</v>
      </c>
      <c r="M347" s="1890">
        <f>'Part II-Development Team'!M129</f>
        <v>0</v>
      </c>
      <c r="N347" s="1890">
        <f>'Part II-Development Team'!N129</f>
        <v>0</v>
      </c>
      <c r="O347" s="1890">
        <f>'Part II-Development Team'!O129</f>
        <v>0</v>
      </c>
      <c r="P347" s="1890">
        <f>'Part II-Development Team'!P129</f>
        <v>0</v>
      </c>
      <c r="Q347" s="1890">
        <f>'Part II-Development Team'!Q129</f>
        <v>0</v>
      </c>
      <c r="R347" s="1890">
        <f>'Part II-Development Team'!R129</f>
        <v>0</v>
      </c>
      <c r="S347" s="1890">
        <f>'Part II-Development Team'!S129</f>
        <v>0</v>
      </c>
    </row>
    <row r="348" spans="1:19" ht="13.5" customHeight="1">
      <c r="A348" s="1647"/>
      <c r="B348" s="1692"/>
      <c r="C348" s="2725" t="s">
        <v>5036</v>
      </c>
      <c r="D348" s="1682" t="str">
        <f>'Part II-Development Team'!D130</f>
        <v>Other (Indicate here the two roles involved)</v>
      </c>
      <c r="E348" s="1682">
        <f>'Part II-Development Team'!E130</f>
        <v>0</v>
      </c>
      <c r="F348" s="2129" t="str">
        <f>'Part II-Development Team'!F130</f>
        <v>No</v>
      </c>
      <c r="G348" s="1890">
        <f>'Part II-Development Team'!G130</f>
        <v>0</v>
      </c>
      <c r="H348" s="1890">
        <f>'Part II-Development Team'!H130</f>
        <v>0</v>
      </c>
      <c r="I348" s="1890">
        <f>'Part II-Development Team'!I130</f>
        <v>0</v>
      </c>
      <c r="J348" s="1890">
        <f>'Part II-Development Team'!J130</f>
        <v>0</v>
      </c>
      <c r="K348" s="1890">
        <f>'Part II-Development Team'!K130</f>
        <v>0</v>
      </c>
      <c r="L348" s="1890">
        <f>'Part II-Development Team'!L130</f>
        <v>0</v>
      </c>
      <c r="M348" s="1890">
        <f>'Part II-Development Team'!M130</f>
        <v>0</v>
      </c>
      <c r="N348" s="1890">
        <f>'Part II-Development Team'!N130</f>
        <v>0</v>
      </c>
      <c r="O348" s="1890">
        <f>'Part II-Development Team'!O130</f>
        <v>0</v>
      </c>
      <c r="P348" s="1890">
        <f>'Part II-Development Team'!P130</f>
        <v>0</v>
      </c>
      <c r="Q348" s="1890">
        <f>'Part II-Development Team'!Q130</f>
        <v>0</v>
      </c>
      <c r="R348" s="1890">
        <f>'Part II-Development Team'!R130</f>
        <v>0</v>
      </c>
      <c r="S348" s="1890">
        <f>'Part II-Development Team'!S130</f>
        <v>0</v>
      </c>
    </row>
    <row r="349" spans="1:19">
      <c r="A349" s="1647" t="s">
        <v>1794</v>
      </c>
      <c r="B349" s="1647" t="s">
        <v>5149</v>
      </c>
      <c r="C349" s="1647"/>
      <c r="D349" s="1647"/>
      <c r="E349" s="1647"/>
      <c r="F349" s="1647"/>
      <c r="G349" s="1651"/>
      <c r="H349" s="1651"/>
      <c r="I349" s="1651"/>
      <c r="J349" s="1651"/>
      <c r="K349" s="1651"/>
      <c r="L349" s="1651"/>
      <c r="M349" s="1651"/>
      <c r="N349" s="1651"/>
      <c r="O349" s="1651"/>
      <c r="P349" s="1651"/>
      <c r="Q349" s="1651"/>
      <c r="R349" s="1647"/>
      <c r="S349" s="1647"/>
    </row>
    <row r="350" spans="1:19">
      <c r="A350" s="1647"/>
      <c r="B350" s="1647"/>
      <c r="C350" s="1647"/>
      <c r="D350" s="1647"/>
      <c r="E350" s="1647"/>
      <c r="F350" s="1647"/>
      <c r="G350" s="1651"/>
      <c r="H350" s="1651"/>
      <c r="I350" s="1651"/>
      <c r="J350" s="1651"/>
      <c r="K350" s="1651"/>
      <c r="L350" s="1651"/>
      <c r="M350" s="1651"/>
      <c r="N350" s="1651"/>
      <c r="O350" s="1651"/>
      <c r="P350" s="1651"/>
      <c r="Q350" s="1651"/>
      <c r="R350" s="1647"/>
      <c r="S350" s="1647"/>
    </row>
    <row r="351" spans="1:19">
      <c r="A351" s="1653"/>
      <c r="B351" s="1647" t="s">
        <v>749</v>
      </c>
      <c r="C351" s="1647" t="s">
        <v>5092</v>
      </c>
      <c r="D351" s="1653"/>
      <c r="E351" s="1653"/>
      <c r="F351" s="1653"/>
      <c r="G351" s="1653"/>
      <c r="H351" s="1653"/>
      <c r="I351" s="1653"/>
      <c r="J351" s="1653"/>
      <c r="K351" s="1653"/>
      <c r="L351" s="1653"/>
      <c r="M351" s="1653"/>
      <c r="N351" s="1653"/>
      <c r="O351" s="1653"/>
      <c r="P351" s="1653"/>
      <c r="Q351" s="1653"/>
      <c r="R351" s="1653"/>
      <c r="S351" s="1653"/>
    </row>
    <row r="352" spans="1:19" ht="12.75" customHeight="1">
      <c r="A352" s="1682" t="s">
        <v>640</v>
      </c>
      <c r="B352" s="1682"/>
      <c r="C352" s="1682"/>
      <c r="D352" s="1682"/>
      <c r="E352" s="1682" t="s">
        <v>3448</v>
      </c>
      <c r="F352" s="1682"/>
      <c r="G352" s="1682"/>
      <c r="H352" s="1682"/>
      <c r="I352" s="1682"/>
      <c r="J352" s="1682" t="s">
        <v>3449</v>
      </c>
      <c r="K352" s="1682" t="s">
        <v>5101</v>
      </c>
      <c r="L352" s="1682" t="s">
        <v>5102</v>
      </c>
      <c r="M352" s="1682" t="s">
        <v>5103</v>
      </c>
      <c r="N352" s="1682"/>
      <c r="O352" s="1682"/>
      <c r="P352" s="1682"/>
      <c r="Q352" s="1682"/>
      <c r="R352" s="1682"/>
      <c r="S352" s="1682"/>
    </row>
    <row r="353" spans="1:19">
      <c r="A353" s="1682"/>
      <c r="B353" s="1682"/>
      <c r="C353" s="1682"/>
      <c r="D353" s="1682"/>
      <c r="E353" s="1682"/>
      <c r="F353" s="1682"/>
      <c r="G353" s="1682"/>
      <c r="H353" s="1682"/>
      <c r="I353" s="1682"/>
      <c r="J353" s="1682"/>
      <c r="K353" s="1682"/>
      <c r="L353" s="1682"/>
      <c r="M353" s="1682"/>
      <c r="N353" s="1682"/>
      <c r="O353" s="1682"/>
      <c r="P353" s="1682"/>
      <c r="Q353" s="1682"/>
      <c r="R353" s="1682"/>
      <c r="S353" s="1682"/>
    </row>
    <row r="354" spans="1:19">
      <c r="A354" s="1682"/>
      <c r="B354" s="1682"/>
      <c r="C354" s="1682"/>
      <c r="D354" s="1682"/>
      <c r="E354" s="1682"/>
      <c r="F354" s="1682"/>
      <c r="G354" s="1682"/>
      <c r="H354" s="1682"/>
      <c r="I354" s="1682"/>
      <c r="J354" s="1682"/>
      <c r="K354" s="1682"/>
      <c r="L354" s="1682"/>
      <c r="M354" s="1682"/>
      <c r="N354" s="1682"/>
      <c r="O354" s="1682"/>
      <c r="P354" s="1682"/>
      <c r="Q354" s="1682"/>
      <c r="R354" s="1682"/>
      <c r="S354" s="1682"/>
    </row>
    <row r="355" spans="1:19" ht="12.75" customHeight="1">
      <c r="A355" s="1682"/>
      <c r="B355" s="1682"/>
      <c r="C355" s="1682"/>
      <c r="D355" s="1682"/>
      <c r="E355" s="1706" t="s">
        <v>5150</v>
      </c>
      <c r="F355" s="1706"/>
      <c r="G355" s="1706"/>
      <c r="H355" s="1706"/>
      <c r="I355" s="1682"/>
      <c r="J355" s="1682"/>
      <c r="K355" s="1682"/>
      <c r="L355" s="1682"/>
      <c r="M355" s="1682"/>
      <c r="N355" s="1682"/>
      <c r="O355" s="1682"/>
      <c r="P355" s="1682"/>
      <c r="Q355" s="1682"/>
      <c r="R355" s="1682"/>
      <c r="S355" s="1682"/>
    </row>
    <row r="356" spans="1:19" ht="12.75" customHeight="1">
      <c r="A356" s="1682"/>
      <c r="B356" s="1682"/>
      <c r="C356" s="1682"/>
      <c r="D356" s="1682"/>
      <c r="E356" s="1706"/>
      <c r="F356" s="1706"/>
      <c r="G356" s="1706"/>
      <c r="H356" s="1706"/>
      <c r="I356" s="1707" t="s">
        <v>2510</v>
      </c>
      <c r="J356" s="1682"/>
      <c r="K356" s="1682"/>
      <c r="L356" s="1682"/>
      <c r="M356" s="1661" t="s">
        <v>2510</v>
      </c>
      <c r="N356" s="1665" t="s">
        <v>2907</v>
      </c>
      <c r="O356" s="1665"/>
      <c r="P356" s="1665"/>
      <c r="Q356" s="1665"/>
      <c r="R356" s="1665"/>
      <c r="S356" s="1665"/>
    </row>
    <row r="357" spans="1:19" ht="13.5" customHeight="1">
      <c r="A357" s="1708" t="s">
        <v>3443</v>
      </c>
      <c r="B357" s="1708"/>
      <c r="C357" s="1708"/>
      <c r="D357" s="1708"/>
      <c r="E357" s="1890">
        <f>'Part II-Development Team'!E139</f>
        <v>0</v>
      </c>
      <c r="F357" s="1890">
        <f>'Part II-Development Team'!F139</f>
        <v>0</v>
      </c>
      <c r="G357" s="1890">
        <f>'Part II-Development Team'!G139</f>
        <v>0</v>
      </c>
      <c r="H357" s="1890">
        <f>'Part II-Development Team'!H139</f>
        <v>0</v>
      </c>
      <c r="I357" s="2129" t="str">
        <f>'Part II-Development Team'!I139</f>
        <v>No</v>
      </c>
      <c r="J357" s="2129" t="str">
        <f>'Part II-Development Team'!J139</f>
        <v>No</v>
      </c>
      <c r="K357" s="2130" t="str">
        <f>'Part II-Development Team'!K139</f>
        <v>For Profit</v>
      </c>
      <c r="L357" s="2131">
        <f>'Part II-Development Team'!L139</f>
        <v>1E-4</v>
      </c>
      <c r="M357" s="2129" t="str">
        <f>'Part II-Development Team'!M139</f>
        <v>No</v>
      </c>
      <c r="N357" s="1890">
        <f>'Part II-Development Team'!N139</f>
        <v>0</v>
      </c>
      <c r="O357" s="1890">
        <f>'Part II-Development Team'!O139</f>
        <v>0</v>
      </c>
      <c r="P357" s="1890">
        <f>'Part II-Development Team'!P139</f>
        <v>0</v>
      </c>
      <c r="Q357" s="1890">
        <f>'Part II-Development Team'!Q139</f>
        <v>0</v>
      </c>
      <c r="R357" s="1890">
        <f>'Part II-Development Team'!R139</f>
        <v>0</v>
      </c>
      <c r="S357" s="1890">
        <f>'Part II-Development Team'!S139</f>
        <v>0</v>
      </c>
    </row>
    <row r="358" spans="1:19" ht="13.5" customHeight="1">
      <c r="A358" s="1708" t="s">
        <v>3444</v>
      </c>
      <c r="B358" s="1708"/>
      <c r="C358" s="1708"/>
      <c r="D358" s="1708"/>
      <c r="E358" s="1890">
        <f>'Part II-Development Team'!E140</f>
        <v>0</v>
      </c>
      <c r="F358" s="1890">
        <f>'Part II-Development Team'!F140</f>
        <v>0</v>
      </c>
      <c r="G358" s="1890">
        <f>'Part II-Development Team'!G140</f>
        <v>0</v>
      </c>
      <c r="H358" s="1890">
        <f>'Part II-Development Team'!H140</f>
        <v>0</v>
      </c>
      <c r="I358" s="2129" t="str">
        <f>'Part II-Development Team'!I140</f>
        <v>Select</v>
      </c>
      <c r="J358" s="2129" t="str">
        <f>'Part II-Development Team'!J140</f>
        <v>Select</v>
      </c>
      <c r="K358" s="2130">
        <f>'Part II-Development Team'!K140</f>
        <v>0</v>
      </c>
      <c r="L358" s="2131">
        <f>'Part II-Development Team'!L140</f>
        <v>0</v>
      </c>
      <c r="M358" s="2129" t="str">
        <f>'Part II-Development Team'!M140</f>
        <v>Select</v>
      </c>
      <c r="N358" s="1890">
        <f>'Part II-Development Team'!N140</f>
        <v>0</v>
      </c>
      <c r="O358" s="1890">
        <f>'Part II-Development Team'!O140</f>
        <v>0</v>
      </c>
      <c r="P358" s="1890">
        <f>'Part II-Development Team'!P140</f>
        <v>0</v>
      </c>
      <c r="Q358" s="1890">
        <f>'Part II-Development Team'!Q140</f>
        <v>0</v>
      </c>
      <c r="R358" s="1890">
        <f>'Part II-Development Team'!R140</f>
        <v>0</v>
      </c>
      <c r="S358" s="1890">
        <f>'Part II-Development Team'!S140</f>
        <v>0</v>
      </c>
    </row>
    <row r="359" spans="1:19" ht="13.5" customHeight="1">
      <c r="A359" s="1708" t="s">
        <v>3445</v>
      </c>
      <c r="B359" s="1708"/>
      <c r="C359" s="1708"/>
      <c r="D359" s="1708"/>
      <c r="E359" s="1890">
        <f>'Part II-Development Team'!E141</f>
        <v>0</v>
      </c>
      <c r="F359" s="1890">
        <f>'Part II-Development Team'!F141</f>
        <v>0</v>
      </c>
      <c r="G359" s="1890">
        <f>'Part II-Development Team'!G141</f>
        <v>0</v>
      </c>
      <c r="H359" s="1890">
        <f>'Part II-Development Team'!H141</f>
        <v>0</v>
      </c>
      <c r="I359" s="2129" t="str">
        <f>'Part II-Development Team'!I141</f>
        <v>Select</v>
      </c>
      <c r="J359" s="2129" t="str">
        <f>'Part II-Development Team'!J141</f>
        <v>Select</v>
      </c>
      <c r="K359" s="2130">
        <f>'Part II-Development Team'!K141</f>
        <v>0</v>
      </c>
      <c r="L359" s="2131">
        <f>'Part II-Development Team'!L141</f>
        <v>0</v>
      </c>
      <c r="M359" s="2129" t="str">
        <f>'Part II-Development Team'!M141</f>
        <v>Select</v>
      </c>
      <c r="N359" s="1890">
        <f>'Part II-Development Team'!N141</f>
        <v>0</v>
      </c>
      <c r="O359" s="1890">
        <f>'Part II-Development Team'!O141</f>
        <v>0</v>
      </c>
      <c r="P359" s="1890">
        <f>'Part II-Development Team'!P141</f>
        <v>0</v>
      </c>
      <c r="Q359" s="1890">
        <f>'Part II-Development Team'!Q141</f>
        <v>0</v>
      </c>
      <c r="R359" s="1890">
        <f>'Part II-Development Team'!R141</f>
        <v>0</v>
      </c>
      <c r="S359" s="1890">
        <f>'Part II-Development Team'!S141</f>
        <v>0</v>
      </c>
    </row>
    <row r="360" spans="1:19" ht="13.5" customHeight="1">
      <c r="A360" s="1708" t="s">
        <v>3446</v>
      </c>
      <c r="B360" s="1708"/>
      <c r="C360" s="1708"/>
      <c r="D360" s="1708"/>
      <c r="E360" s="1890">
        <f>'Part II-Development Team'!E142</f>
        <v>0</v>
      </c>
      <c r="F360" s="1890">
        <f>'Part II-Development Team'!F142</f>
        <v>0</v>
      </c>
      <c r="G360" s="1890">
        <f>'Part II-Development Team'!G142</f>
        <v>0</v>
      </c>
      <c r="H360" s="1890">
        <f>'Part II-Development Team'!H142</f>
        <v>0</v>
      </c>
      <c r="I360" s="2129" t="str">
        <f>'Part II-Development Team'!I142</f>
        <v>No</v>
      </c>
      <c r="J360" s="2129" t="str">
        <f>'Part II-Development Team'!J142</f>
        <v>No</v>
      </c>
      <c r="K360" s="2130" t="str">
        <f>'Part II-Development Team'!K142</f>
        <v>For Profit</v>
      </c>
      <c r="L360" s="2131">
        <f>'Part II-Development Team'!L142</f>
        <v>0.9899</v>
      </c>
      <c r="M360" s="2129" t="str">
        <f>'Part II-Development Team'!M142</f>
        <v>No</v>
      </c>
      <c r="N360" s="1890">
        <f>'Part II-Development Team'!N142</f>
        <v>0</v>
      </c>
      <c r="O360" s="1890">
        <f>'Part II-Development Team'!O142</f>
        <v>0</v>
      </c>
      <c r="P360" s="1890">
        <f>'Part II-Development Team'!P142</f>
        <v>0</v>
      </c>
      <c r="Q360" s="1890">
        <f>'Part II-Development Team'!Q142</f>
        <v>0</v>
      </c>
      <c r="R360" s="1890">
        <f>'Part II-Development Team'!R142</f>
        <v>0</v>
      </c>
      <c r="S360" s="1890">
        <f>'Part II-Development Team'!S142</f>
        <v>0</v>
      </c>
    </row>
    <row r="361" spans="1:19" ht="13.5" customHeight="1">
      <c r="A361" s="1708" t="s">
        <v>3447</v>
      </c>
      <c r="B361" s="1708"/>
      <c r="C361" s="1708"/>
      <c r="D361" s="1708"/>
      <c r="E361" s="1890">
        <f>'Part II-Development Team'!E143</f>
        <v>0</v>
      </c>
      <c r="F361" s="1890">
        <f>'Part II-Development Team'!F143</f>
        <v>0</v>
      </c>
      <c r="G361" s="1890">
        <f>'Part II-Development Team'!G143</f>
        <v>0</v>
      </c>
      <c r="H361" s="1890">
        <f>'Part II-Development Team'!H143</f>
        <v>0</v>
      </c>
      <c r="I361" s="2129" t="str">
        <f>'Part II-Development Team'!I143</f>
        <v>No</v>
      </c>
      <c r="J361" s="2129" t="str">
        <f>'Part II-Development Team'!J143</f>
        <v>No</v>
      </c>
      <c r="K361" s="2130" t="str">
        <f>'Part II-Development Team'!K143</f>
        <v>For Profit</v>
      </c>
      <c r="L361" s="2131">
        <f>'Part II-Development Team'!L143</f>
        <v>0.01</v>
      </c>
      <c r="M361" s="2129" t="str">
        <f>'Part II-Development Team'!M143</f>
        <v>No</v>
      </c>
      <c r="N361" s="1890">
        <f>'Part II-Development Team'!N143</f>
        <v>0</v>
      </c>
      <c r="O361" s="1890">
        <f>'Part II-Development Team'!O143</f>
        <v>0</v>
      </c>
      <c r="P361" s="1890">
        <f>'Part II-Development Team'!P143</f>
        <v>0</v>
      </c>
      <c r="Q361" s="1890">
        <f>'Part II-Development Team'!Q143</f>
        <v>0</v>
      </c>
      <c r="R361" s="1890">
        <f>'Part II-Development Team'!R143</f>
        <v>0</v>
      </c>
      <c r="S361" s="1890">
        <f>'Part II-Development Team'!S143</f>
        <v>0</v>
      </c>
    </row>
    <row r="362" spans="1:19" ht="13.5" customHeight="1">
      <c r="A362" s="1708" t="s">
        <v>2895</v>
      </c>
      <c r="B362" s="1708"/>
      <c r="C362" s="1708"/>
      <c r="D362" s="1708"/>
      <c r="E362" s="1890">
        <f>'Part II-Development Team'!E144</f>
        <v>0</v>
      </c>
      <c r="F362" s="1890">
        <f>'Part II-Development Team'!F144</f>
        <v>0</v>
      </c>
      <c r="G362" s="1890">
        <f>'Part II-Development Team'!G144</f>
        <v>0</v>
      </c>
      <c r="H362" s="1890">
        <f>'Part II-Development Team'!H144</f>
        <v>0</v>
      </c>
      <c r="I362" s="2129" t="str">
        <f>'Part II-Development Team'!I144</f>
        <v>Select</v>
      </c>
      <c r="J362" s="2129" t="str">
        <f>'Part II-Development Team'!J144</f>
        <v>Select</v>
      </c>
      <c r="K362" s="2130">
        <f>'Part II-Development Team'!K144</f>
        <v>0</v>
      </c>
      <c r="L362" s="2131">
        <f>'Part II-Development Team'!L144</f>
        <v>0</v>
      </c>
      <c r="M362" s="2129" t="str">
        <f>'Part II-Development Team'!M144</f>
        <v>Select</v>
      </c>
      <c r="N362" s="1890">
        <f>'Part II-Development Team'!N144</f>
        <v>0</v>
      </c>
      <c r="O362" s="1890">
        <f>'Part II-Development Team'!O144</f>
        <v>0</v>
      </c>
      <c r="P362" s="1890">
        <f>'Part II-Development Team'!P144</f>
        <v>0</v>
      </c>
      <c r="Q362" s="1890">
        <f>'Part II-Development Team'!Q144</f>
        <v>0</v>
      </c>
      <c r="R362" s="1890">
        <f>'Part II-Development Team'!R144</f>
        <v>0</v>
      </c>
      <c r="S362" s="1890">
        <f>'Part II-Development Team'!S144</f>
        <v>0</v>
      </c>
    </row>
    <row r="363" spans="1:19" ht="13.5">
      <c r="A363" s="1708" t="s">
        <v>653</v>
      </c>
      <c r="B363" s="1708"/>
      <c r="C363" s="1708"/>
      <c r="D363" s="1708"/>
      <c r="E363" s="1890">
        <f>'Part II-Development Team'!E145</f>
        <v>0</v>
      </c>
      <c r="F363" s="1890">
        <f>'Part II-Development Team'!F145</f>
        <v>0</v>
      </c>
      <c r="G363" s="1890">
        <f>'Part II-Development Team'!G145</f>
        <v>0</v>
      </c>
      <c r="H363" s="1890">
        <f>'Part II-Development Team'!H145</f>
        <v>0</v>
      </c>
      <c r="I363" s="2129" t="str">
        <f>'Part II-Development Team'!I145</f>
        <v>No</v>
      </c>
      <c r="J363" s="2129" t="str">
        <f>'Part II-Development Team'!J145</f>
        <v>No</v>
      </c>
      <c r="K363" s="2130" t="str">
        <f>'Part II-Development Team'!K145</f>
        <v>For Profit</v>
      </c>
      <c r="L363" s="2131">
        <f>'Part II-Development Team'!L145</f>
        <v>0</v>
      </c>
      <c r="M363" s="2129" t="str">
        <f>'Part II-Development Team'!M145</f>
        <v>No</v>
      </c>
      <c r="N363" s="1890">
        <f>'Part II-Development Team'!N145</f>
        <v>0</v>
      </c>
      <c r="O363" s="1890">
        <f>'Part II-Development Team'!O145</f>
        <v>0</v>
      </c>
      <c r="P363" s="1890">
        <f>'Part II-Development Team'!P145</f>
        <v>0</v>
      </c>
      <c r="Q363" s="1890">
        <f>'Part II-Development Team'!Q145</f>
        <v>0</v>
      </c>
      <c r="R363" s="1890">
        <f>'Part II-Development Team'!R145</f>
        <v>0</v>
      </c>
      <c r="S363" s="1890">
        <f>'Part II-Development Team'!S145</f>
        <v>0</v>
      </c>
    </row>
    <row r="364" spans="1:19" ht="13.5" customHeight="1">
      <c r="A364" s="1708" t="s">
        <v>2896</v>
      </c>
      <c r="B364" s="1708"/>
      <c r="C364" s="1708"/>
      <c r="D364" s="1708"/>
      <c r="E364" s="1890">
        <f>'Part II-Development Team'!E146</f>
        <v>0</v>
      </c>
      <c r="F364" s="1890">
        <f>'Part II-Development Team'!F146</f>
        <v>0</v>
      </c>
      <c r="G364" s="1890">
        <f>'Part II-Development Team'!G146</f>
        <v>0</v>
      </c>
      <c r="H364" s="1890">
        <f>'Part II-Development Team'!H146</f>
        <v>0</v>
      </c>
      <c r="I364" s="2129" t="str">
        <f>'Part II-Development Team'!I146</f>
        <v>No</v>
      </c>
      <c r="J364" s="2129" t="str">
        <f>'Part II-Development Team'!J146</f>
        <v>No</v>
      </c>
      <c r="K364" s="2130" t="str">
        <f>'Part II-Development Team'!K146</f>
        <v>For Profit</v>
      </c>
      <c r="L364" s="2131">
        <f>'Part II-Development Team'!L146</f>
        <v>0</v>
      </c>
      <c r="M364" s="2129" t="str">
        <f>'Part II-Development Team'!M146</f>
        <v>No</v>
      </c>
      <c r="N364" s="1890">
        <f>'Part II-Development Team'!N146</f>
        <v>0</v>
      </c>
      <c r="O364" s="1890">
        <f>'Part II-Development Team'!O146</f>
        <v>0</v>
      </c>
      <c r="P364" s="1890">
        <f>'Part II-Development Team'!P146</f>
        <v>0</v>
      </c>
      <c r="Q364" s="1890">
        <f>'Part II-Development Team'!Q146</f>
        <v>0</v>
      </c>
      <c r="R364" s="1890">
        <f>'Part II-Development Team'!R146</f>
        <v>0</v>
      </c>
      <c r="S364" s="1890">
        <f>'Part II-Development Team'!S146</f>
        <v>0</v>
      </c>
    </row>
    <row r="365" spans="1:19" ht="13.5" customHeight="1">
      <c r="A365" s="1708" t="s">
        <v>2897</v>
      </c>
      <c r="B365" s="1708"/>
      <c r="C365" s="1708"/>
      <c r="D365" s="1708"/>
      <c r="E365" s="1890">
        <f>'Part II-Development Team'!E147</f>
        <v>0</v>
      </c>
      <c r="F365" s="1890">
        <f>'Part II-Development Team'!F147</f>
        <v>0</v>
      </c>
      <c r="G365" s="1890">
        <f>'Part II-Development Team'!G147</f>
        <v>0</v>
      </c>
      <c r="H365" s="1890">
        <f>'Part II-Development Team'!H147</f>
        <v>0</v>
      </c>
      <c r="I365" s="2129" t="str">
        <f>'Part II-Development Team'!I147</f>
        <v>Select</v>
      </c>
      <c r="J365" s="2129" t="str">
        <f>'Part II-Development Team'!J147</f>
        <v>Select</v>
      </c>
      <c r="K365" s="2130">
        <f>'Part II-Development Team'!K147</f>
        <v>0</v>
      </c>
      <c r="L365" s="2131">
        <f>'Part II-Development Team'!L147</f>
        <v>0</v>
      </c>
      <c r="M365" s="2129" t="str">
        <f>'Part II-Development Team'!M147</f>
        <v>Select</v>
      </c>
      <c r="N365" s="1890">
        <f>'Part II-Development Team'!N147</f>
        <v>0</v>
      </c>
      <c r="O365" s="1890">
        <f>'Part II-Development Team'!O147</f>
        <v>0</v>
      </c>
      <c r="P365" s="1890">
        <f>'Part II-Development Team'!P147</f>
        <v>0</v>
      </c>
      <c r="Q365" s="1890">
        <f>'Part II-Development Team'!Q147</f>
        <v>0</v>
      </c>
      <c r="R365" s="1890">
        <f>'Part II-Development Team'!R147</f>
        <v>0</v>
      </c>
      <c r="S365" s="1890">
        <f>'Part II-Development Team'!S147</f>
        <v>0</v>
      </c>
    </row>
    <row r="366" spans="1:19" ht="13.5" customHeight="1">
      <c r="A366" s="1708" t="s">
        <v>2899</v>
      </c>
      <c r="B366" s="1708"/>
      <c r="C366" s="1708"/>
      <c r="D366" s="1708"/>
      <c r="E366" s="1890">
        <f>'Part II-Development Team'!E148</f>
        <v>0</v>
      </c>
      <c r="F366" s="1890">
        <f>'Part II-Development Team'!F148</f>
        <v>0</v>
      </c>
      <c r="G366" s="1890">
        <f>'Part II-Development Team'!G148</f>
        <v>0</v>
      </c>
      <c r="H366" s="1890">
        <f>'Part II-Development Team'!H148</f>
        <v>0</v>
      </c>
      <c r="I366" s="2129" t="str">
        <f>'Part II-Development Team'!I148</f>
        <v>Select</v>
      </c>
      <c r="J366" s="2129" t="str">
        <f>'Part II-Development Team'!J148</f>
        <v>Select</v>
      </c>
      <c r="K366" s="2130">
        <f>'Part II-Development Team'!K148</f>
        <v>0</v>
      </c>
      <c r="L366" s="2131">
        <f>'Part II-Development Team'!L148</f>
        <v>0</v>
      </c>
      <c r="M366" s="2129" t="str">
        <f>'Part II-Development Team'!M148</f>
        <v>Select</v>
      </c>
      <c r="N366" s="1890">
        <f>'Part II-Development Team'!N148</f>
        <v>0</v>
      </c>
      <c r="O366" s="1890">
        <f>'Part II-Development Team'!O148</f>
        <v>0</v>
      </c>
      <c r="P366" s="1890">
        <f>'Part II-Development Team'!P148</f>
        <v>0</v>
      </c>
      <c r="Q366" s="1890">
        <f>'Part II-Development Team'!Q148</f>
        <v>0</v>
      </c>
      <c r="R366" s="1890">
        <f>'Part II-Development Team'!R148</f>
        <v>0</v>
      </c>
      <c r="S366" s="1890">
        <f>'Part II-Development Team'!S148</f>
        <v>0</v>
      </c>
    </row>
    <row r="367" spans="1:19" ht="13.5" customHeight="1">
      <c r="A367" s="1708" t="s">
        <v>2898</v>
      </c>
      <c r="B367" s="1708"/>
      <c r="C367" s="1708"/>
      <c r="D367" s="1708"/>
      <c r="E367" s="1890">
        <f>'Part II-Development Team'!E149</f>
        <v>0</v>
      </c>
      <c r="F367" s="1890">
        <f>'Part II-Development Team'!F149</f>
        <v>0</v>
      </c>
      <c r="G367" s="1890">
        <f>'Part II-Development Team'!G149</f>
        <v>0</v>
      </c>
      <c r="H367" s="1890">
        <f>'Part II-Development Team'!H149</f>
        <v>0</v>
      </c>
      <c r="I367" s="2129" t="str">
        <f>'Part II-Development Team'!I149</f>
        <v>Select</v>
      </c>
      <c r="J367" s="2129" t="str">
        <f>'Part II-Development Team'!J149</f>
        <v>Select</v>
      </c>
      <c r="K367" s="2130">
        <f>'Part II-Development Team'!K149</f>
        <v>0</v>
      </c>
      <c r="L367" s="2131">
        <f>'Part II-Development Team'!L149</f>
        <v>0</v>
      </c>
      <c r="M367" s="2129" t="str">
        <f>'Part II-Development Team'!M149</f>
        <v>Select</v>
      </c>
      <c r="N367" s="1890">
        <f>'Part II-Development Team'!N149</f>
        <v>0</v>
      </c>
      <c r="O367" s="1890">
        <f>'Part II-Development Team'!O149</f>
        <v>0</v>
      </c>
      <c r="P367" s="1890">
        <f>'Part II-Development Team'!P149</f>
        <v>0</v>
      </c>
      <c r="Q367" s="1890">
        <f>'Part II-Development Team'!Q149</f>
        <v>0</v>
      </c>
      <c r="R367" s="1890">
        <f>'Part II-Development Team'!R149</f>
        <v>0</v>
      </c>
      <c r="S367" s="1890">
        <f>'Part II-Development Team'!S149</f>
        <v>0</v>
      </c>
    </row>
    <row r="368" spans="1:19" ht="13.5">
      <c r="A368" s="1708" t="s">
        <v>1529</v>
      </c>
      <c r="B368" s="1708"/>
      <c r="C368" s="1708"/>
      <c r="D368" s="1708"/>
      <c r="E368" s="1890">
        <f>'Part II-Development Team'!E150</f>
        <v>0</v>
      </c>
      <c r="F368" s="1890">
        <f>'Part II-Development Team'!F150</f>
        <v>0</v>
      </c>
      <c r="G368" s="1890">
        <f>'Part II-Development Team'!G150</f>
        <v>0</v>
      </c>
      <c r="H368" s="1890">
        <f>'Part II-Development Team'!H150</f>
        <v>0</v>
      </c>
      <c r="I368" s="2129" t="str">
        <f>'Part II-Development Team'!I150</f>
        <v>No</v>
      </c>
      <c r="J368" s="2129" t="str">
        <f>'Part II-Development Team'!J150</f>
        <v>No</v>
      </c>
      <c r="K368" s="2130" t="str">
        <f>'Part II-Development Team'!K150</f>
        <v>For Profit</v>
      </c>
      <c r="L368" s="2131">
        <f>'Part II-Development Team'!L150</f>
        <v>0</v>
      </c>
      <c r="M368" s="2129" t="str">
        <f>'Part II-Development Team'!M150</f>
        <v>No</v>
      </c>
      <c r="N368" s="1890">
        <f>'Part II-Development Team'!N150</f>
        <v>0</v>
      </c>
      <c r="O368" s="1890">
        <f>'Part II-Development Team'!O150</f>
        <v>0</v>
      </c>
      <c r="P368" s="1890">
        <f>'Part II-Development Team'!P150</f>
        <v>0</v>
      </c>
      <c r="Q368" s="1890">
        <f>'Part II-Development Team'!Q150</f>
        <v>0</v>
      </c>
      <c r="R368" s="1890">
        <f>'Part II-Development Team'!R150</f>
        <v>0</v>
      </c>
      <c r="S368" s="1890">
        <f>'Part II-Development Team'!S150</f>
        <v>0</v>
      </c>
    </row>
    <row r="369" spans="1:20" ht="13.5" customHeight="1">
      <c r="A369" s="1708" t="s">
        <v>2900</v>
      </c>
      <c r="B369" s="1708"/>
      <c r="C369" s="1708"/>
      <c r="D369" s="1708"/>
      <c r="E369" s="1890">
        <f>'Part II-Development Team'!E151</f>
        <v>0</v>
      </c>
      <c r="F369" s="1890">
        <f>'Part II-Development Team'!F151</f>
        <v>0</v>
      </c>
      <c r="G369" s="1890">
        <f>'Part II-Development Team'!G151</f>
        <v>0</v>
      </c>
      <c r="H369" s="1890">
        <f>'Part II-Development Team'!H151</f>
        <v>0</v>
      </c>
      <c r="I369" s="2129" t="str">
        <f>'Part II-Development Team'!I151</f>
        <v>No</v>
      </c>
      <c r="J369" s="2129" t="str">
        <f>'Part II-Development Team'!J151</f>
        <v>No</v>
      </c>
      <c r="K369" s="2130" t="str">
        <f>'Part II-Development Team'!K151</f>
        <v>For Profit</v>
      </c>
      <c r="L369" s="2131">
        <f>'Part II-Development Team'!L151</f>
        <v>0</v>
      </c>
      <c r="M369" s="2129" t="str">
        <f>'Part II-Development Team'!M151</f>
        <v>No</v>
      </c>
      <c r="N369" s="1890">
        <f>'Part II-Development Team'!N151</f>
        <v>0</v>
      </c>
      <c r="O369" s="1890">
        <f>'Part II-Development Team'!O151</f>
        <v>0</v>
      </c>
      <c r="P369" s="1890">
        <f>'Part II-Development Team'!P151</f>
        <v>0</v>
      </c>
      <c r="Q369" s="1890">
        <f>'Part II-Development Team'!Q151</f>
        <v>0</v>
      </c>
      <c r="R369" s="1890">
        <f>'Part II-Development Team'!R151</f>
        <v>0</v>
      </c>
      <c r="S369" s="1890">
        <f>'Part II-Development Team'!S151</f>
        <v>0</v>
      </c>
    </row>
    <row r="370" spans="1:20">
      <c r="A370" s="1647"/>
      <c r="B370" s="1647"/>
      <c r="C370" s="1647"/>
      <c r="D370" s="1647"/>
      <c r="E370" s="1647"/>
      <c r="F370" s="1647"/>
      <c r="G370" s="1647"/>
      <c r="H370" s="1647"/>
      <c r="I370" s="1647"/>
      <c r="J370" s="1651"/>
      <c r="K370" s="1685" t="s">
        <v>539</v>
      </c>
      <c r="L370" s="1709">
        <f>SUM(L357:S369)</f>
        <v>1</v>
      </c>
      <c r="M370" s="1651"/>
      <c r="N370" s="1647"/>
      <c r="O370" s="1647"/>
      <c r="P370" s="1653"/>
      <c r="Q370" s="1647"/>
      <c r="R370" s="1647"/>
      <c r="S370" s="1647"/>
    </row>
    <row r="371" spans="1:20">
      <c r="A371" s="1653" t="s">
        <v>530</v>
      </c>
      <c r="B371" s="1665"/>
      <c r="C371" s="1653" t="s">
        <v>572</v>
      </c>
      <c r="D371" s="1653"/>
      <c r="E371" s="1653"/>
      <c r="F371" s="1653"/>
      <c r="G371" s="1653"/>
      <c r="H371" s="1653"/>
      <c r="I371" s="1653"/>
      <c r="J371" s="1653"/>
      <c r="K371" s="1653"/>
      <c r="L371" s="1653"/>
      <c r="M371" s="1653"/>
      <c r="N371" s="1653" t="s">
        <v>530</v>
      </c>
      <c r="O371" s="1653" t="s">
        <v>79</v>
      </c>
      <c r="P371" s="1653"/>
      <c r="Q371" s="1653"/>
      <c r="R371" s="1653"/>
      <c r="S371" s="1653"/>
    </row>
    <row r="372" spans="1:20" ht="13.5">
      <c r="A372" s="1708">
        <f>'Part II-Development Team'!A154</f>
        <v>0</v>
      </c>
      <c r="B372" s="1708"/>
      <c r="C372" s="1708"/>
      <c r="D372" s="1708"/>
      <c r="E372" s="1708"/>
      <c r="F372" s="1708"/>
      <c r="G372" s="1708"/>
      <c r="H372" s="1708"/>
      <c r="I372" s="1708"/>
      <c r="J372" s="1708"/>
      <c r="K372" s="1708"/>
      <c r="L372" s="1708"/>
      <c r="M372" s="1708"/>
      <c r="N372" s="1708">
        <f>'Part II-Development Team'!N154</f>
        <v>0</v>
      </c>
      <c r="O372" s="1708"/>
      <c r="P372" s="1708"/>
      <c r="Q372" s="1708"/>
      <c r="R372" s="1708"/>
      <c r="S372" s="1708"/>
    </row>
    <row r="378" spans="1:20" ht="13.5">
      <c r="A378" s="1647" t="str">
        <f>CONCATENATE("PART THREE - SOURCES OF FUNDS","  -  ",'Part I-Project Information'!$O$6," ",'Part I-Project Information'!$F$34,", ",'Part I-Project Information'!$F$38,", ",'Part I-Project Information'!$J$39," County")</f>
        <v>PART THREE - SOURCES OF FUNDS  -  2019-5 Stone Terrace Phase II, Stonecrest, DeKalb County</v>
      </c>
      <c r="B378" s="1647"/>
      <c r="C378" s="1647"/>
      <c r="D378" s="1647"/>
      <c r="E378" s="1647"/>
      <c r="F378" s="1647"/>
      <c r="G378" s="1647"/>
      <c r="H378" s="1647"/>
      <c r="I378" s="1647"/>
      <c r="J378" s="1647"/>
      <c r="K378" s="1647"/>
      <c r="L378" s="1647"/>
      <c r="M378" s="1647"/>
      <c r="N378" s="1647"/>
      <c r="O378" s="1647"/>
      <c r="P378" s="1647"/>
      <c r="Q378" s="1647"/>
      <c r="R378" s="1710"/>
      <c r="S378" s="1710" t="str">
        <f>$A$1</f>
        <v>Project Narrative</v>
      </c>
      <c r="T378" s="1710"/>
    </row>
    <row r="379" spans="1:20" ht="13.5">
      <c r="A379" s="1653"/>
      <c r="B379" s="1653"/>
      <c r="C379" s="1653"/>
      <c r="D379" s="1653"/>
      <c r="E379" s="1653"/>
      <c r="F379" s="1653"/>
      <c r="G379" s="1631"/>
      <c r="H379" s="1631"/>
      <c r="I379" s="1631"/>
      <c r="J379" s="1631"/>
      <c r="K379" s="1631"/>
      <c r="L379" s="1631"/>
      <c r="M379" s="1715"/>
      <c r="N379" s="1715"/>
      <c r="O379" s="1715"/>
      <c r="P379" s="1715"/>
      <c r="Q379" s="1715"/>
      <c r="R379" s="1715"/>
      <c r="S379" s="1715"/>
      <c r="T379" s="1715"/>
    </row>
    <row r="380" spans="1:20" ht="16.5">
      <c r="A380" s="1647" t="s">
        <v>616</v>
      </c>
      <c r="B380" s="1647" t="s">
        <v>2491</v>
      </c>
      <c r="C380" s="1647"/>
      <c r="D380" s="1647"/>
      <c r="E380" s="1647"/>
      <c r="F380" s="1647"/>
      <c r="G380" s="1647"/>
      <c r="H380" s="1710"/>
      <c r="I380" s="1710"/>
      <c r="J380" s="1710"/>
      <c r="K380" s="1710"/>
      <c r="L380" s="2726" t="str">
        <f>'Part I-Project Information'!$B$6</f>
        <v>May 2019 Final</v>
      </c>
      <c r="M380" s="2726"/>
      <c r="N380" s="2726"/>
      <c r="O380" s="2726"/>
      <c r="P380" s="2726"/>
      <c r="Q380" s="1710"/>
      <c r="R380" s="1710"/>
      <c r="S380" s="1710" t="str">
        <f>B380</f>
        <v>GOVERNMENT FUNDING SOURCES  (check all that apply)</v>
      </c>
      <c r="T380" s="1710"/>
    </row>
    <row r="381" spans="1:20" ht="13.5">
      <c r="A381" s="1653"/>
      <c r="B381" s="1651"/>
      <c r="C381" s="1653"/>
      <c r="D381" s="1647"/>
      <c r="E381" s="1647"/>
      <c r="F381" s="1647"/>
      <c r="G381" s="1647"/>
      <c r="H381" s="1710"/>
      <c r="I381" s="1710"/>
      <c r="J381" s="1710"/>
      <c r="K381" s="1710"/>
      <c r="L381" s="1710"/>
      <c r="M381" s="1710"/>
      <c r="N381" s="1710"/>
      <c r="O381" s="1710"/>
      <c r="P381" s="1710"/>
      <c r="Q381" s="1710"/>
      <c r="R381" s="1710"/>
      <c r="S381" s="2111" t="s">
        <v>2683</v>
      </c>
      <c r="T381" s="2111"/>
    </row>
    <row r="382" spans="1:20" ht="13.5">
      <c r="A382" s="1651"/>
      <c r="B382" s="1651" t="str">
        <f>'Part III-Sources of Funds'!B5</f>
        <v>Yes</v>
      </c>
      <c r="C382" s="1654" t="s">
        <v>2410</v>
      </c>
      <c r="D382" s="1647"/>
      <c r="E382" s="1651" t="str">
        <f>'Part III-Sources of Funds'!E5</f>
        <v>No</v>
      </c>
      <c r="F382" s="1654" t="s">
        <v>4505</v>
      </c>
      <c r="G382" s="1647"/>
      <c r="H382" s="2132">
        <f>'Part III-Sources of Funds'!H5</f>
        <v>0</v>
      </c>
      <c r="I382" s="1631">
        <f>'Part III-Sources of Funds'!I5</f>
        <v>0</v>
      </c>
      <c r="J382" s="1710"/>
      <c r="K382" s="1710"/>
      <c r="L382" s="1651" t="str">
        <f>'Part III-Sources of Funds'!L5</f>
        <v>No</v>
      </c>
      <c r="M382" s="1654" t="s">
        <v>1537</v>
      </c>
      <c r="N382" s="1710"/>
      <c r="O382" s="1710"/>
      <c r="P382" s="1710"/>
      <c r="Q382" s="1710"/>
      <c r="R382" s="1710"/>
      <c r="S382" s="1708">
        <f>'Part III-Sources of Funds'!S5</f>
        <v>0</v>
      </c>
      <c r="T382" s="1708">
        <f>'Part III-Sources of Funds'!T5</f>
        <v>0</v>
      </c>
    </row>
    <row r="383" spans="1:20" ht="13.5">
      <c r="A383" s="1651"/>
      <c r="B383" s="1651" t="str">
        <f>'Part III-Sources of Funds'!B6</f>
        <v>No</v>
      </c>
      <c r="C383" s="1654" t="s">
        <v>5011</v>
      </c>
      <c r="D383" s="1647"/>
      <c r="E383" s="1651" t="str">
        <f>'Part III-Sources of Funds'!E6</f>
        <v>No</v>
      </c>
      <c r="F383" s="1654" t="s">
        <v>4506</v>
      </c>
      <c r="G383" s="1710"/>
      <c r="H383" s="2132">
        <f>'Part III-Sources of Funds'!H6</f>
        <v>0</v>
      </c>
      <c r="I383" s="1631">
        <f>'Part III-Sources of Funds'!I6</f>
        <v>0</v>
      </c>
      <c r="J383" s="1710"/>
      <c r="K383" s="1710"/>
      <c r="L383" s="1651" t="str">
        <f>'Part III-Sources of Funds'!L6</f>
        <v>No</v>
      </c>
      <c r="M383" s="1654" t="s">
        <v>549</v>
      </c>
      <c r="N383" s="1710"/>
      <c r="O383" s="1710"/>
      <c r="P383" s="1710"/>
      <c r="Q383" s="1710"/>
      <c r="R383" s="1710"/>
      <c r="S383" s="1708">
        <f>'Part III-Sources of Funds'!S6</f>
        <v>0</v>
      </c>
      <c r="T383" s="1708">
        <f>'Part III-Sources of Funds'!T6</f>
        <v>0</v>
      </c>
    </row>
    <row r="384" spans="1:20" ht="13.5">
      <c r="A384" s="1647"/>
      <c r="B384" s="1651" t="str">
        <f>'Part III-Sources of Funds'!B7</f>
        <v>No</v>
      </c>
      <c r="C384" s="1654" t="s">
        <v>551</v>
      </c>
      <c r="D384" s="1710"/>
      <c r="E384" s="1710"/>
      <c r="F384" s="1647" t="s">
        <v>5151</v>
      </c>
      <c r="G384" s="1710"/>
      <c r="H384" s="1710" t="str">
        <f>'Part III-Sources of Funds'!H7</f>
        <v>Specify Other HOME Source here</v>
      </c>
      <c r="I384" s="1710">
        <f>'Part III-Sources of Funds'!I7</f>
        <v>0</v>
      </c>
      <c r="J384" s="1710">
        <f>'Part III-Sources of Funds'!J7</f>
        <v>0</v>
      </c>
      <c r="K384" s="1710"/>
      <c r="L384" s="1651" t="str">
        <f>'Part III-Sources of Funds'!L7</f>
        <v>No</v>
      </c>
      <c r="M384" s="1654" t="s">
        <v>3620</v>
      </c>
      <c r="N384" s="1710"/>
      <c r="O384" s="1710"/>
      <c r="P384" s="1710"/>
      <c r="Q384" s="1710"/>
      <c r="R384" s="1710"/>
      <c r="S384" s="1708">
        <f>'Part III-Sources of Funds'!S7</f>
        <v>0</v>
      </c>
      <c r="T384" s="1708">
        <f>'Part III-Sources of Funds'!T7</f>
        <v>0</v>
      </c>
    </row>
    <row r="385" spans="1:20" ht="13.5">
      <c r="A385" s="1651"/>
      <c r="B385" s="1651" t="str">
        <f>'Part III-Sources of Funds'!B8</f>
        <v>No</v>
      </c>
      <c r="C385" s="1654" t="s">
        <v>2601</v>
      </c>
      <c r="D385" s="1710"/>
      <c r="E385" s="1651" t="str">
        <f>'Part III-Sources of Funds'!E8</f>
        <v>No</v>
      </c>
      <c r="F385" s="1654" t="s">
        <v>2609</v>
      </c>
      <c r="G385" s="1710"/>
      <c r="H385" s="1710"/>
      <c r="I385" s="1710"/>
      <c r="J385" s="1710"/>
      <c r="K385" s="1710"/>
      <c r="L385" s="1651" t="str">
        <f>'Part III-Sources of Funds'!L8</f>
        <v>No</v>
      </c>
      <c r="M385" s="1654" t="s">
        <v>5012</v>
      </c>
      <c r="N385" s="1710"/>
      <c r="O385" s="1710"/>
      <c r="P385" s="1710"/>
      <c r="Q385" s="1710"/>
      <c r="R385" s="1710"/>
      <c r="S385" s="1708">
        <f>'Part III-Sources of Funds'!S8</f>
        <v>0</v>
      </c>
      <c r="T385" s="1708">
        <f>'Part III-Sources of Funds'!T8</f>
        <v>0</v>
      </c>
    </row>
    <row r="386" spans="1:20" ht="13.5">
      <c r="A386" s="1651"/>
      <c r="B386" s="1651" t="str">
        <f>'Part III-Sources of Funds'!B9</f>
        <v>No</v>
      </c>
      <c r="C386" s="1654" t="s">
        <v>2602</v>
      </c>
      <c r="D386" s="1710"/>
      <c r="E386" s="1651" t="str">
        <f>'Part III-Sources of Funds'!E9</f>
        <v>No</v>
      </c>
      <c r="F386" s="1654" t="s">
        <v>3722</v>
      </c>
      <c r="G386" s="1710"/>
      <c r="H386" s="1710" t="str">
        <f>'Part III-Sources of Funds'!H9</f>
        <v>Specify Other PBRA Source here</v>
      </c>
      <c r="I386" s="1710">
        <f>'Part III-Sources of Funds'!I9</f>
        <v>0</v>
      </c>
      <c r="J386" s="1710">
        <f>'Part III-Sources of Funds'!J9</f>
        <v>0</v>
      </c>
      <c r="K386" s="1710"/>
      <c r="L386" s="1651" t="str">
        <f>'Part III-Sources of Funds'!L9</f>
        <v>No</v>
      </c>
      <c r="M386" s="1654" t="s">
        <v>3681</v>
      </c>
      <c r="N386" s="1710"/>
      <c r="O386" s="1710"/>
      <c r="P386" s="1710"/>
      <c r="Q386" s="1710"/>
      <c r="R386" s="1710"/>
      <c r="S386" s="1708">
        <f>'Part III-Sources of Funds'!S9</f>
        <v>0</v>
      </c>
      <c r="T386" s="1708">
        <f>'Part III-Sources of Funds'!T9</f>
        <v>0</v>
      </c>
    </row>
    <row r="387" spans="1:20" ht="13.5">
      <c r="A387" s="1651"/>
      <c r="B387" s="1651" t="str">
        <f>'Part III-Sources of Funds'!B10</f>
        <v>No</v>
      </c>
      <c r="C387" s="1654" t="s">
        <v>3686</v>
      </c>
      <c r="D387" s="1710"/>
      <c r="E387" s="1651" t="str">
        <f>'Part III-Sources of Funds'!E10</f>
        <v>No</v>
      </c>
      <c r="F387" s="1710" t="str">
        <f>'Part III-Sources of Funds'!F10</f>
        <v>Other Type of FEDERAL Funding - describe type/program here</v>
      </c>
      <c r="G387" s="1710">
        <f>'Part III-Sources of Funds'!G10</f>
        <v>0</v>
      </c>
      <c r="H387" s="1710">
        <f>'Part III-Sources of Funds'!H10</f>
        <v>0</v>
      </c>
      <c r="I387" s="1710">
        <f>'Part III-Sources of Funds'!I10</f>
        <v>0</v>
      </c>
      <c r="J387" s="1710">
        <f>'Part III-Sources of Funds'!J10</f>
        <v>0</v>
      </c>
      <c r="K387" s="1710"/>
      <c r="L387" s="1651" t="str">
        <f>'Part III-Sources of Funds'!L10</f>
        <v>No</v>
      </c>
      <c r="M387" s="1647" t="s">
        <v>2610</v>
      </c>
      <c r="N387" s="1710"/>
      <c r="O387" s="1710"/>
      <c r="P387" s="1710"/>
      <c r="Q387" s="1710"/>
      <c r="R387" s="1710"/>
      <c r="S387" s="1708">
        <f>'Part III-Sources of Funds'!S10</f>
        <v>0</v>
      </c>
      <c r="T387" s="1708">
        <f>'Part III-Sources of Funds'!T10</f>
        <v>0</v>
      </c>
    </row>
    <row r="388" spans="1:20" ht="13.5">
      <c r="A388" s="1651"/>
      <c r="B388" s="1651" t="str">
        <f>'Part III-Sources of Funds'!B11</f>
        <v>No</v>
      </c>
      <c r="C388" s="1647" t="s">
        <v>3891</v>
      </c>
      <c r="D388" s="1710"/>
      <c r="E388" s="1710"/>
      <c r="F388" s="1710" t="str">
        <f>'Part III-Sources of Funds'!F11</f>
        <v>Specify Source/Administrator of Other FEDERAL Funding here</v>
      </c>
      <c r="G388" s="1710">
        <f>'Part III-Sources of Funds'!G11</f>
        <v>0</v>
      </c>
      <c r="H388" s="1710">
        <f>'Part III-Sources of Funds'!H11</f>
        <v>0</v>
      </c>
      <c r="I388" s="1710">
        <f>'Part III-Sources of Funds'!I11</f>
        <v>0</v>
      </c>
      <c r="J388" s="1710">
        <f>'Part III-Sources of Funds'!J11</f>
        <v>0</v>
      </c>
      <c r="K388" s="1710"/>
      <c r="L388" s="1651" t="str">
        <f>'Part III-Sources of Funds'!L11</f>
        <v>No</v>
      </c>
      <c r="M388" s="1647" t="s">
        <v>3725</v>
      </c>
      <c r="N388" s="1710"/>
      <c r="O388" s="1710"/>
      <c r="P388" s="1710"/>
      <c r="Q388" s="1710"/>
      <c r="R388" s="1710"/>
      <c r="S388" s="1708">
        <f>'Part III-Sources of Funds'!S11</f>
        <v>0</v>
      </c>
      <c r="T388" s="1708">
        <f>'Part III-Sources of Funds'!T11</f>
        <v>0</v>
      </c>
    </row>
    <row r="389" spans="1:20" ht="13.5">
      <c r="A389" s="1651"/>
      <c r="B389" s="1651" t="str">
        <f>'Part III-Sources of Funds'!B12</f>
        <v>No</v>
      </c>
      <c r="C389" s="1647" t="s">
        <v>2608</v>
      </c>
      <c r="D389" s="1710"/>
      <c r="E389" s="1651" t="str">
        <f>'Part III-Sources of Funds'!E12</f>
        <v>No</v>
      </c>
      <c r="F389" s="1710" t="str">
        <f>'Part III-Sources of Funds'!F12</f>
        <v>Other Type of STATE/LOCAL Funding - describe type/program here</v>
      </c>
      <c r="G389" s="1710">
        <f>'Part III-Sources of Funds'!G12</f>
        <v>0</v>
      </c>
      <c r="H389" s="1710">
        <f>'Part III-Sources of Funds'!H12</f>
        <v>0</v>
      </c>
      <c r="I389" s="1710">
        <f>'Part III-Sources of Funds'!I12</f>
        <v>0</v>
      </c>
      <c r="J389" s="1710">
        <f>'Part III-Sources of Funds'!J12</f>
        <v>0</v>
      </c>
      <c r="K389" s="1710"/>
      <c r="L389" s="1651" t="str">
        <f>'Part III-Sources of Funds'!L12</f>
        <v>No</v>
      </c>
      <c r="M389" s="1647" t="s">
        <v>2796</v>
      </c>
      <c r="N389" s="1710"/>
      <c r="O389" s="1710"/>
      <c r="P389" s="1710"/>
      <c r="Q389" s="1710"/>
      <c r="R389" s="1710"/>
      <c r="S389" s="1708">
        <f>'Part III-Sources of Funds'!S12</f>
        <v>0</v>
      </c>
      <c r="T389" s="1708">
        <f>'Part III-Sources of Funds'!T12</f>
        <v>0</v>
      </c>
    </row>
    <row r="390" spans="1:20" ht="13.5">
      <c r="A390" s="1651"/>
      <c r="B390" s="1651" t="str">
        <f>'Part III-Sources of Funds'!B13</f>
        <v>No</v>
      </c>
      <c r="C390" s="1647" t="s">
        <v>3720</v>
      </c>
      <c r="D390" s="1710"/>
      <c r="E390" s="1710"/>
      <c r="F390" s="1710" t="str">
        <f>'Part III-Sources of Funds'!F13</f>
        <v>Specify Source/Administrator of Other STATE/LOCAL Funding here</v>
      </c>
      <c r="G390" s="1710">
        <f>'Part III-Sources of Funds'!G13</f>
        <v>0</v>
      </c>
      <c r="H390" s="1710">
        <f>'Part III-Sources of Funds'!H13</f>
        <v>0</v>
      </c>
      <c r="I390" s="1710">
        <f>'Part III-Sources of Funds'!I13</f>
        <v>0</v>
      </c>
      <c r="J390" s="1710">
        <f>'Part III-Sources of Funds'!J13</f>
        <v>0</v>
      </c>
      <c r="K390" s="1710"/>
      <c r="L390" s="1651" t="str">
        <f>'Part III-Sources of Funds'!L13</f>
        <v>No</v>
      </c>
      <c r="M390" s="1654" t="s">
        <v>3890</v>
      </c>
      <c r="N390" s="1710"/>
      <c r="O390" s="1710"/>
      <c r="P390" s="1710"/>
      <c r="Q390" s="1710"/>
      <c r="R390" s="1710"/>
      <c r="S390" s="1708">
        <f>'Part III-Sources of Funds'!S13</f>
        <v>0</v>
      </c>
      <c r="T390" s="1708">
        <f>'Part III-Sources of Funds'!T13</f>
        <v>0</v>
      </c>
    </row>
    <row r="391" spans="1:20" ht="13.5">
      <c r="A391" s="1651"/>
      <c r="B391" s="1651" t="str">
        <f>'Part III-Sources of Funds'!B14</f>
        <v>No</v>
      </c>
      <c r="C391" s="1654" t="s">
        <v>1803</v>
      </c>
      <c r="D391" s="1710"/>
      <c r="E391" s="1651" t="str">
        <f>'Part III-Sources of Funds'!E14</f>
        <v>Yes</v>
      </c>
      <c r="F391" s="1654" t="s">
        <v>5009</v>
      </c>
      <c r="G391" s="1710"/>
      <c r="H391" s="1710"/>
      <c r="I391" s="1766">
        <f>'Part III-Sources of Funds'!I14</f>
        <v>19950000</v>
      </c>
      <c r="J391" s="1766">
        <f>'Part III-Sources of Funds'!J14</f>
        <v>0</v>
      </c>
      <c r="K391" s="1710"/>
      <c r="L391" s="1651" t="str">
        <f>'Part III-Sources of Funds'!L14</f>
        <v>No</v>
      </c>
      <c r="M391" s="1649" t="s">
        <v>5152</v>
      </c>
      <c r="N391" s="1710"/>
      <c r="O391" s="1710"/>
      <c r="P391" s="1710"/>
      <c r="Q391" s="1710"/>
      <c r="R391" s="1710"/>
      <c r="S391" s="1710"/>
      <c r="T391" s="1710"/>
    </row>
    <row r="392" spans="1:20" ht="13.5">
      <c r="A392" s="1651"/>
      <c r="B392" s="1710" t="s">
        <v>5013</v>
      </c>
      <c r="C392" s="1647"/>
      <c r="D392" s="1647"/>
      <c r="E392" s="1647"/>
      <c r="F392" s="1647"/>
      <c r="G392" s="1647"/>
      <c r="H392" s="1647"/>
      <c r="I392" s="1647"/>
      <c r="J392" s="1647"/>
      <c r="K392" s="1647"/>
      <c r="L392" s="1647"/>
      <c r="M392" s="1665"/>
      <c r="N392" s="1647"/>
      <c r="O392" s="1647"/>
      <c r="P392" s="1647"/>
      <c r="Q392" s="1647"/>
      <c r="R392" s="1710"/>
      <c r="S392" s="1710"/>
      <c r="T392" s="1710"/>
    </row>
    <row r="393" spans="1:20" ht="13.5">
      <c r="A393" s="1651"/>
      <c r="B393" s="1710"/>
      <c r="C393" s="1710"/>
      <c r="D393" s="1710"/>
      <c r="E393" s="1710"/>
      <c r="F393" s="1710"/>
      <c r="G393" s="1710"/>
      <c r="H393" s="1710"/>
      <c r="I393" s="1710"/>
      <c r="J393" s="1710"/>
      <c r="K393" s="1710"/>
      <c r="L393" s="1647"/>
      <c r="M393" s="1665"/>
      <c r="N393" s="1647"/>
      <c r="O393" s="1647"/>
      <c r="P393" s="1647"/>
      <c r="Q393" s="1647"/>
      <c r="R393" s="1710"/>
      <c r="S393" s="1710"/>
      <c r="T393" s="1710"/>
    </row>
    <row r="394" spans="1:20" ht="13.5">
      <c r="A394" s="1647" t="s">
        <v>740</v>
      </c>
      <c r="B394" s="1654" t="s">
        <v>2345</v>
      </c>
      <c r="C394" s="1647"/>
      <c r="D394" s="1647"/>
      <c r="E394" s="1647"/>
      <c r="F394" s="1647"/>
      <c r="G394" s="1647"/>
      <c r="H394" s="1710"/>
      <c r="I394" s="1710"/>
      <c r="J394" s="1710"/>
      <c r="K394" s="1710"/>
      <c r="L394" s="1647"/>
      <c r="M394" s="1647"/>
      <c r="N394" s="1647"/>
      <c r="O394" s="1647"/>
      <c r="P394" s="1647"/>
      <c r="Q394" s="1647"/>
      <c r="R394" s="1710"/>
      <c r="S394" s="1710" t="str">
        <f>B394</f>
        <v>CONSTRUCTION FINANCING</v>
      </c>
      <c r="T394" s="1710"/>
    </row>
    <row r="395" spans="1:20" ht="13.5">
      <c r="A395" s="1647"/>
      <c r="B395" s="1654"/>
      <c r="C395" s="1647"/>
      <c r="D395" s="1710"/>
      <c r="E395" s="1710"/>
      <c r="F395" s="1710"/>
      <c r="G395" s="1710"/>
      <c r="H395" s="1710"/>
      <c r="I395" s="1710"/>
      <c r="J395" s="1710"/>
      <c r="K395" s="1647"/>
      <c r="L395" s="1647"/>
      <c r="M395" s="1647"/>
      <c r="N395" s="1651"/>
      <c r="O395" s="1651"/>
      <c r="P395" s="1647"/>
      <c r="Q395" s="1647"/>
      <c r="R395" s="1710"/>
      <c r="S395" s="1710"/>
      <c r="T395" s="1710"/>
    </row>
    <row r="396" spans="1:20" ht="13.5">
      <c r="A396" s="1647"/>
      <c r="B396" s="1654" t="s">
        <v>1871</v>
      </c>
      <c r="C396" s="1647"/>
      <c r="D396" s="1647"/>
      <c r="E396" s="1647"/>
      <c r="F396" s="1647"/>
      <c r="G396" s="1647"/>
      <c r="H396" s="1647" t="s">
        <v>1297</v>
      </c>
      <c r="I396" s="1647"/>
      <c r="J396" s="1647"/>
      <c r="K396" s="1647"/>
      <c r="L396" s="1647" t="s">
        <v>4965</v>
      </c>
      <c r="M396" s="1647"/>
      <c r="N396" s="1647" t="s">
        <v>1507</v>
      </c>
      <c r="O396" s="1647"/>
      <c r="P396" s="1647" t="s">
        <v>1630</v>
      </c>
      <c r="Q396" s="1647"/>
      <c r="R396" s="1710"/>
      <c r="S396" s="2111" t="s">
        <v>2683</v>
      </c>
      <c r="T396" s="2111"/>
    </row>
    <row r="397" spans="1:20" ht="38.25">
      <c r="A397" s="1647"/>
      <c r="B397" s="1647" t="s">
        <v>1591</v>
      </c>
      <c r="C397" s="1647"/>
      <c r="D397" s="1647"/>
      <c r="E397" s="1647"/>
      <c r="F397" s="1647"/>
      <c r="G397" s="1647"/>
      <c r="H397" s="1703" t="str">
        <f>'Part III-Sources of Funds'!H20</f>
        <v>DeKalb County Housing Authority</v>
      </c>
      <c r="I397" s="1703">
        <f>'Part III-Sources of Funds'!I20</f>
        <v>0</v>
      </c>
      <c r="J397" s="1703">
        <f>'Part III-Sources of Funds'!J20</f>
        <v>0</v>
      </c>
      <c r="K397" s="1703">
        <f>'Part III-Sources of Funds'!K20</f>
        <v>0</v>
      </c>
      <c r="L397" s="1729">
        <f>'Part III-Sources of Funds'!L20</f>
        <v>6865000</v>
      </c>
      <c r="M397" s="1729">
        <f>'Part III-Sources of Funds'!M20</f>
        <v>0</v>
      </c>
      <c r="N397" s="1712">
        <f>'Part III-Sources of Funds'!N20</f>
        <v>4.2500000000000003E-2</v>
      </c>
      <c r="O397" s="1712">
        <f>'Part III-Sources of Funds'!O20</f>
        <v>0</v>
      </c>
      <c r="P397" s="1784">
        <f>'Part III-Sources of Funds'!P20</f>
        <v>24</v>
      </c>
      <c r="Q397" s="1784">
        <f>'Part III-Sources of Funds'!Q20</f>
        <v>0</v>
      </c>
      <c r="R397" s="1710"/>
      <c r="S397" s="1708">
        <f>'Part III-Sources of Funds'!S20</f>
        <v>0</v>
      </c>
      <c r="T397" s="1708">
        <f>'Part III-Sources of Funds'!T20</f>
        <v>0</v>
      </c>
    </row>
    <row r="398" spans="1:20" ht="13.5">
      <c r="A398" s="1647"/>
      <c r="B398" s="1647" t="s">
        <v>1592</v>
      </c>
      <c r="C398" s="1647"/>
      <c r="D398" s="1647"/>
      <c r="E398" s="1647"/>
      <c r="F398" s="1647"/>
      <c r="G398" s="1647"/>
      <c r="H398" s="1703">
        <f>'Part III-Sources of Funds'!H21</f>
        <v>0</v>
      </c>
      <c r="I398" s="1703">
        <f>'Part III-Sources of Funds'!I21</f>
        <v>0</v>
      </c>
      <c r="J398" s="1703">
        <f>'Part III-Sources of Funds'!J21</f>
        <v>0</v>
      </c>
      <c r="K398" s="1703">
        <f>'Part III-Sources of Funds'!K21</f>
        <v>0</v>
      </c>
      <c r="L398" s="1729">
        <f>'Part III-Sources of Funds'!L21</f>
        <v>0</v>
      </c>
      <c r="M398" s="1729">
        <f>'Part III-Sources of Funds'!M21</f>
        <v>0</v>
      </c>
      <c r="N398" s="1712">
        <f>'Part III-Sources of Funds'!N21</f>
        <v>0</v>
      </c>
      <c r="O398" s="1712">
        <f>'Part III-Sources of Funds'!O21</f>
        <v>0</v>
      </c>
      <c r="P398" s="1766">
        <f>'Part III-Sources of Funds'!P21</f>
        <v>0</v>
      </c>
      <c r="Q398" s="1766">
        <f>'Part III-Sources of Funds'!Q21</f>
        <v>0</v>
      </c>
      <c r="R398" s="1710"/>
      <c r="S398" s="1708">
        <f>'Part III-Sources of Funds'!S21</f>
        <v>0</v>
      </c>
      <c r="T398" s="1708">
        <f>'Part III-Sources of Funds'!T21</f>
        <v>0</v>
      </c>
    </row>
    <row r="399" spans="1:20" ht="13.5">
      <c r="A399" s="1647"/>
      <c r="B399" s="1647" t="s">
        <v>1593</v>
      </c>
      <c r="C399" s="1647"/>
      <c r="D399" s="1647"/>
      <c r="E399" s="1647"/>
      <c r="F399" s="1647"/>
      <c r="G399" s="1647"/>
      <c r="H399" s="1703">
        <f>'Part III-Sources of Funds'!H22</f>
        <v>0</v>
      </c>
      <c r="I399" s="1703">
        <f>'Part III-Sources of Funds'!I22</f>
        <v>0</v>
      </c>
      <c r="J399" s="1703">
        <f>'Part III-Sources of Funds'!J22</f>
        <v>0</v>
      </c>
      <c r="K399" s="1703">
        <f>'Part III-Sources of Funds'!K22</f>
        <v>0</v>
      </c>
      <c r="L399" s="1729">
        <f>'Part III-Sources of Funds'!L22</f>
        <v>0</v>
      </c>
      <c r="M399" s="1729">
        <f>'Part III-Sources of Funds'!M22</f>
        <v>0</v>
      </c>
      <c r="N399" s="1712">
        <f>'Part III-Sources of Funds'!N22</f>
        <v>0</v>
      </c>
      <c r="O399" s="1712">
        <f>'Part III-Sources of Funds'!O22</f>
        <v>0</v>
      </c>
      <c r="P399" s="1766">
        <f>'Part III-Sources of Funds'!P22</f>
        <v>0</v>
      </c>
      <c r="Q399" s="1766">
        <f>'Part III-Sources of Funds'!Q22</f>
        <v>0</v>
      </c>
      <c r="R399" s="1710"/>
      <c r="S399" s="1708">
        <f>'Part III-Sources of Funds'!S22</f>
        <v>0</v>
      </c>
      <c r="T399" s="1708">
        <f>'Part III-Sources of Funds'!T22</f>
        <v>0</v>
      </c>
    </row>
    <row r="400" spans="1:20" ht="13.5">
      <c r="A400" s="1647"/>
      <c r="B400" s="1647" t="s">
        <v>2215</v>
      </c>
      <c r="C400" s="1647"/>
      <c r="D400" s="1647"/>
      <c r="E400" s="1647"/>
      <c r="F400" s="1647"/>
      <c r="G400" s="1647"/>
      <c r="H400" s="1703">
        <f>'Part III-Sources of Funds'!H23</f>
        <v>0</v>
      </c>
      <c r="I400" s="1703">
        <f>'Part III-Sources of Funds'!I23</f>
        <v>0</v>
      </c>
      <c r="J400" s="1703">
        <f>'Part III-Sources of Funds'!J23</f>
        <v>0</v>
      </c>
      <c r="K400" s="1703">
        <f>'Part III-Sources of Funds'!K23</f>
        <v>0</v>
      </c>
      <c r="L400" s="1729">
        <f>'Part III-Sources of Funds'!L23</f>
        <v>0</v>
      </c>
      <c r="M400" s="1729">
        <f>'Part III-Sources of Funds'!M23</f>
        <v>0</v>
      </c>
      <c r="N400" s="1712"/>
      <c r="O400" s="1712"/>
      <c r="P400" s="1647"/>
      <c r="Q400" s="1647"/>
      <c r="R400" s="1710"/>
      <c r="S400" s="1708">
        <f>'Part III-Sources of Funds'!S23</f>
        <v>0</v>
      </c>
      <c r="T400" s="1708">
        <f>'Part III-Sources of Funds'!T23</f>
        <v>0</v>
      </c>
    </row>
    <row r="401" spans="1:20" ht="13.5">
      <c r="A401" s="1647"/>
      <c r="B401" s="1647" t="s">
        <v>801</v>
      </c>
      <c r="C401" s="1647"/>
      <c r="D401" s="1647"/>
      <c r="E401" s="1647"/>
      <c r="F401" s="1710"/>
      <c r="G401" s="1710"/>
      <c r="H401" s="1703">
        <f>'Part III-Sources of Funds'!H24</f>
        <v>0</v>
      </c>
      <c r="I401" s="1703">
        <f>'Part III-Sources of Funds'!I24</f>
        <v>0</v>
      </c>
      <c r="J401" s="1703">
        <f>'Part III-Sources of Funds'!J24</f>
        <v>0</v>
      </c>
      <c r="K401" s="1703">
        <f>'Part III-Sources of Funds'!K24</f>
        <v>0</v>
      </c>
      <c r="L401" s="1729">
        <f>'Part III-Sources of Funds'!L24</f>
        <v>0</v>
      </c>
      <c r="M401" s="1729">
        <f>'Part III-Sources of Funds'!M24</f>
        <v>0</v>
      </c>
      <c r="N401" s="1712"/>
      <c r="O401" s="1712"/>
      <c r="P401" s="1647"/>
      <c r="Q401" s="1647"/>
      <c r="R401" s="1710"/>
      <c r="S401" s="1708">
        <f>'Part III-Sources of Funds'!S24</f>
        <v>0</v>
      </c>
      <c r="T401" s="1708">
        <f>'Part III-Sources of Funds'!T24</f>
        <v>0</v>
      </c>
    </row>
    <row r="402" spans="1:20" ht="13.5">
      <c r="A402" s="1647"/>
      <c r="B402" s="1647" t="s">
        <v>641</v>
      </c>
      <c r="C402" s="1647"/>
      <c r="D402" s="1647"/>
      <c r="E402" s="1647"/>
      <c r="F402" s="1710"/>
      <c r="G402" s="1710"/>
      <c r="H402" s="1703">
        <f>'Part III-Sources of Funds'!H25</f>
        <v>0</v>
      </c>
      <c r="I402" s="1703">
        <f>'Part III-Sources of Funds'!I25</f>
        <v>0</v>
      </c>
      <c r="J402" s="1703">
        <f>'Part III-Sources of Funds'!J25</f>
        <v>0</v>
      </c>
      <c r="K402" s="1703">
        <f>'Part III-Sources of Funds'!K25</f>
        <v>0</v>
      </c>
      <c r="L402" s="1729">
        <f>'Part III-Sources of Funds'!L25</f>
        <v>0</v>
      </c>
      <c r="M402" s="1729">
        <f>'Part III-Sources of Funds'!M25</f>
        <v>0</v>
      </c>
      <c r="N402" s="1712"/>
      <c r="O402" s="1712"/>
      <c r="P402" s="1647"/>
      <c r="Q402" s="1647"/>
      <c r="R402" s="1710"/>
      <c r="S402" s="1708">
        <f>'Part III-Sources of Funds'!S25</f>
        <v>0</v>
      </c>
      <c r="T402" s="1708">
        <f>'Part III-Sources of Funds'!T25</f>
        <v>0</v>
      </c>
    </row>
    <row r="403" spans="1:20" ht="38.25">
      <c r="A403" s="1647"/>
      <c r="B403" s="1647" t="s">
        <v>802</v>
      </c>
      <c r="C403" s="1647"/>
      <c r="D403" s="1647"/>
      <c r="E403" s="1647"/>
      <c r="F403" s="1710"/>
      <c r="G403" s="1710"/>
      <c r="H403" s="1703" t="str">
        <f>'Part III-Sources of Funds'!H26</f>
        <v>Raymond James Tax Credit Funds, Inc.</v>
      </c>
      <c r="I403" s="1703">
        <f>'Part III-Sources of Funds'!I26</f>
        <v>0</v>
      </c>
      <c r="J403" s="1703">
        <f>'Part III-Sources of Funds'!J26</f>
        <v>0</v>
      </c>
      <c r="K403" s="1703">
        <f>'Part III-Sources of Funds'!K26</f>
        <v>0</v>
      </c>
      <c r="L403" s="1729">
        <f>'Part III-Sources of Funds'!L26</f>
        <v>5547639</v>
      </c>
      <c r="M403" s="1729">
        <f>'Part III-Sources of Funds'!M26</f>
        <v>0</v>
      </c>
      <c r="N403" s="1647"/>
      <c r="O403" s="1710"/>
      <c r="P403" s="1710"/>
      <c r="Q403" s="1647"/>
      <c r="R403" s="1710"/>
      <c r="S403" s="1708">
        <f>'Part III-Sources of Funds'!S26</f>
        <v>0</v>
      </c>
      <c r="T403" s="1708">
        <f>'Part III-Sources of Funds'!T26</f>
        <v>0</v>
      </c>
    </row>
    <row r="404" spans="1:20" ht="38.25">
      <c r="A404" s="1647"/>
      <c r="B404" s="1647" t="s">
        <v>803</v>
      </c>
      <c r="C404" s="1647"/>
      <c r="D404" s="1647"/>
      <c r="E404" s="1647"/>
      <c r="F404" s="1710"/>
      <c r="G404" s="1710"/>
      <c r="H404" s="1703" t="str">
        <f>'Part III-Sources of Funds'!H27</f>
        <v>Raymond James Tax Credit Funds, Inc.</v>
      </c>
      <c r="I404" s="1703">
        <f>'Part III-Sources of Funds'!I27</f>
        <v>0</v>
      </c>
      <c r="J404" s="1703">
        <f>'Part III-Sources of Funds'!J27</f>
        <v>0</v>
      </c>
      <c r="K404" s="1703">
        <f>'Part III-Sources of Funds'!K27</f>
        <v>0</v>
      </c>
      <c r="L404" s="1729">
        <f>'Part III-Sources of Funds'!L27</f>
        <v>1356126</v>
      </c>
      <c r="M404" s="1729">
        <f>'Part III-Sources of Funds'!M27</f>
        <v>0</v>
      </c>
      <c r="N404" s="1647"/>
      <c r="O404" s="1710"/>
      <c r="P404" s="1710"/>
      <c r="Q404" s="1647"/>
      <c r="R404" s="1710"/>
      <c r="S404" s="1708">
        <f>'Part III-Sources of Funds'!S27</f>
        <v>0</v>
      </c>
      <c r="T404" s="1708">
        <f>'Part III-Sources of Funds'!T27</f>
        <v>0</v>
      </c>
    </row>
    <row r="405" spans="1:20" ht="13.5">
      <c r="A405" s="1647"/>
      <c r="B405" s="1647" t="s">
        <v>242</v>
      </c>
      <c r="C405" s="1647"/>
      <c r="D405" s="1703">
        <f>'Part III-Sources of Funds'!D28</f>
        <v>0</v>
      </c>
      <c r="E405" s="1703">
        <f>'Part III-Sources of Funds'!E28</f>
        <v>0</v>
      </c>
      <c r="F405" s="1703">
        <f>'Part III-Sources of Funds'!F28</f>
        <v>0</v>
      </c>
      <c r="G405" s="1703">
        <f>'Part III-Sources of Funds'!G28</f>
        <v>0</v>
      </c>
      <c r="H405" s="1703">
        <f>'Part III-Sources of Funds'!H28</f>
        <v>0</v>
      </c>
      <c r="I405" s="1703">
        <f>'Part III-Sources of Funds'!I28</f>
        <v>0</v>
      </c>
      <c r="J405" s="1703">
        <f>'Part III-Sources of Funds'!J28</f>
        <v>0</v>
      </c>
      <c r="K405" s="1703">
        <f>'Part III-Sources of Funds'!K28</f>
        <v>0</v>
      </c>
      <c r="L405" s="1729">
        <f>'Part III-Sources of Funds'!L28</f>
        <v>0</v>
      </c>
      <c r="M405" s="1729">
        <f>'Part III-Sources of Funds'!M28</f>
        <v>0</v>
      </c>
      <c r="N405" s="1647"/>
      <c r="O405" s="1710"/>
      <c r="P405" s="1710"/>
      <c r="Q405" s="1647"/>
      <c r="R405" s="1710"/>
      <c r="S405" s="1708">
        <f>'Part III-Sources of Funds'!S28</f>
        <v>0</v>
      </c>
      <c r="T405" s="1708">
        <f>'Part III-Sources of Funds'!T28</f>
        <v>0</v>
      </c>
    </row>
    <row r="406" spans="1:20" ht="13.5">
      <c r="A406" s="1647"/>
      <c r="B406" s="1647" t="s">
        <v>242</v>
      </c>
      <c r="C406" s="1647"/>
      <c r="D406" s="1703">
        <f>'Part III-Sources of Funds'!D29</f>
        <v>0</v>
      </c>
      <c r="E406" s="1703">
        <f>'Part III-Sources of Funds'!E29</f>
        <v>0</v>
      </c>
      <c r="F406" s="1703">
        <f>'Part III-Sources of Funds'!F29</f>
        <v>0</v>
      </c>
      <c r="G406" s="1703">
        <f>'Part III-Sources of Funds'!G29</f>
        <v>0</v>
      </c>
      <c r="H406" s="1703">
        <f>'Part III-Sources of Funds'!H29</f>
        <v>0</v>
      </c>
      <c r="I406" s="1703">
        <f>'Part III-Sources of Funds'!I29</f>
        <v>0</v>
      </c>
      <c r="J406" s="1703">
        <f>'Part III-Sources of Funds'!J29</f>
        <v>0</v>
      </c>
      <c r="K406" s="1703">
        <f>'Part III-Sources of Funds'!K29</f>
        <v>0</v>
      </c>
      <c r="L406" s="1729">
        <f>'Part III-Sources of Funds'!L29</f>
        <v>0</v>
      </c>
      <c r="M406" s="1729">
        <f>'Part III-Sources of Funds'!M29</f>
        <v>0</v>
      </c>
      <c r="N406" s="1647"/>
      <c r="O406" s="1710"/>
      <c r="P406" s="1710"/>
      <c r="Q406" s="1710"/>
      <c r="R406" s="1710"/>
      <c r="S406" s="1708">
        <f>'Part III-Sources of Funds'!S29</f>
        <v>0</v>
      </c>
      <c r="T406" s="1708">
        <f>'Part III-Sources of Funds'!T29</f>
        <v>0</v>
      </c>
    </row>
    <row r="407" spans="1:20" ht="13.5">
      <c r="A407" s="1647"/>
      <c r="B407" s="1647" t="s">
        <v>242</v>
      </c>
      <c r="C407" s="1647"/>
      <c r="D407" s="1703">
        <f>'Part III-Sources of Funds'!D30</f>
        <v>0</v>
      </c>
      <c r="E407" s="1703">
        <f>'Part III-Sources of Funds'!E30</f>
        <v>0</v>
      </c>
      <c r="F407" s="1703">
        <f>'Part III-Sources of Funds'!F30</f>
        <v>0</v>
      </c>
      <c r="G407" s="1703">
        <f>'Part III-Sources of Funds'!G30</f>
        <v>0</v>
      </c>
      <c r="H407" s="1703">
        <f>'Part III-Sources of Funds'!H30</f>
        <v>0</v>
      </c>
      <c r="I407" s="1703">
        <f>'Part III-Sources of Funds'!I30</f>
        <v>0</v>
      </c>
      <c r="J407" s="1703">
        <f>'Part III-Sources of Funds'!J30</f>
        <v>0</v>
      </c>
      <c r="K407" s="1703">
        <f>'Part III-Sources of Funds'!K30</f>
        <v>0</v>
      </c>
      <c r="L407" s="1729">
        <f>'Part III-Sources of Funds'!L30</f>
        <v>0</v>
      </c>
      <c r="M407" s="1729">
        <f>'Part III-Sources of Funds'!M30</f>
        <v>0</v>
      </c>
      <c r="N407" s="1647"/>
      <c r="O407" s="1710"/>
      <c r="P407" s="1710"/>
      <c r="Q407" s="1710"/>
      <c r="R407" s="1710"/>
      <c r="S407" s="1708">
        <f>'Part III-Sources of Funds'!S30</f>
        <v>0</v>
      </c>
      <c r="T407" s="1708">
        <f>'Part III-Sources of Funds'!T30</f>
        <v>0</v>
      </c>
    </row>
    <row r="408" spans="1:20" ht="13.5">
      <c r="A408" s="1647"/>
      <c r="B408" s="1654" t="s">
        <v>1298</v>
      </c>
      <c r="C408" s="1647"/>
      <c r="D408" s="1647"/>
      <c r="E408" s="1647"/>
      <c r="F408" s="1647"/>
      <c r="G408" s="1647"/>
      <c r="H408" s="1647"/>
      <c r="I408" s="1647"/>
      <c r="J408" s="1710"/>
      <c r="K408" s="1710"/>
      <c r="L408" s="1717">
        <f>SUM(L397:L407)</f>
        <v>13768765</v>
      </c>
      <c r="M408" s="1717"/>
      <c r="N408" s="1653"/>
      <c r="O408" s="1710"/>
      <c r="P408" s="1710"/>
      <c r="Q408" s="1710"/>
      <c r="R408" s="1710"/>
      <c r="S408" s="1708">
        <f>'Part III-Sources of Funds'!S31</f>
        <v>0</v>
      </c>
      <c r="T408" s="1708">
        <f>'Part III-Sources of Funds'!T31</f>
        <v>0</v>
      </c>
    </row>
    <row r="409" spans="1:20" ht="13.5">
      <c r="A409" s="1647"/>
      <c r="B409" s="1654" t="s">
        <v>1299</v>
      </c>
      <c r="C409" s="1647"/>
      <c r="D409" s="1647"/>
      <c r="E409" s="1647"/>
      <c r="F409" s="1647"/>
      <c r="G409" s="1647"/>
      <c r="H409" s="1647"/>
      <c r="I409" s="1647"/>
      <c r="J409" s="1710"/>
      <c r="K409" s="1710"/>
      <c r="L409" s="171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13768765</v>
      </c>
      <c r="M409" s="1717"/>
      <c r="N409" s="1658"/>
      <c r="O409" s="1710"/>
      <c r="P409" s="1710"/>
      <c r="Q409" s="1710"/>
      <c r="R409" s="1710"/>
      <c r="S409" s="1708">
        <f>'Part III-Sources of Funds'!S32</f>
        <v>0</v>
      </c>
      <c r="T409" s="1708">
        <f>'Part III-Sources of Funds'!T32</f>
        <v>0</v>
      </c>
    </row>
    <row r="410" spans="1:20" ht="13.5">
      <c r="A410" s="1647"/>
      <c r="B410" s="1654" t="s">
        <v>2157</v>
      </c>
      <c r="C410" s="1647"/>
      <c r="D410" s="1647"/>
      <c r="E410" s="1647"/>
      <c r="F410" s="1647"/>
      <c r="G410" s="1647"/>
      <c r="H410" s="1647"/>
      <c r="I410" s="1647"/>
      <c r="J410" s="1710"/>
      <c r="K410" s="1710"/>
      <c r="L410" s="1779">
        <f>L408-L409</f>
        <v>0</v>
      </c>
      <c r="M410" s="1779"/>
      <c r="N410" s="1658"/>
      <c r="O410" s="1710"/>
      <c r="P410" s="1710"/>
      <c r="Q410" s="1710"/>
      <c r="R410" s="1710"/>
      <c r="S410" s="1708">
        <f>'Part III-Sources of Funds'!S33</f>
        <v>0</v>
      </c>
      <c r="T410" s="1708">
        <f>'Part III-Sources of Funds'!T33</f>
        <v>0</v>
      </c>
    </row>
    <row r="411" spans="1:20" ht="13.5">
      <c r="A411" s="1653"/>
      <c r="B411" s="1654"/>
      <c r="C411" s="1653"/>
      <c r="D411" s="1653"/>
      <c r="E411" s="1653"/>
      <c r="F411" s="1653"/>
      <c r="G411" s="1653"/>
      <c r="H411" s="1653"/>
      <c r="I411" s="1653"/>
      <c r="J411" s="1653"/>
      <c r="K411" s="1653"/>
      <c r="L411" s="1653"/>
      <c r="M411" s="1651"/>
      <c r="N411" s="1651"/>
      <c r="O411" s="1715"/>
      <c r="P411" s="1715"/>
      <c r="Q411" s="1715"/>
      <c r="R411" s="1715"/>
      <c r="S411" s="1715"/>
      <c r="T411" s="1715"/>
    </row>
    <row r="412" spans="1:20" ht="13.5">
      <c r="A412" s="1647" t="s">
        <v>742</v>
      </c>
      <c r="B412" s="1654" t="s">
        <v>800</v>
      </c>
      <c r="C412" s="1653"/>
      <c r="D412" s="1653"/>
      <c r="E412" s="1653"/>
      <c r="F412" s="1653"/>
      <c r="G412" s="1653"/>
      <c r="H412" s="1653"/>
      <c r="I412" s="1653"/>
      <c r="J412" s="1653"/>
      <c r="K412" s="1653"/>
      <c r="L412" s="1653"/>
      <c r="M412" s="1651"/>
      <c r="N412" s="1651"/>
      <c r="O412" s="1653"/>
      <c r="P412" s="1715"/>
      <c r="Q412" s="1715"/>
      <c r="R412" s="1715"/>
      <c r="S412" s="1710" t="str">
        <f>B412</f>
        <v>PERMANENT FINANCING</v>
      </c>
      <c r="T412" s="1715"/>
    </row>
    <row r="413" spans="1:20" ht="13.5" customHeight="1">
      <c r="A413" s="1647"/>
      <c r="B413" s="1647"/>
      <c r="C413" s="1647"/>
      <c r="D413" s="1647"/>
      <c r="E413" s="1647"/>
      <c r="F413" s="1651"/>
      <c r="G413" s="1651"/>
      <c r="H413" s="1647"/>
      <c r="I413" s="1647"/>
      <c r="J413" s="1710"/>
      <c r="K413" s="1661" t="s">
        <v>2099</v>
      </c>
      <c r="L413" s="1651" t="s">
        <v>1295</v>
      </c>
      <c r="M413" s="1651" t="s">
        <v>1300</v>
      </c>
      <c r="N413" s="1710"/>
      <c r="O413" s="1710"/>
      <c r="P413" s="1658" t="s">
        <v>34</v>
      </c>
      <c r="Q413" s="1658"/>
      <c r="R413" s="1710"/>
      <c r="S413" s="1710"/>
      <c r="T413" s="1710"/>
    </row>
    <row r="414" spans="1:20" ht="13.5">
      <c r="A414" s="1647"/>
      <c r="B414" s="1654" t="s">
        <v>1871</v>
      </c>
      <c r="C414" s="1647"/>
      <c r="D414" s="1647"/>
      <c r="E414" s="1647" t="s">
        <v>1297</v>
      </c>
      <c r="F414" s="1647"/>
      <c r="G414" s="1647"/>
      <c r="H414" s="1647"/>
      <c r="I414" s="1647" t="s">
        <v>4964</v>
      </c>
      <c r="J414" s="1647"/>
      <c r="K414" s="1651" t="s">
        <v>1806</v>
      </c>
      <c r="L414" s="1651" t="s">
        <v>2214</v>
      </c>
      <c r="M414" s="1651" t="s">
        <v>2214</v>
      </c>
      <c r="N414" s="1647" t="s">
        <v>74</v>
      </c>
      <c r="O414" s="1647"/>
      <c r="P414" s="1658"/>
      <c r="Q414" s="1658"/>
      <c r="R414" s="1710"/>
      <c r="S414" s="2111" t="s">
        <v>2683</v>
      </c>
      <c r="T414" s="2111"/>
    </row>
    <row r="415" spans="1:20" ht="51">
      <c r="A415" s="1647"/>
      <c r="B415" s="1647" t="s">
        <v>2614</v>
      </c>
      <c r="C415" s="1647"/>
      <c r="D415" s="1647"/>
      <c r="E415" s="1703" t="str">
        <f>'Part III-Sources of Funds'!E38</f>
        <v>DeKalb County Housing Authority</v>
      </c>
      <c r="F415" s="1703">
        <f>'Part III-Sources of Funds'!F38</f>
        <v>0</v>
      </c>
      <c r="G415" s="1703">
        <f>'Part III-Sources of Funds'!G38</f>
        <v>0</v>
      </c>
      <c r="H415" s="1703">
        <f>'Part III-Sources of Funds'!H38</f>
        <v>0</v>
      </c>
      <c r="I415" s="1779">
        <f>'Part III-Sources of Funds'!I38</f>
        <v>6865000</v>
      </c>
      <c r="J415" s="1647">
        <f>'Part III-Sources of Funds'!J38</f>
        <v>0</v>
      </c>
      <c r="K415" s="1716">
        <f>'Part III-Sources of Funds'!K38</f>
        <v>4.3999999999999997E-2</v>
      </c>
      <c r="L415" s="1651">
        <f>'Part III-Sources of Funds'!L38</f>
        <v>35</v>
      </c>
      <c r="M415" s="1651">
        <f>'Part III-Sources of Funds'!M38</f>
        <v>35</v>
      </c>
      <c r="N415" s="1647" t="str">
        <f>'Part III-Sources of Funds'!N38</f>
        <v>Amortizing</v>
      </c>
      <c r="O415" s="1647">
        <f>'Part III-Sources of Funds'!O38</f>
        <v>0</v>
      </c>
      <c r="P415" s="1717">
        <f>'Part III-Sources of Funds'!P38</f>
        <v>384782.82220370776</v>
      </c>
      <c r="Q415" s="1717">
        <f>'Part III-Sources of Funds'!Q38</f>
        <v>0</v>
      </c>
      <c r="R415" s="1710"/>
      <c r="S415" s="1708">
        <f>'Part III-Sources of Funds'!S38</f>
        <v>0</v>
      </c>
      <c r="T415" s="1708">
        <f>'Part III-Sources of Funds'!T38</f>
        <v>0</v>
      </c>
    </row>
    <row r="416" spans="1:20" ht="13.5">
      <c r="A416" s="1647"/>
      <c r="B416" s="1647" t="s">
        <v>2615</v>
      </c>
      <c r="C416" s="1647"/>
      <c r="D416" s="1647"/>
      <c r="E416" s="1703">
        <f>'Part III-Sources of Funds'!E39</f>
        <v>0</v>
      </c>
      <c r="F416" s="1703">
        <f>'Part III-Sources of Funds'!F39</f>
        <v>0</v>
      </c>
      <c r="G416" s="1703">
        <f>'Part III-Sources of Funds'!G39</f>
        <v>0</v>
      </c>
      <c r="H416" s="1703">
        <f>'Part III-Sources of Funds'!H39</f>
        <v>0</v>
      </c>
      <c r="I416" s="1779">
        <f>'Part III-Sources of Funds'!I39</f>
        <v>0</v>
      </c>
      <c r="J416" s="1647">
        <f>'Part III-Sources of Funds'!J39</f>
        <v>0</v>
      </c>
      <c r="K416" s="1716">
        <f>'Part III-Sources of Funds'!K39</f>
        <v>0</v>
      </c>
      <c r="L416" s="1651">
        <f>'Part III-Sources of Funds'!L39</f>
        <v>0</v>
      </c>
      <c r="M416" s="1651">
        <f>'Part III-Sources of Funds'!M39</f>
        <v>0</v>
      </c>
      <c r="N416" s="1647">
        <f>'Part III-Sources of Funds'!N39</f>
        <v>0</v>
      </c>
      <c r="O416" s="1647">
        <f>'Part III-Sources of Funds'!O39</f>
        <v>0</v>
      </c>
      <c r="P416" s="1717" t="str">
        <f>'Part III-Sources of Funds'!P39</f>
        <v/>
      </c>
      <c r="Q416" s="1717">
        <f>'Part III-Sources of Funds'!Q39</f>
        <v>0</v>
      </c>
      <c r="R416" s="1710"/>
      <c r="S416" s="1708">
        <f>'Part III-Sources of Funds'!S39</f>
        <v>0</v>
      </c>
      <c r="T416" s="1708">
        <f>'Part III-Sources of Funds'!T39</f>
        <v>0</v>
      </c>
    </row>
    <row r="417" spans="1:20" ht="13.5">
      <c r="A417" s="1647"/>
      <c r="B417" s="1647" t="s">
        <v>2616</v>
      </c>
      <c r="C417" s="1647"/>
      <c r="D417" s="1647"/>
      <c r="E417" s="1703">
        <f>'Part III-Sources of Funds'!E40</f>
        <v>0</v>
      </c>
      <c r="F417" s="1703">
        <f>'Part III-Sources of Funds'!F40</f>
        <v>0</v>
      </c>
      <c r="G417" s="1703">
        <f>'Part III-Sources of Funds'!G40</f>
        <v>0</v>
      </c>
      <c r="H417" s="1703">
        <f>'Part III-Sources of Funds'!H40</f>
        <v>0</v>
      </c>
      <c r="I417" s="1779">
        <f>'Part III-Sources of Funds'!I40</f>
        <v>0</v>
      </c>
      <c r="J417" s="1647">
        <f>'Part III-Sources of Funds'!J40</f>
        <v>0</v>
      </c>
      <c r="K417" s="1716">
        <f>'Part III-Sources of Funds'!K40</f>
        <v>0</v>
      </c>
      <c r="L417" s="1651">
        <f>'Part III-Sources of Funds'!L40</f>
        <v>0</v>
      </c>
      <c r="M417" s="1651">
        <f>'Part III-Sources of Funds'!M40</f>
        <v>0</v>
      </c>
      <c r="N417" s="1647">
        <f>'Part III-Sources of Funds'!N40</f>
        <v>0</v>
      </c>
      <c r="O417" s="1647">
        <f>'Part III-Sources of Funds'!O40</f>
        <v>0</v>
      </c>
      <c r="P417" s="1717" t="str">
        <f>'Part III-Sources of Funds'!P40</f>
        <v/>
      </c>
      <c r="Q417" s="1717">
        <f>'Part III-Sources of Funds'!Q40</f>
        <v>0</v>
      </c>
      <c r="R417" s="1710"/>
      <c r="S417" s="1708">
        <f>'Part III-Sources of Funds'!S40</f>
        <v>0</v>
      </c>
      <c r="T417" s="1708">
        <f>'Part III-Sources of Funds'!T40</f>
        <v>0</v>
      </c>
    </row>
    <row r="418" spans="1:20" ht="13.5">
      <c r="A418" s="1647"/>
      <c r="B418" s="1647" t="s">
        <v>741</v>
      </c>
      <c r="C418" s="1703">
        <f>'Part III-Sources of Funds'!C41</f>
        <v>0</v>
      </c>
      <c r="D418" s="1703">
        <f>'Part III-Sources of Funds'!D41</f>
        <v>0</v>
      </c>
      <c r="E418" s="1703">
        <f>'Part III-Sources of Funds'!E41</f>
        <v>0</v>
      </c>
      <c r="F418" s="1703">
        <f>'Part III-Sources of Funds'!F41</f>
        <v>0</v>
      </c>
      <c r="G418" s="1703">
        <f>'Part III-Sources of Funds'!G41</f>
        <v>0</v>
      </c>
      <c r="H418" s="1703">
        <f>'Part III-Sources of Funds'!H41</f>
        <v>0</v>
      </c>
      <c r="I418" s="1779">
        <f>'Part III-Sources of Funds'!I41</f>
        <v>0</v>
      </c>
      <c r="J418" s="1779">
        <f>'Part III-Sources of Funds'!J41</f>
        <v>0</v>
      </c>
      <c r="K418" s="1716">
        <f>'Part III-Sources of Funds'!K41</f>
        <v>0</v>
      </c>
      <c r="L418" s="1651">
        <f>'Part III-Sources of Funds'!L41</f>
        <v>0</v>
      </c>
      <c r="M418" s="1651">
        <f>'Part III-Sources of Funds'!M41</f>
        <v>0</v>
      </c>
      <c r="N418" s="1647">
        <f>'Part III-Sources of Funds'!N41</f>
        <v>0</v>
      </c>
      <c r="O418" s="1647">
        <f>'Part III-Sources of Funds'!O41</f>
        <v>0</v>
      </c>
      <c r="P418" s="1717" t="str">
        <f>'Part III-Sources of Funds'!P41</f>
        <v/>
      </c>
      <c r="Q418" s="1717">
        <f>'Part III-Sources of Funds'!Q41</f>
        <v>0</v>
      </c>
      <c r="R418" s="1710"/>
      <c r="S418" s="1708">
        <f>'Part III-Sources of Funds'!S41</f>
        <v>0</v>
      </c>
      <c r="T418" s="1708">
        <f>'Part III-Sources of Funds'!T41</f>
        <v>0</v>
      </c>
    </row>
    <row r="419" spans="1:20" ht="13.5">
      <c r="A419" s="1647"/>
      <c r="B419" s="1647" t="s">
        <v>2749</v>
      </c>
      <c r="C419" s="1647"/>
      <c r="D419" s="1647"/>
      <c r="E419" s="1703">
        <f>'Part III-Sources of Funds'!E42</f>
        <v>0</v>
      </c>
      <c r="F419" s="1703">
        <f>'Part III-Sources of Funds'!F42</f>
        <v>0</v>
      </c>
      <c r="G419" s="1703">
        <f>'Part III-Sources of Funds'!G42</f>
        <v>0</v>
      </c>
      <c r="H419" s="1703">
        <f>'Part III-Sources of Funds'!H42</f>
        <v>0</v>
      </c>
      <c r="I419" s="1779">
        <f>'Part III-Sources of Funds'!I42</f>
        <v>0</v>
      </c>
      <c r="J419" s="1647">
        <f>'Part III-Sources of Funds'!J42</f>
        <v>0</v>
      </c>
      <c r="K419" s="1716"/>
      <c r="L419" s="1651"/>
      <c r="M419" s="1651"/>
      <c r="N419" s="1647"/>
      <c r="O419" s="1647"/>
      <c r="P419" s="1717"/>
      <c r="Q419" s="1717"/>
      <c r="R419" s="1710"/>
      <c r="S419" s="1708">
        <f>'Part III-Sources of Funds'!S42</f>
        <v>0</v>
      </c>
      <c r="T419" s="1708">
        <f>'Part III-Sources of Funds'!T42</f>
        <v>0</v>
      </c>
    </row>
    <row r="420" spans="1:20" ht="63.75">
      <c r="A420" s="1647"/>
      <c r="B420" s="1647" t="s">
        <v>228</v>
      </c>
      <c r="C420" s="1647"/>
      <c r="D420" s="1718">
        <f>'Part III-Sources of Funds'!D43</f>
        <v>0.19111621174524401</v>
      </c>
      <c r="E420" s="1703" t="str">
        <f>'Part III-Sources of Funds'!E43</f>
        <v>Flatiron Partners &amp; Classic Development</v>
      </c>
      <c r="F420" s="1703">
        <f>'Part III-Sources of Funds'!F43</f>
        <v>0</v>
      </c>
      <c r="G420" s="1703">
        <f>'Part III-Sources of Funds'!G43</f>
        <v>0</v>
      </c>
      <c r="H420" s="1703">
        <f>'Part III-Sources of Funds'!H43</f>
        <v>0</v>
      </c>
      <c r="I420" s="1766">
        <f>'Part III-Sources of Funds'!I43</f>
        <v>462119</v>
      </c>
      <c r="J420" s="1766">
        <f>'Part III-Sources of Funds'!J43</f>
        <v>0</v>
      </c>
      <c r="K420" s="1716">
        <f>'Part III-Sources of Funds'!K43</f>
        <v>0</v>
      </c>
      <c r="L420" s="1651">
        <f>'Part III-Sources of Funds'!L43</f>
        <v>10</v>
      </c>
      <c r="M420" s="1651">
        <f>'Part III-Sources of Funds'!M43</f>
        <v>10</v>
      </c>
      <c r="N420" s="1647" t="str">
        <f>'Part III-Sources of Funds'!N43</f>
        <v>Amortizing</v>
      </c>
      <c r="O420" s="1647">
        <f>'Part III-Sources of Funds'!O43</f>
        <v>0</v>
      </c>
      <c r="P420" s="1717">
        <f>'Part III-Sources of Funds'!P43</f>
        <v>46211.9</v>
      </c>
      <c r="Q420" s="1717">
        <f>'Part III-Sources of Funds'!Q43</f>
        <v>0</v>
      </c>
      <c r="R420" s="1710"/>
      <c r="S420" s="1708">
        <f>'Part III-Sources of Funds'!S43</f>
        <v>0</v>
      </c>
      <c r="T420" s="1708">
        <f>'Part III-Sources of Funds'!T43</f>
        <v>0</v>
      </c>
    </row>
    <row r="421" spans="1:20" ht="13.5">
      <c r="A421" s="1647"/>
      <c r="B421" s="1647"/>
      <c r="C421" s="1647"/>
      <c r="D421" s="1647"/>
      <c r="E421" s="1647"/>
      <c r="F421" s="1647"/>
      <c r="G421" s="1647"/>
      <c r="H421" s="1647"/>
      <c r="I421" s="2133"/>
      <c r="J421" s="1789"/>
      <c r="K421" s="1716"/>
      <c r="L421" s="1651"/>
      <c r="M421" s="1651"/>
      <c r="N421" s="2134"/>
      <c r="O421" s="2134"/>
      <c r="P421" s="1651"/>
      <c r="Q421" s="1651"/>
      <c r="R421" s="1710"/>
      <c r="S421" s="1708"/>
      <c r="T421" s="1708"/>
    </row>
    <row r="422" spans="1:20" ht="13.5">
      <c r="A422" s="1647"/>
      <c r="B422" s="1710" t="s">
        <v>4187</v>
      </c>
      <c r="C422" s="1647"/>
      <c r="D422" s="1710"/>
      <c r="E422" s="1710" t="s">
        <v>4089</v>
      </c>
      <c r="F422" s="1719">
        <f>'Part III-Sources of Funds'!F45</f>
        <v>1108774.2181999211</v>
      </c>
      <c r="G422" s="1710">
        <f>'Part III-Sources of Funds'!G45</f>
        <v>0</v>
      </c>
      <c r="H422" s="1711" t="s">
        <v>4186</v>
      </c>
      <c r="I422" s="1719">
        <f>'Part III-Sources of Funds'!I45</f>
        <v>462119.00000000012</v>
      </c>
      <c r="J422" s="1710">
        <f>'Part III-Sources of Funds'!J45</f>
        <v>0</v>
      </c>
      <c r="K422" s="1711" t="s">
        <v>4188</v>
      </c>
      <c r="L422" s="1720">
        <f>'Part III-Sources of Funds'!L45</f>
        <v>0.41678368094655344</v>
      </c>
      <c r="M422" s="1720">
        <f>'Part III-Sources of Funds'!M45</f>
        <v>0</v>
      </c>
      <c r="N422" s="1717" t="s">
        <v>4976</v>
      </c>
      <c r="O422" s="1717"/>
      <c r="P422" s="1766">
        <f>'Part III-Sources of Funds'!P45</f>
        <v>0</v>
      </c>
      <c r="Q422" s="1766">
        <f>'Part III-Sources of Funds'!Q45</f>
        <v>0</v>
      </c>
      <c r="R422" s="1710"/>
      <c r="S422" s="1708"/>
      <c r="T422" s="1708"/>
    </row>
    <row r="423" spans="1:20" ht="13.5">
      <c r="A423" s="1647"/>
      <c r="B423" s="1647"/>
      <c r="C423" s="1647"/>
      <c r="D423" s="1647"/>
      <c r="E423" s="1647"/>
      <c r="F423" s="1647"/>
      <c r="G423" s="1647"/>
      <c r="H423" s="1647"/>
      <c r="I423" s="2133"/>
      <c r="J423" s="1789"/>
      <c r="K423" s="1716"/>
      <c r="L423" s="1651"/>
      <c r="M423" s="1651"/>
      <c r="N423" s="2134"/>
      <c r="O423" s="2134"/>
      <c r="P423" s="1651"/>
      <c r="Q423" s="1651"/>
      <c r="R423" s="1710"/>
      <c r="S423" s="1708"/>
      <c r="T423" s="1708"/>
    </row>
    <row r="424" spans="1:20" ht="13.5">
      <c r="A424" s="1647"/>
      <c r="B424" s="1647" t="s">
        <v>2215</v>
      </c>
      <c r="C424" s="1647"/>
      <c r="D424" s="1647"/>
      <c r="E424" s="1703">
        <f>'Part III-Sources of Funds'!E47</f>
        <v>0</v>
      </c>
      <c r="F424" s="1703">
        <f>'Part III-Sources of Funds'!F47</f>
        <v>0</v>
      </c>
      <c r="G424" s="1703">
        <f>'Part III-Sources of Funds'!G47</f>
        <v>0</v>
      </c>
      <c r="H424" s="1703">
        <f>'Part III-Sources of Funds'!H47</f>
        <v>0</v>
      </c>
      <c r="I424" s="1779">
        <f>'Part III-Sources of Funds'!I47</f>
        <v>0</v>
      </c>
      <c r="J424" s="1647">
        <f>'Part III-Sources of Funds'!J47</f>
        <v>0</v>
      </c>
      <c r="K424" s="1647"/>
      <c r="L424" s="1647"/>
      <c r="M424" s="1647"/>
      <c r="N424" s="1647"/>
      <c r="O424" s="1647"/>
      <c r="P424" s="1647"/>
      <c r="Q424" s="1647"/>
      <c r="R424" s="1710"/>
      <c r="S424" s="1708">
        <f>'Part III-Sources of Funds'!S47</f>
        <v>0</v>
      </c>
      <c r="T424" s="1708">
        <f>'Part III-Sources of Funds'!T47</f>
        <v>0</v>
      </c>
    </row>
    <row r="425" spans="1:20" ht="13.5">
      <c r="A425" s="1647"/>
      <c r="B425" s="1647" t="s">
        <v>801</v>
      </c>
      <c r="C425" s="1647"/>
      <c r="D425" s="1647"/>
      <c r="E425" s="1703">
        <f>'Part III-Sources of Funds'!E48</f>
        <v>0</v>
      </c>
      <c r="F425" s="1703">
        <f>'Part III-Sources of Funds'!F48</f>
        <v>0</v>
      </c>
      <c r="G425" s="1703">
        <f>'Part III-Sources of Funds'!G48</f>
        <v>0</v>
      </c>
      <c r="H425" s="1703">
        <f>'Part III-Sources of Funds'!H48</f>
        <v>0</v>
      </c>
      <c r="I425" s="1779">
        <f>'Part III-Sources of Funds'!I48</f>
        <v>0</v>
      </c>
      <c r="J425" s="1647">
        <f>'Part III-Sources of Funds'!J48</f>
        <v>0</v>
      </c>
      <c r="K425" s="1710"/>
      <c r="L425" s="1721" t="s">
        <v>517</v>
      </c>
      <c r="M425" s="1721"/>
      <c r="N425" s="1722" t="s">
        <v>518</v>
      </c>
      <c r="O425" s="1722"/>
      <c r="P425" s="1651" t="s">
        <v>516</v>
      </c>
      <c r="Q425" s="1647"/>
      <c r="R425" s="1710"/>
      <c r="S425" s="1708">
        <f>'Part III-Sources of Funds'!S48</f>
        <v>0</v>
      </c>
      <c r="T425" s="1708">
        <f>'Part III-Sources of Funds'!T48</f>
        <v>0</v>
      </c>
    </row>
    <row r="426" spans="1:20" ht="51">
      <c r="A426" s="1647"/>
      <c r="B426" s="1647" t="s">
        <v>802</v>
      </c>
      <c r="C426" s="1647"/>
      <c r="D426" s="1647"/>
      <c r="E426" s="1703" t="str">
        <f>'Part III-Sources of Funds'!E49</f>
        <v>Raymond James Tax Credit Funds, Inc.</v>
      </c>
      <c r="F426" s="1703">
        <f>'Part III-Sources of Funds'!F49</f>
        <v>0</v>
      </c>
      <c r="G426" s="1703">
        <f>'Part III-Sources of Funds'!G49</f>
        <v>0</v>
      </c>
      <c r="H426" s="1703">
        <f>'Part III-Sources of Funds'!H49</f>
        <v>0</v>
      </c>
      <c r="I426" s="1779">
        <f>'Part III-Sources of Funds'!I49</f>
        <v>6138539</v>
      </c>
      <c r="J426" s="1779">
        <f>'Part III-Sources of Funds'!J49</f>
        <v>0</v>
      </c>
      <c r="K426" s="1710"/>
      <c r="L426" s="1723">
        <f>'Part IV-A-Uses of Funds'!$J$175*10*'Part IV-A-Uses of Funds'!$N$168</f>
        <v>6138539.4000000004</v>
      </c>
      <c r="M426" s="1723"/>
      <c r="N426" s="1724">
        <f>I426-L426</f>
        <v>-0.40000000037252903</v>
      </c>
      <c r="O426" s="1724"/>
      <c r="P426" s="1725" t="s">
        <v>2560</v>
      </c>
      <c r="Q426" s="1647"/>
      <c r="R426" s="1710"/>
      <c r="S426" s="1708">
        <f>'Part III-Sources of Funds'!S49</f>
        <v>0</v>
      </c>
      <c r="T426" s="1708">
        <f>'Part III-Sources of Funds'!T49</f>
        <v>0</v>
      </c>
    </row>
    <row r="427" spans="1:20" ht="51">
      <c r="A427" s="1647"/>
      <c r="B427" s="1647" t="s">
        <v>803</v>
      </c>
      <c r="C427" s="1647"/>
      <c r="D427" s="1647"/>
      <c r="E427" s="1703" t="str">
        <f>'Part III-Sources of Funds'!E50</f>
        <v>Raymond James Tax Credit Funds, Inc.</v>
      </c>
      <c r="F427" s="1703">
        <f>'Part III-Sources of Funds'!F50</f>
        <v>0</v>
      </c>
      <c r="G427" s="1703">
        <f>'Part III-Sources of Funds'!G50</f>
        <v>0</v>
      </c>
      <c r="H427" s="1703">
        <f>'Part III-Sources of Funds'!H50</f>
        <v>0</v>
      </c>
      <c r="I427" s="1779">
        <f>'Part III-Sources of Funds'!I50</f>
        <v>4191368</v>
      </c>
      <c r="J427" s="1779">
        <f>'Part III-Sources of Funds'!J50</f>
        <v>0</v>
      </c>
      <c r="K427" s="1710"/>
      <c r="L427" s="1723">
        <f>'Part IV-A-Uses of Funds'!$J$175*10*'Part IV-A-Uses of Funds'!$Q$168</f>
        <v>4191368.3000000003</v>
      </c>
      <c r="M427" s="1723"/>
      <c r="N427" s="1724">
        <f>I427-L427</f>
        <v>-0.30000000027939677</v>
      </c>
      <c r="O427" s="1724"/>
      <c r="P427" s="1726">
        <f>I426/I436</f>
        <v>0.339261993651859</v>
      </c>
      <c r="Q427" s="1647"/>
      <c r="R427" s="1710"/>
      <c r="S427" s="1708">
        <f>'Part III-Sources of Funds'!S50</f>
        <v>0</v>
      </c>
      <c r="T427" s="1708">
        <f>'Part III-Sources of Funds'!T50</f>
        <v>0</v>
      </c>
    </row>
    <row r="428" spans="1:20" ht="13.5">
      <c r="A428" s="1647"/>
      <c r="B428" s="1647" t="s">
        <v>1410</v>
      </c>
      <c r="C428" s="1647"/>
      <c r="D428" s="1647"/>
      <c r="E428" s="1703">
        <f>'Part III-Sources of Funds'!E51</f>
        <v>0</v>
      </c>
      <c r="F428" s="1703">
        <f>'Part III-Sources of Funds'!F51</f>
        <v>0</v>
      </c>
      <c r="G428" s="1703">
        <f>'Part III-Sources of Funds'!G51</f>
        <v>0</v>
      </c>
      <c r="H428" s="1703">
        <f>'Part III-Sources of Funds'!H51</f>
        <v>0</v>
      </c>
      <c r="I428" s="1779">
        <f>'Part III-Sources of Funds'!I51</f>
        <v>0</v>
      </c>
      <c r="J428" s="1779">
        <f>'Part III-Sources of Funds'!J51</f>
        <v>0</v>
      </c>
      <c r="K428" s="1710"/>
      <c r="L428" s="1710"/>
      <c r="M428" s="1710"/>
      <c r="N428" s="1710"/>
      <c r="O428" s="1710"/>
      <c r="P428" s="1726">
        <f>I427/I436</f>
        <v>0.23164662858843202</v>
      </c>
      <c r="Q428" s="1647"/>
      <c r="R428" s="1710"/>
      <c r="S428" s="1708">
        <f>'Part III-Sources of Funds'!S51</f>
        <v>0</v>
      </c>
      <c r="T428" s="1708">
        <f>'Part III-Sources of Funds'!T51</f>
        <v>0</v>
      </c>
    </row>
    <row r="429" spans="1:20" ht="13.5">
      <c r="A429" s="1647"/>
      <c r="B429" s="1647" t="s">
        <v>531</v>
      </c>
      <c r="C429" s="1647"/>
      <c r="D429" s="1647"/>
      <c r="E429" s="1703">
        <f>'Part III-Sources of Funds'!E52</f>
        <v>0</v>
      </c>
      <c r="F429" s="1703">
        <f>'Part III-Sources of Funds'!F52</f>
        <v>0</v>
      </c>
      <c r="G429" s="1703">
        <f>'Part III-Sources of Funds'!G52</f>
        <v>0</v>
      </c>
      <c r="H429" s="1703">
        <f>'Part III-Sources of Funds'!H52</f>
        <v>0</v>
      </c>
      <c r="I429" s="1779">
        <f>'Part III-Sources of Funds'!I52</f>
        <v>368125</v>
      </c>
      <c r="J429" s="1779">
        <f>'Part III-Sources of Funds'!J52</f>
        <v>0</v>
      </c>
      <c r="K429" s="1647"/>
      <c r="L429" s="1710"/>
      <c r="M429" s="1710"/>
      <c r="N429" s="1710"/>
      <c r="O429" s="1710"/>
      <c r="P429" s="1726">
        <f>SUM(P427:P428)</f>
        <v>0.57090862224029104</v>
      </c>
      <c r="Q429" s="1647"/>
      <c r="R429" s="1710"/>
      <c r="S429" s="1708">
        <f>'Part III-Sources of Funds'!S52</f>
        <v>0</v>
      </c>
      <c r="T429" s="1708">
        <f>'Part III-Sources of Funds'!T52</f>
        <v>0</v>
      </c>
    </row>
    <row r="430" spans="1:20" ht="13.5">
      <c r="A430" s="1647"/>
      <c r="B430" s="1647" t="s">
        <v>1869</v>
      </c>
      <c r="C430" s="1647"/>
      <c r="D430" s="1647"/>
      <c r="E430" s="1703">
        <f>'Part III-Sources of Funds'!E53</f>
        <v>0</v>
      </c>
      <c r="F430" s="1703">
        <f>'Part III-Sources of Funds'!F53</f>
        <v>0</v>
      </c>
      <c r="G430" s="1703">
        <f>'Part III-Sources of Funds'!G53</f>
        <v>0</v>
      </c>
      <c r="H430" s="1703">
        <f>'Part III-Sources of Funds'!H53</f>
        <v>0</v>
      </c>
      <c r="I430" s="1779">
        <f>'Part III-Sources of Funds'!I53</f>
        <v>0</v>
      </c>
      <c r="J430" s="1779">
        <f>'Part III-Sources of Funds'!J53</f>
        <v>0</v>
      </c>
      <c r="K430" s="1710"/>
      <c r="L430" s="1710"/>
      <c r="M430" s="1710"/>
      <c r="N430" s="1703"/>
      <c r="O430" s="1703"/>
      <c r="P430" s="1703"/>
      <c r="Q430" s="1647"/>
      <c r="R430" s="1710"/>
      <c r="S430" s="1708">
        <f>'Part III-Sources of Funds'!S53</f>
        <v>0</v>
      </c>
      <c r="T430" s="1708">
        <f>'Part III-Sources of Funds'!T53</f>
        <v>0</v>
      </c>
    </row>
    <row r="431" spans="1:20" ht="13.5">
      <c r="A431" s="1647"/>
      <c r="B431" s="1647" t="s">
        <v>1870</v>
      </c>
      <c r="C431" s="1647"/>
      <c r="D431" s="1647"/>
      <c r="E431" s="1703">
        <f>'Part III-Sources of Funds'!E54</f>
        <v>0</v>
      </c>
      <c r="F431" s="1703">
        <f>'Part III-Sources of Funds'!F54</f>
        <v>0</v>
      </c>
      <c r="G431" s="1703">
        <f>'Part III-Sources of Funds'!G54</f>
        <v>0</v>
      </c>
      <c r="H431" s="1703">
        <f>'Part III-Sources of Funds'!H54</f>
        <v>0</v>
      </c>
      <c r="I431" s="1779">
        <f>'Part III-Sources of Funds'!I54</f>
        <v>0</v>
      </c>
      <c r="J431" s="1779">
        <f>'Part III-Sources of Funds'!J54</f>
        <v>0</v>
      </c>
      <c r="K431" s="1710"/>
      <c r="L431" s="1710"/>
      <c r="M431" s="1703"/>
      <c r="N431" s="1703"/>
      <c r="O431" s="1703"/>
      <c r="P431" s="1703"/>
      <c r="Q431" s="1647"/>
      <c r="R431" s="1710"/>
      <c r="S431" s="1708">
        <f>'Part III-Sources of Funds'!S54</f>
        <v>0</v>
      </c>
      <c r="T431" s="1708">
        <f>'Part III-Sources of Funds'!T54</f>
        <v>0</v>
      </c>
    </row>
    <row r="432" spans="1:20" ht="63.75">
      <c r="A432" s="1647"/>
      <c r="B432" s="1647" t="s">
        <v>741</v>
      </c>
      <c r="C432" s="1703">
        <f>'Part III-Sources of Funds'!C55</f>
        <v>0</v>
      </c>
      <c r="D432" s="1703">
        <f>'Part III-Sources of Funds'!D55</f>
        <v>0</v>
      </c>
      <c r="E432" s="1703" t="str">
        <f>'Part III-Sources of Funds'!E55</f>
        <v>Return of Fannie Mae Forward Commitment Fee</v>
      </c>
      <c r="F432" s="1703">
        <f>'Part III-Sources of Funds'!F55</f>
        <v>0</v>
      </c>
      <c r="G432" s="1703">
        <f>'Part III-Sources of Funds'!G55</f>
        <v>0</v>
      </c>
      <c r="H432" s="1703">
        <f>'Part III-Sources of Funds'!H55</f>
        <v>0</v>
      </c>
      <c r="I432" s="1779">
        <f>'Part III-Sources of Funds'!I55</f>
        <v>68650</v>
      </c>
      <c r="J432" s="1779">
        <f>'Part III-Sources of Funds'!J55</f>
        <v>0</v>
      </c>
      <c r="K432" s="1710"/>
      <c r="L432" s="1710"/>
      <c r="M432" s="1703"/>
      <c r="N432" s="1703"/>
      <c r="O432" s="1703"/>
      <c r="P432" s="1703"/>
      <c r="Q432" s="1647"/>
      <c r="R432" s="1710"/>
      <c r="S432" s="1708">
        <f>'Part III-Sources of Funds'!S55</f>
        <v>0</v>
      </c>
      <c r="T432" s="1708">
        <f>'Part III-Sources of Funds'!T55</f>
        <v>0</v>
      </c>
    </row>
    <row r="433" spans="1:24" ht="13.5">
      <c r="A433" s="1647"/>
      <c r="B433" s="1647" t="s">
        <v>741</v>
      </c>
      <c r="C433" s="1703">
        <f>'Part III-Sources of Funds'!C56</f>
        <v>0</v>
      </c>
      <c r="D433" s="1703">
        <f>'Part III-Sources of Funds'!D56</f>
        <v>0</v>
      </c>
      <c r="E433" s="1703">
        <f>'Part III-Sources of Funds'!E56</f>
        <v>0</v>
      </c>
      <c r="F433" s="1703">
        <f>'Part III-Sources of Funds'!F56</f>
        <v>0</v>
      </c>
      <c r="G433" s="1703">
        <f>'Part III-Sources of Funds'!G56</f>
        <v>0</v>
      </c>
      <c r="H433" s="1703">
        <f>'Part III-Sources of Funds'!H56</f>
        <v>0</v>
      </c>
      <c r="I433" s="1779">
        <f>'Part III-Sources of Funds'!I56</f>
        <v>0</v>
      </c>
      <c r="J433" s="1779">
        <f>'Part III-Sources of Funds'!J56</f>
        <v>0</v>
      </c>
      <c r="K433" s="1647"/>
      <c r="L433" s="1651"/>
      <c r="M433" s="1703"/>
      <c r="N433" s="1703"/>
      <c r="O433" s="1703"/>
      <c r="P433" s="1703"/>
      <c r="Q433" s="1647"/>
      <c r="R433" s="1710"/>
      <c r="S433" s="1708">
        <f>'Part III-Sources of Funds'!S56</f>
        <v>0</v>
      </c>
      <c r="T433" s="1708">
        <f>'Part III-Sources of Funds'!T56</f>
        <v>0</v>
      </c>
    </row>
    <row r="434" spans="1:24" ht="13.5">
      <c r="A434" s="1647"/>
      <c r="B434" s="1647" t="s">
        <v>741</v>
      </c>
      <c r="C434" s="1703">
        <f>'Part III-Sources of Funds'!C57</f>
        <v>0</v>
      </c>
      <c r="D434" s="1703">
        <f>'Part III-Sources of Funds'!D57</f>
        <v>0</v>
      </c>
      <c r="E434" s="1703">
        <f>'Part III-Sources of Funds'!E57</f>
        <v>0</v>
      </c>
      <c r="F434" s="1703">
        <f>'Part III-Sources of Funds'!F57</f>
        <v>0</v>
      </c>
      <c r="G434" s="1703">
        <f>'Part III-Sources of Funds'!G57</f>
        <v>0</v>
      </c>
      <c r="H434" s="1703">
        <f>'Part III-Sources of Funds'!H57</f>
        <v>0</v>
      </c>
      <c r="I434" s="1779">
        <f>'Part III-Sources of Funds'!I57</f>
        <v>0</v>
      </c>
      <c r="J434" s="1779">
        <f>'Part III-Sources of Funds'!J57</f>
        <v>0</v>
      </c>
      <c r="K434" s="1647"/>
      <c r="L434" s="1651"/>
      <c r="M434" s="1703"/>
      <c r="N434" s="1703"/>
      <c r="O434" s="1703"/>
      <c r="P434" s="1703"/>
      <c r="Q434" s="1647"/>
      <c r="R434" s="1710"/>
      <c r="S434" s="1708">
        <f>'Part III-Sources of Funds'!S57</f>
        <v>0</v>
      </c>
      <c r="T434" s="1708">
        <f>'Part III-Sources of Funds'!T57</f>
        <v>0</v>
      </c>
    </row>
    <row r="435" spans="1:24" ht="13.5">
      <c r="A435" s="1647"/>
      <c r="B435" s="1654" t="s">
        <v>2216</v>
      </c>
      <c r="C435" s="1647"/>
      <c r="D435" s="1647"/>
      <c r="E435" s="1647"/>
      <c r="F435" s="1647"/>
      <c r="G435" s="1647"/>
      <c r="H435" s="1710"/>
      <c r="I435" s="1717">
        <f>SUM(I415:J420)+SUM(I424:J434)</f>
        <v>18093801</v>
      </c>
      <c r="J435" s="1717"/>
      <c r="K435" s="1647"/>
      <c r="L435" s="1651"/>
      <c r="M435" s="1703"/>
      <c r="N435" s="1703"/>
      <c r="O435" s="1703"/>
      <c r="P435" s="1703"/>
      <c r="Q435" s="1647"/>
      <c r="R435" s="1710"/>
      <c r="S435" s="1708">
        <f>'Part III-Sources of Funds'!S58</f>
        <v>0</v>
      </c>
      <c r="T435" s="1708">
        <f>'Part III-Sources of Funds'!T58</f>
        <v>0</v>
      </c>
    </row>
    <row r="436" spans="1:24" ht="13.5">
      <c r="A436" s="1647"/>
      <c r="B436" s="1654" t="s">
        <v>2217</v>
      </c>
      <c r="C436" s="1647"/>
      <c r="D436" s="1647"/>
      <c r="E436" s="1647"/>
      <c r="F436" s="1647"/>
      <c r="G436" s="1647"/>
      <c r="H436" s="1710"/>
      <c r="I436" s="1717">
        <f>'Part IV-A-Uses of Funds'!$G$132</f>
        <v>18093801</v>
      </c>
      <c r="J436" s="1717"/>
      <c r="K436" s="1647"/>
      <c r="L436" s="1651"/>
      <c r="M436" s="1703"/>
      <c r="N436" s="1703"/>
      <c r="O436" s="1703"/>
      <c r="P436" s="1703"/>
      <c r="Q436" s="1647"/>
      <c r="R436" s="1710"/>
      <c r="S436" s="1708">
        <f>'Part III-Sources of Funds'!S59</f>
        <v>0</v>
      </c>
      <c r="T436" s="1708">
        <f>'Part III-Sources of Funds'!T59</f>
        <v>0</v>
      </c>
    </row>
    <row r="437" spans="1:24" ht="13.5">
      <c r="A437" s="1647"/>
      <c r="B437" s="1654" t="s">
        <v>1525</v>
      </c>
      <c r="C437" s="1647"/>
      <c r="D437" s="1647"/>
      <c r="E437" s="1647"/>
      <c r="F437" s="1647"/>
      <c r="G437" s="1647"/>
      <c r="H437" s="1710"/>
      <c r="I437" s="1779">
        <f>I435-I436</f>
        <v>0</v>
      </c>
      <c r="J437" s="1779"/>
      <c r="K437" s="1647"/>
      <c r="L437" s="1651"/>
      <c r="M437" s="1703"/>
      <c r="N437" s="1703"/>
      <c r="O437" s="1703"/>
      <c r="P437" s="1703"/>
      <c r="Q437" s="1647"/>
      <c r="R437" s="1710"/>
      <c r="S437" s="1708">
        <f>'Part III-Sources of Funds'!S60</f>
        <v>0</v>
      </c>
      <c r="T437" s="1708">
        <f>'Part III-Sources of Funds'!T60</f>
        <v>0</v>
      </c>
    </row>
    <row r="438" spans="1:24">
      <c r="A438" s="1647" t="s">
        <v>3468</v>
      </c>
      <c r="B438" s="1654"/>
      <c r="C438" s="1647"/>
      <c r="D438" s="1647"/>
      <c r="E438" s="1647"/>
      <c r="F438" s="1647"/>
      <c r="G438" s="1647"/>
      <c r="H438" s="1789"/>
      <c r="I438" s="1789"/>
      <c r="J438" s="1653"/>
      <c r="K438" s="1647"/>
      <c r="L438" s="1651"/>
      <c r="M438" s="1703"/>
      <c r="N438" s="1703"/>
      <c r="O438" s="1703"/>
      <c r="P438" s="1703"/>
      <c r="Q438" s="1647"/>
      <c r="R438" s="1647"/>
      <c r="S438" s="1647"/>
      <c r="T438" s="1647"/>
    </row>
    <row r="439" spans="1:24" ht="13.5">
      <c r="A439" s="1653"/>
      <c r="B439" s="1653"/>
      <c r="C439" s="1653"/>
      <c r="D439" s="1653"/>
      <c r="E439" s="1653"/>
      <c r="F439" s="1653"/>
      <c r="G439" s="1653"/>
      <c r="H439" s="1653"/>
      <c r="I439" s="1653"/>
      <c r="J439" s="1653"/>
      <c r="K439" s="1653"/>
      <c r="L439" s="1653"/>
      <c r="M439" s="1653"/>
      <c r="N439" s="1653"/>
      <c r="O439" s="1653"/>
      <c r="P439" s="1653"/>
      <c r="Q439" s="1653"/>
      <c r="R439" s="1715"/>
      <c r="S439" s="1715"/>
      <c r="T439" s="1715"/>
    </row>
    <row r="440" spans="1:24" ht="13.5">
      <c r="A440" s="1647" t="s">
        <v>1792</v>
      </c>
      <c r="B440" s="1647" t="s">
        <v>572</v>
      </c>
      <c r="C440" s="1653"/>
      <c r="D440" s="1653"/>
      <c r="E440" s="1653"/>
      <c r="F440" s="1653"/>
      <c r="G440" s="1653"/>
      <c r="H440" s="1653"/>
      <c r="I440" s="1653"/>
      <c r="J440" s="1653"/>
      <c r="K440" s="1715"/>
      <c r="L440" s="1715"/>
      <c r="M440" s="1647" t="s">
        <v>1792</v>
      </c>
      <c r="N440" s="1647" t="s">
        <v>79</v>
      </c>
      <c r="O440" s="1653"/>
      <c r="P440" s="1653"/>
      <c r="Q440" s="1653"/>
      <c r="R440" s="1715"/>
      <c r="S440" s="1715"/>
      <c r="T440" s="1715"/>
    </row>
    <row r="441" spans="1:24" ht="15.75" customHeight="1">
      <c r="A441" s="1708">
        <f>'Part III-Sources of Funds'!A64</f>
        <v>0</v>
      </c>
      <c r="B441" s="1708">
        <f>'Part III-Sources of Funds'!B64</f>
        <v>0</v>
      </c>
      <c r="C441" s="1708">
        <f>'Part III-Sources of Funds'!C64</f>
        <v>0</v>
      </c>
      <c r="D441" s="1708">
        <f>'Part III-Sources of Funds'!D64</f>
        <v>0</v>
      </c>
      <c r="E441" s="1708">
        <f>'Part III-Sources of Funds'!E64</f>
        <v>0</v>
      </c>
      <c r="F441" s="1708">
        <f>'Part III-Sources of Funds'!F64</f>
        <v>0</v>
      </c>
      <c r="G441" s="1708">
        <f>'Part III-Sources of Funds'!G64</f>
        <v>0</v>
      </c>
      <c r="H441" s="1708">
        <f>'Part III-Sources of Funds'!H64</f>
        <v>0</v>
      </c>
      <c r="I441" s="1708">
        <f>'Part III-Sources of Funds'!I64</f>
        <v>0</v>
      </c>
      <c r="J441" s="1708">
        <f>'Part III-Sources of Funds'!J64</f>
        <v>0</v>
      </c>
      <c r="K441" s="1708">
        <f>'Part III-Sources of Funds'!K64</f>
        <v>0</v>
      </c>
      <c r="L441" s="1708">
        <f>'Part III-Sources of Funds'!L64</f>
        <v>0</v>
      </c>
      <c r="M441" s="1708">
        <f>'Part III-Sources of Funds'!M64</f>
        <v>0</v>
      </c>
      <c r="N441" s="1708">
        <f>'Part III-Sources of Funds'!N64</f>
        <v>0</v>
      </c>
      <c r="O441" s="1708">
        <f>'Part III-Sources of Funds'!O64</f>
        <v>0</v>
      </c>
      <c r="P441" s="1708">
        <f>'Part III-Sources of Funds'!P64</f>
        <v>0</v>
      </c>
      <c r="Q441" s="1708">
        <f>'Part III-Sources of Funds'!Q64</f>
        <v>0</v>
      </c>
      <c r="R441" s="1715"/>
      <c r="S441" s="2727" t="s">
        <v>2693</v>
      </c>
      <c r="T441" s="2727"/>
    </row>
    <row r="446" spans="1:24">
      <c r="A446" s="1647" t="str">
        <f>CONCATENATE("PART FOUR -  USES OF FUNDS","  -  ",'Part I-Project Information'!$O$6," ",'Part I-Project Information'!$F$34,", ",'Part I-Project Information'!F483,", ",'Part I-Project Information'!J484," County")</f>
        <v>PART FOUR -  USES OF FUNDS  -  2019-5 Stone Terrace Phase II, ,  County</v>
      </c>
      <c r="B446" s="1647"/>
      <c r="C446" s="1647"/>
      <c r="D446" s="1647"/>
      <c r="E446" s="1647"/>
      <c r="F446" s="1647"/>
      <c r="G446" s="1647"/>
      <c r="H446" s="1647"/>
      <c r="I446" s="1647"/>
      <c r="J446" s="1647"/>
      <c r="K446" s="1647"/>
      <c r="L446" s="1647"/>
      <c r="M446" s="1647"/>
      <c r="N446" s="1647"/>
      <c r="O446" s="1647"/>
      <c r="P446" s="1647"/>
      <c r="Q446" s="1647"/>
      <c r="R446" s="1647"/>
      <c r="S446" s="1647"/>
      <c r="T446" s="1647"/>
      <c r="U446" s="1647"/>
      <c r="V446" s="1647"/>
      <c r="W446" s="1647" t="str">
        <f>A446</f>
        <v>PART FOUR -  USES OF FUNDS  -  2019-5 Stone Terrace Phase II, ,  County</v>
      </c>
      <c r="X446" s="1647"/>
    </row>
    <row r="447" spans="1:24">
      <c r="A447" s="1653"/>
      <c r="B447" s="1653"/>
      <c r="C447" s="1653"/>
      <c r="D447" s="1653"/>
      <c r="E447" s="1653"/>
      <c r="F447" s="1653"/>
      <c r="G447" s="1653"/>
      <c r="H447" s="1653"/>
      <c r="I447" s="1653"/>
      <c r="J447" s="1653"/>
      <c r="K447" s="1653"/>
      <c r="L447" s="1653"/>
      <c r="M447" s="1653"/>
      <c r="N447" s="1653"/>
      <c r="O447" s="1653"/>
      <c r="P447" s="1653"/>
      <c r="Q447" s="1653"/>
      <c r="R447" s="1653"/>
      <c r="S447" s="1653"/>
      <c r="T447" s="1653"/>
      <c r="U447" s="1653"/>
      <c r="V447" s="1653"/>
      <c r="W447" s="1653"/>
      <c r="X447" s="1653"/>
    </row>
    <row r="448" spans="1:24">
      <c r="A448" s="1647"/>
      <c r="B448" s="1647"/>
      <c r="C448" s="1647"/>
      <c r="D448" s="1647"/>
      <c r="E448" s="1647"/>
      <c r="F448" s="1647"/>
      <c r="G448" s="1647"/>
      <c r="H448" s="1647"/>
      <c r="I448" s="1647"/>
      <c r="J448" s="1647"/>
      <c r="K448" s="1647"/>
      <c r="L448" s="1647"/>
      <c r="M448" s="1647"/>
      <c r="N448" s="1647"/>
      <c r="O448" s="1647"/>
      <c r="P448" s="1647"/>
      <c r="Q448" s="1647"/>
      <c r="R448" s="1647"/>
      <c r="S448" s="1647"/>
      <c r="T448" s="1647"/>
      <c r="U448" s="1647"/>
      <c r="V448" s="1647"/>
      <c r="W448" s="1647"/>
      <c r="X448" s="1647"/>
    </row>
    <row r="449" spans="1:24" ht="16.5">
      <c r="A449" s="1651"/>
      <c r="B449" s="1651"/>
      <c r="C449" s="1651"/>
      <c r="D449" s="2728"/>
      <c r="E449" s="2728"/>
      <c r="F449" s="2728"/>
      <c r="G449" s="2728"/>
      <c r="H449" s="2728"/>
      <c r="I449" s="1647"/>
      <c r="J449" s="1651"/>
      <c r="K449" s="1651"/>
      <c r="L449" s="1651"/>
      <c r="M449" s="1651"/>
      <c r="N449" s="1651"/>
      <c r="O449" s="1651"/>
      <c r="P449" s="1651"/>
      <c r="Q449" s="1651"/>
      <c r="R449" s="1651"/>
      <c r="S449" s="1651"/>
      <c r="T449" s="1651"/>
      <c r="U449" s="1647"/>
      <c r="V449" s="1647"/>
      <c r="W449" s="1647"/>
      <c r="X449" s="1647"/>
    </row>
    <row r="450" spans="1:24" ht="17.25" customHeight="1">
      <c r="A450" s="2728" t="s">
        <v>616</v>
      </c>
      <c r="B450" s="2728" t="s">
        <v>900</v>
      </c>
      <c r="C450" s="1647"/>
      <c r="D450" s="2729" t="str">
        <f>'Part I-Project Information'!$B$6</f>
        <v>May 2019 Final</v>
      </c>
      <c r="E450" s="2729"/>
      <c r="F450" s="2729"/>
      <c r="G450" s="2729"/>
      <c r="H450" s="2729"/>
      <c r="I450" s="2728"/>
      <c r="J450" s="1703" t="s">
        <v>271</v>
      </c>
      <c r="K450" s="1703"/>
      <c r="L450" s="1729"/>
      <c r="M450" s="2730" t="s">
        <v>489</v>
      </c>
      <c r="N450" s="2730"/>
      <c r="O450" s="1647"/>
      <c r="P450" s="1703" t="s">
        <v>272</v>
      </c>
      <c r="Q450" s="1703"/>
      <c r="R450" s="1647"/>
      <c r="S450" s="1703" t="s">
        <v>273</v>
      </c>
      <c r="T450" s="1703"/>
      <c r="U450" s="1647"/>
      <c r="V450" s="2731" t="str">
        <f>B450</f>
        <v>DEVELOPMENT BUDGET</v>
      </c>
      <c r="W450" s="1647"/>
      <c r="X450" s="1647"/>
    </row>
    <row r="451" spans="1:24" ht="14.25">
      <c r="A451" s="1647"/>
      <c r="B451" s="1647"/>
      <c r="C451" s="1647"/>
      <c r="D451" s="2729"/>
      <c r="E451" s="2729"/>
      <c r="F451" s="2729"/>
      <c r="G451" s="1647" t="s">
        <v>101</v>
      </c>
      <c r="H451" s="1647"/>
      <c r="I451" s="1647"/>
      <c r="J451" s="1703"/>
      <c r="K451" s="1703"/>
      <c r="L451" s="1729"/>
      <c r="M451" s="2730"/>
      <c r="N451" s="2730"/>
      <c r="O451" s="1647"/>
      <c r="P451" s="1703"/>
      <c r="Q451" s="1703"/>
      <c r="R451" s="1647"/>
      <c r="S451" s="1703"/>
      <c r="T451" s="1703"/>
      <c r="U451" s="1647"/>
      <c r="V451" s="1665" t="s">
        <v>2683</v>
      </c>
      <c r="W451" s="1647"/>
      <c r="X451" s="1665"/>
    </row>
    <row r="452" spans="1:24">
      <c r="A452" s="1647"/>
      <c r="B452" s="1647" t="s">
        <v>102</v>
      </c>
      <c r="C452" s="1647"/>
      <c r="D452" s="1647"/>
      <c r="E452" s="1647"/>
      <c r="F452" s="1647"/>
      <c r="G452" s="1647"/>
      <c r="H452" s="1647"/>
      <c r="I452" s="1647"/>
      <c r="J452" s="1647"/>
      <c r="K452" s="1647"/>
      <c r="L452" s="1647"/>
      <c r="M452" s="1647"/>
      <c r="N452" s="1647"/>
      <c r="O452" s="1651" t="str">
        <f>B452</f>
        <v>PRE-DEVELOPMENT COSTS</v>
      </c>
      <c r="P452" s="1647"/>
      <c r="Q452" s="1647"/>
      <c r="R452" s="1647"/>
      <c r="S452" s="1647"/>
      <c r="T452" s="1647"/>
      <c r="U452" s="1647"/>
      <c r="V452" s="1647"/>
      <c r="W452" s="1647" t="str">
        <f>B452</f>
        <v>PRE-DEVELOPMENT COSTS</v>
      </c>
      <c r="X452" s="1647"/>
    </row>
    <row r="453" spans="1:24">
      <c r="A453" s="1647"/>
      <c r="B453" s="1647" t="s">
        <v>2000</v>
      </c>
      <c r="C453" s="1647"/>
      <c r="D453" s="1647"/>
      <c r="E453" s="1647"/>
      <c r="F453" s="1647"/>
      <c r="G453" s="1729">
        <f>'Part IV-A-Uses of Funds'!G8</f>
        <v>11700</v>
      </c>
      <c r="H453" s="1729"/>
      <c r="I453" s="1647"/>
      <c r="J453" s="1729">
        <f>'Part IV-A-Uses of Funds'!J8</f>
        <v>11700</v>
      </c>
      <c r="K453" s="1729"/>
      <c r="L453" s="1664"/>
      <c r="M453" s="1729">
        <f>'Part IV-A-Uses of Funds'!M8</f>
        <v>0</v>
      </c>
      <c r="N453" s="1729"/>
      <c r="O453" s="1647"/>
      <c r="P453" s="1729">
        <f>'Part IV-A-Uses of Funds'!P8</f>
        <v>0</v>
      </c>
      <c r="Q453" s="1729"/>
      <c r="R453" s="1647"/>
      <c r="S453" s="1729">
        <f>'Part IV-A-Uses of Funds'!S8</f>
        <v>0</v>
      </c>
      <c r="T453" s="1729"/>
      <c r="U453" s="1647"/>
      <c r="V453" s="1735">
        <f>'Part IV-A-Uses of Funds'!V8</f>
        <v>0</v>
      </c>
      <c r="W453" s="1485">
        <f>'Part IV-A-Uses of Funds'!W8</f>
        <v>0</v>
      </c>
      <c r="X453" s="1485"/>
    </row>
    <row r="454" spans="1:24">
      <c r="A454" s="1647"/>
      <c r="B454" s="1647" t="s">
        <v>457</v>
      </c>
      <c r="C454" s="1647"/>
      <c r="D454" s="1647"/>
      <c r="E454" s="1647"/>
      <c r="F454" s="1647"/>
      <c r="G454" s="1729">
        <f>'Part IV-A-Uses of Funds'!G9</f>
        <v>12000</v>
      </c>
      <c r="H454" s="1729"/>
      <c r="I454" s="1647"/>
      <c r="J454" s="1729">
        <f>'Part IV-A-Uses of Funds'!J9</f>
        <v>12000</v>
      </c>
      <c r="K454" s="1729"/>
      <c r="L454" s="1664"/>
      <c r="M454" s="1729">
        <f>'Part IV-A-Uses of Funds'!M9</f>
        <v>0</v>
      </c>
      <c r="N454" s="1729"/>
      <c r="O454" s="1647"/>
      <c r="P454" s="1729">
        <f>'Part IV-A-Uses of Funds'!P9</f>
        <v>0</v>
      </c>
      <c r="Q454" s="1729"/>
      <c r="R454" s="1647"/>
      <c r="S454" s="1729">
        <f>'Part IV-A-Uses of Funds'!S9</f>
        <v>0</v>
      </c>
      <c r="T454" s="1729"/>
      <c r="U454" s="1647"/>
      <c r="V454" s="1735">
        <f>'Part IV-A-Uses of Funds'!V9</f>
        <v>0</v>
      </c>
      <c r="W454" s="1485">
        <f>'Part IV-A-Uses of Funds'!W9</f>
        <v>0</v>
      </c>
      <c r="X454" s="1485"/>
    </row>
    <row r="455" spans="1:24">
      <c r="A455" s="1647"/>
      <c r="B455" s="1647" t="s">
        <v>486</v>
      </c>
      <c r="C455" s="1647"/>
      <c r="D455" s="1647"/>
      <c r="E455" s="1647"/>
      <c r="F455" s="1647"/>
      <c r="G455" s="1729">
        <f>'Part IV-A-Uses of Funds'!G10</f>
        <v>6500</v>
      </c>
      <c r="H455" s="1729"/>
      <c r="I455" s="1647"/>
      <c r="J455" s="1729">
        <f>'Part IV-A-Uses of Funds'!J10</f>
        <v>6500</v>
      </c>
      <c r="K455" s="1729"/>
      <c r="L455" s="1664"/>
      <c r="M455" s="1729">
        <f>'Part IV-A-Uses of Funds'!M10</f>
        <v>0</v>
      </c>
      <c r="N455" s="1729"/>
      <c r="O455" s="1647"/>
      <c r="P455" s="1729">
        <f>'Part IV-A-Uses of Funds'!P10</f>
        <v>0</v>
      </c>
      <c r="Q455" s="1729"/>
      <c r="R455" s="1647"/>
      <c r="S455" s="1729">
        <f>'Part IV-A-Uses of Funds'!S10</f>
        <v>0</v>
      </c>
      <c r="T455" s="1729"/>
      <c r="U455" s="1647"/>
      <c r="V455" s="1735">
        <f>'Part IV-A-Uses of Funds'!V10</f>
        <v>0</v>
      </c>
      <c r="W455" s="1485">
        <f>'Part IV-A-Uses of Funds'!W10</f>
        <v>0</v>
      </c>
      <c r="X455" s="1485"/>
    </row>
    <row r="456" spans="1:24">
      <c r="A456" s="1647"/>
      <c r="B456" s="1647" t="s">
        <v>487</v>
      </c>
      <c r="C456" s="1647"/>
      <c r="D456" s="1647"/>
      <c r="E456" s="1647"/>
      <c r="F456" s="1647"/>
      <c r="G456" s="1729">
        <f>'Part IV-A-Uses of Funds'!G11</f>
        <v>15000</v>
      </c>
      <c r="H456" s="1729"/>
      <c r="I456" s="1647"/>
      <c r="J456" s="1729">
        <f>'Part IV-A-Uses of Funds'!J11</f>
        <v>15000</v>
      </c>
      <c r="K456" s="1729"/>
      <c r="L456" s="1664"/>
      <c r="M456" s="1729">
        <f>'Part IV-A-Uses of Funds'!M11</f>
        <v>0</v>
      </c>
      <c r="N456" s="1729"/>
      <c r="O456" s="1647"/>
      <c r="P456" s="1729">
        <f>'Part IV-A-Uses of Funds'!P11</f>
        <v>0</v>
      </c>
      <c r="Q456" s="1729"/>
      <c r="R456" s="1647"/>
      <c r="S456" s="1729">
        <f>'Part IV-A-Uses of Funds'!S11</f>
        <v>0</v>
      </c>
      <c r="T456" s="1729"/>
      <c r="U456" s="1647"/>
      <c r="V456" s="1735">
        <f>'Part IV-A-Uses of Funds'!V11</f>
        <v>0</v>
      </c>
      <c r="W456" s="1485">
        <f>'Part IV-A-Uses of Funds'!W11</f>
        <v>0</v>
      </c>
      <c r="X456" s="1485"/>
    </row>
    <row r="457" spans="1:24">
      <c r="A457" s="1647"/>
      <c r="B457" s="1647" t="s">
        <v>2500</v>
      </c>
      <c r="C457" s="1647"/>
      <c r="D457" s="1647"/>
      <c r="E457" s="1647"/>
      <c r="F457" s="1647"/>
      <c r="G457" s="1729">
        <f>'Part IV-A-Uses of Funds'!G12</f>
        <v>14700</v>
      </c>
      <c r="H457" s="1729"/>
      <c r="I457" s="1647"/>
      <c r="J457" s="1729">
        <f>'Part IV-A-Uses of Funds'!J12</f>
        <v>14700</v>
      </c>
      <c r="K457" s="1729"/>
      <c r="L457" s="1664"/>
      <c r="M457" s="1729">
        <f>'Part IV-A-Uses of Funds'!M12</f>
        <v>0</v>
      </c>
      <c r="N457" s="1729"/>
      <c r="O457" s="1647"/>
      <c r="P457" s="1729">
        <f>'Part IV-A-Uses of Funds'!P12</f>
        <v>0</v>
      </c>
      <c r="Q457" s="1729"/>
      <c r="R457" s="1647"/>
      <c r="S457" s="1729">
        <f>'Part IV-A-Uses of Funds'!S12</f>
        <v>0</v>
      </c>
      <c r="T457" s="1729"/>
      <c r="U457" s="1647"/>
      <c r="V457" s="1735">
        <f>'Part IV-A-Uses of Funds'!V12</f>
        <v>0</v>
      </c>
      <c r="W457" s="1485">
        <f>'Part IV-A-Uses of Funds'!W12</f>
        <v>0</v>
      </c>
      <c r="X457" s="1485"/>
    </row>
    <row r="458" spans="1:24">
      <c r="A458" s="1647"/>
      <c r="B458" s="1647" t="s">
        <v>190</v>
      </c>
      <c r="C458" s="1647"/>
      <c r="D458" s="1647"/>
      <c r="E458" s="1647"/>
      <c r="F458" s="1647"/>
      <c r="G458" s="1729">
        <f>'Part IV-A-Uses of Funds'!G13</f>
        <v>0</v>
      </c>
      <c r="H458" s="1729"/>
      <c r="I458" s="1647"/>
      <c r="J458" s="1729">
        <f>'Part IV-A-Uses of Funds'!J13</f>
        <v>0</v>
      </c>
      <c r="K458" s="1729"/>
      <c r="L458" s="1664"/>
      <c r="M458" s="1729">
        <f>'Part IV-A-Uses of Funds'!M13</f>
        <v>0</v>
      </c>
      <c r="N458" s="1729"/>
      <c r="O458" s="1647"/>
      <c r="P458" s="1729">
        <f>'Part IV-A-Uses of Funds'!P13</f>
        <v>0</v>
      </c>
      <c r="Q458" s="1729"/>
      <c r="R458" s="1647"/>
      <c r="S458" s="1729">
        <f>'Part IV-A-Uses of Funds'!S13</f>
        <v>0</v>
      </c>
      <c r="T458" s="1729"/>
      <c r="U458" s="1647"/>
      <c r="V458" s="1735">
        <f>'Part IV-A-Uses of Funds'!V13</f>
        <v>0</v>
      </c>
      <c r="W458" s="1485">
        <f>'Part IV-A-Uses of Funds'!W13</f>
        <v>0</v>
      </c>
      <c r="X458" s="1485"/>
    </row>
    <row r="459" spans="1:24" ht="15.75" customHeight="1">
      <c r="A459" s="2732" t="str">
        <f>IF(AND(G459&gt;0,OR(C459="",C459="&lt;Enter detailed description here; use Comments section if needed&gt;")),"X","")</f>
        <v/>
      </c>
      <c r="B459" s="1647" t="s">
        <v>741</v>
      </c>
      <c r="C459" s="1659" t="str">
        <f>'Part IV-A-Uses of Funds'!C14</f>
        <v>&lt;&lt; Enter description here; provide detail &amp; justification in tab Part IV-b &gt;&gt;</v>
      </c>
      <c r="D459" s="1659"/>
      <c r="E459" s="1659"/>
      <c r="F459" s="1659"/>
      <c r="G459" s="1729">
        <f>'Part IV-A-Uses of Funds'!G14</f>
        <v>0</v>
      </c>
      <c r="H459" s="1729"/>
      <c r="I459" s="1647"/>
      <c r="J459" s="1729">
        <f>'Part IV-A-Uses of Funds'!J14</f>
        <v>0</v>
      </c>
      <c r="K459" s="1729"/>
      <c r="L459" s="1664"/>
      <c r="M459" s="1729">
        <f>'Part IV-A-Uses of Funds'!M14</f>
        <v>0</v>
      </c>
      <c r="N459" s="1729"/>
      <c r="O459" s="1647"/>
      <c r="P459" s="1729">
        <f>'Part IV-A-Uses of Funds'!P14</f>
        <v>0</v>
      </c>
      <c r="Q459" s="1729"/>
      <c r="R459" s="1647"/>
      <c r="S459" s="1729">
        <f>'Part IV-A-Uses of Funds'!S14</f>
        <v>0</v>
      </c>
      <c r="T459" s="1729"/>
      <c r="U459" s="1654" t="str">
        <f>IF(AND(G459&gt;0,OR(C459="",C459="&lt;Enter detailed description here; use Comments section if needed&gt;")),"NO DESCRIPTION PROVIDED - please enter detailed description in Other box at left; use Comments section below if needed.","")</f>
        <v/>
      </c>
      <c r="V459" s="1735">
        <f>'Part IV-A-Uses of Funds'!V14</f>
        <v>0</v>
      </c>
      <c r="W459" s="1485">
        <f>'Part IV-A-Uses of Funds'!W14</f>
        <v>0</v>
      </c>
      <c r="X459" s="1485"/>
    </row>
    <row r="460" spans="1:24" ht="15.75" customHeight="1">
      <c r="A460" s="2732" t="str">
        <f>IF(AND(G460&gt;0,OR(C460="",C460="&lt;Enter detailed description here; use Comments section if needed&gt;")),"X","")</f>
        <v/>
      </c>
      <c r="B460" s="1647" t="s">
        <v>741</v>
      </c>
      <c r="C460" s="1659" t="str">
        <f>'Part IV-A-Uses of Funds'!C15</f>
        <v>&lt;&lt; Enter description here; provide detail &amp; justification in tab Part IV-b &gt;&gt;</v>
      </c>
      <c r="D460" s="1659"/>
      <c r="E460" s="1659"/>
      <c r="F460" s="1659"/>
      <c r="G460" s="1729">
        <f>'Part IV-A-Uses of Funds'!G15</f>
        <v>0</v>
      </c>
      <c r="H460" s="1729"/>
      <c r="I460" s="1647"/>
      <c r="J460" s="1729">
        <f>'Part IV-A-Uses of Funds'!J15</f>
        <v>0</v>
      </c>
      <c r="K460" s="1729"/>
      <c r="L460" s="1664"/>
      <c r="M460" s="1729">
        <f>'Part IV-A-Uses of Funds'!M15</f>
        <v>0</v>
      </c>
      <c r="N460" s="1729"/>
      <c r="O460" s="1647"/>
      <c r="P460" s="1729">
        <f>'Part IV-A-Uses of Funds'!P15</f>
        <v>0</v>
      </c>
      <c r="Q460" s="1729"/>
      <c r="R460" s="1647"/>
      <c r="S460" s="1729">
        <f>'Part IV-A-Uses of Funds'!S15</f>
        <v>0</v>
      </c>
      <c r="T460" s="1729"/>
      <c r="U460" s="1654" t="str">
        <f>IF(AND(G460&gt;0,OR(C460="",C460="&lt;Enter detailed description here; use Comments section if needed&gt;")),"NO DESCRIPTION PROVIDED - please enter detailed description in Other box at left; use Comments section below if needed.","")</f>
        <v/>
      </c>
      <c r="V460" s="1735">
        <f>'Part IV-A-Uses of Funds'!V15</f>
        <v>0</v>
      </c>
      <c r="W460" s="1485">
        <f>'Part IV-A-Uses of Funds'!W15</f>
        <v>0</v>
      </c>
      <c r="X460" s="1485"/>
    </row>
    <row r="461" spans="1:24" ht="16.5" customHeight="1">
      <c r="A461" s="2732" t="str">
        <f>IF(AND(G461&gt;0,OR(C461="",C461="&lt;Enter detailed description here; use Comments section if needed&gt;")),"X","")</f>
        <v/>
      </c>
      <c r="B461" s="1647" t="s">
        <v>741</v>
      </c>
      <c r="C461" s="1659" t="str">
        <f>'Part IV-A-Uses of Funds'!C16</f>
        <v>&lt;&lt; Enter description here; provide detail &amp; justification in tab Part IV-b &gt;&gt;</v>
      </c>
      <c r="D461" s="1659"/>
      <c r="E461" s="1659"/>
      <c r="F461" s="1659"/>
      <c r="G461" s="1729">
        <f>'Part IV-A-Uses of Funds'!G16</f>
        <v>0</v>
      </c>
      <c r="H461" s="1729"/>
      <c r="I461" s="1647"/>
      <c r="J461" s="1729">
        <f>'Part IV-A-Uses of Funds'!J16</f>
        <v>0</v>
      </c>
      <c r="K461" s="1729"/>
      <c r="L461" s="1664"/>
      <c r="M461" s="1729">
        <f>'Part IV-A-Uses of Funds'!M16</f>
        <v>0</v>
      </c>
      <c r="N461" s="1729"/>
      <c r="O461" s="1647"/>
      <c r="P461" s="1729">
        <f>'Part IV-A-Uses of Funds'!P16</f>
        <v>0</v>
      </c>
      <c r="Q461" s="1729"/>
      <c r="R461" s="1647"/>
      <c r="S461" s="1729">
        <f>'Part IV-A-Uses of Funds'!S16</f>
        <v>0</v>
      </c>
      <c r="T461" s="1729"/>
      <c r="U461" s="1654" t="str">
        <f>IF(AND(G461&gt;0,OR(C461="",C461="&lt;Enter detailed description here; use Comments section if needed&gt;")),"NO DESCRIPTION PROVIDED - please enter detailed description in Other box at left; use Comments section below if needed.","")</f>
        <v/>
      </c>
      <c r="V461" s="1735">
        <f>'Part IV-A-Uses of Funds'!V16</f>
        <v>0</v>
      </c>
      <c r="W461" s="1485">
        <f>'Part IV-A-Uses of Funds'!W16</f>
        <v>0</v>
      </c>
      <c r="X461" s="1485"/>
    </row>
    <row r="462" spans="1:24">
      <c r="A462" s="1647"/>
      <c r="B462" s="1647"/>
      <c r="C462" s="1647"/>
      <c r="D462" s="1647"/>
      <c r="E462" s="1647"/>
      <c r="F462" s="1761" t="s">
        <v>191</v>
      </c>
      <c r="G462" s="1729">
        <f>SUM(G453:H461)</f>
        <v>59900</v>
      </c>
      <c r="H462" s="1729"/>
      <c r="I462" s="1647"/>
      <c r="J462" s="1729">
        <f>SUM(J453:K461)</f>
        <v>59900</v>
      </c>
      <c r="K462" s="1665"/>
      <c r="L462" s="1664"/>
      <c r="M462" s="1729">
        <f>SUM(M453:N461)</f>
        <v>0</v>
      </c>
      <c r="N462" s="1729"/>
      <c r="O462" s="1647"/>
      <c r="P462" s="1729">
        <f>SUM(P453:Q461)</f>
        <v>0</v>
      </c>
      <c r="Q462" s="1729"/>
      <c r="R462" s="1647"/>
      <c r="S462" s="1729">
        <f>SUM(S453:T461)</f>
        <v>0</v>
      </c>
      <c r="T462" s="1729"/>
      <c r="U462" s="1647"/>
      <c r="V462" s="1735">
        <f>SUM(V453:V461)</f>
        <v>0</v>
      </c>
      <c r="W462" s="1485">
        <f>'Part IV-A-Uses of Funds'!W17</f>
        <v>0</v>
      </c>
      <c r="X462" s="1485"/>
    </row>
    <row r="463" spans="1:24">
      <c r="A463" s="1647"/>
      <c r="B463" s="1647" t="s">
        <v>2197</v>
      </c>
      <c r="C463" s="1647"/>
      <c r="D463" s="1647"/>
      <c r="E463" s="1647"/>
      <c r="F463" s="1647"/>
      <c r="G463" s="1647"/>
      <c r="H463" s="1647"/>
      <c r="I463" s="1647"/>
      <c r="J463" s="1729"/>
      <c r="K463" s="1729"/>
      <c r="L463" s="1647"/>
      <c r="M463" s="1729"/>
      <c r="N463" s="1729"/>
      <c r="O463" s="1664" t="str">
        <f>B463</f>
        <v>ACQUISITION</v>
      </c>
      <c r="P463" s="1729"/>
      <c r="Q463" s="1729"/>
      <c r="R463" s="1647"/>
      <c r="S463" s="1729"/>
      <c r="T463" s="1729"/>
      <c r="U463" s="1647"/>
      <c r="V463" s="1735"/>
      <c r="W463" s="1647" t="str">
        <f>B463</f>
        <v>ACQUISITION</v>
      </c>
      <c r="X463" s="1647"/>
    </row>
    <row r="464" spans="1:24">
      <c r="A464" s="1647"/>
      <c r="B464" s="1647" t="s">
        <v>2198</v>
      </c>
      <c r="C464" s="1647"/>
      <c r="D464" s="1647"/>
      <c r="E464" s="1694" t="s">
        <v>3727</v>
      </c>
      <c r="F464" s="1736" t="str">
        <f>IF('Part I-Project Information'!$O$37="","",G464/'Part I-Project Information'!$O$37)</f>
        <v/>
      </c>
      <c r="G464" s="1729">
        <f>'Part IV-A-Uses of Funds'!G19</f>
        <v>725000</v>
      </c>
      <c r="H464" s="1729"/>
      <c r="I464" s="1647"/>
      <c r="J464" s="1664"/>
      <c r="K464" s="1729"/>
      <c r="L464" s="1664"/>
      <c r="M464" s="1664"/>
      <c r="N464" s="1729"/>
      <c r="O464" s="1647"/>
      <c r="P464" s="1664"/>
      <c r="Q464" s="1729"/>
      <c r="R464" s="1647"/>
      <c r="S464" s="1729">
        <f>'Part IV-A-Uses of Funds'!S19</f>
        <v>725000</v>
      </c>
      <c r="T464" s="1729"/>
      <c r="U464" s="1647"/>
      <c r="V464" s="1735">
        <f>'Part IV-A-Uses of Funds'!V19</f>
        <v>0</v>
      </c>
      <c r="W464" s="1485">
        <f>'Part IV-A-Uses of Funds'!W19</f>
        <v>0</v>
      </c>
      <c r="X464" s="1485"/>
    </row>
    <row r="465" spans="1:24">
      <c r="A465" s="1647"/>
      <c r="B465" s="1647" t="s">
        <v>1119</v>
      </c>
      <c r="C465" s="1647"/>
      <c r="D465" s="1647"/>
      <c r="E465" s="1647"/>
      <c r="F465" s="1647"/>
      <c r="G465" s="1729">
        <f>'Part IV-A-Uses of Funds'!G20</f>
        <v>0</v>
      </c>
      <c r="H465" s="1729"/>
      <c r="I465" s="1647"/>
      <c r="J465" s="1664"/>
      <c r="K465" s="1729"/>
      <c r="L465" s="1664"/>
      <c r="M465" s="1664"/>
      <c r="N465" s="1729"/>
      <c r="O465" s="1647"/>
      <c r="P465" s="1664"/>
      <c r="Q465" s="1729"/>
      <c r="R465" s="1647"/>
      <c r="S465" s="1729">
        <f>'Part IV-A-Uses of Funds'!S20</f>
        <v>0</v>
      </c>
      <c r="T465" s="1729"/>
      <c r="U465" s="1647"/>
      <c r="V465" s="1735">
        <f>'Part IV-A-Uses of Funds'!V20</f>
        <v>0</v>
      </c>
      <c r="W465" s="1485">
        <f>'Part IV-A-Uses of Funds'!W20</f>
        <v>0</v>
      </c>
      <c r="X465" s="1485"/>
    </row>
    <row r="466" spans="1:24">
      <c r="A466" s="1647"/>
      <c r="B466" s="1647" t="s">
        <v>458</v>
      </c>
      <c r="C466" s="1647"/>
      <c r="D466" s="1647"/>
      <c r="E466" s="1647"/>
      <c r="F466" s="1647"/>
      <c r="G466" s="1729">
        <f>'Part IV-A-Uses of Funds'!G21</f>
        <v>0</v>
      </c>
      <c r="H466" s="1729"/>
      <c r="I466" s="1647"/>
      <c r="J466" s="1664"/>
      <c r="K466" s="1729"/>
      <c r="L466" s="1664"/>
      <c r="M466" s="1729">
        <f>'Part IV-A-Uses of Funds'!M21</f>
        <v>0</v>
      </c>
      <c r="N466" s="1729"/>
      <c r="O466" s="1647"/>
      <c r="P466" s="1664"/>
      <c r="Q466" s="1729"/>
      <c r="R466" s="1647"/>
      <c r="S466" s="1729">
        <f>'Part IV-A-Uses of Funds'!S21</f>
        <v>0</v>
      </c>
      <c r="T466" s="1729"/>
      <c r="U466" s="1647"/>
      <c r="V466" s="1735">
        <f>'Part IV-A-Uses of Funds'!V21</f>
        <v>0</v>
      </c>
      <c r="W466" s="1485">
        <f>'Part IV-A-Uses of Funds'!W21</f>
        <v>0</v>
      </c>
      <c r="X466" s="1485"/>
    </row>
    <row r="467" spans="1:24">
      <c r="A467" s="1647"/>
      <c r="B467" s="1647" t="s">
        <v>430</v>
      </c>
      <c r="C467" s="1647"/>
      <c r="D467" s="1647"/>
      <c r="E467" s="1647"/>
      <c r="F467" s="1647"/>
      <c r="G467" s="1729">
        <f>'Part IV-A-Uses of Funds'!G22</f>
        <v>0</v>
      </c>
      <c r="H467" s="1729"/>
      <c r="I467" s="1647"/>
      <c r="J467" s="1664"/>
      <c r="K467" s="1729"/>
      <c r="L467" s="1664"/>
      <c r="M467" s="1729">
        <f>'Part IV-A-Uses of Funds'!M22</f>
        <v>0</v>
      </c>
      <c r="N467" s="1729"/>
      <c r="O467" s="1647"/>
      <c r="P467" s="1664"/>
      <c r="Q467" s="1729"/>
      <c r="R467" s="1647"/>
      <c r="S467" s="1729">
        <f>'Part IV-A-Uses of Funds'!S22</f>
        <v>0</v>
      </c>
      <c r="T467" s="1729"/>
      <c r="U467" s="1647"/>
      <c r="V467" s="1735">
        <f>'Part IV-A-Uses of Funds'!V22</f>
        <v>0</v>
      </c>
      <c r="W467" s="1485">
        <f>'Part IV-A-Uses of Funds'!W22</f>
        <v>0</v>
      </c>
      <c r="X467" s="1485"/>
    </row>
    <row r="468" spans="1:24">
      <c r="A468" s="1647"/>
      <c r="B468" s="1647"/>
      <c r="C468" s="1647"/>
      <c r="D468" s="1647"/>
      <c r="E468" s="1647"/>
      <c r="F468" s="1761" t="s">
        <v>191</v>
      </c>
      <c r="G468" s="1729">
        <f>SUM(G464:H467)</f>
        <v>725000</v>
      </c>
      <c r="H468" s="1729"/>
      <c r="I468" s="1647"/>
      <c r="J468" s="1664"/>
      <c r="K468" s="1729"/>
      <c r="L468" s="1664"/>
      <c r="M468" s="1729">
        <f>SUM(M466:N467)</f>
        <v>0</v>
      </c>
      <c r="N468" s="1729"/>
      <c r="O468" s="1647"/>
      <c r="P468" s="1664"/>
      <c r="Q468" s="1729"/>
      <c r="R468" s="1647"/>
      <c r="S468" s="1729">
        <f>SUM(S464:T467)</f>
        <v>725000</v>
      </c>
      <c r="T468" s="1729"/>
      <c r="U468" s="1647"/>
      <c r="V468" s="1735">
        <f>SUM(V464:V467)</f>
        <v>0</v>
      </c>
      <c r="W468" s="1485">
        <f>'Part IV-A-Uses of Funds'!W23</f>
        <v>0</v>
      </c>
      <c r="X468" s="1485"/>
    </row>
    <row r="469" spans="1:24">
      <c r="A469" s="1647"/>
      <c r="B469" s="1647" t="s">
        <v>1120</v>
      </c>
      <c r="C469" s="1647"/>
      <c r="D469" s="1647"/>
      <c r="E469" s="1647"/>
      <c r="F469" s="1647"/>
      <c r="G469" s="1647"/>
      <c r="H469" s="1647"/>
      <c r="I469" s="1647"/>
      <c r="J469" s="1664"/>
      <c r="K469" s="1729"/>
      <c r="L469" s="1647"/>
      <c r="M469" s="1664"/>
      <c r="N469" s="1729"/>
      <c r="O469" s="1664" t="str">
        <f>B469</f>
        <v>LAND IMPROVEMENTS</v>
      </c>
      <c r="P469" s="1664"/>
      <c r="Q469" s="1729"/>
      <c r="R469" s="1647"/>
      <c r="S469" s="1664"/>
      <c r="T469" s="1729"/>
      <c r="U469" s="1647"/>
      <c r="V469" s="1735"/>
      <c r="W469" s="1647" t="str">
        <f>B469</f>
        <v>LAND IMPROVEMENTS</v>
      </c>
      <c r="X469" s="1647"/>
    </row>
    <row r="470" spans="1:24">
      <c r="A470" s="1647"/>
      <c r="B470" s="1647" t="s">
        <v>1121</v>
      </c>
      <c r="C470" s="1647"/>
      <c r="D470" s="1647"/>
      <c r="E470" s="1694" t="s">
        <v>3727</v>
      </c>
      <c r="F470" s="1736" t="str">
        <f>IF('Part I-Project Information'!$O$37="","",G470/'Part I-Project Information'!$O$37)</f>
        <v/>
      </c>
      <c r="G470" s="1729">
        <f>'Part IV-A-Uses of Funds'!G25</f>
        <v>2100000</v>
      </c>
      <c r="H470" s="1729"/>
      <c r="I470" s="1647"/>
      <c r="J470" s="1729">
        <f>'Part IV-A-Uses of Funds'!J25</f>
        <v>2100000</v>
      </c>
      <c r="K470" s="1729"/>
      <c r="L470" s="1664"/>
      <c r="M470" s="1729">
        <f>'Part IV-A-Uses of Funds'!M25</f>
        <v>0</v>
      </c>
      <c r="N470" s="1729"/>
      <c r="O470" s="1647"/>
      <c r="P470" s="1729">
        <f>'Part IV-A-Uses of Funds'!P25</f>
        <v>0</v>
      </c>
      <c r="Q470" s="1729"/>
      <c r="R470" s="1647"/>
      <c r="S470" s="1729">
        <f>'Part IV-A-Uses of Funds'!S25</f>
        <v>0</v>
      </c>
      <c r="T470" s="1729"/>
      <c r="U470" s="1647"/>
      <c r="V470" s="1735">
        <f>'Part IV-A-Uses of Funds'!V25</f>
        <v>0</v>
      </c>
      <c r="W470" s="1485">
        <f>'Part IV-A-Uses of Funds'!W25</f>
        <v>0</v>
      </c>
      <c r="X470" s="1485"/>
    </row>
    <row r="471" spans="1:24">
      <c r="A471" s="1647"/>
      <c r="B471" s="1647" t="s">
        <v>1122</v>
      </c>
      <c r="C471" s="1647"/>
      <c r="D471" s="1647"/>
      <c r="E471" s="1647"/>
      <c r="F471" s="1647"/>
      <c r="G471" s="1729">
        <f>'Part IV-A-Uses of Funds'!G26</f>
        <v>0</v>
      </c>
      <c r="H471" s="1729"/>
      <c r="I471" s="1647"/>
      <c r="J471" s="1729">
        <f>'Part IV-A-Uses of Funds'!J26</f>
        <v>0</v>
      </c>
      <c r="K471" s="1729"/>
      <c r="L471" s="2733"/>
      <c r="M471" s="1729"/>
      <c r="N471" s="1729"/>
      <c r="O471" s="1647"/>
      <c r="P471" s="1729"/>
      <c r="Q471" s="1729"/>
      <c r="R471" s="1647"/>
      <c r="S471" s="1729">
        <f>'Part IV-A-Uses of Funds'!S26</f>
        <v>0</v>
      </c>
      <c r="T471" s="1729"/>
      <c r="U471" s="1647"/>
      <c r="V471" s="1735">
        <f>'Part IV-A-Uses of Funds'!V26</f>
        <v>0</v>
      </c>
      <c r="W471" s="1485">
        <f>'Part IV-A-Uses of Funds'!W26</f>
        <v>0</v>
      </c>
      <c r="X471" s="1485"/>
    </row>
    <row r="472" spans="1:24">
      <c r="A472" s="1647"/>
      <c r="B472" s="1647"/>
      <c r="C472" s="1647"/>
      <c r="D472" s="1647"/>
      <c r="E472" s="1647"/>
      <c r="F472" s="1761" t="s">
        <v>191</v>
      </c>
      <c r="G472" s="1729">
        <f>SUM(G470:H471)</f>
        <v>2100000</v>
      </c>
      <c r="H472" s="1729"/>
      <c r="I472" s="1647"/>
      <c r="J472" s="1729">
        <f>SUM(J470:K471)</f>
        <v>2100000</v>
      </c>
      <c r="K472" s="1729"/>
      <c r="L472" s="1664"/>
      <c r="M472" s="1729">
        <f>M470</f>
        <v>0</v>
      </c>
      <c r="N472" s="1729"/>
      <c r="O472" s="1647"/>
      <c r="P472" s="1729">
        <f>P470</f>
        <v>0</v>
      </c>
      <c r="Q472" s="1729"/>
      <c r="R472" s="1647"/>
      <c r="S472" s="1729">
        <f>SUM(S470:T471)</f>
        <v>0</v>
      </c>
      <c r="T472" s="1729"/>
      <c r="U472" s="1647"/>
      <c r="V472" s="1735">
        <f>SUM(V470:V471)</f>
        <v>0</v>
      </c>
      <c r="W472" s="1485">
        <f>'Part IV-A-Uses of Funds'!W27</f>
        <v>0</v>
      </c>
      <c r="X472" s="1485"/>
    </row>
    <row r="473" spans="1:24">
      <c r="A473" s="1647"/>
      <c r="B473" s="1647" t="s">
        <v>1123</v>
      </c>
      <c r="C473" s="1647"/>
      <c r="D473" s="1647"/>
      <c r="E473" s="1647"/>
      <c r="F473" s="1647"/>
      <c r="G473" s="1647"/>
      <c r="H473" s="1647"/>
      <c r="I473" s="1647"/>
      <c r="J473" s="1664"/>
      <c r="K473" s="1729"/>
      <c r="L473" s="1647"/>
      <c r="M473" s="1664"/>
      <c r="N473" s="1729"/>
      <c r="O473" s="1664" t="str">
        <f>B473</f>
        <v>STRUCTURES</v>
      </c>
      <c r="P473" s="1664"/>
      <c r="Q473" s="1729"/>
      <c r="R473" s="1647"/>
      <c r="S473" s="1664"/>
      <c r="T473" s="1729"/>
      <c r="U473" s="1647"/>
      <c r="V473" s="1735"/>
      <c r="W473" s="1647" t="str">
        <f>B473</f>
        <v>STRUCTURES</v>
      </c>
      <c r="X473" s="1647"/>
    </row>
    <row r="474" spans="1:24">
      <c r="A474" s="1647"/>
      <c r="B474" s="1647" t="s">
        <v>1124</v>
      </c>
      <c r="C474" s="1647"/>
      <c r="D474" s="1647"/>
      <c r="E474" s="1647"/>
      <c r="F474" s="1647"/>
      <c r="G474" s="1729">
        <f>'Part IV-A-Uses of Funds'!G29</f>
        <v>7728000</v>
      </c>
      <c r="H474" s="1729"/>
      <c r="I474" s="1647"/>
      <c r="J474" s="1729">
        <f>'Part IV-A-Uses of Funds'!J29</f>
        <v>7728000</v>
      </c>
      <c r="K474" s="1729"/>
      <c r="L474" s="1664"/>
      <c r="M474" s="1729">
        <f>'Part IV-A-Uses of Funds'!M29</f>
        <v>0</v>
      </c>
      <c r="N474" s="1729"/>
      <c r="O474" s="1647"/>
      <c r="P474" s="1729">
        <f>'Part IV-A-Uses of Funds'!P29</f>
        <v>0</v>
      </c>
      <c r="Q474" s="1729"/>
      <c r="R474" s="1647"/>
      <c r="S474" s="1729">
        <f>'Part IV-A-Uses of Funds'!S29</f>
        <v>0</v>
      </c>
      <c r="T474" s="1729"/>
      <c r="U474" s="1647"/>
      <c r="V474" s="1735">
        <f>'Part IV-A-Uses of Funds'!V29</f>
        <v>0</v>
      </c>
      <c r="W474" s="1485">
        <f>'Part IV-A-Uses of Funds'!W29</f>
        <v>0</v>
      </c>
      <c r="X474" s="1485"/>
    </row>
    <row r="475" spans="1:24">
      <c r="A475" s="1647"/>
      <c r="B475" s="1647" t="s">
        <v>1125</v>
      </c>
      <c r="C475" s="1647"/>
      <c r="D475" s="1647"/>
      <c r="E475" s="1647"/>
      <c r="F475" s="1647"/>
      <c r="G475" s="1729">
        <f>'Part IV-A-Uses of Funds'!G30</f>
        <v>0</v>
      </c>
      <c r="H475" s="1729"/>
      <c r="I475" s="1647"/>
      <c r="J475" s="1729">
        <f>'Part IV-A-Uses of Funds'!J30</f>
        <v>0</v>
      </c>
      <c r="K475" s="1729"/>
      <c r="L475" s="1664"/>
      <c r="M475" s="1729">
        <f>'Part IV-A-Uses of Funds'!M30</f>
        <v>0</v>
      </c>
      <c r="N475" s="1729"/>
      <c r="O475" s="1647"/>
      <c r="P475" s="1729">
        <f>'Part IV-A-Uses of Funds'!P30</f>
        <v>0</v>
      </c>
      <c r="Q475" s="1729"/>
      <c r="R475" s="1647"/>
      <c r="S475" s="1729">
        <f>'Part IV-A-Uses of Funds'!S30</f>
        <v>0</v>
      </c>
      <c r="T475" s="1729"/>
      <c r="U475" s="1647"/>
      <c r="V475" s="1735">
        <f>'Part IV-A-Uses of Funds'!V30</f>
        <v>0</v>
      </c>
      <c r="W475" s="1485">
        <f>'Part IV-A-Uses of Funds'!W30</f>
        <v>0</v>
      </c>
      <c r="X475" s="1485"/>
    </row>
    <row r="476" spans="1:24">
      <c r="A476" s="1647"/>
      <c r="B476" s="1647" t="s">
        <v>2780</v>
      </c>
      <c r="C476" s="1647"/>
      <c r="D476" s="1647"/>
      <c r="E476" s="1647"/>
      <c r="F476" s="1647"/>
      <c r="G476" s="1729">
        <f>'Part IV-A-Uses of Funds'!G31</f>
        <v>0</v>
      </c>
      <c r="H476" s="1729"/>
      <c r="I476" s="1647"/>
      <c r="J476" s="1729">
        <f>'Part IV-A-Uses of Funds'!J31</f>
        <v>0</v>
      </c>
      <c r="K476" s="1729"/>
      <c r="L476" s="1664"/>
      <c r="M476" s="1729">
        <f>'Part IV-A-Uses of Funds'!M31</f>
        <v>0</v>
      </c>
      <c r="N476" s="1729"/>
      <c r="O476" s="1647"/>
      <c r="P476" s="1729">
        <f>'Part IV-A-Uses of Funds'!P31</f>
        <v>0</v>
      </c>
      <c r="Q476" s="1729"/>
      <c r="R476" s="1647"/>
      <c r="S476" s="1729">
        <f>'Part IV-A-Uses of Funds'!S31</f>
        <v>0</v>
      </c>
      <c r="T476" s="1729"/>
      <c r="U476" s="1647"/>
      <c r="V476" s="1735">
        <f>'Part IV-A-Uses of Funds'!V31</f>
        <v>0</v>
      </c>
      <c r="W476" s="1485">
        <f>'Part IV-A-Uses of Funds'!W31</f>
        <v>0</v>
      </c>
      <c r="X476" s="1485"/>
    </row>
    <row r="477" spans="1:24">
      <c r="A477" s="1653"/>
      <c r="B477" s="1647" t="s">
        <v>2779</v>
      </c>
      <c r="C477" s="1653"/>
      <c r="D477" s="1653"/>
      <c r="E477" s="1653"/>
      <c r="F477" s="1653"/>
      <c r="G477" s="1729">
        <f>'Part IV-A-Uses of Funds'!G32</f>
        <v>0</v>
      </c>
      <c r="H477" s="1729"/>
      <c r="I477" s="1647"/>
      <c r="J477" s="1729">
        <f>'Part IV-A-Uses of Funds'!J32</f>
        <v>0</v>
      </c>
      <c r="K477" s="1729"/>
      <c r="L477" s="1664"/>
      <c r="M477" s="1729">
        <f>'Part IV-A-Uses of Funds'!M32</f>
        <v>0</v>
      </c>
      <c r="N477" s="1729"/>
      <c r="O477" s="1647"/>
      <c r="P477" s="1729">
        <f>'Part IV-A-Uses of Funds'!P32</f>
        <v>0</v>
      </c>
      <c r="Q477" s="1729"/>
      <c r="R477" s="1647"/>
      <c r="S477" s="1729">
        <f>'Part IV-A-Uses of Funds'!S32</f>
        <v>0</v>
      </c>
      <c r="T477" s="1729"/>
      <c r="U477" s="1653"/>
      <c r="V477" s="1735">
        <f>'Part IV-A-Uses of Funds'!V32</f>
        <v>0</v>
      </c>
      <c r="W477" s="1485">
        <f>'Part IV-A-Uses of Funds'!W32</f>
        <v>0</v>
      </c>
      <c r="X477" s="1485"/>
    </row>
    <row r="478" spans="1:24">
      <c r="A478" s="1647"/>
      <c r="B478" s="1647"/>
      <c r="C478" s="2734"/>
      <c r="D478" s="2734"/>
      <c r="E478" s="2735"/>
      <c r="F478" s="1761" t="s">
        <v>191</v>
      </c>
      <c r="G478" s="1729">
        <f>SUM(G474:H477)</f>
        <v>7728000</v>
      </c>
      <c r="H478" s="1729"/>
      <c r="I478" s="1647"/>
      <c r="J478" s="1729">
        <f>SUM(J474:K477)</f>
        <v>7728000</v>
      </c>
      <c r="K478" s="1729"/>
      <c r="L478" s="1664"/>
      <c r="M478" s="1729">
        <f>SUM(M474:N477)</f>
        <v>0</v>
      </c>
      <c r="N478" s="1729"/>
      <c r="O478" s="1647"/>
      <c r="P478" s="1729">
        <f>SUM(P474:Q477)</f>
        <v>0</v>
      </c>
      <c r="Q478" s="1729"/>
      <c r="R478" s="1647"/>
      <c r="S478" s="1729">
        <f>SUM(S474:T477)</f>
        <v>0</v>
      </c>
      <c r="T478" s="1729"/>
      <c r="U478" s="1647"/>
      <c r="V478" s="1735">
        <f>SUM(V474:V477)</f>
        <v>0</v>
      </c>
      <c r="W478" s="1485">
        <f>'Part IV-A-Uses of Funds'!W33</f>
        <v>0</v>
      </c>
      <c r="X478" s="1485"/>
    </row>
    <row r="479" spans="1:24" ht="13.5">
      <c r="A479" s="1647"/>
      <c r="B479" s="1647" t="s">
        <v>2343</v>
      </c>
      <c r="C479" s="1647"/>
      <c r="D479" s="1710" t="s">
        <v>3731</v>
      </c>
      <c r="E479" s="1710"/>
      <c r="F479" s="2736">
        <f>SUM(F480:F482)</f>
        <v>0</v>
      </c>
      <c r="G479" s="1652" t="str">
        <f>IF(G480&gt;E480,"Proposed Builder Profit exceeds DCA Maximum!!!",IF(G481&gt;E481,"Proposed Builder Overhead exceeds DCA Maximum!!!",IF(G482&gt;E482,"Proposed General Requirements exceeds DCA Maximum!!!",IF(G483&gt;E483,"Proposed Contractor Services amount exceeds DCA Maximum!!!",""))))</f>
        <v/>
      </c>
      <c r="H479" s="1653"/>
      <c r="I479" s="1653"/>
      <c r="J479" s="1664"/>
      <c r="K479" s="1729"/>
      <c r="L479" s="1647"/>
      <c r="M479" s="1664"/>
      <c r="N479" s="1729"/>
      <c r="O479" s="1664" t="str">
        <f>B479</f>
        <v>CONTRACTOR SERVICES</v>
      </c>
      <c r="P479" s="1664"/>
      <c r="Q479" s="1729"/>
      <c r="R479" s="1647"/>
      <c r="S479" s="1664"/>
      <c r="T479" s="1729"/>
      <c r="U479" s="1647"/>
      <c r="V479" s="1735"/>
      <c r="W479" s="1647" t="str">
        <f>B479</f>
        <v>CONTRACTOR SERVICES</v>
      </c>
      <c r="X479" s="1647"/>
    </row>
    <row r="480" spans="1:24" ht="13.5">
      <c r="A480" s="1647"/>
      <c r="B480" s="1647" t="s">
        <v>2344</v>
      </c>
      <c r="C480" s="1647"/>
      <c r="D480" s="1742">
        <f>'DCA Underwriting Assumptions'!$R$73</f>
        <v>0.06</v>
      </c>
      <c r="E480" s="1743">
        <f>D480*(G472+G478)</f>
        <v>589680</v>
      </c>
      <c r="F480" s="1742">
        <f>IF(($G$27+$G$33)=0,0,G480/($G$27+$G$33))</f>
        <v>0</v>
      </c>
      <c r="G480" s="1729">
        <f>'Part IV-A-Uses of Funds'!G35</f>
        <v>589000</v>
      </c>
      <c r="H480" s="1729"/>
      <c r="I480" s="1653"/>
      <c r="J480" s="1729">
        <f>'Part IV-A-Uses of Funds'!J35</f>
        <v>589000</v>
      </c>
      <c r="K480" s="1729"/>
      <c r="L480" s="1664"/>
      <c r="M480" s="1729">
        <f>'Part IV-A-Uses of Funds'!M35</f>
        <v>0</v>
      </c>
      <c r="N480" s="1729"/>
      <c r="O480" s="1647"/>
      <c r="P480" s="1729">
        <f>'Part IV-A-Uses of Funds'!P35</f>
        <v>0</v>
      </c>
      <c r="Q480" s="1729"/>
      <c r="R480" s="1647"/>
      <c r="S480" s="1729">
        <f>'Part IV-A-Uses of Funds'!S35</f>
        <v>0</v>
      </c>
      <c r="T480" s="1729"/>
      <c r="U480" s="1647"/>
      <c r="V480" s="1735">
        <f>'Part IV-A-Uses of Funds'!V35</f>
        <v>0</v>
      </c>
      <c r="W480" s="1485">
        <f>'Part IV-A-Uses of Funds'!W35</f>
        <v>0</v>
      </c>
      <c r="X480" s="1485"/>
    </row>
    <row r="481" spans="1:24" ht="13.5">
      <c r="A481" s="1647"/>
      <c r="B481" s="1647" t="s">
        <v>2736</v>
      </c>
      <c r="C481" s="1647"/>
      <c r="D481" s="1742">
        <f>'DCA Underwriting Assumptions'!$R$74</f>
        <v>0.02</v>
      </c>
      <c r="E481" s="1743">
        <f>D481*(G472+G478)</f>
        <v>196560</v>
      </c>
      <c r="F481" s="1742">
        <f>IF(($G$27+$G$33)=0,0,G481/($G$27+$G$33))</f>
        <v>0</v>
      </c>
      <c r="G481" s="1729">
        <f>'Part IV-A-Uses of Funds'!G36</f>
        <v>196560</v>
      </c>
      <c r="H481" s="1729"/>
      <c r="I481" s="1653"/>
      <c r="J481" s="1729">
        <f>'Part IV-A-Uses of Funds'!J36</f>
        <v>196560</v>
      </c>
      <c r="K481" s="1729"/>
      <c r="L481" s="1664"/>
      <c r="M481" s="1729">
        <f>'Part IV-A-Uses of Funds'!M36</f>
        <v>0</v>
      </c>
      <c r="N481" s="1729"/>
      <c r="O481" s="1647"/>
      <c r="P481" s="1729">
        <f>'Part IV-A-Uses of Funds'!P36</f>
        <v>0</v>
      </c>
      <c r="Q481" s="1729"/>
      <c r="R481" s="1647"/>
      <c r="S481" s="1729">
        <f>'Part IV-A-Uses of Funds'!S36</f>
        <v>0</v>
      </c>
      <c r="T481" s="1729"/>
      <c r="U481" s="1647"/>
      <c r="V481" s="1735">
        <f>'Part IV-A-Uses of Funds'!V36</f>
        <v>0</v>
      </c>
      <c r="W481" s="1485">
        <f>'Part IV-A-Uses of Funds'!W36</f>
        <v>0</v>
      </c>
      <c r="X481" s="1485"/>
    </row>
    <row r="482" spans="1:24" ht="13.5">
      <c r="A482" s="1647"/>
      <c r="B482" s="1647" t="s">
        <v>2737</v>
      </c>
      <c r="C482" s="1647"/>
      <c r="D482" s="1742">
        <f>'DCA Underwriting Assumptions'!$R$75</f>
        <v>0.06</v>
      </c>
      <c r="E482" s="1743">
        <f>D482*(G472+G478)</f>
        <v>589680</v>
      </c>
      <c r="F482" s="1742">
        <f>IF(($G$27+$G$33)=0,0,G482/($G$27+$G$33))</f>
        <v>0</v>
      </c>
      <c r="G482" s="1729">
        <f>'Part IV-A-Uses of Funds'!G37</f>
        <v>589000</v>
      </c>
      <c r="H482" s="1729"/>
      <c r="I482" s="1653"/>
      <c r="J482" s="1729">
        <f>'Part IV-A-Uses of Funds'!J37</f>
        <v>589000</v>
      </c>
      <c r="K482" s="1729"/>
      <c r="L482" s="1664"/>
      <c r="M482" s="1729">
        <f>'Part IV-A-Uses of Funds'!M37</f>
        <v>0</v>
      </c>
      <c r="N482" s="1729"/>
      <c r="O482" s="1647"/>
      <c r="P482" s="1729">
        <f>'Part IV-A-Uses of Funds'!P37</f>
        <v>0</v>
      </c>
      <c r="Q482" s="1729"/>
      <c r="R482" s="1647"/>
      <c r="S482" s="1729">
        <f>'Part IV-A-Uses of Funds'!S37</f>
        <v>0</v>
      </c>
      <c r="T482" s="1729"/>
      <c r="U482" s="1647"/>
      <c r="V482" s="1735">
        <f>'Part IV-A-Uses of Funds'!V37</f>
        <v>0</v>
      </c>
      <c r="W482" s="1485">
        <f>'Part IV-A-Uses of Funds'!W37</f>
        <v>0</v>
      </c>
      <c r="X482" s="1485"/>
    </row>
    <row r="483" spans="1:24" ht="13.5">
      <c r="A483" s="1647"/>
      <c r="B483" s="1652" t="s">
        <v>3732</v>
      </c>
      <c r="C483" s="1647"/>
      <c r="D483" s="2736">
        <f>SUM(D480:D482)</f>
        <v>0.14000000000000001</v>
      </c>
      <c r="E483" s="2737">
        <f>SUM(E480:E482)</f>
        <v>1375920</v>
      </c>
      <c r="F483" s="1761" t="s">
        <v>191</v>
      </c>
      <c r="G483" s="1729">
        <f>SUM(G480:H482)</f>
        <v>1374560</v>
      </c>
      <c r="H483" s="1729"/>
      <c r="I483" s="1647"/>
      <c r="J483" s="1729">
        <f>SUM(J480:K482)</f>
        <v>1374560</v>
      </c>
      <c r="K483" s="1729"/>
      <c r="L483" s="1664"/>
      <c r="M483" s="1729">
        <f>SUM(M480:N482)</f>
        <v>0</v>
      </c>
      <c r="N483" s="1729"/>
      <c r="O483" s="1647"/>
      <c r="P483" s="1729">
        <f>SUM(P480:Q482)</f>
        <v>0</v>
      </c>
      <c r="Q483" s="1729"/>
      <c r="R483" s="1647"/>
      <c r="S483" s="1729">
        <f>SUM(S480:T482)</f>
        <v>0</v>
      </c>
      <c r="T483" s="1729"/>
      <c r="U483" s="1647"/>
      <c r="V483" s="1735">
        <f>SUM(V480:V482)</f>
        <v>0</v>
      </c>
      <c r="W483" s="1485">
        <f>'Part IV-A-Uses of Funds'!W38</f>
        <v>0</v>
      </c>
      <c r="X483" s="1485"/>
    </row>
    <row r="484" spans="1:24">
      <c r="A484" s="1651"/>
      <c r="B484" s="1651"/>
      <c r="C484" s="1651"/>
      <c r="D484" s="1651"/>
      <c r="E484" s="1651"/>
      <c r="F484" s="1651"/>
      <c r="G484" s="1651"/>
      <c r="H484" s="1651"/>
      <c r="I484" s="1651"/>
      <c r="J484" s="1651"/>
      <c r="K484" s="1651"/>
      <c r="L484" s="1651"/>
      <c r="M484" s="1651"/>
      <c r="N484" s="1651"/>
      <c r="O484" s="1651"/>
      <c r="P484" s="1651"/>
      <c r="Q484" s="1651"/>
      <c r="R484" s="1651"/>
      <c r="S484" s="1651"/>
      <c r="T484" s="1651"/>
      <c r="U484" s="1647"/>
      <c r="V484" s="1735"/>
      <c r="W484" s="1647"/>
      <c r="X484" s="1647"/>
    </row>
    <row r="485" spans="1:24">
      <c r="A485" s="1647"/>
      <c r="B485" s="1647" t="s">
        <v>4508</v>
      </c>
      <c r="C485" s="1647"/>
      <c r="D485" s="1647"/>
      <c r="E485" s="1647"/>
      <c r="F485" s="1647"/>
      <c r="G485" s="1647"/>
      <c r="H485" s="1647"/>
      <c r="I485" s="1647"/>
      <c r="J485" s="1664"/>
      <c r="K485" s="1729"/>
      <c r="L485" s="1647"/>
      <c r="M485" s="1664"/>
      <c r="N485" s="1729"/>
      <c r="O485" s="1664" t="str">
        <f>B485</f>
        <v>OTHER CONSTRUCTION HARD COSTS (Non-GC work scope items done by Owner)</v>
      </c>
      <c r="P485" s="1664"/>
      <c r="Q485" s="1729"/>
      <c r="R485" s="1647"/>
      <c r="S485" s="1664"/>
      <c r="T485" s="1729"/>
      <c r="U485" s="1647"/>
      <c r="V485" s="1735"/>
      <c r="W485" s="1647" t="str">
        <f>B485</f>
        <v>OTHER CONSTRUCTION HARD COSTS (Non-GC work scope items done by Owner)</v>
      </c>
      <c r="X485" s="1647"/>
    </row>
    <row r="486" spans="1:24" ht="12.75" customHeight="1">
      <c r="A486" s="1653"/>
      <c r="B486" s="1647" t="s">
        <v>741</v>
      </c>
      <c r="C486" s="1659" t="str">
        <f>'Part IV-A-Uses of Funds'!C41</f>
        <v>&lt;&lt; Enter description here; provide detail &amp; justification in tab Part IV-b &gt;&gt;</v>
      </c>
      <c r="D486" s="1810"/>
      <c r="E486" s="1810"/>
      <c r="F486" s="1810"/>
      <c r="G486" s="1729">
        <f>'Part IV-A-Uses of Funds'!G41</f>
        <v>560128</v>
      </c>
      <c r="H486" s="1729"/>
      <c r="I486" s="1647"/>
      <c r="J486" s="1729">
        <f>'Part IV-A-Uses of Funds'!J41</f>
        <v>560128</v>
      </c>
      <c r="K486" s="1729"/>
      <c r="L486" s="1664"/>
      <c r="M486" s="1729">
        <f>'Part IV-A-Uses of Funds'!M41</f>
        <v>0</v>
      </c>
      <c r="N486" s="1729"/>
      <c r="O486" s="1647"/>
      <c r="P486" s="1729">
        <f>'Part IV-A-Uses of Funds'!P41</f>
        <v>0</v>
      </c>
      <c r="Q486" s="1729"/>
      <c r="R486" s="1647"/>
      <c r="S486" s="1729">
        <f>'Part IV-A-Uses of Funds'!S41</f>
        <v>0</v>
      </c>
      <c r="T486" s="1729"/>
      <c r="U486" s="1653"/>
      <c r="V486" s="1735">
        <f>SUM(V483:V485)</f>
        <v>0</v>
      </c>
      <c r="W486" s="1485">
        <f>'Part IV-A-Uses of Funds'!W41</f>
        <v>0</v>
      </c>
      <c r="X486" s="1485"/>
    </row>
    <row r="487" spans="1:24">
      <c r="A487" s="1651"/>
      <c r="B487" s="1651"/>
      <c r="C487" s="1651"/>
      <c r="D487" s="1651"/>
      <c r="E487" s="1651"/>
      <c r="F487" s="1651"/>
      <c r="G487" s="1651"/>
      <c r="H487" s="1651"/>
      <c r="I487" s="1651"/>
      <c r="J487" s="1651"/>
      <c r="K487" s="1651"/>
      <c r="L487" s="1651"/>
      <c r="M487" s="1651"/>
      <c r="N487" s="1651"/>
      <c r="O487" s="1651"/>
      <c r="P487" s="1651"/>
      <c r="Q487" s="1651"/>
      <c r="R487" s="1651"/>
      <c r="S487" s="1651"/>
      <c r="T487" s="1651"/>
      <c r="U487" s="1647"/>
      <c r="V487" s="1735"/>
      <c r="W487" s="1485">
        <f>'Part IV-A-Uses of Funds'!W42</f>
        <v>0</v>
      </c>
      <c r="X487" s="1485"/>
    </row>
    <row r="488" spans="1:24" ht="12.75" customHeight="1">
      <c r="A488" s="1647"/>
      <c r="B488" s="1745" t="s">
        <v>5153</v>
      </c>
      <c r="C488" s="1746"/>
      <c r="D488" s="1647"/>
      <c r="E488" s="1703" t="s">
        <v>2744</v>
      </c>
      <c r="F488" s="1747">
        <f>B489/'Part VI-Revenues &amp; Expenses'!$O$65</f>
        <v>140032</v>
      </c>
      <c r="G488" s="1748" t="s">
        <v>4510</v>
      </c>
      <c r="H488" s="1647"/>
      <c r="I488" s="1647"/>
      <c r="J488" s="1749">
        <f>B489/'Part VI-Revenues &amp; Expenses'!$O$67</f>
        <v>140032</v>
      </c>
      <c r="K488" s="1749"/>
      <c r="L488" s="1647"/>
      <c r="M488" s="1750" t="s">
        <v>1402</v>
      </c>
      <c r="N488" s="1750"/>
      <c r="O488" s="1647"/>
      <c r="P488" s="1749">
        <f>B489/'Part I-Project Information'!$P$75</f>
        <v>137.24782973956874</v>
      </c>
      <c r="Q488" s="1749"/>
      <c r="R488" s="1647"/>
      <c r="S488" s="1671" t="s">
        <v>2778</v>
      </c>
      <c r="T488" s="1671"/>
      <c r="U488" s="1647"/>
      <c r="V488" s="1735"/>
      <c r="W488" s="1485">
        <f>'Part IV-A-Uses of Funds'!W43</f>
        <v>0</v>
      </c>
      <c r="X488" s="1485"/>
    </row>
    <row r="489" spans="1:24">
      <c r="A489" s="1647"/>
      <c r="B489" s="1751">
        <f>G472+G478+G483+G486</f>
        <v>11762688</v>
      </c>
      <c r="C489" s="1751"/>
      <c r="D489" s="1647"/>
      <c r="E489" s="1703"/>
      <c r="F489" s="1747">
        <f>B489/'Part VI-Revenues &amp; Expenses'!$O$154</f>
        <v>137.24782973956874</v>
      </c>
      <c r="G489" s="1671" t="s">
        <v>4511</v>
      </c>
      <c r="H489" s="1647"/>
      <c r="I489" s="1647"/>
      <c r="J489" s="1749">
        <f>B489/'Part VI-Revenues &amp; Expenses'!$O$156</f>
        <v>137.24782973956874</v>
      </c>
      <c r="K489" s="1749"/>
      <c r="L489" s="1647"/>
      <c r="M489" s="1671" t="s">
        <v>2777</v>
      </c>
      <c r="N489" s="1671"/>
      <c r="O489" s="1647"/>
      <c r="P489" s="1647"/>
      <c r="Q489" s="1647"/>
      <c r="R489" s="1647"/>
      <c r="S489" s="1647"/>
      <c r="T489" s="1647"/>
      <c r="U489" s="1647"/>
      <c r="V489" s="1735"/>
      <c r="W489" s="1485">
        <f>'Part IV-A-Uses of Funds'!W44</f>
        <v>0</v>
      </c>
      <c r="X489" s="1485"/>
    </row>
    <row r="490" spans="1:24">
      <c r="A490" s="1651"/>
      <c r="B490" s="1651"/>
      <c r="C490" s="1651"/>
      <c r="D490" s="1651"/>
      <c r="E490" s="1651"/>
      <c r="F490" s="1651"/>
      <c r="G490" s="1651"/>
      <c r="H490" s="1651"/>
      <c r="I490" s="1651"/>
      <c r="J490" s="1651"/>
      <c r="K490" s="1651"/>
      <c r="L490" s="1651"/>
      <c r="M490" s="1651"/>
      <c r="N490" s="1651"/>
      <c r="O490" s="1651"/>
      <c r="P490" s="1651"/>
      <c r="Q490" s="1651"/>
      <c r="R490" s="1651"/>
      <c r="S490" s="1651"/>
      <c r="T490" s="1651"/>
      <c r="U490" s="1647"/>
      <c r="V490" s="1735"/>
      <c r="W490" s="1647"/>
      <c r="X490" s="1647"/>
    </row>
    <row r="491" spans="1:24">
      <c r="A491" s="1647"/>
      <c r="B491" s="1647" t="s">
        <v>1126</v>
      </c>
      <c r="C491" s="1647"/>
      <c r="D491" s="1647"/>
      <c r="E491" s="1647"/>
      <c r="F491" s="1752" t="s">
        <v>4192</v>
      </c>
      <c r="G491" s="1647"/>
      <c r="H491" s="1647"/>
      <c r="I491" s="1647"/>
      <c r="J491" s="1664"/>
      <c r="K491" s="1729"/>
      <c r="L491" s="1647"/>
      <c r="M491" s="1664"/>
      <c r="N491" s="1729"/>
      <c r="O491" s="1664" t="str">
        <f>B491</f>
        <v>CONSTRUCTION CONTINGENCY</v>
      </c>
      <c r="P491" s="1664"/>
      <c r="Q491" s="1729"/>
      <c r="R491" s="1647"/>
      <c r="S491" s="1664"/>
      <c r="T491" s="1729"/>
      <c r="U491" s="1647"/>
      <c r="V491" s="1735"/>
      <c r="W491" s="1647" t="str">
        <f>B491</f>
        <v>CONSTRUCTION CONTINGENCY</v>
      </c>
      <c r="X491" s="1647"/>
    </row>
    <row r="492" spans="1:24" ht="13.5">
      <c r="A492" s="1653"/>
      <c r="B492" s="1647" t="s">
        <v>1961</v>
      </c>
      <c r="C492" s="1653"/>
      <c r="D492" s="1753" t="s">
        <v>4191</v>
      </c>
      <c r="E492" s="273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588134.40000000002</v>
      </c>
      <c r="F492" s="1755">
        <f>G492/B489</f>
        <v>0</v>
      </c>
      <c r="G492" s="1729">
        <f>'Part IV-A-Uses of Funds'!G47</f>
        <v>0</v>
      </c>
      <c r="H492" s="1729"/>
      <c r="I492" s="1647"/>
      <c r="J492" s="1729">
        <f>'Part IV-A-Uses of Funds'!J47</f>
        <v>0</v>
      </c>
      <c r="K492" s="1729"/>
      <c r="L492" s="1664"/>
      <c r="M492" s="1729">
        <f>'Part IV-A-Uses of Funds'!M47</f>
        <v>0</v>
      </c>
      <c r="N492" s="1729"/>
      <c r="O492" s="1647"/>
      <c r="P492" s="1729">
        <f>'Part IV-A-Uses of Funds'!P47</f>
        <v>0</v>
      </c>
      <c r="Q492" s="1729"/>
      <c r="R492" s="1647"/>
      <c r="S492" s="1729">
        <f>'Part IV-A-Uses of Funds'!S47</f>
        <v>0</v>
      </c>
      <c r="T492" s="1729"/>
      <c r="U492" s="1653"/>
      <c r="V492" s="1735">
        <f>SUM(V489:V491)</f>
        <v>0</v>
      </c>
      <c r="W492" s="1485">
        <f>'Part IV-A-Uses of Funds'!W47</f>
        <v>0</v>
      </c>
      <c r="X492" s="1485"/>
    </row>
    <row r="493" spans="1:24">
      <c r="A493" s="1651"/>
      <c r="B493" s="1651"/>
      <c r="C493" s="1651"/>
      <c r="D493" s="1651"/>
      <c r="E493" s="1651"/>
      <c r="F493" s="1651"/>
      <c r="G493" s="1651"/>
      <c r="H493" s="1651"/>
      <c r="I493" s="1651"/>
      <c r="J493" s="1651"/>
      <c r="K493" s="1651"/>
      <c r="L493" s="1651"/>
      <c r="M493" s="1651"/>
      <c r="N493" s="1651"/>
      <c r="O493" s="1651"/>
      <c r="P493" s="1651"/>
      <c r="Q493" s="1651"/>
      <c r="R493" s="1651"/>
      <c r="S493" s="1651"/>
      <c r="T493" s="1651"/>
      <c r="U493" s="1647"/>
      <c r="V493" s="1735"/>
      <c r="W493" s="1647"/>
      <c r="X493" s="1647"/>
    </row>
    <row r="494" spans="1:24" ht="17.25" customHeight="1">
      <c r="A494" s="2728" t="s">
        <v>616</v>
      </c>
      <c r="B494" s="2728" t="s">
        <v>4512</v>
      </c>
      <c r="C494" s="1647"/>
      <c r="D494" s="1647"/>
      <c r="E494" s="1647"/>
      <c r="F494" s="1647"/>
      <c r="G494" s="1647"/>
      <c r="H494" s="1647"/>
      <c r="I494" s="1647"/>
      <c r="J494" s="1703" t="s">
        <v>271</v>
      </c>
      <c r="K494" s="1703"/>
      <c r="L494" s="1729"/>
      <c r="M494" s="2730" t="s">
        <v>489</v>
      </c>
      <c r="N494" s="2730"/>
      <c r="O494" s="1647"/>
      <c r="P494" s="1703" t="s">
        <v>272</v>
      </c>
      <c r="Q494" s="1703"/>
      <c r="R494" s="1647"/>
      <c r="S494" s="1703" t="s">
        <v>273</v>
      </c>
      <c r="T494" s="1703"/>
      <c r="U494" s="1647"/>
      <c r="V494" s="1735"/>
      <c r="W494" s="2731" t="str">
        <f>B494</f>
        <v>DEVELOPMENT BUDGET (cont'd)</v>
      </c>
      <c r="X494" s="1647"/>
    </row>
    <row r="495" spans="1:24">
      <c r="A495" s="1647"/>
      <c r="B495" s="1647"/>
      <c r="C495" s="1647"/>
      <c r="D495" s="1647"/>
      <c r="E495" s="1647"/>
      <c r="F495" s="1647"/>
      <c r="G495" s="1647" t="s">
        <v>101</v>
      </c>
      <c r="H495" s="1647"/>
      <c r="I495" s="1647"/>
      <c r="J495" s="1703"/>
      <c r="K495" s="1703"/>
      <c r="L495" s="1729"/>
      <c r="M495" s="2730"/>
      <c r="N495" s="2730"/>
      <c r="O495" s="1647"/>
      <c r="P495" s="1703"/>
      <c r="Q495" s="1703"/>
      <c r="R495" s="1647"/>
      <c r="S495" s="1703"/>
      <c r="T495" s="1703"/>
      <c r="U495" s="1647"/>
      <c r="V495" s="1735"/>
      <c r="W495" s="1665" t="s">
        <v>2683</v>
      </c>
      <c r="X495" s="1665"/>
    </row>
    <row r="496" spans="1:24">
      <c r="A496" s="1647"/>
      <c r="B496" s="1647" t="s">
        <v>722</v>
      </c>
      <c r="C496" s="1647"/>
      <c r="D496" s="1647"/>
      <c r="E496" s="1647"/>
      <c r="F496" s="1647"/>
      <c r="G496" s="1647"/>
      <c r="H496" s="1647"/>
      <c r="I496" s="1647"/>
      <c r="J496" s="1664"/>
      <c r="K496" s="1729"/>
      <c r="L496" s="1647"/>
      <c r="M496" s="1664"/>
      <c r="N496" s="1729"/>
      <c r="O496" s="1664" t="str">
        <f>B496</f>
        <v>CONSTRUCTION PERIOD FINANCING</v>
      </c>
      <c r="P496" s="1664"/>
      <c r="Q496" s="1729"/>
      <c r="R496" s="1647"/>
      <c r="S496" s="1664"/>
      <c r="T496" s="1729"/>
      <c r="U496" s="1647"/>
      <c r="V496" s="1735"/>
      <c r="W496" s="1647" t="str">
        <f>B496</f>
        <v>CONSTRUCTION PERIOD FINANCING</v>
      </c>
      <c r="X496" s="1647"/>
    </row>
    <row r="497" spans="1:24">
      <c r="A497" s="1647"/>
      <c r="B497" s="1647" t="s">
        <v>3733</v>
      </c>
      <c r="C497" s="1647"/>
      <c r="D497" s="1647"/>
      <c r="E497" s="1647"/>
      <c r="F497" s="1647"/>
      <c r="G497" s="1729">
        <f>'Part IV-A-Uses of Funds'!G52</f>
        <v>0</v>
      </c>
      <c r="H497" s="1729"/>
      <c r="I497" s="1647"/>
      <c r="J497" s="1729">
        <f>'Part IV-A-Uses of Funds'!J52</f>
        <v>0</v>
      </c>
      <c r="K497" s="1729"/>
      <c r="L497" s="1664"/>
      <c r="M497" s="1729">
        <f>'Part IV-A-Uses of Funds'!M52</f>
        <v>0</v>
      </c>
      <c r="N497" s="1729"/>
      <c r="O497" s="1647"/>
      <c r="P497" s="1729">
        <f>'Part IV-A-Uses of Funds'!P52</f>
        <v>0</v>
      </c>
      <c r="Q497" s="1729"/>
      <c r="R497" s="1647"/>
      <c r="S497" s="1729">
        <f>'Part IV-A-Uses of Funds'!S52</f>
        <v>0</v>
      </c>
      <c r="T497" s="1729"/>
      <c r="U497" s="1647"/>
      <c r="V497" s="1735">
        <f>'Part IV-A-Uses of Funds'!V52</f>
        <v>0</v>
      </c>
      <c r="W497" s="1485">
        <f>'Part IV-A-Uses of Funds'!W52</f>
        <v>0</v>
      </c>
      <c r="X497" s="1485"/>
    </row>
    <row r="498" spans="1:24">
      <c r="A498" s="1647"/>
      <c r="B498" s="1647" t="s">
        <v>3734</v>
      </c>
      <c r="C498" s="1647"/>
      <c r="D498" s="1647"/>
      <c r="E498" s="1647"/>
      <c r="F498" s="1647"/>
      <c r="G498" s="1729">
        <f>'Part IV-A-Uses of Funds'!G53</f>
        <v>0</v>
      </c>
      <c r="H498" s="1729"/>
      <c r="I498" s="1647"/>
      <c r="J498" s="1729">
        <f>'Part IV-A-Uses of Funds'!J53</f>
        <v>0</v>
      </c>
      <c r="K498" s="1729"/>
      <c r="L498" s="1664"/>
      <c r="M498" s="1729">
        <f>'Part IV-A-Uses of Funds'!M53</f>
        <v>0</v>
      </c>
      <c r="N498" s="1729"/>
      <c r="O498" s="1647"/>
      <c r="P498" s="1729">
        <f>'Part IV-A-Uses of Funds'!P53</f>
        <v>0</v>
      </c>
      <c r="Q498" s="1729"/>
      <c r="R498" s="1647"/>
      <c r="S498" s="1729">
        <f>'Part IV-A-Uses of Funds'!S53</f>
        <v>0</v>
      </c>
      <c r="T498" s="1729"/>
      <c r="U498" s="1647"/>
      <c r="V498" s="1735">
        <f>'Part IV-A-Uses of Funds'!V53</f>
        <v>0</v>
      </c>
      <c r="W498" s="1485">
        <f>'Part IV-A-Uses of Funds'!W53</f>
        <v>0</v>
      </c>
      <c r="X498" s="1485"/>
    </row>
    <row r="499" spans="1:24">
      <c r="A499" s="1647"/>
      <c r="B499" s="1647" t="s">
        <v>2346</v>
      </c>
      <c r="C499" s="1647"/>
      <c r="D499" s="1647"/>
      <c r="E499" s="1647"/>
      <c r="F499" s="1647"/>
      <c r="G499" s="1729">
        <f>'Part IV-A-Uses of Funds'!G54</f>
        <v>125000</v>
      </c>
      <c r="H499" s="1729"/>
      <c r="I499" s="1647"/>
      <c r="J499" s="1729">
        <f>'Part IV-A-Uses of Funds'!J54</f>
        <v>125000</v>
      </c>
      <c r="K499" s="1729"/>
      <c r="L499" s="1664"/>
      <c r="M499" s="1729">
        <f>'Part IV-A-Uses of Funds'!M54</f>
        <v>0</v>
      </c>
      <c r="N499" s="1729"/>
      <c r="O499" s="1647"/>
      <c r="P499" s="1729">
        <f>'Part IV-A-Uses of Funds'!P54</f>
        <v>0</v>
      </c>
      <c r="Q499" s="1729"/>
      <c r="R499" s="1647"/>
      <c r="S499" s="1729">
        <f>'Part IV-A-Uses of Funds'!S54</f>
        <v>0</v>
      </c>
      <c r="T499" s="1729"/>
      <c r="U499" s="1647"/>
      <c r="V499" s="1735">
        <f>'Part IV-A-Uses of Funds'!V54</f>
        <v>0</v>
      </c>
      <c r="W499" s="1485">
        <f>'Part IV-A-Uses of Funds'!W54</f>
        <v>0</v>
      </c>
      <c r="X499" s="1485"/>
    </row>
    <row r="500" spans="1:24">
      <c r="A500" s="1647"/>
      <c r="B500" s="1647" t="s">
        <v>2347</v>
      </c>
      <c r="C500" s="1647"/>
      <c r="D500" s="1647"/>
      <c r="E500" s="1647"/>
      <c r="F500" s="1647"/>
      <c r="G500" s="1729">
        <f>'Part IV-A-Uses of Funds'!G55</f>
        <v>350000</v>
      </c>
      <c r="H500" s="1729"/>
      <c r="I500" s="1647"/>
      <c r="J500" s="1729">
        <f>'Part IV-A-Uses of Funds'!J55</f>
        <v>350000</v>
      </c>
      <c r="K500" s="1729"/>
      <c r="L500" s="1664"/>
      <c r="M500" s="1729">
        <f>'Part IV-A-Uses of Funds'!M55</f>
        <v>0</v>
      </c>
      <c r="N500" s="1729"/>
      <c r="O500" s="1647"/>
      <c r="P500" s="1729">
        <f>'Part IV-A-Uses of Funds'!P55</f>
        <v>0</v>
      </c>
      <c r="Q500" s="1729"/>
      <c r="R500" s="1647"/>
      <c r="S500" s="1729">
        <f>'Part IV-A-Uses of Funds'!S55</f>
        <v>0</v>
      </c>
      <c r="T500" s="1729"/>
      <c r="U500" s="1647"/>
      <c r="V500" s="1735">
        <f>'Part IV-A-Uses of Funds'!V55</f>
        <v>0</v>
      </c>
      <c r="W500" s="1485">
        <f>'Part IV-A-Uses of Funds'!W55</f>
        <v>0</v>
      </c>
      <c r="X500" s="1485"/>
    </row>
    <row r="501" spans="1:24">
      <c r="A501" s="1647"/>
      <c r="B501" s="1647" t="s">
        <v>2348</v>
      </c>
      <c r="C501" s="1647"/>
      <c r="D501" s="1647"/>
      <c r="E501" s="1647"/>
      <c r="F501" s="1647"/>
      <c r="G501" s="1729">
        <f>'Part IV-A-Uses of Funds'!G56</f>
        <v>65000</v>
      </c>
      <c r="H501" s="1729"/>
      <c r="I501" s="1647"/>
      <c r="J501" s="1729">
        <f>'Part IV-A-Uses of Funds'!J56</f>
        <v>65000</v>
      </c>
      <c r="K501" s="1729"/>
      <c r="L501" s="1664"/>
      <c r="M501" s="1729">
        <f>'Part IV-A-Uses of Funds'!M56</f>
        <v>0</v>
      </c>
      <c r="N501" s="1729"/>
      <c r="O501" s="1647"/>
      <c r="P501" s="1729">
        <f>'Part IV-A-Uses of Funds'!P56</f>
        <v>0</v>
      </c>
      <c r="Q501" s="1729"/>
      <c r="R501" s="1647"/>
      <c r="S501" s="1729">
        <f>'Part IV-A-Uses of Funds'!S56</f>
        <v>0</v>
      </c>
      <c r="T501" s="1729"/>
      <c r="U501" s="1647"/>
      <c r="V501" s="1735">
        <f>'Part IV-A-Uses of Funds'!V56</f>
        <v>0</v>
      </c>
      <c r="W501" s="1485">
        <f>'Part IV-A-Uses of Funds'!W56</f>
        <v>0</v>
      </c>
      <c r="X501" s="1485"/>
    </row>
    <row r="502" spans="1:24">
      <c r="A502" s="1647"/>
      <c r="B502" s="1647" t="s">
        <v>2687</v>
      </c>
      <c r="C502" s="1647"/>
      <c r="D502" s="1647"/>
      <c r="E502" s="1647"/>
      <c r="F502" s="1647"/>
      <c r="G502" s="1729">
        <f>'Part IV-A-Uses of Funds'!G57</f>
        <v>36000</v>
      </c>
      <c r="H502" s="1729"/>
      <c r="I502" s="1647"/>
      <c r="J502" s="1729">
        <f>'Part IV-A-Uses of Funds'!J57</f>
        <v>36000</v>
      </c>
      <c r="K502" s="1729"/>
      <c r="L502" s="1664"/>
      <c r="M502" s="1729">
        <f>'Part IV-A-Uses of Funds'!M57</f>
        <v>0</v>
      </c>
      <c r="N502" s="1729"/>
      <c r="O502" s="1647"/>
      <c r="P502" s="1729">
        <f>'Part IV-A-Uses of Funds'!P57</f>
        <v>0</v>
      </c>
      <c r="Q502" s="1729"/>
      <c r="R502" s="1647"/>
      <c r="S502" s="1729">
        <f>'Part IV-A-Uses of Funds'!S57</f>
        <v>0</v>
      </c>
      <c r="T502" s="1729"/>
      <c r="U502" s="1647"/>
      <c r="V502" s="1735">
        <f>'Part IV-A-Uses of Funds'!V57</f>
        <v>0</v>
      </c>
      <c r="W502" s="1485">
        <f>'Part IV-A-Uses of Funds'!W57</f>
        <v>0</v>
      </c>
      <c r="X502" s="1485"/>
    </row>
    <row r="503" spans="1:24">
      <c r="A503" s="1647"/>
      <c r="B503" s="1647" t="s">
        <v>723</v>
      </c>
      <c r="C503" s="1647"/>
      <c r="D503" s="1647"/>
      <c r="E503" s="1647"/>
      <c r="F503" s="1647"/>
      <c r="G503" s="1729">
        <f>'Part IV-A-Uses of Funds'!G58</f>
        <v>10000</v>
      </c>
      <c r="H503" s="1729"/>
      <c r="I503" s="1647"/>
      <c r="J503" s="1729">
        <f>'Part IV-A-Uses of Funds'!J58</f>
        <v>10000</v>
      </c>
      <c r="K503" s="1729"/>
      <c r="L503" s="1664"/>
      <c r="M503" s="1729">
        <f>'Part IV-A-Uses of Funds'!M58</f>
        <v>0</v>
      </c>
      <c r="N503" s="1729"/>
      <c r="O503" s="1647"/>
      <c r="P503" s="1729">
        <f>'Part IV-A-Uses of Funds'!P58</f>
        <v>0</v>
      </c>
      <c r="Q503" s="1729"/>
      <c r="R503" s="1647"/>
      <c r="S503" s="1729">
        <f>'Part IV-A-Uses of Funds'!S58</f>
        <v>0</v>
      </c>
      <c r="T503" s="1729"/>
      <c r="U503" s="1647"/>
      <c r="V503" s="1735">
        <f>'Part IV-A-Uses of Funds'!V58</f>
        <v>0</v>
      </c>
      <c r="W503" s="1485">
        <f>'Part IV-A-Uses of Funds'!W58</f>
        <v>0</v>
      </c>
      <c r="X503" s="1485"/>
    </row>
    <row r="504" spans="1:24">
      <c r="A504" s="1647"/>
      <c r="B504" s="1647" t="s">
        <v>2349</v>
      </c>
      <c r="C504" s="1647"/>
      <c r="D504" s="1647"/>
      <c r="E504" s="1647"/>
      <c r="F504" s="1647"/>
      <c r="G504" s="1729">
        <f>'Part IV-A-Uses of Funds'!G59</f>
        <v>75000</v>
      </c>
      <c r="H504" s="1729"/>
      <c r="I504" s="1647"/>
      <c r="J504" s="1729">
        <f>'Part IV-A-Uses of Funds'!J59</f>
        <v>75000</v>
      </c>
      <c r="K504" s="1729"/>
      <c r="L504" s="1664"/>
      <c r="M504" s="1729">
        <f>'Part IV-A-Uses of Funds'!M59</f>
        <v>0</v>
      </c>
      <c r="N504" s="1729"/>
      <c r="O504" s="1647"/>
      <c r="P504" s="1729">
        <f>'Part IV-A-Uses of Funds'!P59</f>
        <v>0</v>
      </c>
      <c r="Q504" s="1729"/>
      <c r="R504" s="1647"/>
      <c r="S504" s="1729">
        <f>'Part IV-A-Uses of Funds'!S59</f>
        <v>0</v>
      </c>
      <c r="T504" s="1729"/>
      <c r="U504" s="1647"/>
      <c r="V504" s="1735">
        <f>'Part IV-A-Uses of Funds'!V59</f>
        <v>0</v>
      </c>
      <c r="W504" s="1485">
        <f>'Part IV-A-Uses of Funds'!W59</f>
        <v>0</v>
      </c>
      <c r="X504" s="1485"/>
    </row>
    <row r="505" spans="1:24">
      <c r="A505" s="1647"/>
      <c r="B505" s="1647" t="s">
        <v>1276</v>
      </c>
      <c r="C505" s="1647"/>
      <c r="D505" s="1647"/>
      <c r="E505" s="1647"/>
      <c r="F505" s="1647"/>
      <c r="G505" s="1729">
        <f>'Part IV-A-Uses of Funds'!G60</f>
        <v>35000</v>
      </c>
      <c r="H505" s="1729"/>
      <c r="I505" s="1647"/>
      <c r="J505" s="1729">
        <f>'Part IV-A-Uses of Funds'!J60</f>
        <v>35000</v>
      </c>
      <c r="K505" s="1729"/>
      <c r="L505" s="1664"/>
      <c r="M505" s="1729">
        <f>'Part IV-A-Uses of Funds'!M60</f>
        <v>0</v>
      </c>
      <c r="N505" s="1729"/>
      <c r="O505" s="1647"/>
      <c r="P505" s="1729">
        <f>'Part IV-A-Uses of Funds'!P60</f>
        <v>0</v>
      </c>
      <c r="Q505" s="1729"/>
      <c r="R505" s="1647"/>
      <c r="S505" s="1729">
        <f>'Part IV-A-Uses of Funds'!S60</f>
        <v>0</v>
      </c>
      <c r="T505" s="1729"/>
      <c r="U505" s="1647"/>
      <c r="V505" s="1735">
        <f>'Part IV-A-Uses of Funds'!V60</f>
        <v>0</v>
      </c>
      <c r="W505" s="1485">
        <f>'Part IV-A-Uses of Funds'!W60</f>
        <v>0</v>
      </c>
      <c r="X505" s="1485"/>
    </row>
    <row r="506" spans="1:24">
      <c r="A506" s="1647"/>
      <c r="B506" s="1756" t="s">
        <v>1153</v>
      </c>
      <c r="C506" s="1647"/>
      <c r="D506" s="1755"/>
      <c r="E506" s="1755"/>
      <c r="F506" s="1757"/>
      <c r="G506" s="1729">
        <f>'Part IV-A-Uses of Funds'!G61</f>
        <v>75000</v>
      </c>
      <c r="H506" s="1729"/>
      <c r="I506" s="1653"/>
      <c r="J506" s="1729">
        <f>'Part IV-A-Uses of Funds'!J61</f>
        <v>75000</v>
      </c>
      <c r="K506" s="1729"/>
      <c r="L506" s="1664"/>
      <c r="M506" s="1729">
        <f>'Part IV-A-Uses of Funds'!M61</f>
        <v>0</v>
      </c>
      <c r="N506" s="1729"/>
      <c r="O506" s="1647"/>
      <c r="P506" s="1729">
        <f>'Part IV-A-Uses of Funds'!P61</f>
        <v>0</v>
      </c>
      <c r="Q506" s="1729"/>
      <c r="R506" s="1647"/>
      <c r="S506" s="1729">
        <f>'Part IV-A-Uses of Funds'!S61</f>
        <v>0</v>
      </c>
      <c r="T506" s="1729"/>
      <c r="U506" s="1647"/>
      <c r="V506" s="1735">
        <f>'Part IV-A-Uses of Funds'!V61</f>
        <v>0</v>
      </c>
      <c r="W506" s="1485">
        <f>'Part IV-A-Uses of Funds'!W61</f>
        <v>0</v>
      </c>
      <c r="X506" s="1485"/>
    </row>
    <row r="507" spans="1:24" ht="15.75" customHeight="1">
      <c r="A507" s="2732" t="str">
        <f>IF(AND(G507&gt;0,OR(C507="",C507="&lt;Enter detailed description here; use Comments section if needed&gt;")),"X","")</f>
        <v/>
      </c>
      <c r="B507" s="1647" t="s">
        <v>741</v>
      </c>
      <c r="C507" s="1659" t="str">
        <f>'Part IV-A-Uses of Funds'!C62</f>
        <v>Tax Exempt Bond Interest Expense</v>
      </c>
      <c r="D507" s="1659"/>
      <c r="E507" s="1659"/>
      <c r="F507" s="1659"/>
      <c r="G507" s="1729">
        <f>'Part IV-A-Uses of Funds'!G62</f>
        <v>370000</v>
      </c>
      <c r="H507" s="1729"/>
      <c r="I507" s="1647"/>
      <c r="J507" s="1729">
        <f>'Part IV-A-Uses of Funds'!J62</f>
        <v>370000</v>
      </c>
      <c r="K507" s="1729"/>
      <c r="L507" s="1664"/>
      <c r="M507" s="1729">
        <f>'Part IV-A-Uses of Funds'!M62</f>
        <v>0</v>
      </c>
      <c r="N507" s="1729"/>
      <c r="O507" s="1647"/>
      <c r="P507" s="1729">
        <f>'Part IV-A-Uses of Funds'!P62</f>
        <v>0</v>
      </c>
      <c r="Q507" s="1729"/>
      <c r="R507" s="1647"/>
      <c r="S507" s="1729">
        <f>'Part IV-A-Uses of Funds'!S62</f>
        <v>0</v>
      </c>
      <c r="T507" s="1729"/>
      <c r="U507" s="1654" t="str">
        <f>IF(AND(G507&gt;0,OR(C507="",C507="&lt;Enter detailed description here; use Comments section if needed&gt;")),"NO DESCRIPTION PROVIDED - please enter detailed description in Other box at left; use Comments section below if needed.","")</f>
        <v/>
      </c>
      <c r="V507" s="1735">
        <f>'Part IV-A-Uses of Funds'!V62</f>
        <v>0</v>
      </c>
      <c r="W507" s="1485">
        <f>'Part IV-A-Uses of Funds'!W62</f>
        <v>0</v>
      </c>
      <c r="X507" s="1485"/>
    </row>
    <row r="508" spans="1:24" ht="16.5" customHeight="1">
      <c r="A508" s="2732" t="str">
        <f>IF(AND(G508&gt;0,OR(C508="",C508="&lt;Enter detailed description here; use Comments section if needed&gt;")),"X","")</f>
        <v/>
      </c>
      <c r="B508" s="1647" t="s">
        <v>741</v>
      </c>
      <c r="C508" s="1659" t="str">
        <f>'Part IV-A-Uses of Funds'!C63</f>
        <v>&lt;&lt; Enter description here; provide detail &amp; justification in tab Part IV-b &gt;&gt;</v>
      </c>
      <c r="D508" s="1659"/>
      <c r="E508" s="1659"/>
      <c r="F508" s="1659"/>
      <c r="G508" s="1729">
        <f>'Part IV-A-Uses of Funds'!G63</f>
        <v>0</v>
      </c>
      <c r="H508" s="1729"/>
      <c r="I508" s="1647"/>
      <c r="J508" s="1729">
        <f>'Part IV-A-Uses of Funds'!J63</f>
        <v>0</v>
      </c>
      <c r="K508" s="1729"/>
      <c r="L508" s="1664"/>
      <c r="M508" s="1729">
        <f>'Part IV-A-Uses of Funds'!M63</f>
        <v>0</v>
      </c>
      <c r="N508" s="1729"/>
      <c r="O508" s="1647"/>
      <c r="P508" s="1729">
        <f>'Part IV-A-Uses of Funds'!P63</f>
        <v>0</v>
      </c>
      <c r="Q508" s="1729"/>
      <c r="R508" s="1647"/>
      <c r="S508" s="1729">
        <f>'Part IV-A-Uses of Funds'!S63</f>
        <v>0</v>
      </c>
      <c r="T508" s="1729"/>
      <c r="U508" s="1654" t="str">
        <f>IF(AND(G508&gt;0,OR(C508="",C508="&lt;Enter detailed description here; use Comments section if needed&gt;")),"NO DESCRIPTION PROVIDED - please enter detailed description in Other box at left; use Comments section below if needed.","")</f>
        <v/>
      </c>
      <c r="V508" s="1735">
        <f>'Part IV-A-Uses of Funds'!V63</f>
        <v>0</v>
      </c>
      <c r="W508" s="1485">
        <f>'Part IV-A-Uses of Funds'!W63</f>
        <v>0</v>
      </c>
      <c r="X508" s="1485"/>
    </row>
    <row r="509" spans="1:24">
      <c r="A509" s="1647"/>
      <c r="B509" s="1647"/>
      <c r="C509" s="1647"/>
      <c r="D509" s="1647"/>
      <c r="E509" s="1647"/>
      <c r="F509" s="1761" t="s">
        <v>191</v>
      </c>
      <c r="G509" s="1729">
        <f>SUM(G497:H508)</f>
        <v>1141000</v>
      </c>
      <c r="H509" s="1729"/>
      <c r="I509" s="1647"/>
      <c r="J509" s="1729">
        <f>SUM(J497:K508)</f>
        <v>1141000</v>
      </c>
      <c r="K509" s="1729"/>
      <c r="L509" s="1664"/>
      <c r="M509" s="1729">
        <f>SUM(M497:N508)</f>
        <v>0</v>
      </c>
      <c r="N509" s="1729"/>
      <c r="O509" s="1647"/>
      <c r="P509" s="1729">
        <f>SUM(P497:Q508)</f>
        <v>0</v>
      </c>
      <c r="Q509" s="1729"/>
      <c r="R509" s="1647"/>
      <c r="S509" s="1729">
        <f>SUM(S497:T508)</f>
        <v>0</v>
      </c>
      <c r="T509" s="1729"/>
      <c r="U509" s="1647"/>
      <c r="V509" s="1735">
        <f>SUM(V497:V508)</f>
        <v>0</v>
      </c>
      <c r="W509" s="1485">
        <f>'Part IV-A-Uses of Funds'!W64</f>
        <v>0</v>
      </c>
      <c r="X509" s="1485"/>
    </row>
    <row r="510" spans="1:24">
      <c r="A510" s="1647"/>
      <c r="B510" s="1647" t="s">
        <v>476</v>
      </c>
      <c r="C510" s="1647"/>
      <c r="D510" s="1647"/>
      <c r="E510" s="1647"/>
      <c r="F510" s="1647"/>
      <c r="G510" s="1729"/>
      <c r="H510" s="1729"/>
      <c r="I510" s="1647"/>
      <c r="J510" s="1729"/>
      <c r="K510" s="1729"/>
      <c r="L510" s="1647"/>
      <c r="M510" s="1729"/>
      <c r="N510" s="1729"/>
      <c r="O510" s="1664" t="str">
        <f>B510</f>
        <v>PROFESSIONAL SERVICES</v>
      </c>
      <c r="P510" s="1729"/>
      <c r="Q510" s="1729"/>
      <c r="R510" s="1647"/>
      <c r="S510" s="1729"/>
      <c r="T510" s="1729"/>
      <c r="U510" s="1647"/>
      <c r="V510" s="1735"/>
      <c r="W510" s="1647" t="str">
        <f>B510</f>
        <v>PROFESSIONAL SERVICES</v>
      </c>
      <c r="X510" s="1647"/>
    </row>
    <row r="511" spans="1:24">
      <c r="A511" s="1647"/>
      <c r="B511" s="1647" t="s">
        <v>477</v>
      </c>
      <c r="C511" s="1647"/>
      <c r="D511" s="1647"/>
      <c r="E511" s="1647"/>
      <c r="F511" s="1647"/>
      <c r="G511" s="1729">
        <f>'Part IV-A-Uses of Funds'!G66</f>
        <v>200000</v>
      </c>
      <c r="H511" s="1729"/>
      <c r="I511" s="1647"/>
      <c r="J511" s="1729">
        <f>'Part IV-A-Uses of Funds'!J66</f>
        <v>200000</v>
      </c>
      <c r="K511" s="1729"/>
      <c r="L511" s="1664"/>
      <c r="M511" s="1729">
        <f>'Part IV-A-Uses of Funds'!M66</f>
        <v>0</v>
      </c>
      <c r="N511" s="1729"/>
      <c r="O511" s="1647"/>
      <c r="P511" s="1729">
        <f>'Part IV-A-Uses of Funds'!P66</f>
        <v>0</v>
      </c>
      <c r="Q511" s="1729"/>
      <c r="R511" s="1647"/>
      <c r="S511" s="1729">
        <f>'Part IV-A-Uses of Funds'!S66</f>
        <v>0</v>
      </c>
      <c r="T511" s="1729"/>
      <c r="U511" s="1647"/>
      <c r="V511" s="1735">
        <f>'Part IV-A-Uses of Funds'!V66</f>
        <v>0</v>
      </c>
      <c r="W511" s="1485">
        <f>'Part IV-A-Uses of Funds'!W66</f>
        <v>0</v>
      </c>
      <c r="X511" s="1485"/>
    </row>
    <row r="512" spans="1:24">
      <c r="A512" s="1647"/>
      <c r="B512" s="1647" t="s">
        <v>478</v>
      </c>
      <c r="C512" s="1647"/>
      <c r="D512" s="1647"/>
      <c r="E512" s="1647"/>
      <c r="F512" s="1647"/>
      <c r="G512" s="1729">
        <f>'Part IV-A-Uses of Funds'!G67</f>
        <v>20000</v>
      </c>
      <c r="H512" s="1729"/>
      <c r="I512" s="1647"/>
      <c r="J512" s="1729">
        <f>'Part IV-A-Uses of Funds'!J67</f>
        <v>20000</v>
      </c>
      <c r="K512" s="1729"/>
      <c r="L512" s="1664"/>
      <c r="M512" s="1729">
        <f>'Part IV-A-Uses of Funds'!M67</f>
        <v>0</v>
      </c>
      <c r="N512" s="1729"/>
      <c r="O512" s="1647"/>
      <c r="P512" s="1729">
        <f>'Part IV-A-Uses of Funds'!P67</f>
        <v>0</v>
      </c>
      <c r="Q512" s="1729"/>
      <c r="R512" s="1647"/>
      <c r="S512" s="1729">
        <f>'Part IV-A-Uses of Funds'!S67</f>
        <v>0</v>
      </c>
      <c r="T512" s="1729"/>
      <c r="U512" s="1647"/>
      <c r="V512" s="1735">
        <f>'Part IV-A-Uses of Funds'!V67</f>
        <v>0</v>
      </c>
      <c r="W512" s="1485">
        <f>'Part IV-A-Uses of Funds'!W67</f>
        <v>0</v>
      </c>
      <c r="X512" s="1485"/>
    </row>
    <row r="513" spans="1:24">
      <c r="A513" s="1647"/>
      <c r="B513" s="1647" t="s">
        <v>1127</v>
      </c>
      <c r="C513" s="1647"/>
      <c r="D513" s="1657" t="s">
        <v>3850</v>
      </c>
      <c r="E513" s="1758">
        <f>'DCA Underwriting Assumptions'!R521</f>
        <v>0</v>
      </c>
      <c r="F513" s="1647" t="str">
        <f>IF(G513&gt;E513,"CHECK!!!","")</f>
        <v/>
      </c>
      <c r="G513" s="1729">
        <f>'Part IV-A-Uses of Funds'!G68</f>
        <v>0</v>
      </c>
      <c r="H513" s="1729"/>
      <c r="I513" s="1647"/>
      <c r="J513" s="1729">
        <f>'Part IV-A-Uses of Funds'!J68</f>
        <v>0</v>
      </c>
      <c r="K513" s="1729"/>
      <c r="L513" s="1664"/>
      <c r="M513" s="1729">
        <f>'Part IV-A-Uses of Funds'!M68</f>
        <v>0</v>
      </c>
      <c r="N513" s="1729"/>
      <c r="O513" s="1647"/>
      <c r="P513" s="1729">
        <f>'Part IV-A-Uses of Funds'!P68</f>
        <v>0</v>
      </c>
      <c r="Q513" s="1729"/>
      <c r="R513" s="1647"/>
      <c r="S513" s="1729">
        <f>'Part IV-A-Uses of Funds'!S68</f>
        <v>0</v>
      </c>
      <c r="T513" s="1729"/>
      <c r="U513" s="1647"/>
      <c r="V513" s="1735">
        <f>'Part IV-A-Uses of Funds'!V68</f>
        <v>0</v>
      </c>
      <c r="W513" s="1485">
        <f>'Part IV-A-Uses of Funds'!W68</f>
        <v>0</v>
      </c>
      <c r="X513" s="1485"/>
    </row>
    <row r="514" spans="1:24">
      <c r="A514" s="1647"/>
      <c r="B514" s="1647" t="s">
        <v>1128</v>
      </c>
      <c r="C514" s="1647"/>
      <c r="D514" s="1647"/>
      <c r="E514" s="1647"/>
      <c r="F514" s="1647"/>
      <c r="G514" s="1729">
        <f>'Part IV-A-Uses of Funds'!G69</f>
        <v>0</v>
      </c>
      <c r="H514" s="1729"/>
      <c r="I514" s="1647"/>
      <c r="J514" s="1729">
        <f>'Part IV-A-Uses of Funds'!J69</f>
        <v>0</v>
      </c>
      <c r="K514" s="1729"/>
      <c r="L514" s="1664"/>
      <c r="M514" s="1729">
        <f>'Part IV-A-Uses of Funds'!M69</f>
        <v>0</v>
      </c>
      <c r="N514" s="1729"/>
      <c r="O514" s="1647"/>
      <c r="P514" s="1729">
        <f>'Part IV-A-Uses of Funds'!P69</f>
        <v>0</v>
      </c>
      <c r="Q514" s="1729"/>
      <c r="R514" s="1647"/>
      <c r="S514" s="1729">
        <f>'Part IV-A-Uses of Funds'!S69</f>
        <v>0</v>
      </c>
      <c r="T514" s="1729"/>
      <c r="U514" s="1647"/>
      <c r="V514" s="1735">
        <f>'Part IV-A-Uses of Funds'!V69</f>
        <v>0</v>
      </c>
      <c r="W514" s="1485">
        <f>'Part IV-A-Uses of Funds'!W69</f>
        <v>0</v>
      </c>
      <c r="X514" s="1485"/>
    </row>
    <row r="515" spans="1:24">
      <c r="A515" s="1647"/>
      <c r="B515" s="1647" t="s">
        <v>1129</v>
      </c>
      <c r="C515" s="1647"/>
      <c r="D515" s="1647"/>
      <c r="E515" s="1647"/>
      <c r="F515" s="1647"/>
      <c r="G515" s="1729">
        <f>'Part IV-A-Uses of Funds'!G70</f>
        <v>0</v>
      </c>
      <c r="H515" s="1729"/>
      <c r="I515" s="1647"/>
      <c r="J515" s="1729">
        <f>'Part IV-A-Uses of Funds'!J70</f>
        <v>0</v>
      </c>
      <c r="K515" s="1729"/>
      <c r="L515" s="1664"/>
      <c r="M515" s="1729">
        <f>'Part IV-A-Uses of Funds'!M70</f>
        <v>0</v>
      </c>
      <c r="N515" s="1729"/>
      <c r="O515" s="1647"/>
      <c r="P515" s="1729">
        <f>'Part IV-A-Uses of Funds'!P70</f>
        <v>0</v>
      </c>
      <c r="Q515" s="1729"/>
      <c r="R515" s="1647"/>
      <c r="S515" s="1729">
        <f>'Part IV-A-Uses of Funds'!S70</f>
        <v>0</v>
      </c>
      <c r="T515" s="1729"/>
      <c r="U515" s="1647"/>
      <c r="V515" s="1735">
        <f>'Part IV-A-Uses of Funds'!V70</f>
        <v>0</v>
      </c>
      <c r="W515" s="1485">
        <f>'Part IV-A-Uses of Funds'!W70</f>
        <v>0</v>
      </c>
      <c r="X515" s="1485"/>
    </row>
    <row r="516" spans="1:24">
      <c r="A516" s="1647"/>
      <c r="B516" s="1647" t="s">
        <v>1130</v>
      </c>
      <c r="C516" s="1647"/>
      <c r="D516" s="1647"/>
      <c r="E516" s="1647"/>
      <c r="F516" s="1647"/>
      <c r="G516" s="1729">
        <f>'Part IV-A-Uses of Funds'!G71</f>
        <v>0</v>
      </c>
      <c r="H516" s="1729"/>
      <c r="I516" s="1647"/>
      <c r="J516" s="1729">
        <f>'Part IV-A-Uses of Funds'!J71</f>
        <v>0</v>
      </c>
      <c r="K516" s="1729"/>
      <c r="L516" s="1664"/>
      <c r="M516" s="1729">
        <f>'Part IV-A-Uses of Funds'!M71</f>
        <v>0</v>
      </c>
      <c r="N516" s="1729"/>
      <c r="O516" s="1647"/>
      <c r="P516" s="1729">
        <f>'Part IV-A-Uses of Funds'!P71</f>
        <v>0</v>
      </c>
      <c r="Q516" s="1729"/>
      <c r="R516" s="1647"/>
      <c r="S516" s="1729">
        <f>'Part IV-A-Uses of Funds'!S71</f>
        <v>0</v>
      </c>
      <c r="T516" s="1729"/>
      <c r="U516" s="1647"/>
      <c r="V516" s="1735">
        <f>'Part IV-A-Uses of Funds'!V71</f>
        <v>0</v>
      </c>
      <c r="W516" s="1485">
        <f>'Part IV-A-Uses of Funds'!W71</f>
        <v>0</v>
      </c>
      <c r="X516" s="1485"/>
    </row>
    <row r="517" spans="1:24">
      <c r="A517" s="1647"/>
      <c r="B517" s="1647" t="s">
        <v>479</v>
      </c>
      <c r="C517" s="1647"/>
      <c r="D517" s="1647"/>
      <c r="E517" s="1647"/>
      <c r="F517" s="1647"/>
      <c r="G517" s="1729">
        <f>'Part IV-A-Uses of Funds'!G72</f>
        <v>75000</v>
      </c>
      <c r="H517" s="1729"/>
      <c r="I517" s="1647"/>
      <c r="J517" s="1729">
        <f>'Part IV-A-Uses of Funds'!J72</f>
        <v>75000</v>
      </c>
      <c r="K517" s="1729"/>
      <c r="L517" s="1664"/>
      <c r="M517" s="1729">
        <f>'Part IV-A-Uses of Funds'!M72</f>
        <v>0</v>
      </c>
      <c r="N517" s="1729"/>
      <c r="O517" s="1647"/>
      <c r="P517" s="1729">
        <f>'Part IV-A-Uses of Funds'!P72</f>
        <v>0</v>
      </c>
      <c r="Q517" s="1729"/>
      <c r="R517" s="1647"/>
      <c r="S517" s="1729">
        <f>'Part IV-A-Uses of Funds'!S72</f>
        <v>0</v>
      </c>
      <c r="T517" s="1729"/>
      <c r="U517" s="1647"/>
      <c r="V517" s="1735">
        <f>'Part IV-A-Uses of Funds'!V72</f>
        <v>0</v>
      </c>
      <c r="W517" s="1485">
        <f>'Part IV-A-Uses of Funds'!W72</f>
        <v>0</v>
      </c>
      <c r="X517" s="1485"/>
    </row>
    <row r="518" spans="1:24">
      <c r="A518" s="1647"/>
      <c r="B518" s="1647" t="s">
        <v>480</v>
      </c>
      <c r="C518" s="1647"/>
      <c r="D518" s="1647"/>
      <c r="E518" s="1647"/>
      <c r="F518" s="1647"/>
      <c r="G518" s="1729">
        <f>'Part IV-A-Uses of Funds'!G73</f>
        <v>50000</v>
      </c>
      <c r="H518" s="1729"/>
      <c r="I518" s="1647"/>
      <c r="J518" s="1729">
        <f>'Part IV-A-Uses of Funds'!J73</f>
        <v>50000</v>
      </c>
      <c r="K518" s="1729"/>
      <c r="L518" s="1664"/>
      <c r="M518" s="1729">
        <f>'Part IV-A-Uses of Funds'!M73</f>
        <v>0</v>
      </c>
      <c r="N518" s="1729"/>
      <c r="O518" s="1647"/>
      <c r="P518" s="1729">
        <f>'Part IV-A-Uses of Funds'!P73</f>
        <v>0</v>
      </c>
      <c r="Q518" s="1729"/>
      <c r="R518" s="1647"/>
      <c r="S518" s="1729">
        <f>'Part IV-A-Uses of Funds'!S73</f>
        <v>0</v>
      </c>
      <c r="T518" s="1729"/>
      <c r="U518" s="1647"/>
      <c r="V518" s="1735">
        <f>'Part IV-A-Uses of Funds'!V73</f>
        <v>0</v>
      </c>
      <c r="W518" s="1485">
        <f>'Part IV-A-Uses of Funds'!W73</f>
        <v>0</v>
      </c>
      <c r="X518" s="1485"/>
    </row>
    <row r="519" spans="1:24">
      <c r="A519" s="1647"/>
      <c r="B519" s="1647" t="s">
        <v>2049</v>
      </c>
      <c r="C519" s="1647"/>
      <c r="D519" s="1647"/>
      <c r="E519" s="1647"/>
      <c r="F519" s="1647"/>
      <c r="G519" s="1729">
        <f>'Part IV-A-Uses of Funds'!G74</f>
        <v>0</v>
      </c>
      <c r="H519" s="1729"/>
      <c r="I519" s="1647"/>
      <c r="J519" s="1729">
        <f>'Part IV-A-Uses of Funds'!J74</f>
        <v>0</v>
      </c>
      <c r="K519" s="1729"/>
      <c r="L519" s="1664"/>
      <c r="M519" s="1729">
        <f>'Part IV-A-Uses of Funds'!M74</f>
        <v>0</v>
      </c>
      <c r="N519" s="1729"/>
      <c r="O519" s="1647"/>
      <c r="P519" s="1729">
        <f>'Part IV-A-Uses of Funds'!P74</f>
        <v>0</v>
      </c>
      <c r="Q519" s="1729"/>
      <c r="R519" s="1647"/>
      <c r="S519" s="1729">
        <f>'Part IV-A-Uses of Funds'!S74</f>
        <v>0</v>
      </c>
      <c r="T519" s="1729"/>
      <c r="U519" s="1647"/>
      <c r="V519" s="1735">
        <f>'Part IV-A-Uses of Funds'!V74</f>
        <v>0</v>
      </c>
      <c r="W519" s="1485">
        <f>'Part IV-A-Uses of Funds'!W74</f>
        <v>0</v>
      </c>
      <c r="X519" s="1485"/>
    </row>
    <row r="520" spans="1:24">
      <c r="A520" s="1647"/>
      <c r="B520" s="1647" t="s">
        <v>1277</v>
      </c>
      <c r="C520" s="1647"/>
      <c r="D520" s="1647"/>
      <c r="E520" s="1647"/>
      <c r="F520" s="1647"/>
      <c r="G520" s="1729">
        <f>'Part IV-A-Uses of Funds'!G75</f>
        <v>0</v>
      </c>
      <c r="H520" s="1729"/>
      <c r="I520" s="1647"/>
      <c r="J520" s="1729">
        <f>'Part IV-A-Uses of Funds'!J75</f>
        <v>0</v>
      </c>
      <c r="K520" s="1729"/>
      <c r="L520" s="1664"/>
      <c r="M520" s="1729">
        <f>'Part IV-A-Uses of Funds'!M75</f>
        <v>0</v>
      </c>
      <c r="N520" s="1729"/>
      <c r="O520" s="1647"/>
      <c r="P520" s="1729">
        <f>'Part IV-A-Uses of Funds'!P75</f>
        <v>0</v>
      </c>
      <c r="Q520" s="1729"/>
      <c r="R520" s="1647"/>
      <c r="S520" s="1729">
        <f>'Part IV-A-Uses of Funds'!S75</f>
        <v>0</v>
      </c>
      <c r="T520" s="1729"/>
      <c r="U520" s="1647"/>
      <c r="V520" s="1735">
        <f>'Part IV-A-Uses of Funds'!V75</f>
        <v>0</v>
      </c>
      <c r="W520" s="1485">
        <f>'Part IV-A-Uses of Funds'!W75</f>
        <v>0</v>
      </c>
      <c r="X520" s="1485"/>
    </row>
    <row r="521" spans="1:24" ht="16.5" customHeight="1">
      <c r="A521" s="2732" t="str">
        <f>IF(AND(G521&gt;0,OR(C521="",C521="&lt;Enter detailed description here; use Comments section if needed&gt;")),"X","")</f>
        <v/>
      </c>
      <c r="B521" s="1647" t="s">
        <v>741</v>
      </c>
      <c r="C521" s="1659" t="str">
        <f>'Part IV-A-Uses of Funds'!C76</f>
        <v>&lt;&lt; Enter description here; provide detail &amp; justification in tab Part IV-b &gt;&gt;</v>
      </c>
      <c r="D521" s="1659"/>
      <c r="E521" s="1659"/>
      <c r="F521" s="1659"/>
      <c r="G521" s="1729">
        <f>'Part IV-A-Uses of Funds'!G76</f>
        <v>0</v>
      </c>
      <c r="H521" s="1729"/>
      <c r="I521" s="1647"/>
      <c r="J521" s="1729">
        <f>'Part IV-A-Uses of Funds'!J76</f>
        <v>0</v>
      </c>
      <c r="K521" s="1729"/>
      <c r="L521" s="1664"/>
      <c r="M521" s="1729">
        <f>'Part IV-A-Uses of Funds'!M76</f>
        <v>0</v>
      </c>
      <c r="N521" s="1729"/>
      <c r="O521" s="1647"/>
      <c r="P521" s="1729">
        <f>'Part IV-A-Uses of Funds'!P76</f>
        <v>0</v>
      </c>
      <c r="Q521" s="1729"/>
      <c r="R521" s="1647"/>
      <c r="S521" s="1729">
        <f>'Part IV-A-Uses of Funds'!S76</f>
        <v>0</v>
      </c>
      <c r="T521" s="1729"/>
      <c r="U521" s="1654" t="str">
        <f>IF(AND(G521&gt;0,OR(C521="",C521="&lt;Enter detailed description here; use Comments section if needed&gt;")),"NO DESCRIPTION PROVIDED - please enter detailed description in Other box at left; use Comments section below if needed.","")</f>
        <v/>
      </c>
      <c r="V521" s="1735">
        <f>'Part IV-A-Uses of Funds'!V76</f>
        <v>0</v>
      </c>
      <c r="W521" s="1485">
        <f>'Part IV-A-Uses of Funds'!W76</f>
        <v>0</v>
      </c>
      <c r="X521" s="1485"/>
    </row>
    <row r="522" spans="1:24">
      <c r="A522" s="1647"/>
      <c r="B522" s="1647"/>
      <c r="C522" s="1647"/>
      <c r="D522" s="1647"/>
      <c r="E522" s="1647"/>
      <c r="F522" s="1761" t="s">
        <v>191</v>
      </c>
      <c r="G522" s="1729">
        <f>SUM(G511:H521)</f>
        <v>345000</v>
      </c>
      <c r="H522" s="1729"/>
      <c r="I522" s="1647"/>
      <c r="J522" s="1729">
        <f>SUM(J511:K521)</f>
        <v>345000</v>
      </c>
      <c r="K522" s="1729"/>
      <c r="L522" s="1664"/>
      <c r="M522" s="1729">
        <f>SUM(M511:N521)</f>
        <v>0</v>
      </c>
      <c r="N522" s="1729"/>
      <c r="O522" s="1647"/>
      <c r="P522" s="1729">
        <f>SUM(P511:Q521)</f>
        <v>0</v>
      </c>
      <c r="Q522" s="1729"/>
      <c r="R522" s="1647"/>
      <c r="S522" s="1729">
        <f>SUM(S511:T521)</f>
        <v>0</v>
      </c>
      <c r="T522" s="1729"/>
      <c r="U522" s="1647"/>
      <c r="V522" s="1735">
        <f>SUM(V511:V521)</f>
        <v>0</v>
      </c>
      <c r="W522" s="1485">
        <f>'Part IV-A-Uses of Funds'!W77</f>
        <v>0</v>
      </c>
      <c r="X522" s="1485"/>
    </row>
    <row r="523" spans="1:24">
      <c r="A523" s="1647"/>
      <c r="B523" s="1647" t="s">
        <v>1269</v>
      </c>
      <c r="C523" s="1647"/>
      <c r="D523" s="1759" t="s">
        <v>3737</v>
      </c>
      <c r="E523" s="1760">
        <f>G528/'Part VI-Revenues &amp; Expenses'!$O$67</f>
        <v>2809.5238095238096</v>
      </c>
      <c r="F523" s="1647"/>
      <c r="G523" s="1647"/>
      <c r="H523" s="1647"/>
      <c r="I523" s="1647"/>
      <c r="J523" s="1664"/>
      <c r="K523" s="1664"/>
      <c r="L523" s="1653"/>
      <c r="M523" s="1664"/>
      <c r="N523" s="1664"/>
      <c r="O523" s="1664" t="str">
        <f>B523</f>
        <v>LOCAL GOVERNMENT FEES</v>
      </c>
      <c r="P523" s="1664"/>
      <c r="Q523" s="1664"/>
      <c r="R523" s="1653"/>
      <c r="S523" s="1664"/>
      <c r="T523" s="1664"/>
      <c r="U523" s="1653"/>
      <c r="V523" s="1735"/>
      <c r="W523" s="1647" t="str">
        <f>B523</f>
        <v>LOCAL GOVERNMENT FEES</v>
      </c>
      <c r="X523" s="1653"/>
    </row>
    <row r="524" spans="1:24">
      <c r="A524" s="1647"/>
      <c r="B524" s="1647" t="s">
        <v>1270</v>
      </c>
      <c r="C524" s="1647"/>
      <c r="D524" s="1647"/>
      <c r="E524" s="1647"/>
      <c r="F524" s="1647"/>
      <c r="G524" s="1729">
        <f>'Part IV-A-Uses of Funds'!G79</f>
        <v>60000</v>
      </c>
      <c r="H524" s="1729"/>
      <c r="I524" s="1647"/>
      <c r="J524" s="1729">
        <f>'Part IV-A-Uses of Funds'!J79</f>
        <v>60000</v>
      </c>
      <c r="K524" s="1729"/>
      <c r="L524" s="1664"/>
      <c r="M524" s="1729">
        <f>'Part IV-A-Uses of Funds'!M79</f>
        <v>0</v>
      </c>
      <c r="N524" s="1729"/>
      <c r="O524" s="1647"/>
      <c r="P524" s="1729">
        <f>'Part IV-A-Uses of Funds'!P79</f>
        <v>0</v>
      </c>
      <c r="Q524" s="1729"/>
      <c r="R524" s="1647"/>
      <c r="S524" s="1729">
        <f>'Part IV-A-Uses of Funds'!S79</f>
        <v>0</v>
      </c>
      <c r="T524" s="1729"/>
      <c r="U524" s="1647"/>
      <c r="V524" s="1735">
        <f>'Part IV-A-Uses of Funds'!V79</f>
        <v>0</v>
      </c>
      <c r="W524" s="1485">
        <f>'Part IV-A-Uses of Funds'!W79</f>
        <v>0</v>
      </c>
      <c r="X524" s="1485"/>
    </row>
    <row r="525" spans="1:24">
      <c r="A525" s="1647"/>
      <c r="B525" s="1647" t="s">
        <v>1271</v>
      </c>
      <c r="C525" s="1647"/>
      <c r="D525" s="1647"/>
      <c r="E525" s="1647"/>
      <c r="F525" s="1647"/>
      <c r="G525" s="1729">
        <f>'Part IV-A-Uses of Funds'!G80</f>
        <v>0</v>
      </c>
      <c r="H525" s="1729"/>
      <c r="I525" s="1647"/>
      <c r="J525" s="1729">
        <f>'Part IV-A-Uses of Funds'!J80</f>
        <v>0</v>
      </c>
      <c r="K525" s="1729"/>
      <c r="L525" s="1664"/>
      <c r="M525" s="1729">
        <f>'Part IV-A-Uses of Funds'!M80</f>
        <v>0</v>
      </c>
      <c r="N525" s="1729"/>
      <c r="O525" s="1647"/>
      <c r="P525" s="1729">
        <f>'Part IV-A-Uses of Funds'!P80</f>
        <v>0</v>
      </c>
      <c r="Q525" s="1729"/>
      <c r="R525" s="1647"/>
      <c r="S525" s="1729">
        <f>'Part IV-A-Uses of Funds'!S80</f>
        <v>0</v>
      </c>
      <c r="T525" s="1729"/>
      <c r="U525" s="1647"/>
      <c r="V525" s="1735">
        <f>'Part IV-A-Uses of Funds'!V80</f>
        <v>0</v>
      </c>
      <c r="W525" s="1485">
        <f>'Part IV-A-Uses of Funds'!W80</f>
        <v>0</v>
      </c>
      <c r="X525" s="1485"/>
    </row>
    <row r="526" spans="1:24">
      <c r="A526" s="1647"/>
      <c r="B526" s="1647" t="s">
        <v>1272</v>
      </c>
      <c r="C526" s="1647"/>
      <c r="D526" s="1761" t="s">
        <v>1403</v>
      </c>
      <c r="E526" s="1774" t="str">
        <f>'Part IV-A-Uses of Funds'!E81</f>
        <v>No</v>
      </c>
      <c r="F526" s="1647"/>
      <c r="G526" s="1729">
        <f>'Part IV-A-Uses of Funds'!G81</f>
        <v>88000</v>
      </c>
      <c r="H526" s="1729"/>
      <c r="I526" s="1653"/>
      <c r="J526" s="1729">
        <f>'Part IV-A-Uses of Funds'!J81</f>
        <v>75000</v>
      </c>
      <c r="K526" s="1729"/>
      <c r="L526" s="1664"/>
      <c r="M526" s="1729">
        <f>'Part IV-A-Uses of Funds'!M81</f>
        <v>0</v>
      </c>
      <c r="N526" s="1729"/>
      <c r="O526" s="1647"/>
      <c r="P526" s="1729">
        <f>'Part IV-A-Uses of Funds'!P81</f>
        <v>0</v>
      </c>
      <c r="Q526" s="1729"/>
      <c r="R526" s="1647"/>
      <c r="S526" s="1729">
        <f>'Part IV-A-Uses of Funds'!S81</f>
        <v>13000</v>
      </c>
      <c r="T526" s="1729"/>
      <c r="U526" s="1647"/>
      <c r="V526" s="1735">
        <f>'Part IV-A-Uses of Funds'!V81</f>
        <v>0</v>
      </c>
      <c r="W526" s="1485">
        <f>'Part IV-A-Uses of Funds'!W81</f>
        <v>0</v>
      </c>
      <c r="X526" s="1485"/>
    </row>
    <row r="527" spans="1:24">
      <c r="A527" s="1647"/>
      <c r="B527" s="1647" t="s">
        <v>1273</v>
      </c>
      <c r="C527" s="1647"/>
      <c r="D527" s="1761" t="s">
        <v>1403</v>
      </c>
      <c r="E527" s="1774" t="str">
        <f>'Part IV-A-Uses of Funds'!E82</f>
        <v>No</v>
      </c>
      <c r="F527" s="1647"/>
      <c r="G527" s="1729">
        <f>'Part IV-A-Uses of Funds'!G82</f>
        <v>88000</v>
      </c>
      <c r="H527" s="1729"/>
      <c r="I527" s="1653"/>
      <c r="J527" s="1729">
        <f>'Part IV-A-Uses of Funds'!J82</f>
        <v>75000</v>
      </c>
      <c r="K527" s="1729"/>
      <c r="L527" s="1664"/>
      <c r="M527" s="1729">
        <f>'Part IV-A-Uses of Funds'!M82</f>
        <v>0</v>
      </c>
      <c r="N527" s="1729"/>
      <c r="O527" s="1647"/>
      <c r="P527" s="1729">
        <f>'Part IV-A-Uses of Funds'!P82</f>
        <v>0</v>
      </c>
      <c r="Q527" s="1729"/>
      <c r="R527" s="1647"/>
      <c r="S527" s="1729">
        <f>'Part IV-A-Uses of Funds'!S82</f>
        <v>13000</v>
      </c>
      <c r="T527" s="1729"/>
      <c r="U527" s="1647"/>
      <c r="V527" s="1735">
        <f>'Part IV-A-Uses of Funds'!V82</f>
        <v>0</v>
      </c>
      <c r="W527" s="1485">
        <f>'Part IV-A-Uses of Funds'!W82</f>
        <v>0</v>
      </c>
      <c r="X527" s="1485"/>
    </row>
    <row r="528" spans="1:24">
      <c r="A528" s="1647"/>
      <c r="B528" s="1647"/>
      <c r="C528" s="1647"/>
      <c r="D528" s="1647"/>
      <c r="E528" s="1647"/>
      <c r="F528" s="1761" t="s">
        <v>191</v>
      </c>
      <c r="G528" s="1729">
        <f>SUM(G524:H527)</f>
        <v>236000</v>
      </c>
      <c r="H528" s="1729"/>
      <c r="I528" s="1647"/>
      <c r="J528" s="1729">
        <f>SUM(J524:K527)</f>
        <v>210000</v>
      </c>
      <c r="K528" s="1729"/>
      <c r="L528" s="1664"/>
      <c r="M528" s="1729">
        <f>SUM(M524:N527)</f>
        <v>0</v>
      </c>
      <c r="N528" s="1729"/>
      <c r="O528" s="1647"/>
      <c r="P528" s="1729">
        <f>SUM(P524:Q527)</f>
        <v>0</v>
      </c>
      <c r="Q528" s="1729"/>
      <c r="R528" s="1647"/>
      <c r="S528" s="1729">
        <f>SUM(S524:T527)</f>
        <v>26000</v>
      </c>
      <c r="T528" s="1729"/>
      <c r="U528" s="1647"/>
      <c r="V528" s="1735">
        <f>SUM(V524:V527)</f>
        <v>0</v>
      </c>
      <c r="W528" s="1485">
        <f>'Part IV-A-Uses of Funds'!W83</f>
        <v>0</v>
      </c>
      <c r="X528" s="1485"/>
    </row>
    <row r="529" spans="1:24">
      <c r="A529" s="1647"/>
      <c r="B529" s="1647" t="s">
        <v>724</v>
      </c>
      <c r="C529" s="1647"/>
      <c r="D529" s="1647"/>
      <c r="E529" s="1647"/>
      <c r="F529" s="1647"/>
      <c r="G529" s="1647"/>
      <c r="H529" s="1647"/>
      <c r="I529" s="1647"/>
      <c r="J529" s="1664"/>
      <c r="K529" s="1664"/>
      <c r="L529" s="1647"/>
      <c r="M529" s="1664"/>
      <c r="N529" s="1664"/>
      <c r="O529" s="1664" t="str">
        <f>B529</f>
        <v>PERMANENT FINANCING FEES</v>
      </c>
      <c r="P529" s="1664"/>
      <c r="Q529" s="1664"/>
      <c r="R529" s="1647"/>
      <c r="S529" s="1664"/>
      <c r="T529" s="1664"/>
      <c r="U529" s="1647"/>
      <c r="V529" s="1735"/>
      <c r="W529" s="1647" t="str">
        <f>B529</f>
        <v>PERMANENT FINANCING FEES</v>
      </c>
      <c r="X529" s="1647"/>
    </row>
    <row r="530" spans="1:24">
      <c r="A530" s="1647"/>
      <c r="B530" s="1647" t="s">
        <v>1274</v>
      </c>
      <c r="C530" s="1647"/>
      <c r="D530" s="1647"/>
      <c r="E530" s="1647"/>
      <c r="F530" s="1647"/>
      <c r="G530" s="1729">
        <f>'Part IV-A-Uses of Funds'!G85</f>
        <v>100000</v>
      </c>
      <c r="H530" s="1729"/>
      <c r="I530" s="1647"/>
      <c r="J530" s="1729"/>
      <c r="K530" s="1729"/>
      <c r="L530" s="1664"/>
      <c r="M530" s="1729"/>
      <c r="N530" s="1729"/>
      <c r="O530" s="1647"/>
      <c r="P530" s="1729"/>
      <c r="Q530" s="1729"/>
      <c r="R530" s="1647"/>
      <c r="S530" s="1729">
        <f>'Part IV-A-Uses of Funds'!S85</f>
        <v>100000</v>
      </c>
      <c r="T530" s="1729"/>
      <c r="U530" s="1647"/>
      <c r="V530" s="1735">
        <f>'Part IV-A-Uses of Funds'!V85</f>
        <v>0</v>
      </c>
      <c r="W530" s="1485">
        <f>'Part IV-A-Uses of Funds'!W85</f>
        <v>0</v>
      </c>
      <c r="X530" s="1485"/>
    </row>
    <row r="531" spans="1:24">
      <c r="A531" s="1647"/>
      <c r="B531" s="1647" t="s">
        <v>1275</v>
      </c>
      <c r="C531" s="1647"/>
      <c r="D531" s="1647"/>
      <c r="E531" s="1647"/>
      <c r="F531" s="1647"/>
      <c r="G531" s="1729">
        <f>'Part IV-A-Uses of Funds'!G86</f>
        <v>70000</v>
      </c>
      <c r="H531" s="1729"/>
      <c r="I531" s="1647"/>
      <c r="J531" s="1729"/>
      <c r="K531" s="1729"/>
      <c r="L531" s="1664"/>
      <c r="M531" s="1729"/>
      <c r="N531" s="1729"/>
      <c r="O531" s="1647"/>
      <c r="P531" s="1729"/>
      <c r="Q531" s="1729"/>
      <c r="R531" s="1647"/>
      <c r="S531" s="1729">
        <f>'Part IV-A-Uses of Funds'!S86</f>
        <v>70000</v>
      </c>
      <c r="T531" s="1729"/>
      <c r="U531" s="1647"/>
      <c r="V531" s="1735">
        <f>'Part IV-A-Uses of Funds'!V86</f>
        <v>0</v>
      </c>
      <c r="W531" s="1485">
        <f>'Part IV-A-Uses of Funds'!W86</f>
        <v>0</v>
      </c>
      <c r="X531" s="1485"/>
    </row>
    <row r="532" spans="1:24">
      <c r="A532" s="1647"/>
      <c r="B532" s="1647" t="s">
        <v>1276</v>
      </c>
      <c r="C532" s="1647"/>
      <c r="D532" s="1647"/>
      <c r="E532" s="1647"/>
      <c r="F532" s="1647"/>
      <c r="G532" s="1729">
        <f>'Part IV-A-Uses of Funds'!G87</f>
        <v>0</v>
      </c>
      <c r="H532" s="1729"/>
      <c r="I532" s="1647"/>
      <c r="J532" s="1729"/>
      <c r="K532" s="1729"/>
      <c r="L532" s="1664"/>
      <c r="M532" s="1729"/>
      <c r="N532" s="1729"/>
      <c r="O532" s="1647"/>
      <c r="P532" s="1729"/>
      <c r="Q532" s="1729"/>
      <c r="R532" s="1647"/>
      <c r="S532" s="1729">
        <f>'Part IV-A-Uses of Funds'!S87</f>
        <v>0</v>
      </c>
      <c r="T532" s="1729"/>
      <c r="U532" s="1647"/>
      <c r="V532" s="1735">
        <f>'Part IV-A-Uses of Funds'!V87</f>
        <v>0</v>
      </c>
      <c r="W532" s="1485">
        <f>'Part IV-A-Uses of Funds'!W87</f>
        <v>0</v>
      </c>
      <c r="X532" s="1485"/>
    </row>
    <row r="533" spans="1:24">
      <c r="A533" s="1647"/>
      <c r="B533" s="1647" t="s">
        <v>1278</v>
      </c>
      <c r="C533" s="1647"/>
      <c r="D533" s="1647"/>
      <c r="E533" s="1647"/>
      <c r="F533" s="1647"/>
      <c r="G533" s="1729">
        <f>'Part IV-A-Uses of Funds'!G88</f>
        <v>0</v>
      </c>
      <c r="H533" s="1729"/>
      <c r="I533" s="1647"/>
      <c r="J533" s="1729"/>
      <c r="K533" s="1729"/>
      <c r="L533" s="1664"/>
      <c r="M533" s="1729"/>
      <c r="N533" s="1729"/>
      <c r="O533" s="1647"/>
      <c r="P533" s="1729"/>
      <c r="Q533" s="1729"/>
      <c r="R533" s="1647"/>
      <c r="S533" s="1729">
        <f>'Part IV-A-Uses of Funds'!S88</f>
        <v>0</v>
      </c>
      <c r="T533" s="1729"/>
      <c r="U533" s="1647"/>
      <c r="V533" s="1735">
        <f>'Part IV-A-Uses of Funds'!V88</f>
        <v>0</v>
      </c>
      <c r="W533" s="1485">
        <f>'Part IV-A-Uses of Funds'!W88</f>
        <v>0</v>
      </c>
      <c r="X533" s="1485"/>
    </row>
    <row r="534" spans="1:24">
      <c r="A534" s="1647"/>
      <c r="B534" s="1647" t="s">
        <v>2298</v>
      </c>
      <c r="C534" s="1647"/>
      <c r="D534" s="1647"/>
      <c r="E534" s="1647"/>
      <c r="F534" s="1647"/>
      <c r="G534" s="1729">
        <f>'Part IV-A-Uses of Funds'!G89</f>
        <v>555708</v>
      </c>
      <c r="H534" s="1729"/>
      <c r="I534" s="1647"/>
      <c r="J534" s="1729"/>
      <c r="K534" s="1729"/>
      <c r="L534" s="1664"/>
      <c r="M534" s="1729"/>
      <c r="N534" s="1729"/>
      <c r="O534" s="1647"/>
      <c r="P534" s="1729"/>
      <c r="Q534" s="1729"/>
      <c r="R534" s="1647"/>
      <c r="S534" s="1729">
        <f>'Part IV-A-Uses of Funds'!S89</f>
        <v>55708</v>
      </c>
      <c r="T534" s="1729"/>
      <c r="U534" s="1647"/>
      <c r="V534" s="1735">
        <f>'Part IV-A-Uses of Funds'!V89</f>
        <v>0</v>
      </c>
      <c r="W534" s="1485">
        <f>'Part IV-A-Uses of Funds'!W89</f>
        <v>0</v>
      </c>
      <c r="X534" s="1485"/>
    </row>
    <row r="535" spans="1:24" ht="16.5" customHeight="1">
      <c r="A535" s="2732" t="str">
        <f>IF(AND(G535&gt;0,OR(C535="",C535="&lt;Enter detailed description here; use Comments section if needed&gt;")),"X","")</f>
        <v/>
      </c>
      <c r="B535" s="1647" t="s">
        <v>741</v>
      </c>
      <c r="C535" s="1659" t="str">
        <f>'Part IV-A-Uses of Funds'!C90</f>
        <v>&lt;&lt; Enter description here; provide detail &amp; justification in tab Part IV-b &gt;&gt;</v>
      </c>
      <c r="D535" s="1659"/>
      <c r="E535" s="1659"/>
      <c r="F535" s="1659"/>
      <c r="G535" s="1729">
        <f>'Part IV-A-Uses of Funds'!G90</f>
        <v>0</v>
      </c>
      <c r="H535" s="1729"/>
      <c r="I535" s="1647"/>
      <c r="J535" s="1729"/>
      <c r="K535" s="1729"/>
      <c r="L535" s="1664"/>
      <c r="M535" s="1729"/>
      <c r="N535" s="1729"/>
      <c r="O535" s="1647"/>
      <c r="P535" s="1729"/>
      <c r="Q535" s="1729"/>
      <c r="R535" s="1647"/>
      <c r="S535" s="1729">
        <f>'Part IV-A-Uses of Funds'!S90</f>
        <v>0</v>
      </c>
      <c r="T535" s="1729"/>
      <c r="U535" s="1654" t="str">
        <f>IF(AND(G535&gt;0,OR(C535="",C535="&lt;Enter detailed description here; use Comments section if needed&gt;")),"NO DESCRIPTION PROVIDED - please enter detailed description in Other box at left; use Comments section below if needed.","")</f>
        <v/>
      </c>
      <c r="V535" s="1735">
        <f>'Part IV-A-Uses of Funds'!V90</f>
        <v>0</v>
      </c>
      <c r="W535" s="1485">
        <f>'Part IV-A-Uses of Funds'!W90</f>
        <v>0</v>
      </c>
      <c r="X535" s="1485"/>
    </row>
    <row r="536" spans="1:24">
      <c r="A536" s="1647"/>
      <c r="B536" s="1647"/>
      <c r="C536" s="1647"/>
      <c r="D536" s="1647"/>
      <c r="E536" s="1647"/>
      <c r="F536" s="1761" t="s">
        <v>191</v>
      </c>
      <c r="G536" s="1729">
        <f>SUM(G530:H535)</f>
        <v>725708</v>
      </c>
      <c r="H536" s="1729"/>
      <c r="I536" s="1647"/>
      <c r="J536" s="1729"/>
      <c r="K536" s="1729"/>
      <c r="L536" s="1664"/>
      <c r="M536" s="1729"/>
      <c r="N536" s="1729"/>
      <c r="O536" s="1647"/>
      <c r="P536" s="1729"/>
      <c r="Q536" s="1729"/>
      <c r="R536" s="1647"/>
      <c r="S536" s="1729">
        <f>SUM(S530:T535)</f>
        <v>225708</v>
      </c>
      <c r="T536" s="1729"/>
      <c r="U536" s="1647"/>
      <c r="V536" s="1735">
        <f>SUM(V530:V535)</f>
        <v>0</v>
      </c>
      <c r="W536" s="1485">
        <f>'Part IV-A-Uses of Funds'!W91</f>
        <v>0</v>
      </c>
      <c r="X536" s="1485"/>
    </row>
    <row r="537" spans="1:24">
      <c r="A537" s="1651"/>
      <c r="B537" s="1651"/>
      <c r="C537" s="1651"/>
      <c r="D537" s="1651"/>
      <c r="E537" s="1651"/>
      <c r="F537" s="1651"/>
      <c r="G537" s="1651"/>
      <c r="H537" s="1651"/>
      <c r="I537" s="1651"/>
      <c r="J537" s="1651"/>
      <c r="K537" s="1651"/>
      <c r="L537" s="1651"/>
      <c r="M537" s="1651"/>
      <c r="N537" s="1651"/>
      <c r="O537" s="1651"/>
      <c r="P537" s="1651"/>
      <c r="Q537" s="1651"/>
      <c r="R537" s="1651"/>
      <c r="S537" s="1651"/>
      <c r="T537" s="1651"/>
      <c r="U537" s="1647"/>
      <c r="V537" s="1735"/>
      <c r="W537" s="1647"/>
      <c r="X537" s="1647"/>
    </row>
    <row r="538" spans="1:24" ht="17.25" customHeight="1">
      <c r="A538" s="2728" t="s">
        <v>616</v>
      </c>
      <c r="B538" s="2728" t="s">
        <v>4513</v>
      </c>
      <c r="C538" s="1647"/>
      <c r="D538" s="1647"/>
      <c r="E538" s="1647"/>
      <c r="F538" s="1647"/>
      <c r="G538" s="1647"/>
      <c r="H538" s="1647"/>
      <c r="I538" s="1647"/>
      <c r="J538" s="1703" t="s">
        <v>271</v>
      </c>
      <c r="K538" s="1703"/>
      <c r="L538" s="1729"/>
      <c r="M538" s="2730" t="s">
        <v>489</v>
      </c>
      <c r="N538" s="2730"/>
      <c r="O538" s="1647"/>
      <c r="P538" s="1703" t="s">
        <v>272</v>
      </c>
      <c r="Q538" s="1703"/>
      <c r="R538" s="1647"/>
      <c r="S538" s="1703" t="s">
        <v>273</v>
      </c>
      <c r="T538" s="1703"/>
      <c r="U538" s="1647"/>
      <c r="V538" s="2731" t="str">
        <f>B538</f>
        <v>DEVELOPMENT BUDGET  (cont'd)</v>
      </c>
      <c r="W538" s="1647"/>
      <c r="X538" s="1647"/>
    </row>
    <row r="539" spans="1:24">
      <c r="A539" s="1647"/>
      <c r="B539" s="1647"/>
      <c r="C539" s="1647"/>
      <c r="D539" s="1647"/>
      <c r="E539" s="1647"/>
      <c r="F539" s="1647"/>
      <c r="G539" s="1647" t="s">
        <v>101</v>
      </c>
      <c r="H539" s="1647"/>
      <c r="I539" s="1647"/>
      <c r="J539" s="1703"/>
      <c r="K539" s="1703"/>
      <c r="L539" s="1729"/>
      <c r="M539" s="2730"/>
      <c r="N539" s="2730"/>
      <c r="O539" s="1647"/>
      <c r="P539" s="1703"/>
      <c r="Q539" s="1703"/>
      <c r="R539" s="1647"/>
      <c r="S539" s="1703"/>
      <c r="T539" s="1703"/>
      <c r="U539" s="1647"/>
      <c r="V539" s="1665" t="s">
        <v>2683</v>
      </c>
      <c r="W539" s="1647"/>
      <c r="X539" s="1665"/>
    </row>
    <row r="540" spans="1:24">
      <c r="A540" s="1647"/>
      <c r="B540" s="1647" t="s">
        <v>725</v>
      </c>
      <c r="C540" s="1647"/>
      <c r="D540" s="1647"/>
      <c r="E540" s="1647"/>
      <c r="F540" s="1647"/>
      <c r="G540" s="1647"/>
      <c r="H540" s="1647"/>
      <c r="I540" s="1647"/>
      <c r="J540" s="1664"/>
      <c r="K540" s="1664"/>
      <c r="L540" s="1647"/>
      <c r="M540" s="1664"/>
      <c r="N540" s="1664"/>
      <c r="O540" s="1664" t="str">
        <f>B540</f>
        <v>DCA-RELATED COSTS</v>
      </c>
      <c r="P540" s="1664"/>
      <c r="Q540" s="1664"/>
      <c r="R540" s="1647"/>
      <c r="S540" s="1664"/>
      <c r="T540" s="1664"/>
      <c r="U540" s="1647"/>
      <c r="V540" s="1735"/>
      <c r="W540" s="1647" t="str">
        <f>B540</f>
        <v>DCA-RELATED COSTS</v>
      </c>
      <c r="X540" s="1647"/>
    </row>
    <row r="541" spans="1:24">
      <c r="A541" s="1647"/>
      <c r="B541" s="1647" t="str">
        <f>CONCATENATE("DCA HOME Loan Consent Pre-Application Fee ($",'DCA Underwriting Assumptions'!$Q$77, " FP/JV, $",'DCA Underwriting Assumptions'!$Q$78, " NP)")</f>
        <v>DCA HOME Loan Consent Pre-Application Fee ($1000 FP/JV, $500 NP)</v>
      </c>
      <c r="C541" s="1647"/>
      <c r="D541" s="1647"/>
      <c r="E541" s="1647"/>
      <c r="F541" s="1647"/>
      <c r="G541" s="1729">
        <f>'Part IV-A-Uses of Funds'!G96</f>
        <v>0</v>
      </c>
      <c r="H541" s="1729"/>
      <c r="I541" s="1647"/>
      <c r="J541" s="1664"/>
      <c r="K541" s="1664"/>
      <c r="L541" s="1664"/>
      <c r="M541" s="1664"/>
      <c r="N541" s="1664"/>
      <c r="O541" s="1647"/>
      <c r="P541" s="1664"/>
      <c r="Q541" s="1664"/>
      <c r="R541" s="1647"/>
      <c r="S541" s="1729">
        <f>'Part IV-A-Uses of Funds'!S96</f>
        <v>0</v>
      </c>
      <c r="T541" s="1729"/>
      <c r="U541" s="1647"/>
      <c r="V541" s="1735">
        <f>'Part IV-A-Uses of Funds'!V96</f>
        <v>0</v>
      </c>
      <c r="W541" s="1485">
        <f>'Part IV-A-Uses of Funds'!W96</f>
        <v>0</v>
      </c>
      <c r="X541" s="1485"/>
    </row>
    <row r="542" spans="1:24">
      <c r="A542" s="1647"/>
      <c r="B542" s="1647" t="str">
        <f>CONCATENATE("Tax Credit Application Fee ($",'DCA Underwriting Assumptions'!$Q$83, " ForProf/JntVent, $",'DCA Underwriting Assumptions'!$Q$84, " NonProf)")</f>
        <v>Tax Credit Application Fee ($6500 ForProf/JntVent, $5500 NonProf)</v>
      </c>
      <c r="C542" s="1647"/>
      <c r="D542" s="1647"/>
      <c r="E542" s="1647"/>
      <c r="F542" s="1647"/>
      <c r="G542" s="1729">
        <f>'Part IV-A-Uses of Funds'!G97</f>
        <v>5000</v>
      </c>
      <c r="H542" s="1729"/>
      <c r="I542" s="1647"/>
      <c r="J542" s="1664"/>
      <c r="K542" s="1664"/>
      <c r="L542" s="1762"/>
      <c r="M542" s="1664"/>
      <c r="N542" s="1664"/>
      <c r="O542" s="1647"/>
      <c r="P542" s="1664"/>
      <c r="Q542" s="1664"/>
      <c r="R542" s="1647"/>
      <c r="S542" s="1729">
        <f>'Part IV-A-Uses of Funds'!S97</f>
        <v>5000</v>
      </c>
      <c r="T542" s="1729"/>
      <c r="U542" s="1647"/>
      <c r="V542" s="1735">
        <f>'Part IV-A-Uses of Funds'!V97</f>
        <v>0</v>
      </c>
      <c r="W542" s="1485">
        <f>'Part IV-A-Uses of Funds'!W97</f>
        <v>0</v>
      </c>
      <c r="X542" s="1485"/>
    </row>
    <row r="543" spans="1:24">
      <c r="A543" s="1647"/>
      <c r="B543" s="1647" t="s">
        <v>3953</v>
      </c>
      <c r="C543" s="1647"/>
      <c r="D543" s="1647"/>
      <c r="E543" s="1647"/>
      <c r="F543" s="1647"/>
      <c r="G543" s="1729">
        <f>'Part IV-A-Uses of Funds'!G98</f>
        <v>1500</v>
      </c>
      <c r="H543" s="1729"/>
      <c r="I543" s="1647"/>
      <c r="J543" s="1664"/>
      <c r="K543" s="1664"/>
      <c r="L543" s="1762"/>
      <c r="M543" s="1664"/>
      <c r="N543" s="1664"/>
      <c r="O543" s="1647"/>
      <c r="P543" s="1664"/>
      <c r="Q543" s="1664"/>
      <c r="R543" s="1647"/>
      <c r="S543" s="1729">
        <f>'Part IV-A-Uses of Funds'!S98</f>
        <v>1500</v>
      </c>
      <c r="T543" s="1729"/>
      <c r="U543" s="1647"/>
      <c r="V543" s="1735">
        <f>'Part IV-A-Uses of Funds'!V98</f>
        <v>0</v>
      </c>
      <c r="W543" s="1485">
        <f>'Part IV-A-Uses of Funds'!W98</f>
        <v>0</v>
      </c>
      <c r="X543" s="1485"/>
    </row>
    <row r="544" spans="1:24">
      <c r="A544" s="1647"/>
      <c r="B544" s="1647" t="s">
        <v>519</v>
      </c>
      <c r="C544" s="1647"/>
      <c r="D544" s="1647"/>
      <c r="E544" s="1763">
        <f>'DCA Underwriting Assumptions'!$Q$88*J620</f>
        <v>52804.639999999999</v>
      </c>
      <c r="F544" s="1763"/>
      <c r="G544" s="1729">
        <f>'Part IV-A-Uses of Funds'!G99</f>
        <v>52805</v>
      </c>
      <c r="H544" s="1729"/>
      <c r="I544" s="1647"/>
      <c r="J544" s="2739" t="str">
        <f>IF(E544&gt;G544,"WARNING!  LIHTC Allocation Fee proposed is below minimum required.","")</f>
        <v/>
      </c>
      <c r="K544" s="1664"/>
      <c r="L544" s="1664"/>
      <c r="M544" s="1664"/>
      <c r="N544" s="1664"/>
      <c r="O544" s="1647"/>
      <c r="P544" s="1664"/>
      <c r="Q544" s="1664"/>
      <c r="R544" s="1647"/>
      <c r="S544" s="1729">
        <f>'Part IV-A-Uses of Funds'!S99</f>
        <v>52805</v>
      </c>
      <c r="T544" s="1729"/>
      <c r="U544" s="1647"/>
      <c r="V544" s="1735">
        <f>'Part IV-A-Uses of Funds'!V99</f>
        <v>0</v>
      </c>
      <c r="W544" s="1485">
        <f>'Part IV-A-Uses of Funds'!W99</f>
        <v>0</v>
      </c>
      <c r="X544" s="1485"/>
    </row>
    <row r="545" spans="1:24">
      <c r="A545" s="1647"/>
      <c r="B545" s="1647" t="s">
        <v>753</v>
      </c>
      <c r="C545" s="1647"/>
      <c r="D545" s="1647"/>
      <c r="E545" s="176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67200</v>
      </c>
      <c r="F545" s="1763"/>
      <c r="G545" s="1729">
        <f>'Part IV-A-Uses of Funds'!G100</f>
        <v>67200</v>
      </c>
      <c r="H545" s="1729"/>
      <c r="I545" s="1647"/>
      <c r="J545" s="2739" t="str">
        <f>IF(E545&gt;G545,"WARNING!  LIHTC Compliance Fee proposed is below minimum required.","")</f>
        <v/>
      </c>
      <c r="K545" s="1653"/>
      <c r="L545" s="1653"/>
      <c r="M545" s="1653"/>
      <c r="N545" s="1653"/>
      <c r="O545" s="1653"/>
      <c r="P545" s="1653"/>
      <c r="Q545" s="1653"/>
      <c r="R545" s="1647"/>
      <c r="S545" s="1729">
        <f>'Part IV-A-Uses of Funds'!S100</f>
        <v>67200</v>
      </c>
      <c r="T545" s="1729"/>
      <c r="U545" s="1647"/>
      <c r="V545" s="1735">
        <f>'Part IV-A-Uses of Funds'!V100</f>
        <v>0</v>
      </c>
      <c r="W545" s="1485">
        <f>'Part IV-A-Uses of Funds'!W100</f>
        <v>0</v>
      </c>
      <c r="X545" s="1485"/>
    </row>
    <row r="546" spans="1:24">
      <c r="A546" s="1647"/>
      <c r="B546" s="1647" t="s">
        <v>4244</v>
      </c>
      <c r="C546" s="1647"/>
      <c r="D546" s="1647"/>
      <c r="E546" s="1647"/>
      <c r="F546" s="1765">
        <f>'DCA Underwriting Assumptions'!$Q$90</f>
        <v>3000</v>
      </c>
      <c r="G546" s="1729">
        <f>'Part IV-A-Uses of Funds'!G101</f>
        <v>0</v>
      </c>
      <c r="H546" s="1729"/>
      <c r="I546" s="1647"/>
      <c r="J546" s="1653"/>
      <c r="K546" s="1653"/>
      <c r="L546" s="1653"/>
      <c r="M546" s="1653"/>
      <c r="N546" s="1653"/>
      <c r="O546" s="1653"/>
      <c r="P546" s="1653"/>
      <c r="Q546" s="1653"/>
      <c r="R546" s="1647"/>
      <c r="S546" s="1729">
        <f>'Part IV-A-Uses of Funds'!S101</f>
        <v>0</v>
      </c>
      <c r="T546" s="1729"/>
      <c r="U546" s="1647"/>
      <c r="V546" s="1735">
        <f>'Part IV-A-Uses of Funds'!V101</f>
        <v>0</v>
      </c>
      <c r="W546" s="1485">
        <f>'Part IV-A-Uses of Funds'!W101</f>
        <v>0</v>
      </c>
      <c r="X546" s="1485"/>
    </row>
    <row r="547" spans="1:24">
      <c r="A547" s="1647"/>
      <c r="B547" s="1647" t="s">
        <v>4245</v>
      </c>
      <c r="C547" s="1647"/>
      <c r="D547" s="1647"/>
      <c r="E547" s="1647"/>
      <c r="F547" s="1765">
        <f>'DCA Underwriting Assumptions'!$Q$113</f>
        <v>3000</v>
      </c>
      <c r="G547" s="1729">
        <f>'Part IV-A-Uses of Funds'!G102</f>
        <v>0</v>
      </c>
      <c r="H547" s="1729"/>
      <c r="I547" s="1647"/>
      <c r="J547" s="1653"/>
      <c r="K547" s="1653"/>
      <c r="L547" s="1653"/>
      <c r="M547" s="1653"/>
      <c r="N547" s="1653"/>
      <c r="O547" s="1653"/>
      <c r="P547" s="1653"/>
      <c r="Q547" s="1653"/>
      <c r="R547" s="1647"/>
      <c r="S547" s="1729">
        <f>'Part IV-A-Uses of Funds'!S102</f>
        <v>0</v>
      </c>
      <c r="T547" s="1729"/>
      <c r="U547" s="1647"/>
      <c r="V547" s="1735">
        <f>'Part IV-A-Uses of Funds'!V102</f>
        <v>0</v>
      </c>
      <c r="W547" s="1485">
        <f>'Part IV-A-Uses of Funds'!W102</f>
        <v>0</v>
      </c>
      <c r="X547" s="1485"/>
    </row>
    <row r="548" spans="1:24" ht="15.75" customHeight="1">
      <c r="A548" s="2732" t="str">
        <f>IF(AND(G548&gt;0,OR(C548="",C548="&lt;Enter detailed description here; use Comments section if needed&gt;")),"X","")</f>
        <v/>
      </c>
      <c r="B548" s="1647" t="s">
        <v>741</v>
      </c>
      <c r="C548" s="1659" t="str">
        <f>'Part IV-A-Uses of Funds'!C103</f>
        <v>&lt;&lt; Enter description here; provide detail &amp; justification in tab Part IV-b &gt;&gt;</v>
      </c>
      <c r="D548" s="1659"/>
      <c r="E548" s="1659"/>
      <c r="F548" s="1659"/>
      <c r="G548" s="1729">
        <f>'Part IV-A-Uses of Funds'!G103</f>
        <v>0</v>
      </c>
      <c r="H548" s="1729"/>
      <c r="I548" s="1647"/>
      <c r="J548" s="1653"/>
      <c r="K548" s="1653"/>
      <c r="L548" s="1653"/>
      <c r="M548" s="1653"/>
      <c r="N548" s="1653"/>
      <c r="O548" s="1653"/>
      <c r="P548" s="1653"/>
      <c r="Q548" s="1653"/>
      <c r="R548" s="1647"/>
      <c r="S548" s="1729">
        <f>'Part IV-A-Uses of Funds'!S103</f>
        <v>0</v>
      </c>
      <c r="T548" s="1729"/>
      <c r="U548" s="1654" t="str">
        <f>IF(AND(G548&gt;0,OR(C548="",C548="&lt;Enter detailed description here; use Comments section if needed&gt;")),"NO DESCRIPTION PROVIDED - please enter detailed description in Other box at left; use Comments section below if needed.","")</f>
        <v/>
      </c>
      <c r="V548" s="1735">
        <f>'Part IV-A-Uses of Funds'!V103</f>
        <v>0</v>
      </c>
      <c r="W548" s="1485">
        <f>'Part IV-A-Uses of Funds'!W103</f>
        <v>0</v>
      </c>
      <c r="X548" s="1485"/>
    </row>
    <row r="549" spans="1:24" ht="16.5" customHeight="1">
      <c r="A549" s="2732" t="str">
        <f>IF(AND(G549&gt;0,OR(C549="",C549="&lt;Enter detailed description here; use Comments section if needed&gt;")),"X","")</f>
        <v/>
      </c>
      <c r="B549" s="1647" t="s">
        <v>741</v>
      </c>
      <c r="C549" s="1659" t="str">
        <f>'Part IV-A-Uses of Funds'!C104</f>
        <v>&lt;&lt; Enter description here; provide detail &amp; justification in tab Part IV-b &gt;&gt;</v>
      </c>
      <c r="D549" s="1659"/>
      <c r="E549" s="1659"/>
      <c r="F549" s="1659"/>
      <c r="G549" s="1729">
        <f>'Part IV-A-Uses of Funds'!G104</f>
        <v>0</v>
      </c>
      <c r="H549" s="1729"/>
      <c r="I549" s="1647"/>
      <c r="J549" s="1653"/>
      <c r="K549" s="1653"/>
      <c r="L549" s="1653"/>
      <c r="M549" s="1653"/>
      <c r="N549" s="1653"/>
      <c r="O549" s="1653"/>
      <c r="P549" s="1653"/>
      <c r="Q549" s="1653"/>
      <c r="R549" s="1647"/>
      <c r="S549" s="1729">
        <f>'Part IV-A-Uses of Funds'!S104</f>
        <v>0</v>
      </c>
      <c r="T549" s="1729"/>
      <c r="U549" s="1654" t="str">
        <f>IF(AND(G549&gt;0,OR(C549="",C549="&lt;Enter detailed description here; use Comments section if needed&gt;")),"NO DESCRIPTION PROVIDED - please enter detailed description in Other box at left; use Comments section below if needed.","")</f>
        <v/>
      </c>
      <c r="V549" s="1735">
        <f>'Part IV-A-Uses of Funds'!V104</f>
        <v>0</v>
      </c>
      <c r="W549" s="1485">
        <f>'Part IV-A-Uses of Funds'!W104</f>
        <v>0</v>
      </c>
      <c r="X549" s="1485"/>
    </row>
    <row r="550" spans="1:24">
      <c r="A550" s="1647"/>
      <c r="B550" s="1647"/>
      <c r="C550" s="1647"/>
      <c r="D550" s="1647"/>
      <c r="E550" s="1647"/>
      <c r="F550" s="1761" t="s">
        <v>191</v>
      </c>
      <c r="G550" s="1729">
        <f>SUM(G541:H549)</f>
        <v>126505</v>
      </c>
      <c r="H550" s="1729"/>
      <c r="I550" s="1647"/>
      <c r="J550" s="1664"/>
      <c r="K550" s="1664"/>
      <c r="L550" s="1664"/>
      <c r="M550" s="1664"/>
      <c r="N550" s="1664"/>
      <c r="O550" s="1647"/>
      <c r="P550" s="1664"/>
      <c r="Q550" s="1664"/>
      <c r="R550" s="1647"/>
      <c r="S550" s="1729">
        <f>SUM(S541:T549)</f>
        <v>126505</v>
      </c>
      <c r="T550" s="1729"/>
      <c r="U550" s="1647"/>
      <c r="V550" s="1735">
        <f>SUM(V541:V549)</f>
        <v>0</v>
      </c>
      <c r="W550" s="1485">
        <f>'Part IV-A-Uses of Funds'!W105</f>
        <v>0</v>
      </c>
      <c r="X550" s="1485"/>
    </row>
    <row r="551" spans="1:24">
      <c r="A551" s="1647"/>
      <c r="B551" s="1647" t="s">
        <v>2299</v>
      </c>
      <c r="C551" s="1647"/>
      <c r="D551" s="1647"/>
      <c r="E551" s="1647"/>
      <c r="F551" s="1647"/>
      <c r="G551" s="1647"/>
      <c r="H551" s="1647"/>
      <c r="I551" s="1647"/>
      <c r="J551" s="1664"/>
      <c r="K551" s="1664"/>
      <c r="L551" s="1647"/>
      <c r="M551" s="1664"/>
      <c r="N551" s="1664"/>
      <c r="O551" s="1664" t="str">
        <f>B551</f>
        <v>EQUITY COSTS</v>
      </c>
      <c r="P551" s="1664"/>
      <c r="Q551" s="1664"/>
      <c r="R551" s="1647"/>
      <c r="S551" s="1664"/>
      <c r="T551" s="1664"/>
      <c r="U551" s="1647"/>
      <c r="V551" s="1735"/>
      <c r="W551" s="1647" t="str">
        <f>B551</f>
        <v>EQUITY COSTS</v>
      </c>
      <c r="X551" s="1647"/>
    </row>
    <row r="552" spans="1:24">
      <c r="A552" s="1647"/>
      <c r="B552" s="1647" t="s">
        <v>279</v>
      </c>
      <c r="C552" s="1647"/>
      <c r="D552" s="1647"/>
      <c r="E552" s="1647"/>
      <c r="F552" s="1647"/>
      <c r="G552" s="1729">
        <f>'Part IV-A-Uses of Funds'!G107</f>
        <v>0</v>
      </c>
      <c r="H552" s="1729"/>
      <c r="I552" s="1647"/>
      <c r="J552" s="1729"/>
      <c r="K552" s="1729"/>
      <c r="L552" s="1664"/>
      <c r="M552" s="1729"/>
      <c r="N552" s="1729"/>
      <c r="O552" s="1647"/>
      <c r="P552" s="1729"/>
      <c r="Q552" s="1729"/>
      <c r="R552" s="1647"/>
      <c r="S552" s="1729">
        <f>'Part IV-A-Uses of Funds'!S107</f>
        <v>0</v>
      </c>
      <c r="T552" s="1729"/>
      <c r="U552" s="1647"/>
      <c r="V552" s="1735">
        <f>'Part IV-A-Uses of Funds'!V107</f>
        <v>0</v>
      </c>
      <c r="W552" s="1485">
        <f>'Part IV-A-Uses of Funds'!W107</f>
        <v>0</v>
      </c>
      <c r="X552" s="1485"/>
    </row>
    <row r="553" spans="1:24">
      <c r="A553" s="1647"/>
      <c r="B553" s="1647" t="s">
        <v>280</v>
      </c>
      <c r="C553" s="1647"/>
      <c r="D553" s="1647"/>
      <c r="E553" s="1647"/>
      <c r="F553" s="1647"/>
      <c r="G553" s="1729">
        <f>'Part IV-A-Uses of Funds'!G108</f>
        <v>24000</v>
      </c>
      <c r="H553" s="1729"/>
      <c r="I553" s="1647"/>
      <c r="J553" s="1729"/>
      <c r="K553" s="1729"/>
      <c r="L553" s="1664"/>
      <c r="M553" s="1729"/>
      <c r="N553" s="1729"/>
      <c r="O553" s="1647"/>
      <c r="P553" s="1729"/>
      <c r="Q553" s="1729"/>
      <c r="R553" s="1647"/>
      <c r="S553" s="1729">
        <f>'Part IV-A-Uses of Funds'!S108</f>
        <v>24000</v>
      </c>
      <c r="T553" s="1729"/>
      <c r="U553" s="1647"/>
      <c r="V553" s="1735">
        <f>'Part IV-A-Uses of Funds'!V108</f>
        <v>0</v>
      </c>
      <c r="W553" s="1485">
        <f>'Part IV-A-Uses of Funds'!W108</f>
        <v>0</v>
      </c>
      <c r="X553" s="1485"/>
    </row>
    <row r="554" spans="1:24">
      <c r="A554" s="1647"/>
      <c r="B554" s="1647" t="s">
        <v>2386</v>
      </c>
      <c r="C554" s="1647"/>
      <c r="D554" s="1647"/>
      <c r="E554" s="1647"/>
      <c r="F554" s="1647"/>
      <c r="G554" s="1729">
        <f>'Part IV-A-Uses of Funds'!G109</f>
        <v>0</v>
      </c>
      <c r="H554" s="1729"/>
      <c r="I554" s="1647"/>
      <c r="J554" s="1729"/>
      <c r="K554" s="1729"/>
      <c r="L554" s="1664"/>
      <c r="M554" s="1729"/>
      <c r="N554" s="1729"/>
      <c r="O554" s="1647"/>
      <c r="P554" s="1729"/>
      <c r="Q554" s="1729"/>
      <c r="R554" s="1647"/>
      <c r="S554" s="1729">
        <f>'Part IV-A-Uses of Funds'!S109</f>
        <v>0</v>
      </c>
      <c r="T554" s="1729"/>
      <c r="U554" s="1647"/>
      <c r="V554" s="1735">
        <f>'Part IV-A-Uses of Funds'!V109</f>
        <v>0</v>
      </c>
      <c r="W554" s="1485">
        <f>'Part IV-A-Uses of Funds'!W109</f>
        <v>0</v>
      </c>
      <c r="X554" s="1485"/>
    </row>
    <row r="555" spans="1:24" ht="16.5" customHeight="1">
      <c r="A555" s="2732" t="str">
        <f>IF(AND(G555&gt;0,OR(C555="",C555="&lt;Enter detailed description here; use Comments section if needed&gt;")),"X","")</f>
        <v/>
      </c>
      <c r="B555" s="1647" t="s">
        <v>741</v>
      </c>
      <c r="C555" s="1659" t="str">
        <f>'Part IV-A-Uses of Funds'!C110</f>
        <v>&lt;&lt; Enter description here; provide detail &amp; justification in tab Part IV-b &gt;&gt;</v>
      </c>
      <c r="D555" s="1659"/>
      <c r="E555" s="1659"/>
      <c r="F555" s="1659"/>
      <c r="G555" s="1729">
        <f>'Part IV-A-Uses of Funds'!G110</f>
        <v>0</v>
      </c>
      <c r="H555" s="1729"/>
      <c r="I555" s="1647"/>
      <c r="J555" s="1729"/>
      <c r="K555" s="1729"/>
      <c r="L555" s="1664"/>
      <c r="M555" s="1729"/>
      <c r="N555" s="1729"/>
      <c r="O555" s="1647"/>
      <c r="P555" s="1729"/>
      <c r="Q555" s="1729"/>
      <c r="R555" s="1647"/>
      <c r="S555" s="1729">
        <f>'Part IV-A-Uses of Funds'!S110</f>
        <v>0</v>
      </c>
      <c r="T555" s="1729"/>
      <c r="U555" s="1654" t="str">
        <f>IF(AND(G555&gt;0,OR(C555="",C555="&lt;Enter detailed description here; use Comments section if needed&gt;")),"NO DESCRIPTION PROVIDED - please enter detailed description in Other box at left; use Comments section below if needed.","")</f>
        <v/>
      </c>
      <c r="V555" s="1735">
        <f>'Part IV-A-Uses of Funds'!V110</f>
        <v>0</v>
      </c>
      <c r="W555" s="1485">
        <f>'Part IV-A-Uses of Funds'!W110</f>
        <v>0</v>
      </c>
      <c r="X555" s="1485"/>
    </row>
    <row r="556" spans="1:24">
      <c r="A556" s="1647"/>
      <c r="B556" s="1647"/>
      <c r="C556" s="1647"/>
      <c r="D556" s="1647"/>
      <c r="E556" s="1647"/>
      <c r="F556" s="1761" t="s">
        <v>191</v>
      </c>
      <c r="G556" s="1729">
        <f>SUM(G552:H555)</f>
        <v>24000</v>
      </c>
      <c r="H556" s="1729"/>
      <c r="I556" s="1647"/>
      <c r="J556" s="1729"/>
      <c r="K556" s="1729"/>
      <c r="L556" s="1664"/>
      <c r="M556" s="1729"/>
      <c r="N556" s="1729"/>
      <c r="O556" s="1647"/>
      <c r="P556" s="1729"/>
      <c r="Q556" s="1729"/>
      <c r="R556" s="1647"/>
      <c r="S556" s="1729">
        <f>SUM(S552:T555)</f>
        <v>24000</v>
      </c>
      <c r="T556" s="1729"/>
      <c r="U556" s="1647"/>
      <c r="V556" s="1735">
        <f>SUM(V552:V555)</f>
        <v>0</v>
      </c>
      <c r="W556" s="1485">
        <f>'Part IV-A-Uses of Funds'!W111</f>
        <v>0</v>
      </c>
      <c r="X556" s="1485"/>
    </row>
    <row r="557" spans="1:24">
      <c r="A557" s="1647"/>
      <c r="B557" s="1647" t="s">
        <v>281</v>
      </c>
      <c r="C557" s="1647"/>
      <c r="D557" s="1647"/>
      <c r="E557" s="1647"/>
      <c r="F557" s="1647"/>
      <c r="G557" s="1647"/>
      <c r="H557" s="1647"/>
      <c r="I557" s="1647"/>
      <c r="J557" s="1664"/>
      <c r="K557" s="1729"/>
      <c r="L557" s="1647"/>
      <c r="M557" s="1664"/>
      <c r="N557" s="1729"/>
      <c r="O557" s="1664" t="str">
        <f>B557</f>
        <v>DEVELOPER'S FEE</v>
      </c>
      <c r="P557" s="1664"/>
      <c r="Q557" s="1729"/>
      <c r="R557" s="1647"/>
      <c r="S557" s="1664"/>
      <c r="T557" s="1729"/>
      <c r="U557" s="1647"/>
      <c r="V557" s="1735"/>
      <c r="W557" s="1647" t="str">
        <f>B557</f>
        <v>DEVELOPER'S FEE</v>
      </c>
      <c r="X557" s="1647"/>
    </row>
    <row r="558" spans="1:24">
      <c r="A558" s="1647"/>
      <c r="B558" s="1647" t="s">
        <v>1860</v>
      </c>
      <c r="C558" s="1647"/>
      <c r="D558" s="1647"/>
      <c r="E558" s="1647"/>
      <c r="F558" s="1716">
        <f>IF($G$118=0,0,G558/$G$118)</f>
        <v>0</v>
      </c>
      <c r="G558" s="1729">
        <f>'Part IV-A-Uses of Funds'!G113</f>
        <v>18000</v>
      </c>
      <c r="H558" s="1729"/>
      <c r="I558" s="1647"/>
      <c r="J558" s="1729">
        <f>'Part IV-A-Uses of Funds'!J113</f>
        <v>18000</v>
      </c>
      <c r="K558" s="1729"/>
      <c r="L558" s="1664"/>
      <c r="M558" s="1729">
        <f>'Part IV-A-Uses of Funds'!M113</f>
        <v>0</v>
      </c>
      <c r="N558" s="1729"/>
      <c r="O558" s="1647"/>
      <c r="P558" s="1729">
        <f>'Part IV-A-Uses of Funds'!P113</f>
        <v>0</v>
      </c>
      <c r="Q558" s="1729"/>
      <c r="R558" s="1647"/>
      <c r="S558" s="1729">
        <f>'Part IV-A-Uses of Funds'!S113</f>
        <v>0</v>
      </c>
      <c r="T558" s="1729"/>
      <c r="U558" s="1647"/>
      <c r="V558" s="1735">
        <f>'Part IV-A-Uses of Funds'!V113</f>
        <v>0</v>
      </c>
      <c r="W558" s="1485">
        <f>'Part IV-A-Uses of Funds'!W113</f>
        <v>0</v>
      </c>
      <c r="X558" s="1485"/>
    </row>
    <row r="559" spans="1:24">
      <c r="A559" s="1647"/>
      <c r="B559" s="1647" t="s">
        <v>4200</v>
      </c>
      <c r="C559" s="1647"/>
      <c r="D559" s="1647"/>
      <c r="E559" s="1647"/>
      <c r="F559" s="2136"/>
      <c r="G559" s="1647"/>
      <c r="H559" s="1647"/>
      <c r="I559" s="1647"/>
      <c r="J559" s="1647"/>
      <c r="K559" s="1647"/>
      <c r="L559" s="1647"/>
      <c r="M559" s="1647"/>
      <c r="N559" s="1647"/>
      <c r="O559" s="1647"/>
      <c r="P559" s="1647"/>
      <c r="Q559" s="1647"/>
      <c r="R559" s="1647"/>
      <c r="S559" s="1647"/>
      <c r="T559" s="1647"/>
      <c r="U559" s="1647"/>
      <c r="V559" s="1735">
        <f>'Part IV-A-Uses of Funds'!V114</f>
        <v>0</v>
      </c>
      <c r="W559" s="1485">
        <f>'Part IV-A-Uses of Funds'!W114</f>
        <v>0</v>
      </c>
      <c r="X559" s="1485"/>
    </row>
    <row r="560" spans="1:24">
      <c r="A560" s="1647"/>
      <c r="B560" s="1647" t="s">
        <v>1861</v>
      </c>
      <c r="C560" s="1647"/>
      <c r="D560" s="1647"/>
      <c r="E560" s="1647"/>
      <c r="F560" s="1716">
        <f>IF($G$118=0,0,G560/$G$118)</f>
        <v>0</v>
      </c>
      <c r="G560" s="1729">
        <f>'Part IV-A-Uses of Funds'!G115</f>
        <v>0</v>
      </c>
      <c r="H560" s="1729"/>
      <c r="I560" s="1647"/>
      <c r="J560" s="1729">
        <f>'Part IV-A-Uses of Funds'!J115</f>
        <v>0</v>
      </c>
      <c r="K560" s="1729"/>
      <c r="L560" s="1664"/>
      <c r="M560" s="1729">
        <f>'Part IV-A-Uses of Funds'!M115</f>
        <v>0</v>
      </c>
      <c r="N560" s="1729"/>
      <c r="O560" s="1647"/>
      <c r="P560" s="1729">
        <f>'Part IV-A-Uses of Funds'!P115</f>
        <v>0</v>
      </c>
      <c r="Q560" s="1729"/>
      <c r="R560" s="1647"/>
      <c r="S560" s="1729">
        <f>'Part IV-A-Uses of Funds'!S115</f>
        <v>0</v>
      </c>
      <c r="T560" s="1729"/>
      <c r="U560" s="1647"/>
      <c r="V560" s="1735">
        <f>'Part IV-A-Uses of Funds'!V115</f>
        <v>0</v>
      </c>
      <c r="W560" s="1485">
        <f>'Part IV-A-Uses of Funds'!W115</f>
        <v>0</v>
      </c>
      <c r="X560" s="1485"/>
    </row>
    <row r="561" spans="1:24">
      <c r="A561" s="1647"/>
      <c r="B561" s="1647" t="s">
        <v>3634</v>
      </c>
      <c r="C561" s="1647"/>
      <c r="D561" s="1647"/>
      <c r="E561" s="1647"/>
      <c r="F561" s="1716">
        <f>IF($G$118=0,0,G561/$G$118)</f>
        <v>0</v>
      </c>
      <c r="G561" s="1729">
        <f>'Part IV-A-Uses of Funds'!G116</f>
        <v>0</v>
      </c>
      <c r="H561" s="1729"/>
      <c r="I561" s="1647"/>
      <c r="J561" s="1729">
        <f>'Part IV-A-Uses of Funds'!J116</f>
        <v>0</v>
      </c>
      <c r="K561" s="1729"/>
      <c r="L561" s="1664"/>
      <c r="M561" s="1729">
        <f>'Part IV-A-Uses of Funds'!M116</f>
        <v>0</v>
      </c>
      <c r="N561" s="1729"/>
      <c r="O561" s="1647"/>
      <c r="P561" s="1729">
        <f>'Part IV-A-Uses of Funds'!P116</f>
        <v>0</v>
      </c>
      <c r="Q561" s="1729"/>
      <c r="R561" s="1647"/>
      <c r="S561" s="1729">
        <f>'Part IV-A-Uses of Funds'!S116</f>
        <v>0</v>
      </c>
      <c r="T561" s="1729"/>
      <c r="U561" s="1647"/>
      <c r="V561" s="1735">
        <f>'Part IV-A-Uses of Funds'!V116</f>
        <v>0</v>
      </c>
      <c r="W561" s="1485">
        <f>'Part IV-A-Uses of Funds'!W116</f>
        <v>0</v>
      </c>
      <c r="X561" s="1485"/>
    </row>
    <row r="562" spans="1:24">
      <c r="A562" s="1647"/>
      <c r="B562" s="1647" t="s">
        <v>1853</v>
      </c>
      <c r="C562" s="1647"/>
      <c r="D562" s="1647"/>
      <c r="E562" s="1647"/>
      <c r="F562" s="1716">
        <f>IF($G$118=0,0,G562/$G$118)</f>
        <v>0</v>
      </c>
      <c r="G562" s="1729">
        <f>'Part IV-A-Uses of Funds'!G117</f>
        <v>2400000</v>
      </c>
      <c r="H562" s="1729"/>
      <c r="I562" s="1647"/>
      <c r="J562" s="1729">
        <f>'Part IV-A-Uses of Funds'!J117</f>
        <v>2400000</v>
      </c>
      <c r="K562" s="1729"/>
      <c r="L562" s="1664"/>
      <c r="M562" s="1729">
        <f>'Part IV-A-Uses of Funds'!M117</f>
        <v>0</v>
      </c>
      <c r="N562" s="1729"/>
      <c r="O562" s="1647"/>
      <c r="P562" s="1729">
        <f>'Part IV-A-Uses of Funds'!P117</f>
        <v>0</v>
      </c>
      <c r="Q562" s="1729"/>
      <c r="R562" s="1647"/>
      <c r="S562" s="1729">
        <f>'Part IV-A-Uses of Funds'!S117</f>
        <v>0</v>
      </c>
      <c r="T562" s="1729"/>
      <c r="U562" s="1647"/>
      <c r="V562" s="1735">
        <f>'Part IV-A-Uses of Funds'!V117</f>
        <v>0</v>
      </c>
      <c r="W562" s="1485">
        <f>'Part IV-A-Uses of Funds'!W117</f>
        <v>0</v>
      </c>
      <c r="X562" s="1485"/>
    </row>
    <row r="563" spans="1:24">
      <c r="A563" s="1647"/>
      <c r="B563" s="1647"/>
      <c r="C563" s="1654"/>
      <c r="D563" s="1647"/>
      <c r="E563" s="1647"/>
      <c r="F563" s="1761" t="s">
        <v>191</v>
      </c>
      <c r="G563" s="2740">
        <f>SUM(G558:H562)</f>
        <v>2418000</v>
      </c>
      <c r="H563" s="2740"/>
      <c r="I563" s="1647"/>
      <c r="J563" s="1729">
        <f>SUM(J558:K562)</f>
        <v>2418000</v>
      </c>
      <c r="K563" s="1729"/>
      <c r="L563" s="1664"/>
      <c r="M563" s="1729">
        <f>SUM(M558:N562)</f>
        <v>0</v>
      </c>
      <c r="N563" s="1729"/>
      <c r="O563" s="1647"/>
      <c r="P563" s="1729">
        <f>SUM(P558:Q562)</f>
        <v>0</v>
      </c>
      <c r="Q563" s="1729"/>
      <c r="R563" s="1647"/>
      <c r="S563" s="1729">
        <f>SUM(S558:T562)</f>
        <v>0</v>
      </c>
      <c r="T563" s="1729"/>
      <c r="U563" s="1647"/>
      <c r="V563" s="1735">
        <f>SUM(V558:V562)</f>
        <v>0</v>
      </c>
      <c r="W563" s="1485">
        <f>'Part IV-A-Uses of Funds'!W118</f>
        <v>0</v>
      </c>
      <c r="X563" s="1485"/>
    </row>
    <row r="564" spans="1:24">
      <c r="A564" s="1647"/>
      <c r="B564" s="1647" t="s">
        <v>1309</v>
      </c>
      <c r="C564" s="1647"/>
      <c r="D564" s="1647"/>
      <c r="E564" s="1647"/>
      <c r="F564" s="1647"/>
      <c r="G564" s="1647"/>
      <c r="H564" s="1647"/>
      <c r="I564" s="1647"/>
      <c r="J564" s="1729"/>
      <c r="K564" s="1729"/>
      <c r="L564" s="1647"/>
      <c r="M564" s="1729"/>
      <c r="N564" s="1729"/>
      <c r="O564" s="1664" t="str">
        <f>B564</f>
        <v>START-UP AND RESERVES</v>
      </c>
      <c r="P564" s="1729"/>
      <c r="Q564" s="1729"/>
      <c r="R564" s="1647"/>
      <c r="S564" s="1729"/>
      <c r="T564" s="1729"/>
      <c r="U564" s="1647"/>
      <c r="V564" s="1735"/>
      <c r="W564" s="1647" t="str">
        <f>B564</f>
        <v>START-UP AND RESERVES</v>
      </c>
      <c r="X564" s="1647"/>
    </row>
    <row r="565" spans="1:24">
      <c r="A565" s="1647"/>
      <c r="B565" s="1647" t="s">
        <v>251</v>
      </c>
      <c r="C565" s="1647"/>
      <c r="D565" s="1647"/>
      <c r="E565" s="1647"/>
      <c r="F565" s="1647"/>
      <c r="G565" s="1729">
        <f>'Part IV-A-Uses of Funds'!G120</f>
        <v>0</v>
      </c>
      <c r="H565" s="1729"/>
      <c r="I565" s="1647"/>
      <c r="J565" s="1762"/>
      <c r="K565" s="1762"/>
      <c r="L565" s="1762"/>
      <c r="M565" s="1762"/>
      <c r="N565" s="1762"/>
      <c r="O565" s="1647"/>
      <c r="P565" s="1762"/>
      <c r="Q565" s="1762"/>
      <c r="R565" s="1647"/>
      <c r="S565" s="1729">
        <f>'Part IV-A-Uses of Funds'!S120</f>
        <v>0</v>
      </c>
      <c r="T565" s="1729"/>
      <c r="U565" s="1647"/>
      <c r="V565" s="1735">
        <f>'Part IV-A-Uses of Funds'!V120</f>
        <v>0</v>
      </c>
      <c r="W565" s="1485">
        <f>'Part IV-A-Uses of Funds'!W120</f>
        <v>0</v>
      </c>
      <c r="X565" s="1485"/>
    </row>
    <row r="566" spans="1:24">
      <c r="A566" s="1647"/>
      <c r="B566" s="1647" t="s">
        <v>1536</v>
      </c>
      <c r="C566" s="1647"/>
      <c r="D566" s="1647"/>
      <c r="E566" s="1647"/>
      <c r="F566" s="1736">
        <f>+'Part VI-Revenues &amp; Expenses'!$P$226*('DCA Underwriting Assumptions'!$Q$112/12)</f>
        <v>98687.25</v>
      </c>
      <c r="G566" s="1729">
        <f>'Part IV-A-Uses of Funds'!G121</f>
        <v>100000</v>
      </c>
      <c r="H566" s="1729"/>
      <c r="I566" s="1647"/>
      <c r="J566" s="1803" t="str">
        <f>IF(E566&gt;G566,"WARNING! Rent-Up Reserves proposed is below minimum - add comment.","")</f>
        <v/>
      </c>
      <c r="K566" s="1803"/>
      <c r="L566" s="1664"/>
      <c r="M566" s="1729"/>
      <c r="N566" s="1729"/>
      <c r="O566" s="1647"/>
      <c r="P566" s="1729"/>
      <c r="Q566" s="1729"/>
      <c r="R566" s="1647"/>
      <c r="S566" s="1729">
        <f>'Part IV-A-Uses of Funds'!S121</f>
        <v>100000</v>
      </c>
      <c r="T566" s="1729"/>
      <c r="U566" s="1647"/>
      <c r="V566" s="1735">
        <f>'Part IV-A-Uses of Funds'!V121</f>
        <v>0</v>
      </c>
      <c r="W566" s="1485">
        <f>'Part IV-A-Uses of Funds'!W121</f>
        <v>0</v>
      </c>
      <c r="X566" s="1485"/>
    </row>
    <row r="567" spans="1:24">
      <c r="A567" s="1647"/>
      <c r="B567" s="1647" t="s">
        <v>678</v>
      </c>
      <c r="C567" s="1647"/>
      <c r="D567" s="1647"/>
      <c r="E567" s="1647"/>
      <c r="F567" s="1736">
        <f>'Part VI-Revenues &amp; Expenses'!$P$226*('DCA Underwriting Assumptions'!$Q$111/12)+('Part VII-Pro Forma'!$B$25+'Part VII-Pro Forma'!$B$26+'Part VII-Pro Forma'!$B$27+'Part VII-Pro Forma'!$B$28)*'DCA Underwriting Assumptions'!$Q$110/(-12)</f>
        <v>389765.91110185382</v>
      </c>
      <c r="G567" s="1729">
        <f>'Part IV-A-Uses of Funds'!G122</f>
        <v>400000</v>
      </c>
      <c r="H567" s="1729"/>
      <c r="I567" s="1647"/>
      <c r="J567" s="1803" t="str">
        <f>IF(E567&gt;G567,"WARNING! ODR proposed is below minimum - add comment.","")</f>
        <v/>
      </c>
      <c r="K567" s="1762"/>
      <c r="L567" s="1762"/>
      <c r="M567" s="1762"/>
      <c r="N567" s="1762"/>
      <c r="O567" s="1647"/>
      <c r="P567" s="1762"/>
      <c r="Q567" s="1762"/>
      <c r="R567" s="1647"/>
      <c r="S567" s="1729">
        <f>'Part IV-A-Uses of Funds'!S122</f>
        <v>400000</v>
      </c>
      <c r="T567" s="1729"/>
      <c r="U567" s="1647"/>
      <c r="V567" s="1735">
        <f>'Part IV-A-Uses of Funds'!V122</f>
        <v>0</v>
      </c>
      <c r="W567" s="1485">
        <f>'Part IV-A-Uses of Funds'!W122</f>
        <v>0</v>
      </c>
      <c r="X567" s="1485"/>
    </row>
    <row r="568" spans="1:24">
      <c r="A568" s="1647"/>
      <c r="B568" s="1647" t="s">
        <v>1244</v>
      </c>
      <c r="C568" s="1647"/>
      <c r="D568" s="1647"/>
      <c r="E568" s="1647"/>
      <c r="F568" s="1647"/>
      <c r="G568" s="1729">
        <f>'Part IV-A-Uses of Funds'!G123</f>
        <v>0</v>
      </c>
      <c r="H568" s="1729"/>
      <c r="I568" s="1647"/>
      <c r="J568" s="1762"/>
      <c r="K568" s="1762"/>
      <c r="L568" s="1762"/>
      <c r="M568" s="1762"/>
      <c r="N568" s="1762"/>
      <c r="O568" s="1647"/>
      <c r="P568" s="1762"/>
      <c r="Q568" s="1762"/>
      <c r="R568" s="1647"/>
      <c r="S568" s="1729">
        <f>'Part IV-A-Uses of Funds'!S123</f>
        <v>0</v>
      </c>
      <c r="T568" s="1729"/>
      <c r="U568" s="1647"/>
      <c r="V568" s="1735">
        <f>'Part IV-A-Uses of Funds'!V123</f>
        <v>0</v>
      </c>
      <c r="W568" s="1485">
        <f>'Part IV-A-Uses of Funds'!W123</f>
        <v>0</v>
      </c>
      <c r="X568" s="1485"/>
    </row>
    <row r="569" spans="1:24">
      <c r="A569" s="1647"/>
      <c r="B569" s="1647" t="s">
        <v>1245</v>
      </c>
      <c r="C569" s="1647"/>
      <c r="D569" s="1647"/>
      <c r="E569" s="1694" t="s">
        <v>3567</v>
      </c>
      <c r="F569" s="1736">
        <f>IF('Part VI-Revenues &amp; Expenses'!$O$67=0,0,G569/'Part VI-Revenues &amp; Expenses'!$O$67)</f>
        <v>357.14285714285717</v>
      </c>
      <c r="G569" s="1729">
        <f>'Part IV-A-Uses of Funds'!G124</f>
        <v>30000</v>
      </c>
      <c r="H569" s="1729"/>
      <c r="I569" s="1647"/>
      <c r="J569" s="1729">
        <f>'Part IV-A-Uses of Funds'!J124</f>
        <v>30000</v>
      </c>
      <c r="K569" s="1729"/>
      <c r="L569" s="1664"/>
      <c r="M569" s="1729">
        <f>'Part IV-A-Uses of Funds'!M124</f>
        <v>0</v>
      </c>
      <c r="N569" s="1729"/>
      <c r="O569" s="1647"/>
      <c r="P569" s="1729">
        <f>'Part IV-A-Uses of Funds'!P124</f>
        <v>0</v>
      </c>
      <c r="Q569" s="1729"/>
      <c r="R569" s="1647"/>
      <c r="S569" s="1729">
        <f>'Part IV-A-Uses of Funds'!S124</f>
        <v>0</v>
      </c>
      <c r="T569" s="1729"/>
      <c r="U569" s="1647"/>
      <c r="V569" s="1735">
        <f>'Part IV-A-Uses of Funds'!V124</f>
        <v>0</v>
      </c>
      <c r="W569" s="1485">
        <f>'Part IV-A-Uses of Funds'!W124</f>
        <v>0</v>
      </c>
      <c r="X569" s="1485"/>
    </row>
    <row r="570" spans="1:24" ht="16.5" customHeight="1">
      <c r="A570" s="2732" t="str">
        <f>IF(AND(G570&gt;0,OR(C570="",C570="&lt;Enter detailed description here; use Comments section if needed&gt;")),"X","")</f>
        <v/>
      </c>
      <c r="B570" s="1647" t="s">
        <v>741</v>
      </c>
      <c r="C570" s="1659" t="str">
        <f>'Part IV-A-Uses of Funds'!C125</f>
        <v>&lt;&lt; Enter description here; provide detail &amp; justification in tab Part IV-b &gt;&gt;</v>
      </c>
      <c r="D570" s="1659"/>
      <c r="E570" s="1659"/>
      <c r="F570" s="1659"/>
      <c r="G570" s="1729">
        <f>'Part IV-A-Uses of Funds'!G125</f>
        <v>0</v>
      </c>
      <c r="H570" s="1729"/>
      <c r="I570" s="1647"/>
      <c r="J570" s="1729">
        <f>'Part IV-A-Uses of Funds'!J125</f>
        <v>0</v>
      </c>
      <c r="K570" s="1729"/>
      <c r="L570" s="1664"/>
      <c r="M570" s="1729">
        <f>'Part IV-A-Uses of Funds'!M125</f>
        <v>0</v>
      </c>
      <c r="N570" s="1729"/>
      <c r="O570" s="1647"/>
      <c r="P570" s="1729">
        <f>'Part IV-A-Uses of Funds'!P125</f>
        <v>0</v>
      </c>
      <c r="Q570" s="1729"/>
      <c r="R570" s="1647"/>
      <c r="S570" s="1729">
        <f>'Part IV-A-Uses of Funds'!S125</f>
        <v>0</v>
      </c>
      <c r="T570" s="1729"/>
      <c r="U570" s="1654" t="str">
        <f>IF(AND(G570&gt;0,OR(C570="",C570="&lt;Enter detailed description here; use Comments section if needed&gt;")),"NO DESCRIPTION PROVIDED - please enter detailed description in Other box at left; use Comments section below if needed.","")</f>
        <v/>
      </c>
      <c r="V570" s="1735">
        <f>'Part IV-A-Uses of Funds'!V125</f>
        <v>0</v>
      </c>
      <c r="W570" s="1485">
        <f>'Part IV-A-Uses of Funds'!W125</f>
        <v>0</v>
      </c>
      <c r="X570" s="1485"/>
    </row>
    <row r="571" spans="1:24">
      <c r="A571" s="1647"/>
      <c r="B571" s="1774"/>
      <c r="C571" s="1647"/>
      <c r="D571" s="1647"/>
      <c r="E571" s="1647"/>
      <c r="F571" s="1761" t="s">
        <v>191</v>
      </c>
      <c r="G571" s="1729">
        <f>SUM(G565:H570)</f>
        <v>530000</v>
      </c>
      <c r="H571" s="1729"/>
      <c r="I571" s="1647"/>
      <c r="J571" s="1729">
        <f>SUM(J569:K570)</f>
        <v>30000</v>
      </c>
      <c r="K571" s="1729"/>
      <c r="L571" s="1664"/>
      <c r="M571" s="1729">
        <f>SUM(M569:N570)</f>
        <v>0</v>
      </c>
      <c r="N571" s="1729"/>
      <c r="O571" s="1647"/>
      <c r="P571" s="1729">
        <f>SUM(P569:Q570)</f>
        <v>0</v>
      </c>
      <c r="Q571" s="1729"/>
      <c r="R571" s="1647"/>
      <c r="S571" s="1729">
        <f>SUM(S565:T570)</f>
        <v>500000</v>
      </c>
      <c r="T571" s="1729"/>
      <c r="U571" s="1647"/>
      <c r="V571" s="1735">
        <f>SUM(V565:V570)</f>
        <v>0</v>
      </c>
      <c r="W571" s="1485">
        <f>'Part IV-A-Uses of Funds'!W126</f>
        <v>0</v>
      </c>
      <c r="X571" s="1485"/>
    </row>
    <row r="572" spans="1:24">
      <c r="A572" s="1647"/>
      <c r="B572" s="1647" t="s">
        <v>610</v>
      </c>
      <c r="C572" s="1654"/>
      <c r="D572" s="1647"/>
      <c r="E572" s="1647"/>
      <c r="F572" s="1647"/>
      <c r="G572" s="1647"/>
      <c r="H572" s="1770"/>
      <c r="I572" s="1770"/>
      <c r="J572" s="1729"/>
      <c r="K572" s="1729"/>
      <c r="L572" s="1647"/>
      <c r="M572" s="1729"/>
      <c r="N572" s="1729"/>
      <c r="O572" s="1664" t="str">
        <f>B572</f>
        <v>OTHER COSTS</v>
      </c>
      <c r="P572" s="1729"/>
      <c r="Q572" s="1729"/>
      <c r="R572" s="1647"/>
      <c r="S572" s="1729"/>
      <c r="T572" s="1729"/>
      <c r="U572" s="1647"/>
      <c r="V572" s="1735"/>
      <c r="W572" s="1647" t="str">
        <f>B572</f>
        <v>OTHER COSTS</v>
      </c>
      <c r="X572" s="1647"/>
    </row>
    <row r="573" spans="1:24">
      <c r="A573" s="1647"/>
      <c r="B573" s="1647" t="s">
        <v>611</v>
      </c>
      <c r="C573" s="1654"/>
      <c r="D573" s="1647"/>
      <c r="E573" s="1647"/>
      <c r="F573" s="1647"/>
      <c r="G573" s="1729">
        <f>'Part IV-A-Uses of Funds'!G128</f>
        <v>0</v>
      </c>
      <c r="H573" s="1729"/>
      <c r="I573" s="1647"/>
      <c r="J573" s="1729">
        <f>'Part IV-A-Uses of Funds'!J128</f>
        <v>0</v>
      </c>
      <c r="K573" s="1729"/>
      <c r="L573" s="1664"/>
      <c r="M573" s="1729">
        <f>'Part IV-A-Uses of Funds'!M128</f>
        <v>0</v>
      </c>
      <c r="N573" s="1729"/>
      <c r="O573" s="1647"/>
      <c r="P573" s="1729">
        <f>'Part IV-A-Uses of Funds'!P128</f>
        <v>0</v>
      </c>
      <c r="Q573" s="1729"/>
      <c r="R573" s="1647"/>
      <c r="S573" s="1729">
        <f>'Part IV-A-Uses of Funds'!S128</f>
        <v>0</v>
      </c>
      <c r="T573" s="1729"/>
      <c r="U573" s="1647"/>
      <c r="V573" s="1735">
        <f>'Part IV-A-Uses of Funds'!V128</f>
        <v>0</v>
      </c>
      <c r="W573" s="1485">
        <f>'Part IV-A-Uses of Funds'!W128</f>
        <v>0</v>
      </c>
      <c r="X573" s="1485"/>
    </row>
    <row r="574" spans="1:24" ht="16.5" customHeight="1">
      <c r="A574" s="2732" t="str">
        <f>IF(AND(G574&gt;0,OR(C574="",C574="&lt;Enter detailed description here; use Comments section if needed&gt;")),"X","")</f>
        <v/>
      </c>
      <c r="B574" s="1647" t="s">
        <v>741</v>
      </c>
      <c r="C574" s="1659" t="str">
        <f>'Part IV-A-Uses of Funds'!C129</f>
        <v>&lt;&lt; Enter description here; provide detail &amp; justification in tab Part IV-b &gt;&gt;</v>
      </c>
      <c r="D574" s="1659"/>
      <c r="E574" s="1659"/>
      <c r="F574" s="1659"/>
      <c r="G574" s="1729">
        <f>'Part IV-A-Uses of Funds'!G129</f>
        <v>0</v>
      </c>
      <c r="H574" s="1729"/>
      <c r="I574" s="1647"/>
      <c r="J574" s="1729">
        <f>'Part IV-A-Uses of Funds'!J129</f>
        <v>0</v>
      </c>
      <c r="K574" s="1729"/>
      <c r="L574" s="1664"/>
      <c r="M574" s="1729">
        <f>'Part IV-A-Uses of Funds'!M129</f>
        <v>0</v>
      </c>
      <c r="N574" s="1729"/>
      <c r="O574" s="1647"/>
      <c r="P574" s="1729">
        <f>'Part IV-A-Uses of Funds'!P129</f>
        <v>0</v>
      </c>
      <c r="Q574" s="1729"/>
      <c r="R574" s="1647"/>
      <c r="S574" s="1729">
        <f>'Part IV-A-Uses of Funds'!S129</f>
        <v>0</v>
      </c>
      <c r="T574" s="1729"/>
      <c r="U574" s="1654" t="str">
        <f>IF(AND(G574&gt;0,OR(C574="",C574="&lt;Enter detailed description here; use Comments section if needed&gt;")),"NO DESCRIPTION PROVIDED - please enter detailed description in Other box at left; use Comments section below if needed.","")</f>
        <v/>
      </c>
      <c r="V574" s="1735">
        <f>'Part IV-A-Uses of Funds'!V129</f>
        <v>0</v>
      </c>
      <c r="W574" s="1485">
        <f>'Part IV-A-Uses of Funds'!W129</f>
        <v>0</v>
      </c>
      <c r="X574" s="1485"/>
    </row>
    <row r="575" spans="1:24">
      <c r="A575" s="1647"/>
      <c r="B575" s="1647"/>
      <c r="C575" s="1654"/>
      <c r="D575" s="1647"/>
      <c r="E575" s="1647"/>
      <c r="F575" s="1761" t="s">
        <v>191</v>
      </c>
      <c r="G575" s="1729">
        <f>SUM(G573:H574)</f>
        <v>0</v>
      </c>
      <c r="H575" s="1729"/>
      <c r="I575" s="1647"/>
      <c r="J575" s="1729">
        <f>SUM(J573:K574)</f>
        <v>0</v>
      </c>
      <c r="K575" s="1729"/>
      <c r="L575" s="1664"/>
      <c r="M575" s="1729">
        <f>SUM(M573:N574)</f>
        <v>0</v>
      </c>
      <c r="N575" s="1729"/>
      <c r="O575" s="1647"/>
      <c r="P575" s="1729">
        <f>SUM(P573:Q574)</f>
        <v>0</v>
      </c>
      <c r="Q575" s="1729"/>
      <c r="R575" s="1647"/>
      <c r="S575" s="1729">
        <f>SUM(S573:T574)</f>
        <v>0</v>
      </c>
      <c r="T575" s="1729"/>
      <c r="U575" s="1647"/>
      <c r="V575" s="1735">
        <f>SUM(V573:V574)</f>
        <v>0</v>
      </c>
      <c r="W575" s="1485">
        <f>'Part IV-A-Uses of Funds'!W130</f>
        <v>0</v>
      </c>
      <c r="X575" s="1485"/>
    </row>
    <row r="576" spans="1:24">
      <c r="A576" s="1647"/>
      <c r="B576" s="1647"/>
      <c r="C576" s="1654"/>
      <c r="D576" s="1647"/>
      <c r="E576" s="1647"/>
      <c r="F576" s="1647"/>
      <c r="G576" s="1647"/>
      <c r="H576" s="1770"/>
      <c r="I576" s="1770"/>
      <c r="J576" s="1647"/>
      <c r="K576" s="1647"/>
      <c r="L576" s="1647"/>
      <c r="M576" s="1647"/>
      <c r="N576" s="1647"/>
      <c r="O576" s="1647"/>
      <c r="P576" s="1647"/>
      <c r="Q576" s="1647"/>
      <c r="R576" s="1647"/>
      <c r="S576" s="1647"/>
      <c r="T576" s="1647"/>
      <c r="U576" s="1647"/>
      <c r="V576" s="1735"/>
      <c r="W576" s="1735"/>
      <c r="X576" s="1735"/>
    </row>
    <row r="577" spans="1:24">
      <c r="A577" s="1647"/>
      <c r="B577" s="1654" t="s">
        <v>5154</v>
      </c>
      <c r="C577" s="1647"/>
      <c r="D577" s="1647"/>
      <c r="E577" s="1647"/>
      <c r="F577" s="1647"/>
      <c r="G577" s="1729">
        <f>G462+G468+G472+G478+G483+G486+G492+G509+G522+G528+G536+G550+G556+G563+G571+G575</f>
        <v>18093801</v>
      </c>
      <c r="H577" s="1729"/>
      <c r="I577" s="1647"/>
      <c r="J577" s="1729">
        <f>J462+J468+J472+J478+J483+J486+J492+J509+J522+J528+J536+J550+J556+J563+J571+J575</f>
        <v>15966588</v>
      </c>
      <c r="K577" s="1729"/>
      <c r="L577" s="1647"/>
      <c r="M577" s="1729">
        <f>M462+M468+M472+M478+M483+M486+M492+M509+M522+M528+M536+M550+M556+M563+M571+M575</f>
        <v>0</v>
      </c>
      <c r="N577" s="1729"/>
      <c r="O577" s="1647"/>
      <c r="P577" s="1729">
        <f>P462+P468+P472+P478+P483+P486+P492+P509+P522+P528+P536+P550+P556+P563+P571+P575</f>
        <v>0</v>
      </c>
      <c r="Q577" s="1729"/>
      <c r="R577" s="1647"/>
      <c r="S577" s="1729">
        <f>S462+S468+S472+S478+S483+S486+S492+S509+S522+S528+S536+S550+S556+S563+S571+S575</f>
        <v>1627213</v>
      </c>
      <c r="T577" s="1729"/>
      <c r="U577" s="1647"/>
      <c r="V577" s="1735">
        <f>V462+V468+V472+V478+V483+V486+V492+V509+V522+V528+V536+V550+V556+V563+V571+V575</f>
        <v>0</v>
      </c>
      <c r="W577" s="1485">
        <f>'Part IV-A-Uses of Funds'!W132</f>
        <v>0</v>
      </c>
      <c r="X577" s="1485"/>
    </row>
    <row r="578" spans="1:24">
      <c r="A578" s="1647"/>
      <c r="B578" s="1647"/>
      <c r="C578" s="1654"/>
      <c r="D578" s="1647"/>
      <c r="E578" s="1647"/>
      <c r="F578" s="1647"/>
      <c r="G578" s="1647"/>
      <c r="H578" s="1770"/>
      <c r="I578" s="1770"/>
      <c r="J578" s="1647"/>
      <c r="K578" s="1647"/>
      <c r="L578" s="1647"/>
      <c r="M578" s="1647"/>
      <c r="N578" s="1647"/>
      <c r="O578" s="1647"/>
      <c r="P578" s="1647"/>
      <c r="Q578" s="1647"/>
      <c r="R578" s="1647"/>
      <c r="S578" s="1647"/>
      <c r="T578" s="1647"/>
      <c r="U578" s="1647"/>
      <c r="V578" s="1735"/>
      <c r="W578" s="1647"/>
      <c r="X578" s="1647"/>
    </row>
    <row r="579" spans="1:24">
      <c r="A579" s="1647"/>
      <c r="B579" s="2741" t="s">
        <v>5104</v>
      </c>
      <c r="C579" s="1746"/>
      <c r="D579" s="1773">
        <f>IF('Part VI-Revenues &amp; Expenses'!$O$67=0,0,G577/'Part VI-Revenues &amp; Expenses'!$O$67)</f>
        <v>215402.39285714287</v>
      </c>
      <c r="E579" s="1773"/>
      <c r="F579" s="1774" t="s">
        <v>2763</v>
      </c>
      <c r="G579" s="1773">
        <f>IF('Part I-Project Information'!$P$75=0,0,G577/'Part I-Project Information'!$P$75)</f>
        <v>211.1196793615234</v>
      </c>
      <c r="H579" s="1773"/>
      <c r="I579" s="2742"/>
      <c r="J579" s="1647"/>
      <c r="K579" s="1647"/>
      <c r="L579" s="1647"/>
      <c r="M579" s="1647"/>
      <c r="N579" s="1647"/>
      <c r="O579" s="1647"/>
      <c r="P579" s="1647"/>
      <c r="Q579" s="1647"/>
      <c r="R579" s="1647"/>
      <c r="S579" s="1647"/>
      <c r="T579" s="1647"/>
      <c r="U579" s="1647"/>
      <c r="V579" s="1735"/>
      <c r="W579" s="1647"/>
      <c r="X579" s="1647"/>
    </row>
    <row r="580" spans="1:24">
      <c r="A580" s="1647"/>
      <c r="B580" s="1647"/>
      <c r="C580" s="1647"/>
      <c r="D580" s="1647"/>
      <c r="E580" s="1647"/>
      <c r="F580" s="1647"/>
      <c r="G580" s="1647"/>
      <c r="H580" s="1647"/>
      <c r="I580" s="2742"/>
      <c r="J580" s="1647"/>
      <c r="K580" s="1647"/>
      <c r="L580" s="2742"/>
      <c r="M580" s="1647"/>
      <c r="N580" s="1647"/>
      <c r="O580" s="1647"/>
      <c r="P580" s="1647"/>
      <c r="Q580" s="1647"/>
      <c r="R580" s="1647"/>
      <c r="S580" s="1647"/>
      <c r="T580" s="1647"/>
      <c r="U580" s="1647"/>
      <c r="V580" s="1735"/>
      <c r="W580" s="1647"/>
      <c r="X580" s="1647"/>
    </row>
    <row r="581" spans="1:24">
      <c r="A581" s="1647"/>
      <c r="B581" s="1647"/>
      <c r="C581" s="1647"/>
      <c r="D581" s="1654"/>
      <c r="E581" s="1654"/>
      <c r="F581" s="1647"/>
      <c r="G581" s="1647"/>
      <c r="H581" s="1647"/>
      <c r="I581" s="1770"/>
      <c r="J581" s="1770"/>
      <c r="K581" s="1776"/>
      <c r="L581" s="1654"/>
      <c r="M581" s="1647"/>
      <c r="N581" s="1647"/>
      <c r="O581" s="1647"/>
      <c r="P581" s="1647"/>
      <c r="Q581" s="1647"/>
      <c r="R581" s="1647"/>
      <c r="S581" s="1647"/>
      <c r="T581" s="1647"/>
      <c r="U581" s="1647"/>
      <c r="V581" s="1735"/>
      <c r="W581" s="1647"/>
      <c r="X581" s="1647"/>
    </row>
    <row r="582" spans="1:24" ht="16.5" customHeight="1">
      <c r="A582" s="2728" t="s">
        <v>740</v>
      </c>
      <c r="B582" s="2743" t="s">
        <v>1426</v>
      </c>
      <c r="C582" s="1651"/>
      <c r="D582" s="1664"/>
      <c r="E582" s="1664"/>
      <c r="F582" s="1664"/>
      <c r="G582" s="1647"/>
      <c r="H582" s="1647"/>
      <c r="I582" s="2744"/>
      <c r="J582" s="1703" t="s">
        <v>271</v>
      </c>
      <c r="K582" s="1703"/>
      <c r="L582" s="1647"/>
      <c r="M582" s="1703" t="s">
        <v>100</v>
      </c>
      <c r="N582" s="1703"/>
      <c r="O582" s="1647"/>
      <c r="P582" s="1703" t="s">
        <v>272</v>
      </c>
      <c r="Q582" s="1703"/>
      <c r="R582" s="1647"/>
      <c r="S582" s="1647"/>
      <c r="T582" s="1647"/>
      <c r="U582" s="1647"/>
      <c r="V582" s="1735"/>
      <c r="W582" s="2731" t="str">
        <f>B582</f>
        <v>TAX CREDIT CALCULATION - BASIS METHOD</v>
      </c>
      <c r="X582" s="1647"/>
    </row>
    <row r="583" spans="1:24">
      <c r="A583" s="1647"/>
      <c r="B583" s="1654" t="s">
        <v>2044</v>
      </c>
      <c r="C583" s="1647"/>
      <c r="D583" s="1664"/>
      <c r="E583" s="1664"/>
      <c r="F583" s="1647"/>
      <c r="G583" s="1647"/>
      <c r="H583" s="1647"/>
      <c r="I583" s="2744"/>
      <c r="J583" s="1703"/>
      <c r="K583" s="1703"/>
      <c r="L583" s="1651"/>
      <c r="M583" s="1703"/>
      <c r="N583" s="1703"/>
      <c r="O583" s="1647"/>
      <c r="P583" s="1703"/>
      <c r="Q583" s="1703"/>
      <c r="R583" s="1647"/>
      <c r="S583" s="1647"/>
      <c r="T583" s="1647"/>
      <c r="U583" s="1647"/>
      <c r="V583" s="1735"/>
      <c r="W583" s="1647" t="str">
        <f>B583</f>
        <v>Subtractions From Eligible Basis</v>
      </c>
      <c r="X583" s="1665"/>
    </row>
    <row r="584" spans="1:24">
      <c r="A584" s="1647"/>
      <c r="B584" s="1647"/>
      <c r="C584" s="1647"/>
      <c r="D584" s="1654"/>
      <c r="E584" s="1654"/>
      <c r="F584" s="1647"/>
      <c r="G584" s="1647"/>
      <c r="H584" s="1647"/>
      <c r="I584" s="1770"/>
      <c r="J584" s="1770"/>
      <c r="K584" s="1776"/>
      <c r="L584" s="1654"/>
      <c r="M584" s="1647"/>
      <c r="N584" s="1647"/>
      <c r="O584" s="1647"/>
      <c r="P584" s="1647"/>
      <c r="Q584" s="1647"/>
      <c r="R584" s="1647"/>
      <c r="S584" s="1647"/>
      <c r="T584" s="1647"/>
      <c r="U584" s="1647"/>
      <c r="V584" s="1735"/>
      <c r="W584" s="1647"/>
      <c r="X584" s="1647"/>
    </row>
    <row r="585" spans="1:24">
      <c r="A585" s="1647"/>
      <c r="B585" s="1654" t="s">
        <v>144</v>
      </c>
      <c r="C585" s="1647"/>
      <c r="D585" s="1647"/>
      <c r="E585" s="1647"/>
      <c r="F585" s="1647"/>
      <c r="G585" s="1647"/>
      <c r="H585" s="1647"/>
      <c r="I585" s="2744"/>
      <c r="J585" s="1729">
        <f>'Part IV-A-Uses of Funds'!J140</f>
        <v>0</v>
      </c>
      <c r="K585" s="1729"/>
      <c r="L585" s="1647"/>
      <c r="M585" s="1647"/>
      <c r="N585" s="1647"/>
      <c r="O585" s="1647"/>
      <c r="P585" s="1729">
        <f>'Part IV-A-Uses of Funds'!P140</f>
        <v>0</v>
      </c>
      <c r="Q585" s="1729"/>
      <c r="R585" s="1647"/>
      <c r="S585" s="1647"/>
      <c r="T585" s="1647"/>
      <c r="U585" s="1647"/>
      <c r="V585" s="1735">
        <f>'Part IV-A-Uses of Funds'!V140</f>
        <v>0</v>
      </c>
      <c r="W585" s="1485">
        <f>'Part IV-A-Uses of Funds'!W140</f>
        <v>0</v>
      </c>
      <c r="X585" s="1485"/>
    </row>
    <row r="586" spans="1:24">
      <c r="A586" s="1647"/>
      <c r="B586" s="1647" t="s">
        <v>2152</v>
      </c>
      <c r="C586" s="1647"/>
      <c r="D586" s="1647"/>
      <c r="E586" s="1647"/>
      <c r="F586" s="1647"/>
      <c r="G586" s="1647"/>
      <c r="H586" s="1647"/>
      <c r="I586" s="2744"/>
      <c r="J586" s="1729">
        <f>'Part IV-A-Uses of Funds'!J141</f>
        <v>0</v>
      </c>
      <c r="K586" s="1729"/>
      <c r="L586" s="1647"/>
      <c r="M586" s="1647"/>
      <c r="N586" s="1647"/>
      <c r="O586" s="1647"/>
      <c r="P586" s="1729">
        <f>'Part IV-A-Uses of Funds'!P141</f>
        <v>0</v>
      </c>
      <c r="Q586" s="1729"/>
      <c r="R586" s="1647"/>
      <c r="S586" s="1647"/>
      <c r="T586" s="1647"/>
      <c r="U586" s="1647"/>
      <c r="V586" s="1735">
        <f>'Part IV-A-Uses of Funds'!V141</f>
        <v>0</v>
      </c>
      <c r="W586" s="1485">
        <f>'Part IV-A-Uses of Funds'!W141</f>
        <v>0</v>
      </c>
      <c r="X586" s="1485"/>
    </row>
    <row r="587" spans="1:24">
      <c r="A587" s="1647"/>
      <c r="B587" s="1647" t="s">
        <v>1863</v>
      </c>
      <c r="C587" s="1647"/>
      <c r="D587" s="1647"/>
      <c r="E587" s="1647"/>
      <c r="F587" s="1647"/>
      <c r="G587" s="1647"/>
      <c r="H587" s="1647"/>
      <c r="I587" s="2744"/>
      <c r="J587" s="1729">
        <f>'Part IV-A-Uses of Funds'!J142</f>
        <v>0</v>
      </c>
      <c r="K587" s="1729"/>
      <c r="L587" s="1647"/>
      <c r="M587" s="1647"/>
      <c r="N587" s="1647"/>
      <c r="O587" s="1647"/>
      <c r="P587" s="1729">
        <f>'Part IV-A-Uses of Funds'!P142</f>
        <v>0</v>
      </c>
      <c r="Q587" s="1729"/>
      <c r="R587" s="1647"/>
      <c r="S587" s="1647"/>
      <c r="T587" s="1647"/>
      <c r="U587" s="1647"/>
      <c r="V587" s="1735">
        <f>'Part IV-A-Uses of Funds'!V142</f>
        <v>0</v>
      </c>
      <c r="W587" s="1485">
        <f>'Part IV-A-Uses of Funds'!W142</f>
        <v>0</v>
      </c>
      <c r="X587" s="1485"/>
    </row>
    <row r="588" spans="1:24">
      <c r="A588" s="1647"/>
      <c r="B588" s="1647" t="s">
        <v>1864</v>
      </c>
      <c r="C588" s="1647"/>
      <c r="D588" s="1647"/>
      <c r="E588" s="1647"/>
      <c r="F588" s="1647"/>
      <c r="G588" s="1647"/>
      <c r="H588" s="1647"/>
      <c r="I588" s="2744"/>
      <c r="J588" s="1729">
        <f>'Part IV-A-Uses of Funds'!J143</f>
        <v>0</v>
      </c>
      <c r="K588" s="1729"/>
      <c r="L588" s="1647"/>
      <c r="M588" s="1647"/>
      <c r="N588" s="1647"/>
      <c r="O588" s="1647"/>
      <c r="P588" s="1729">
        <f>'Part IV-A-Uses of Funds'!P143</f>
        <v>0</v>
      </c>
      <c r="Q588" s="1729"/>
      <c r="R588" s="1647"/>
      <c r="S588" s="1647"/>
      <c r="T588" s="1647"/>
      <c r="U588" s="1647"/>
      <c r="V588" s="1735">
        <f>'Part IV-A-Uses of Funds'!V143</f>
        <v>0</v>
      </c>
      <c r="W588" s="1485">
        <f>'Part IV-A-Uses of Funds'!W143</f>
        <v>0</v>
      </c>
      <c r="X588" s="1485"/>
    </row>
    <row r="589" spans="1:24">
      <c r="A589" s="1647"/>
      <c r="B589" s="1647" t="s">
        <v>254</v>
      </c>
      <c r="C589" s="1647"/>
      <c r="D589" s="1647"/>
      <c r="E589" s="1647"/>
      <c r="F589" s="1647"/>
      <c r="G589" s="1647"/>
      <c r="H589" s="1647"/>
      <c r="I589" s="2744"/>
      <c r="J589" s="1729">
        <f>'Part IV-A-Uses of Funds'!J144</f>
        <v>0</v>
      </c>
      <c r="K589" s="1729"/>
      <c r="L589" s="1647"/>
      <c r="M589" s="1647"/>
      <c r="N589" s="1647"/>
      <c r="O589" s="1647"/>
      <c r="P589" s="1729">
        <f>'Part IV-A-Uses of Funds'!P144</f>
        <v>0</v>
      </c>
      <c r="Q589" s="1729"/>
      <c r="R589" s="1647"/>
      <c r="S589" s="1647"/>
      <c r="T589" s="1647"/>
      <c r="U589" s="1647"/>
      <c r="V589" s="1735">
        <f>'Part IV-A-Uses of Funds'!V144</f>
        <v>0</v>
      </c>
      <c r="W589" s="1485">
        <f>'Part IV-A-Uses of Funds'!W144</f>
        <v>0</v>
      </c>
      <c r="X589" s="1485"/>
    </row>
    <row r="590" spans="1:24" ht="13.5" customHeight="1">
      <c r="A590" s="1647"/>
      <c r="B590" s="1647" t="s">
        <v>1601</v>
      </c>
      <c r="C590" s="1703" t="str">
        <f>'Part IV-A-Uses of Funds'!C145</f>
        <v>&lt;Enter detailed description here; use Comments section if needed&gt;</v>
      </c>
      <c r="D590" s="1703"/>
      <c r="E590" s="1703"/>
      <c r="F590" s="1703"/>
      <c r="G590" s="1703"/>
      <c r="H590" s="1703"/>
      <c r="I590" s="1703"/>
      <c r="J590" s="1729">
        <f>'Part IV-A-Uses of Funds'!J145</f>
        <v>0</v>
      </c>
      <c r="K590" s="1729"/>
      <c r="L590" s="1647"/>
      <c r="M590" s="1647"/>
      <c r="N590" s="1647"/>
      <c r="O590" s="1647"/>
      <c r="P590" s="1729">
        <f>'Part IV-A-Uses of Funds'!P145</f>
        <v>0</v>
      </c>
      <c r="Q590" s="1729"/>
      <c r="R590" s="1647"/>
      <c r="S590" s="1647"/>
      <c r="T590" s="1647"/>
      <c r="U590" s="1647"/>
      <c r="V590" s="1735">
        <f>'Part IV-A-Uses of Funds'!V145</f>
        <v>0</v>
      </c>
      <c r="W590" s="1485">
        <f>'Part IV-A-Uses of Funds'!W145</f>
        <v>0</v>
      </c>
      <c r="X590" s="1485"/>
    </row>
    <row r="591" spans="1:24">
      <c r="A591" s="1647"/>
      <c r="B591" s="1647" t="s">
        <v>1865</v>
      </c>
      <c r="C591" s="1663"/>
      <c r="D591" s="1647"/>
      <c r="E591" s="1647"/>
      <c r="F591" s="1647"/>
      <c r="G591" s="1647"/>
      <c r="H591" s="1647"/>
      <c r="I591" s="1647"/>
      <c r="J591" s="1779">
        <f>SUM(J585:K590)</f>
        <v>0</v>
      </c>
      <c r="K591" s="1779"/>
      <c r="L591" s="1647"/>
      <c r="M591" s="1647"/>
      <c r="N591" s="1647"/>
      <c r="O591" s="1647"/>
      <c r="P591" s="1779">
        <f>SUM(P585:Q590)</f>
        <v>0</v>
      </c>
      <c r="Q591" s="1779"/>
      <c r="R591" s="1647"/>
      <c r="S591" s="1647"/>
      <c r="T591" s="1647"/>
      <c r="U591" s="1647"/>
      <c r="V591" s="1735">
        <f>SUM(V585:V590)</f>
        <v>0</v>
      </c>
      <c r="W591" s="1485">
        <f>'Part IV-A-Uses of Funds'!W146</f>
        <v>0</v>
      </c>
      <c r="X591" s="1485"/>
    </row>
    <row r="592" spans="1:24">
      <c r="A592" s="1647"/>
      <c r="B592" s="1647"/>
      <c r="C592" s="1647"/>
      <c r="D592" s="1647"/>
      <c r="E592" s="1647"/>
      <c r="F592" s="1647"/>
      <c r="G592" s="1647"/>
      <c r="H592" s="1647"/>
      <c r="I592" s="1647"/>
      <c r="J592" s="1647"/>
      <c r="K592" s="1647"/>
      <c r="L592" s="1647"/>
      <c r="M592" s="1647"/>
      <c r="N592" s="1647"/>
      <c r="O592" s="1647"/>
      <c r="P592" s="1647"/>
      <c r="Q592" s="1647"/>
      <c r="R592" s="1647"/>
      <c r="S592" s="1647"/>
      <c r="T592" s="1647"/>
      <c r="U592" s="1647"/>
      <c r="V592" s="1735"/>
      <c r="W592" s="1647"/>
      <c r="X592" s="1647"/>
    </row>
    <row r="593" spans="1:24">
      <c r="A593" s="1647"/>
      <c r="B593" s="1647" t="s">
        <v>2340</v>
      </c>
      <c r="C593" s="1647"/>
      <c r="D593" s="1647"/>
      <c r="E593" s="1647"/>
      <c r="F593" s="1647"/>
      <c r="G593" s="1647"/>
      <c r="H593" s="1647"/>
      <c r="I593" s="1647"/>
      <c r="J593" s="1647"/>
      <c r="K593" s="1647"/>
      <c r="L593" s="1647"/>
      <c r="M593" s="1647"/>
      <c r="N593" s="1647"/>
      <c r="O593" s="1647"/>
      <c r="P593" s="1647"/>
      <c r="Q593" s="1647"/>
      <c r="R593" s="1647"/>
      <c r="S593" s="1647"/>
      <c r="T593" s="1647"/>
      <c r="U593" s="1647"/>
      <c r="V593" s="1735"/>
      <c r="W593" s="1647" t="str">
        <f>B593</f>
        <v>Eligible Basis Calculation</v>
      </c>
      <c r="X593" s="1647"/>
    </row>
    <row r="594" spans="1:24" ht="12.75" customHeight="1">
      <c r="A594" s="1647"/>
      <c r="B594" s="1647" t="s">
        <v>1790</v>
      </c>
      <c r="C594" s="1647"/>
      <c r="D594" s="1647"/>
      <c r="E594" s="1647"/>
      <c r="F594" s="1647"/>
      <c r="G594" s="1647"/>
      <c r="H594" s="1647"/>
      <c r="I594" s="1647"/>
      <c r="J594" s="1779">
        <f>J577</f>
        <v>15966588</v>
      </c>
      <c r="K594" s="1779"/>
      <c r="L594" s="1647"/>
      <c r="M594" s="1779">
        <f>M577</f>
        <v>0</v>
      </c>
      <c r="N594" s="1779"/>
      <c r="O594" s="1647"/>
      <c r="P594" s="1779">
        <f>P577</f>
        <v>0</v>
      </c>
      <c r="Q594" s="1779"/>
      <c r="R594" s="1785" t="s">
        <v>4734</v>
      </c>
      <c r="S594" s="1785"/>
      <c r="T594" s="1785"/>
      <c r="U594" s="1647"/>
      <c r="V594" s="1735">
        <f>'Part IV-A-Uses of Funds'!V149</f>
        <v>0</v>
      </c>
      <c r="W594" s="1485">
        <f>'Part IV-A-Uses of Funds'!W149</f>
        <v>0</v>
      </c>
      <c r="X594" s="1485"/>
    </row>
    <row r="595" spans="1:24">
      <c r="A595" s="1647"/>
      <c r="B595" s="1647" t="s">
        <v>2220</v>
      </c>
      <c r="C595" s="1647"/>
      <c r="D595" s="1647"/>
      <c r="E595" s="1647"/>
      <c r="F595" s="1647"/>
      <c r="G595" s="1647"/>
      <c r="H595" s="1647"/>
      <c r="I595" s="1647"/>
      <c r="J595" s="1779">
        <f>J591</f>
        <v>0</v>
      </c>
      <c r="K595" s="1779"/>
      <c r="L595" s="1647"/>
      <c r="M595" s="1779"/>
      <c r="N595" s="1779"/>
      <c r="O595" s="1647"/>
      <c r="P595" s="1779">
        <f>P591</f>
        <v>0</v>
      </c>
      <c r="Q595" s="1779"/>
      <c r="R595" s="1785"/>
      <c r="S595" s="1785"/>
      <c r="T595" s="1785"/>
      <c r="U595" s="1785"/>
      <c r="V595" s="1735">
        <f>'Part IV-A-Uses of Funds'!V150</f>
        <v>0</v>
      </c>
      <c r="W595" s="1485">
        <f>'Part IV-A-Uses of Funds'!W150</f>
        <v>0</v>
      </c>
      <c r="X595" s="1485"/>
    </row>
    <row r="596" spans="1:24">
      <c r="A596" s="1647"/>
      <c r="B596" s="1647" t="s">
        <v>2221</v>
      </c>
      <c r="C596" s="1647"/>
      <c r="D596" s="1647"/>
      <c r="E596" s="1647"/>
      <c r="F596" s="1647"/>
      <c r="G596" s="1647"/>
      <c r="H596" s="1647"/>
      <c r="I596" s="1647"/>
      <c r="J596" s="1779">
        <f>J594-J595</f>
        <v>15966588</v>
      </c>
      <c r="K596" s="1779"/>
      <c r="L596" s="1647"/>
      <c r="M596" s="1779">
        <f>M594</f>
        <v>0</v>
      </c>
      <c r="N596" s="1779"/>
      <c r="O596" s="1647"/>
      <c r="P596" s="1779">
        <f>P594-P595</f>
        <v>0</v>
      </c>
      <c r="Q596" s="1779"/>
      <c r="R596" s="1785"/>
      <c r="S596" s="1785"/>
      <c r="T596" s="1785"/>
      <c r="U596" s="1785"/>
      <c r="V596" s="1735">
        <f>'Part IV-A-Uses of Funds'!V151</f>
        <v>0</v>
      </c>
      <c r="W596" s="1485">
        <f>'Part IV-A-Uses of Funds'!W151</f>
        <v>0</v>
      </c>
      <c r="X596" s="1485"/>
    </row>
    <row r="597" spans="1:24">
      <c r="A597" s="1647"/>
      <c r="B597" s="1647" t="s">
        <v>1485</v>
      </c>
      <c r="C597" s="1647"/>
      <c r="D597" s="1647"/>
      <c r="E597" s="1647"/>
      <c r="F597" s="1647"/>
      <c r="G597" s="1651" t="s">
        <v>1714</v>
      </c>
      <c r="H597" s="1647" t="str">
        <f>'Part IV-A-Uses of Funds'!H152</f>
        <v>DDA/QCT</v>
      </c>
      <c r="I597" s="1647"/>
      <c r="J597" s="1780">
        <f>'Part IV-A-Uses of Funds'!J152</f>
        <v>1.3</v>
      </c>
      <c r="K597" s="1780"/>
      <c r="L597" s="1647"/>
      <c r="M597" s="1780"/>
      <c r="N597" s="1780"/>
      <c r="O597" s="1647"/>
      <c r="P597" s="1780">
        <f>'Part IV-A-Uses of Funds'!P152</f>
        <v>0</v>
      </c>
      <c r="Q597" s="1780"/>
      <c r="R597" s="1785" t="str">
        <f>'Part IV-A-Uses of Funds'!R152</f>
        <v>&lt;&lt; Select &gt;&gt;</v>
      </c>
      <c r="S597" s="1785"/>
      <c r="T597" s="1785"/>
      <c r="U597" s="1703"/>
      <c r="V597" s="1735">
        <f>'Part IV-A-Uses of Funds'!V152</f>
        <v>0</v>
      </c>
      <c r="W597" s="1485">
        <f>'Part IV-A-Uses of Funds'!W152</f>
        <v>0</v>
      </c>
      <c r="X597" s="1485"/>
    </row>
    <row r="598" spans="1:24">
      <c r="A598" s="1647"/>
      <c r="B598" s="1647" t="s">
        <v>2054</v>
      </c>
      <c r="C598" s="1647"/>
      <c r="D598" s="1647"/>
      <c r="E598" s="1647"/>
      <c r="F598" s="1647"/>
      <c r="G598" s="1647"/>
      <c r="H598" s="1647"/>
      <c r="I598" s="1647"/>
      <c r="J598" s="1779">
        <f>J596*J597</f>
        <v>20756564.400000002</v>
      </c>
      <c r="K598" s="1779"/>
      <c r="L598" s="1647"/>
      <c r="M598" s="1779">
        <f>+M596</f>
        <v>0</v>
      </c>
      <c r="N598" s="1779"/>
      <c r="O598" s="1647"/>
      <c r="P598" s="1779">
        <f>P596*P597</f>
        <v>0</v>
      </c>
      <c r="Q598" s="1779"/>
      <c r="R598" s="1785"/>
      <c r="S598" s="1785"/>
      <c r="T598" s="1785"/>
      <c r="U598" s="1703"/>
      <c r="V598" s="1735">
        <f>'Part IV-A-Uses of Funds'!V153</f>
        <v>0</v>
      </c>
      <c r="W598" s="1485">
        <f>'Part IV-A-Uses of Funds'!W153</f>
        <v>0</v>
      </c>
      <c r="X598" s="1485"/>
    </row>
    <row r="599" spans="1:24">
      <c r="A599" s="1647"/>
      <c r="B599" s="1647" t="s">
        <v>2541</v>
      </c>
      <c r="C599" s="1647"/>
      <c r="D599" s="1647"/>
      <c r="E599" s="1647"/>
      <c r="F599" s="1647"/>
      <c r="G599" s="1647"/>
      <c r="H599" s="1647"/>
      <c r="I599" s="1647"/>
      <c r="J599" s="1780">
        <f>MIN('Part VI-Revenues &amp; Expenses'!$O$63/'Part VI-Revenues &amp; Expenses'!$O$65,'Part VI-Revenues &amp; Expenses'!$O$152/'Part VI-Revenues &amp; Expenses'!$O$154)</f>
        <v>1</v>
      </c>
      <c r="K599" s="1780"/>
      <c r="L599" s="1647"/>
      <c r="M599" s="1780">
        <f>MIN('Part VI-Revenues &amp; Expenses'!$O$63/'Part VI-Revenues &amp; Expenses'!$O$65,'Part VI-Revenues &amp; Expenses'!$O$152/'Part VI-Revenues &amp; Expenses'!$O$154)</f>
        <v>1</v>
      </c>
      <c r="N599" s="1780"/>
      <c r="O599" s="1647"/>
      <c r="P599" s="1780">
        <f>MIN('Part VI-Revenues &amp; Expenses'!$O$63/'Part VI-Revenues &amp; Expenses'!$O$65,'Part VI-Revenues &amp; Expenses'!$O$152/'Part VI-Revenues &amp; Expenses'!$O$154)</f>
        <v>1</v>
      </c>
      <c r="Q599" s="1780"/>
      <c r="R599" s="1785"/>
      <c r="S599" s="1785"/>
      <c r="T599" s="1785"/>
      <c r="U599" s="1647"/>
      <c r="V599" s="1735">
        <f>'Part IV-A-Uses of Funds'!V154</f>
        <v>0</v>
      </c>
      <c r="W599" s="1485">
        <f>'Part IV-A-Uses of Funds'!W154</f>
        <v>0</v>
      </c>
      <c r="X599" s="1485"/>
    </row>
    <row r="600" spans="1:24">
      <c r="A600" s="1647"/>
      <c r="B600" s="1647" t="s">
        <v>2045</v>
      </c>
      <c r="C600" s="1647"/>
      <c r="D600" s="1647"/>
      <c r="E600" s="1647"/>
      <c r="F600" s="1647"/>
      <c r="G600" s="1647"/>
      <c r="H600" s="1647"/>
      <c r="I600" s="1647"/>
      <c r="J600" s="1779">
        <f>J598*J599</f>
        <v>20756564.400000002</v>
      </c>
      <c r="K600" s="1779"/>
      <c r="L600" s="1647"/>
      <c r="M600" s="1779">
        <f>M598*M599</f>
        <v>0</v>
      </c>
      <c r="N600" s="1779"/>
      <c r="O600" s="1647"/>
      <c r="P600" s="1779">
        <f>P598*P599</f>
        <v>0</v>
      </c>
      <c r="Q600" s="1779"/>
      <c r="R600" s="1647"/>
      <c r="S600" s="1647"/>
      <c r="T600" s="1647"/>
      <c r="U600" s="1647"/>
      <c r="V600" s="1735">
        <f>'Part IV-A-Uses of Funds'!V155</f>
        <v>0</v>
      </c>
      <c r="W600" s="1485">
        <f>'Part IV-A-Uses of Funds'!W155</f>
        <v>0</v>
      </c>
      <c r="X600" s="1485"/>
    </row>
    <row r="601" spans="1:24">
      <c r="A601" s="1647"/>
      <c r="B601" s="1647" t="s">
        <v>2046</v>
      </c>
      <c r="C601" s="1647"/>
      <c r="D601" s="1647"/>
      <c r="E601" s="1647"/>
      <c r="F601" s="1647"/>
      <c r="G601" s="1647"/>
      <c r="H601" s="1647"/>
      <c r="I601" s="1647"/>
      <c r="J601" s="1780">
        <f>'Part IV-A-Uses of Funds'!J156</f>
        <v>3.1800000000000002E-2</v>
      </c>
      <c r="K601" s="1780"/>
      <c r="L601" s="1647"/>
      <c r="M601" s="1780">
        <f>'Part IV-A-Uses of Funds'!M156</f>
        <v>0</v>
      </c>
      <c r="N601" s="1780"/>
      <c r="O601" s="1647"/>
      <c r="P601" s="1780">
        <f>'Part IV-A-Uses of Funds'!P156</f>
        <v>0</v>
      </c>
      <c r="Q601" s="1780"/>
      <c r="R601" s="1647"/>
      <c r="S601" s="1647"/>
      <c r="T601" s="1647"/>
      <c r="U601" s="1647"/>
      <c r="V601" s="1735">
        <f>'Part IV-A-Uses of Funds'!V156</f>
        <v>0</v>
      </c>
      <c r="W601" s="1485">
        <f>'Part IV-A-Uses of Funds'!W156</f>
        <v>0</v>
      </c>
      <c r="X601" s="1485"/>
    </row>
    <row r="602" spans="1:24">
      <c r="A602" s="1647"/>
      <c r="B602" s="1647" t="s">
        <v>2542</v>
      </c>
      <c r="C602" s="1647"/>
      <c r="D602" s="1647"/>
      <c r="E602" s="1647"/>
      <c r="F602" s="1647"/>
      <c r="G602" s="1647"/>
      <c r="H602" s="1647"/>
      <c r="I602" s="1647"/>
      <c r="J602" s="1779">
        <f>J600*J601</f>
        <v>660058.74792000011</v>
      </c>
      <c r="K602" s="1779"/>
      <c r="L602" s="1647"/>
      <c r="M602" s="1779">
        <f>M600*M601</f>
        <v>0</v>
      </c>
      <c r="N602" s="1779"/>
      <c r="O602" s="1647"/>
      <c r="P602" s="1779">
        <f>P600*P601</f>
        <v>0</v>
      </c>
      <c r="Q602" s="1779"/>
      <c r="R602" s="1647"/>
      <c r="S602" s="1647"/>
      <c r="T602" s="1647"/>
      <c r="U602" s="1647"/>
      <c r="V602" s="1735">
        <f>'Part IV-A-Uses of Funds'!V157</f>
        <v>0</v>
      </c>
      <c r="W602" s="1485">
        <f>'Part IV-A-Uses of Funds'!W157</f>
        <v>0</v>
      </c>
      <c r="X602" s="1485"/>
    </row>
    <row r="603" spans="1:24">
      <c r="A603" s="1647"/>
      <c r="B603" s="1647" t="s">
        <v>1424</v>
      </c>
      <c r="C603" s="1647"/>
      <c r="D603" s="1647"/>
      <c r="E603" s="1647"/>
      <c r="F603" s="1647"/>
      <c r="G603" s="1647"/>
      <c r="H603" s="1647"/>
      <c r="I603" s="1647"/>
      <c r="J603" s="1779">
        <f>'Part IV-A-Uses of Funds'!J158</f>
        <v>660058</v>
      </c>
      <c r="K603" s="1779"/>
      <c r="L603" s="1779"/>
      <c r="M603" s="1779"/>
      <c r="N603" s="1779"/>
      <c r="O603" s="1779"/>
      <c r="P603" s="1779"/>
      <c r="Q603" s="1779"/>
      <c r="R603" s="1647"/>
      <c r="S603" s="1647"/>
      <c r="T603" s="1647"/>
      <c r="U603" s="1647"/>
      <c r="V603" s="1735">
        <f>'Part IV-A-Uses of Funds'!V158</f>
        <v>0</v>
      </c>
      <c r="W603" s="1485">
        <f>'Part IV-A-Uses of Funds'!W158</f>
        <v>0</v>
      </c>
      <c r="X603" s="1485"/>
    </row>
    <row r="604" spans="1:24">
      <c r="A604" s="1647"/>
      <c r="B604" s="1782"/>
      <c r="C604" s="1647"/>
      <c r="D604" s="1647"/>
      <c r="E604" s="1647"/>
      <c r="F604" s="1647"/>
      <c r="G604" s="1647"/>
      <c r="H604" s="1647"/>
      <c r="I604" s="1647"/>
      <c r="J604" s="1647"/>
      <c r="K604" s="1647"/>
      <c r="L604" s="1789"/>
      <c r="M604" s="1789"/>
      <c r="N604" s="1789"/>
      <c r="O604" s="1789"/>
      <c r="P604" s="1647"/>
      <c r="Q604" s="1647"/>
      <c r="R604" s="1647"/>
      <c r="S604" s="1647"/>
      <c r="T604" s="1647"/>
      <c r="U604" s="1647"/>
      <c r="V604" s="1735"/>
      <c r="W604" s="1647"/>
      <c r="X604" s="1647"/>
    </row>
    <row r="605" spans="1:24" ht="16.5">
      <c r="A605" s="2731" t="s">
        <v>742</v>
      </c>
      <c r="B605" s="2731" t="s">
        <v>1427</v>
      </c>
      <c r="C605" s="1647"/>
      <c r="D605" s="1647"/>
      <c r="E605" s="1647"/>
      <c r="F605" s="1647"/>
      <c r="G605" s="1647"/>
      <c r="H605" s="1770"/>
      <c r="I605" s="1770"/>
      <c r="J605" s="1647"/>
      <c r="K605" s="1647"/>
      <c r="L605" s="1647"/>
      <c r="M605" s="1783"/>
      <c r="N605" s="1647"/>
      <c r="O605" s="1647"/>
      <c r="P605" s="1647"/>
      <c r="Q605" s="1647"/>
      <c r="R605" s="1647"/>
      <c r="S605" s="1647"/>
      <c r="T605" s="1647"/>
      <c r="U605" s="1647"/>
      <c r="V605" s="1735"/>
      <c r="W605" s="1647"/>
      <c r="X605" s="1647"/>
    </row>
    <row r="606" spans="1:24" ht="16.5">
      <c r="A606" s="1647"/>
      <c r="B606" s="1647" t="s">
        <v>174</v>
      </c>
      <c r="C606" s="1647"/>
      <c r="D606" s="1647"/>
      <c r="E606" s="1647"/>
      <c r="F606" s="1647"/>
      <c r="G606" s="1647"/>
      <c r="H606" s="1710"/>
      <c r="I606" s="1647"/>
      <c r="J606" s="1647"/>
      <c r="K606" s="1647"/>
      <c r="L606" s="1647"/>
      <c r="M606" s="1783"/>
      <c r="N606" s="1647"/>
      <c r="O606" s="1647"/>
      <c r="P606" s="1647"/>
      <c r="Q606" s="1647"/>
      <c r="R606" s="1647"/>
      <c r="S606" s="1647"/>
      <c r="T606" s="1647"/>
      <c r="U606" s="1647"/>
      <c r="V606" s="1735"/>
      <c r="W606" s="2731" t="str">
        <f>B605</f>
        <v>TAX CREDIT CALCULATION - GAP METHOD</v>
      </c>
      <c r="X606" s="1647"/>
    </row>
    <row r="607" spans="1:24" ht="13.5" customHeight="1">
      <c r="A607" s="1647"/>
      <c r="B607" s="1649" t="s">
        <v>5155</v>
      </c>
      <c r="C607" s="1647"/>
      <c r="D607" s="1647"/>
      <c r="E607" s="1647"/>
      <c r="F607" s="1647"/>
      <c r="G607" s="1652" t="str">
        <f>IF(J608&gt;J607,"TDC exceeds QAP PUCL!","")</f>
        <v/>
      </c>
      <c r="H607" s="1652"/>
      <c r="I607" s="1652"/>
      <c r="J607" s="1784">
        <f>'Part VIII-Threshold Criteria'!$P$63</f>
        <v>18573020</v>
      </c>
      <c r="K607" s="1784"/>
      <c r="L607" s="1784"/>
      <c r="M607" s="1785" t="s">
        <v>2746</v>
      </c>
      <c r="N607" s="1785"/>
      <c r="O607" s="1785"/>
      <c r="P607" s="1785"/>
      <c r="Q607" s="1785"/>
      <c r="R607" s="1785"/>
      <c r="S607" s="1785" t="s">
        <v>3675</v>
      </c>
      <c r="T607" s="1785"/>
      <c r="U607" s="1647"/>
      <c r="V607" s="1735">
        <f>'Part IV-A-Uses of Funds'!V162</f>
        <v>0</v>
      </c>
      <c r="W607" s="1485">
        <f>'Part IV-A-Uses of Funds'!W162</f>
        <v>0</v>
      </c>
      <c r="X607" s="1485"/>
    </row>
    <row r="608" spans="1:24">
      <c r="A608" s="1647"/>
      <c r="B608" s="1647" t="s">
        <v>5156</v>
      </c>
      <c r="C608" s="1647"/>
      <c r="D608" s="1647"/>
      <c r="E608" s="1647"/>
      <c r="F608" s="1647"/>
      <c r="G608" s="1647"/>
      <c r="H608" s="1647"/>
      <c r="I608" s="1647"/>
      <c r="J608" s="1779">
        <f>'Part IV-A-Uses of Funds'!J163</f>
        <v>18093801</v>
      </c>
      <c r="K608" s="1779"/>
      <c r="L608" s="1779"/>
      <c r="M608" s="1785"/>
      <c r="N608" s="1785"/>
      <c r="O608" s="1785"/>
      <c r="P608" s="1785"/>
      <c r="Q608" s="1785"/>
      <c r="R608" s="1785"/>
      <c r="S608" s="1785"/>
      <c r="T608" s="1785"/>
      <c r="U608" s="1647"/>
      <c r="V608" s="1735">
        <f>'Part IV-A-Uses of Funds'!V163</f>
        <v>0</v>
      </c>
      <c r="W608" s="1485">
        <f>'Part IV-A-Uses of Funds'!W163</f>
        <v>0</v>
      </c>
      <c r="X608" s="1485"/>
    </row>
    <row r="609" spans="1:24">
      <c r="A609" s="1647"/>
      <c r="B609" s="1647" t="s">
        <v>263</v>
      </c>
      <c r="C609" s="1647"/>
      <c r="D609" s="1647"/>
      <c r="E609" s="1647"/>
      <c r="F609" s="1647"/>
      <c r="G609" s="1647"/>
      <c r="H609" s="1647"/>
      <c r="I609" s="1647"/>
      <c r="J609" s="1779">
        <f>'Part III-Sources of Funds'!$I$58-'Part III-Sources of Funds'!$I$42-'Part III-Sources of Funds'!$I$43-'Part III-Sources of Funds'!$I$49-'Part III-Sources of Funds'!$I$50</f>
        <v>7301775</v>
      </c>
      <c r="K609" s="1779"/>
      <c r="L609" s="1779"/>
      <c r="M609" s="1785"/>
      <c r="N609" s="1785"/>
      <c r="O609" s="1785"/>
      <c r="P609" s="1785"/>
      <c r="Q609" s="1785"/>
      <c r="R609" s="1785"/>
      <c r="S609" s="1785"/>
      <c r="T609" s="1785"/>
      <c r="U609" s="1647"/>
      <c r="V609" s="1735">
        <f>'Part IV-A-Uses of Funds'!V164</f>
        <v>0</v>
      </c>
      <c r="W609" s="1485">
        <f>'Part IV-A-Uses of Funds'!W164</f>
        <v>0</v>
      </c>
      <c r="X609" s="1485"/>
    </row>
    <row r="610" spans="1:24" ht="13.5">
      <c r="A610" s="1647"/>
      <c r="B610" s="1647" t="s">
        <v>2232</v>
      </c>
      <c r="C610" s="1647"/>
      <c r="D610" s="1647"/>
      <c r="E610" s="1647"/>
      <c r="F610" s="1647"/>
      <c r="G610" s="1647"/>
      <c r="H610" s="1647"/>
      <c r="I610" s="1647"/>
      <c r="J610" s="1779">
        <f>+J608-J609</f>
        <v>10792026</v>
      </c>
      <c r="K610" s="1779"/>
      <c r="L610" s="1779"/>
      <c r="M610" s="1710" t="s">
        <v>2747</v>
      </c>
      <c r="N610" s="1710"/>
      <c r="O610" s="1786">
        <f>'Part III-Sources of Funds'!$I$42</f>
        <v>0</v>
      </c>
      <c r="P610" s="1786"/>
      <c r="Q610" s="1786"/>
      <c r="R610" s="1786"/>
      <c r="S610" s="1787" t="s">
        <v>1662</v>
      </c>
      <c r="T610" s="2137">
        <f>'Part IV-A-Uses of Funds'!T165</f>
        <v>0</v>
      </c>
      <c r="U610" s="1647"/>
      <c r="V610" s="1735">
        <f>'Part IV-A-Uses of Funds'!V165</f>
        <v>0</v>
      </c>
      <c r="W610" s="1485">
        <f>'Part IV-A-Uses of Funds'!W165</f>
        <v>0</v>
      </c>
      <c r="X610" s="1485"/>
    </row>
    <row r="611" spans="1:24" ht="13.5">
      <c r="A611" s="1647"/>
      <c r="B611" s="1647" t="s">
        <v>1286</v>
      </c>
      <c r="C611" s="1647"/>
      <c r="D611" s="1647"/>
      <c r="E611" s="1647"/>
      <c r="F611" s="1647"/>
      <c r="G611" s="1647"/>
      <c r="H611" s="1647"/>
      <c r="I611" s="1647"/>
      <c r="J611" s="1647" t="str">
        <f>"/ 10"</f>
        <v>/ 10</v>
      </c>
      <c r="K611" s="1647"/>
      <c r="L611" s="1647"/>
      <c r="M611" s="1647"/>
      <c r="N611" s="1786"/>
      <c r="O611" s="1786"/>
      <c r="P611" s="1786"/>
      <c r="Q611" s="1786"/>
      <c r="R611" s="1786"/>
      <c r="S611" s="1647"/>
      <c r="T611" s="1647"/>
      <c r="U611" s="1647"/>
      <c r="V611" s="1735"/>
      <c r="W611" s="1485">
        <f>'Part IV-A-Uses of Funds'!W166</f>
        <v>0</v>
      </c>
      <c r="X611" s="1485"/>
    </row>
    <row r="612" spans="1:24">
      <c r="A612" s="1647"/>
      <c r="B612" s="1647" t="s">
        <v>1287</v>
      </c>
      <c r="C612" s="1647"/>
      <c r="D612" s="1647"/>
      <c r="E612" s="1647"/>
      <c r="F612" s="1647"/>
      <c r="G612" s="1647"/>
      <c r="H612" s="1647"/>
      <c r="I612" s="1647"/>
      <c r="J612" s="1779">
        <f>J610/10</f>
        <v>1079202.6000000001</v>
      </c>
      <c r="K612" s="1779"/>
      <c r="L612" s="1779"/>
      <c r="M612" s="1653"/>
      <c r="N612" s="1647" t="s">
        <v>1288</v>
      </c>
      <c r="O612" s="1647"/>
      <c r="P612" s="1647"/>
      <c r="Q612" s="1647" t="s">
        <v>1799</v>
      </c>
      <c r="R612" s="1647"/>
      <c r="S612" s="1647"/>
      <c r="T612" s="1647"/>
      <c r="U612" s="1647"/>
      <c r="V612" s="1735">
        <f>'Part IV-A-Uses of Funds'!V167</f>
        <v>0</v>
      </c>
      <c r="W612" s="1485">
        <f>'Part IV-A-Uses of Funds'!W167</f>
        <v>0</v>
      </c>
      <c r="X612" s="1485"/>
    </row>
    <row r="613" spans="1:24">
      <c r="A613" s="1647"/>
      <c r="B613" s="1647" t="s">
        <v>5105</v>
      </c>
      <c r="C613" s="1647"/>
      <c r="D613" s="1647"/>
      <c r="E613" s="1647"/>
      <c r="F613" s="1647"/>
      <c r="G613" s="1647"/>
      <c r="H613" s="1647"/>
      <c r="I613" s="1647"/>
      <c r="J613" s="1788">
        <f>N613+Q613</f>
        <v>1.5649999999999999</v>
      </c>
      <c r="K613" s="1788"/>
      <c r="L613" s="1788"/>
      <c r="M613" s="1651" t="s">
        <v>1289</v>
      </c>
      <c r="N613" s="2138">
        <f>'Part IV-A-Uses of Funds'!N168</f>
        <v>0.93</v>
      </c>
      <c r="O613" s="2138"/>
      <c r="P613" s="1651" t="s">
        <v>612</v>
      </c>
      <c r="Q613" s="2138">
        <f>'Part IV-A-Uses of Funds'!Q168</f>
        <v>0.63500000000000001</v>
      </c>
      <c r="R613" s="2138"/>
      <c r="S613" s="1647"/>
      <c r="T613" s="1647"/>
      <c r="U613" s="1647"/>
      <c r="V613" s="1735">
        <f>'Part IV-A-Uses of Funds'!V168</f>
        <v>0</v>
      </c>
      <c r="W613" s="1485">
        <f>'Part IV-A-Uses of Funds'!W168</f>
        <v>0</v>
      </c>
      <c r="X613" s="1485"/>
    </row>
    <row r="614" spans="1:24">
      <c r="A614" s="1647"/>
      <c r="B614" s="1647" t="s">
        <v>1425</v>
      </c>
      <c r="C614" s="1647"/>
      <c r="D614" s="1647"/>
      <c r="E614" s="1647"/>
      <c r="F614" s="1647"/>
      <c r="G614" s="1647"/>
      <c r="H614" s="1647"/>
      <c r="I614" s="1647"/>
      <c r="J614" s="1779">
        <f>ROUNDDOWN(IF(J613=0,"",J612/J613),0)</f>
        <v>689586</v>
      </c>
      <c r="K614" s="1779"/>
      <c r="L614" s="1779"/>
      <c r="M614" s="1653"/>
      <c r="N614" s="1647"/>
      <c r="O614" s="1647"/>
      <c r="P614" s="1647"/>
      <c r="Q614" s="1647"/>
      <c r="R614" s="1647"/>
      <c r="S614" s="1647"/>
      <c r="T614" s="1647"/>
      <c r="U614" s="1647"/>
      <c r="V614" s="1735">
        <f>'Part IV-A-Uses of Funds'!V169</f>
        <v>0</v>
      </c>
      <c r="W614" s="1485">
        <f>'Part IV-A-Uses of Funds'!W169</f>
        <v>0</v>
      </c>
      <c r="X614" s="1485"/>
    </row>
    <row r="615" spans="1:24">
      <c r="A615" s="1647"/>
      <c r="B615" s="1647"/>
      <c r="C615" s="1647"/>
      <c r="D615" s="1647"/>
      <c r="E615" s="1647"/>
      <c r="F615" s="1647"/>
      <c r="G615" s="1647"/>
      <c r="H615" s="1647"/>
      <c r="I615" s="1647"/>
      <c r="J615" s="1789"/>
      <c r="K615" s="1789"/>
      <c r="L615" s="1789"/>
      <c r="M615" s="1653"/>
      <c r="N615" s="1651"/>
      <c r="O615" s="1651"/>
      <c r="P615" s="1647"/>
      <c r="Q615" s="1647"/>
      <c r="R615" s="1647"/>
      <c r="S615" s="1647"/>
      <c r="T615" s="1647"/>
      <c r="U615" s="1647"/>
      <c r="V615" s="1735"/>
      <c r="W615" s="1485">
        <f>'Part IV-A-Uses of Funds'!W170</f>
        <v>0</v>
      </c>
      <c r="X615" s="1485"/>
    </row>
    <row r="616" spans="1:24">
      <c r="A616" s="1647"/>
      <c r="B616" s="1647" t="s">
        <v>5106</v>
      </c>
      <c r="C616" s="1647"/>
      <c r="D616" s="1647"/>
      <c r="E616" s="1647"/>
      <c r="F616" s="1647"/>
      <c r="G616" s="1647"/>
      <c r="H616" s="1647"/>
      <c r="I616" s="1647"/>
      <c r="J616" s="177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660058</v>
      </c>
      <c r="K616" s="1779"/>
      <c r="L616" s="1779"/>
      <c r="M616" s="1653"/>
      <c r="N616" s="1651"/>
      <c r="O616" s="1651"/>
      <c r="P616" s="1647"/>
      <c r="Q616" s="1647"/>
      <c r="R616" s="1647"/>
      <c r="S616" s="1647"/>
      <c r="T616" s="1647"/>
      <c r="U616" s="1647"/>
      <c r="V616" s="1735">
        <f>'Part IV-A-Uses of Funds'!V171</f>
        <v>0</v>
      </c>
      <c r="W616" s="1485">
        <f>'Part IV-A-Uses of Funds'!W171</f>
        <v>0</v>
      </c>
      <c r="X616" s="1485"/>
    </row>
    <row r="617" spans="1:24">
      <c r="A617" s="1647"/>
      <c r="B617" s="1647"/>
      <c r="C617" s="1647"/>
      <c r="D617" s="1647"/>
      <c r="E617" s="1647"/>
      <c r="F617" s="1647"/>
      <c r="G617" s="1647"/>
      <c r="H617" s="1647"/>
      <c r="I617" s="1647"/>
      <c r="J617" s="1789"/>
      <c r="K617" s="1789"/>
      <c r="L617" s="1789"/>
      <c r="M617" s="1653"/>
      <c r="N617" s="1651"/>
      <c r="O617" s="1651"/>
      <c r="P617" s="1647"/>
      <c r="Q617" s="1647"/>
      <c r="R617" s="1647"/>
      <c r="S617" s="1647"/>
      <c r="T617" s="1647"/>
      <c r="U617" s="1647"/>
      <c r="V617" s="1735"/>
      <c r="W617" s="1485">
        <f>'Part IV-A-Uses of Funds'!W172</f>
        <v>0</v>
      </c>
      <c r="X617" s="1485"/>
    </row>
    <row r="618" spans="1:24">
      <c r="A618" s="1647"/>
      <c r="B618" s="1647" t="s">
        <v>5107</v>
      </c>
      <c r="C618" s="1647"/>
      <c r="D618" s="1647"/>
      <c r="E618" s="1647"/>
      <c r="F618" s="1647"/>
      <c r="G618" s="1647"/>
      <c r="H618" s="1647"/>
      <c r="I618" s="1647"/>
      <c r="J618" s="1779">
        <f>'Part IV-A-Uses of Funds'!J173</f>
        <v>660058</v>
      </c>
      <c r="K618" s="1779"/>
      <c r="L618" s="1779"/>
      <c r="M618" s="1654" t="str">
        <f>IF(J616=0,"",IF(J618&gt;J616,"ALLOCATION CANNOT EXCEED MAXIMUM - REVISE REQUEST (Try Round Down)!",""))</f>
        <v/>
      </c>
      <c r="N618" s="1651"/>
      <c r="O618" s="1651"/>
      <c r="P618" s="1647"/>
      <c r="Q618" s="1647"/>
      <c r="R618" s="1647"/>
      <c r="S618" s="1647"/>
      <c r="T618" s="1647"/>
      <c r="U618" s="1647"/>
      <c r="V618" s="1735">
        <f>'Part IV-A-Uses of Funds'!V173</f>
        <v>0</v>
      </c>
      <c r="W618" s="1485">
        <f>'Part IV-A-Uses of Funds'!W173</f>
        <v>0</v>
      </c>
      <c r="X618" s="1485"/>
    </row>
    <row r="619" spans="1:24">
      <c r="A619" s="1647"/>
      <c r="B619" s="1647"/>
      <c r="C619" s="1647"/>
      <c r="D619" s="1647"/>
      <c r="E619" s="1647"/>
      <c r="F619" s="1647"/>
      <c r="G619" s="1647"/>
      <c r="H619" s="1647"/>
      <c r="I619" s="1647"/>
      <c r="J619" s="1789"/>
      <c r="K619" s="1789"/>
      <c r="L619" s="1789"/>
      <c r="M619" s="1653"/>
      <c r="N619" s="1651"/>
      <c r="O619" s="1651"/>
      <c r="P619" s="1647"/>
      <c r="Q619" s="1647"/>
      <c r="R619" s="1647"/>
      <c r="S619" s="1647"/>
      <c r="T619" s="1647"/>
      <c r="U619" s="1647"/>
      <c r="V619" s="1735"/>
      <c r="W619" s="1485">
        <f>'Part IV-A-Uses of Funds'!W174</f>
        <v>0</v>
      </c>
      <c r="X619" s="1485"/>
    </row>
    <row r="620" spans="1:24" ht="16.5">
      <c r="A620" s="2731" t="s">
        <v>1792</v>
      </c>
      <c r="B620" s="2731" t="s">
        <v>5157</v>
      </c>
      <c r="C620" s="1647"/>
      <c r="D620" s="1653"/>
      <c r="E620" s="1653"/>
      <c r="F620" s="1654"/>
      <c r="G620" s="1647"/>
      <c r="H620" s="1647"/>
      <c r="I620" s="1647"/>
      <c r="J620" s="1779">
        <f>IF(J618="",0,+MIN(J616,J618))</f>
        <v>660058</v>
      </c>
      <c r="K620" s="1779"/>
      <c r="L620" s="1779"/>
      <c r="M620" s="1647"/>
      <c r="N620" s="1665"/>
      <c r="O620" s="1665"/>
      <c r="P620" s="1665"/>
      <c r="Q620" s="1665"/>
      <c r="R620" s="1665"/>
      <c r="S620" s="1665"/>
      <c r="T620" s="1665"/>
      <c r="U620" s="1647"/>
      <c r="V620" s="1735">
        <f>'Part IV-A-Uses of Funds'!V175</f>
        <v>0</v>
      </c>
      <c r="W620" s="1485">
        <f>'Part IV-A-Uses of Funds'!W175</f>
        <v>0</v>
      </c>
      <c r="X620" s="1485"/>
    </row>
    <row r="621" spans="1:24">
      <c r="A621" s="1653"/>
      <c r="B621" s="1653"/>
      <c r="C621" s="1653"/>
      <c r="D621" s="1653"/>
      <c r="E621" s="1653"/>
      <c r="F621" s="1653"/>
      <c r="G621" s="1653"/>
      <c r="H621" s="1653"/>
      <c r="I621" s="1653"/>
      <c r="J621" s="1653"/>
      <c r="K621" s="1653"/>
      <c r="L621" s="1653"/>
      <c r="M621" s="1653"/>
      <c r="N621" s="1653"/>
      <c r="O621" s="1653"/>
      <c r="P621" s="1653"/>
      <c r="Q621" s="1653"/>
      <c r="R621" s="1653"/>
      <c r="S621" s="1653"/>
      <c r="T621" s="1653"/>
      <c r="U621" s="1653"/>
      <c r="V621" s="1653"/>
      <c r="W621" s="1653"/>
      <c r="X621" s="1653"/>
    </row>
    <row r="622" spans="1:24">
      <c r="A622" s="1653"/>
      <c r="B622" s="1653"/>
      <c r="C622" s="1653"/>
      <c r="D622" s="1653"/>
      <c r="E622" s="1653"/>
      <c r="F622" s="1653"/>
      <c r="G622" s="1653"/>
      <c r="H622" s="1653"/>
      <c r="I622" s="1653"/>
      <c r="J622" s="1653"/>
      <c r="K622" s="1653"/>
      <c r="L622" s="1653"/>
      <c r="M622" s="1653"/>
      <c r="N622" s="1653"/>
      <c r="O622" s="1653"/>
      <c r="P622" s="1653"/>
      <c r="Q622" s="1653"/>
      <c r="R622" s="1653"/>
      <c r="S622" s="1653"/>
      <c r="T622" s="1653"/>
      <c r="U622" s="1653"/>
      <c r="V622" s="1653"/>
      <c r="W622" s="1653"/>
      <c r="X622" s="1653"/>
    </row>
    <row r="623" spans="1:24">
      <c r="A623" s="1647" t="s">
        <v>1794</v>
      </c>
      <c r="B623" s="1653" t="s">
        <v>572</v>
      </c>
      <c r="C623" s="1653"/>
      <c r="D623" s="1653"/>
      <c r="E623" s="1653"/>
      <c r="F623" s="1653"/>
      <c r="G623" s="1653"/>
      <c r="H623" s="1653"/>
      <c r="I623" s="1653"/>
      <c r="J623" s="1653"/>
      <c r="K623" s="1653"/>
      <c r="L623" s="1653"/>
      <c r="M623" s="1653"/>
      <c r="N623" s="1647" t="s">
        <v>530</v>
      </c>
      <c r="O623" s="1647" t="s">
        <v>79</v>
      </c>
      <c r="P623" s="1653"/>
      <c r="Q623" s="1653"/>
      <c r="R623" s="1653"/>
      <c r="S623" s="1653"/>
      <c r="T623" s="1653"/>
      <c r="U623" s="1653"/>
      <c r="V623" s="1653"/>
      <c r="W623" s="1653"/>
      <c r="X623" s="1653"/>
    </row>
    <row r="624" spans="1:24" ht="15.75" customHeight="1">
      <c r="A624" s="1708" t="str">
        <f>'Part IV-A-Uses of Funds'!A179</f>
        <v>* To all applicants: in addition to your other comments, please provide methodology for determining applicable construction hard costs.</v>
      </c>
      <c r="B624" s="1708"/>
      <c r="C624" s="1708"/>
      <c r="D624" s="1708"/>
      <c r="E624" s="1708"/>
      <c r="F624" s="1708"/>
      <c r="G624" s="1708"/>
      <c r="H624" s="1708"/>
      <c r="I624" s="1708"/>
      <c r="J624" s="1708"/>
      <c r="K624" s="1708"/>
      <c r="L624" s="1708"/>
      <c r="M624" s="1708"/>
      <c r="N624" s="1708">
        <f>'Part IV-A-Uses of Funds'!N179</f>
        <v>0</v>
      </c>
      <c r="O624" s="1708"/>
      <c r="P624" s="1708"/>
      <c r="Q624" s="1708"/>
      <c r="R624" s="1708"/>
      <c r="S624" s="1708"/>
      <c r="T624" s="1708"/>
      <c r="U624" s="1653"/>
      <c r="V624" s="1682"/>
      <c r="W624" s="2727" t="s">
        <v>2693</v>
      </c>
      <c r="X624" s="2727"/>
    </row>
    <row r="628" spans="1:8" ht="15">
      <c r="A628" s="2745" t="str">
        <f>CONCATENATE("PART FOUR (b) -  OTHER COSTS","  -  ",'Part I-Project Information'!$O$6," - ",'Part I-Project Information'!$F$34,"  -  ",'Part I-Project Information'!$F$38,"  -  ",'Part I-Project Information'!$J$39,",  ","County")</f>
        <v>PART FOUR (b) -  OTHER COSTS  -  2019-5 - Stone Terrace Phase II  -  Stonecrest  -  DeKalb,  County</v>
      </c>
      <c r="B628" s="2745"/>
      <c r="C628" s="2745"/>
      <c r="D628" s="2745"/>
      <c r="E628" s="2745"/>
      <c r="F628" s="2745"/>
      <c r="G628" s="2745"/>
      <c r="H628" s="2745"/>
    </row>
    <row r="629" spans="1:8">
      <c r="A629" s="2139"/>
      <c r="B629" s="2139"/>
      <c r="C629" s="2139"/>
      <c r="D629" s="2139"/>
      <c r="E629" s="2139"/>
      <c r="F629" s="2139"/>
      <c r="G629" s="2139"/>
      <c r="H629" s="2139"/>
    </row>
    <row r="630" spans="1:8" ht="14.25" customHeight="1">
      <c r="A630" s="2140" t="s">
        <v>3714</v>
      </c>
      <c r="B630" s="2140"/>
      <c r="C630" s="2140"/>
      <c r="D630" s="2140"/>
      <c r="E630" s="2140"/>
      <c r="F630" s="2140"/>
      <c r="G630" s="2140"/>
      <c r="H630" s="2140"/>
    </row>
    <row r="631" spans="1:8">
      <c r="A631" s="2139"/>
      <c r="B631" s="2139"/>
      <c r="C631" s="2139"/>
      <c r="D631" s="2139"/>
      <c r="E631" s="2139"/>
      <c r="F631" s="2139"/>
      <c r="G631" s="2139"/>
      <c r="H631" s="2139"/>
    </row>
    <row r="632" spans="1:8" ht="90" customHeight="1">
      <c r="A632" s="2746" t="s">
        <v>5108</v>
      </c>
      <c r="B632" s="2746"/>
      <c r="C632" s="2746"/>
      <c r="D632" s="2746"/>
      <c r="E632" s="2139"/>
      <c r="F632" s="2747" t="s">
        <v>3705</v>
      </c>
      <c r="G632" s="1794"/>
      <c r="H632" s="2747" t="s">
        <v>3706</v>
      </c>
    </row>
    <row r="633" spans="1:8">
      <c r="A633" s="1794"/>
      <c r="B633" s="1794"/>
      <c r="C633" s="1794"/>
      <c r="D633" s="1794"/>
      <c r="E633" s="2139"/>
      <c r="F633" s="2139"/>
      <c r="G633" s="2139"/>
      <c r="H633" s="2139"/>
    </row>
    <row r="634" spans="1:8" ht="13.5">
      <c r="A634" s="2748"/>
      <c r="B634" s="2748"/>
      <c r="C634" s="2748"/>
      <c r="D634" s="2748"/>
      <c r="E634" s="2748"/>
      <c r="F634" s="2748"/>
      <c r="G634" s="2748"/>
      <c r="H634" s="2141"/>
    </row>
    <row r="635" spans="1:8">
      <c r="A635" s="1794" t="s">
        <v>102</v>
      </c>
      <c r="B635" s="1797"/>
      <c r="C635" s="1797"/>
      <c r="D635" s="1797"/>
      <c r="E635" s="1797"/>
      <c r="F635" s="1797"/>
      <c r="G635" s="1797"/>
      <c r="H635" s="1797"/>
    </row>
    <row r="636" spans="1:8" ht="13.5" customHeight="1">
      <c r="A636" s="1798" t="str">
        <f>'Part IV-A-Uses of Funds'!$C$14</f>
        <v>&lt;&lt; Enter description here; provide detail &amp; justification in tab Part IV-b &gt;&gt;</v>
      </c>
      <c r="B636" s="1798"/>
      <c r="C636" s="1798"/>
      <c r="D636" s="1798"/>
      <c r="E636" s="2141"/>
      <c r="F636" s="2142">
        <f>'Part IV-B-Other Items'!F9</f>
        <v>0</v>
      </c>
      <c r="G636" s="1797"/>
      <c r="H636" s="2142">
        <f>'Part IV-B-Other Items'!H9</f>
        <v>0</v>
      </c>
    </row>
    <row r="637" spans="1:8" ht="13.5">
      <c r="A637" s="1798"/>
      <c r="B637" s="1798"/>
      <c r="C637" s="1798"/>
      <c r="D637" s="1798"/>
      <c r="E637" s="2141"/>
      <c r="F637" s="2142"/>
      <c r="G637" s="1797"/>
      <c r="H637" s="2142"/>
    </row>
    <row r="638" spans="1:8" ht="13.5">
      <c r="A638" s="2141"/>
      <c r="B638" s="2141"/>
      <c r="C638" s="2141"/>
      <c r="D638" s="2141"/>
      <c r="E638" s="2141"/>
      <c r="F638" s="2142"/>
      <c r="G638" s="1797"/>
      <c r="H638" s="2142"/>
    </row>
    <row r="639" spans="1:8" ht="13.5">
      <c r="A639" s="1799" t="s">
        <v>3708</v>
      </c>
      <c r="B639" s="1800">
        <f>'Part IV-A-Uses of Funds'!$G$14</f>
        <v>0</v>
      </c>
      <c r="C639" s="1799" t="s">
        <v>1790</v>
      </c>
      <c r="D639" s="1800">
        <f>'Part IV-A-Uses of Funds'!$J$14+'Part IV-A-Uses of Funds'!$M$14+'Part IV-A-Uses of Funds'!$P$14</f>
        <v>0</v>
      </c>
      <c r="E639" s="2141"/>
      <c r="F639" s="2142"/>
      <c r="G639" s="1797"/>
      <c r="H639" s="2142"/>
    </row>
    <row r="640" spans="1:8" ht="13.5">
      <c r="A640" s="1797"/>
      <c r="B640" s="1801"/>
      <c r="C640" s="1797"/>
      <c r="D640" s="1797"/>
      <c r="E640" s="2141"/>
      <c r="F640" s="2142"/>
      <c r="G640" s="1802"/>
      <c r="H640" s="2142"/>
    </row>
    <row r="641" spans="1:8" ht="13.5" customHeight="1">
      <c r="A641" s="1798" t="str">
        <f>'Part IV-A-Uses of Funds'!$C$15</f>
        <v>&lt;&lt; Enter description here; provide detail &amp; justification in tab Part IV-b &gt;&gt;</v>
      </c>
      <c r="B641" s="1798"/>
      <c r="C641" s="1798"/>
      <c r="D641" s="1798"/>
      <c r="E641" s="2141"/>
      <c r="F641" s="2142">
        <f>'Part IV-B-Other Items'!F14</f>
        <v>0</v>
      </c>
      <c r="G641" s="1797"/>
      <c r="H641" s="2142">
        <f>'Part IV-B-Other Items'!H14</f>
        <v>0</v>
      </c>
    </row>
    <row r="642" spans="1:8" ht="13.5">
      <c r="A642" s="1798"/>
      <c r="B642" s="1798"/>
      <c r="C642" s="1798"/>
      <c r="D642" s="1798"/>
      <c r="E642" s="2141"/>
      <c r="F642" s="2142"/>
      <c r="G642" s="1797"/>
      <c r="H642" s="2142"/>
    </row>
    <row r="643" spans="1:8" ht="13.5">
      <c r="A643" s="2141"/>
      <c r="B643" s="2141"/>
      <c r="C643" s="2141"/>
      <c r="D643" s="2141"/>
      <c r="E643" s="2141"/>
      <c r="F643" s="2142"/>
      <c r="G643" s="1797"/>
      <c r="H643" s="2142"/>
    </row>
    <row r="644" spans="1:8" ht="13.5">
      <c r="A644" s="1799" t="s">
        <v>3708</v>
      </c>
      <c r="B644" s="1800">
        <f>'Part IV-A-Uses of Funds'!$G$15</f>
        <v>0</v>
      </c>
      <c r="C644" s="1799" t="s">
        <v>1790</v>
      </c>
      <c r="D644" s="1800">
        <f>'Part IV-A-Uses of Funds'!$J$15+'Part IV-A-Uses of Funds'!$M$15+'Part IV-A-Uses of Funds'!$P$15</f>
        <v>0</v>
      </c>
      <c r="E644" s="2141"/>
      <c r="F644" s="2142"/>
      <c r="G644" s="1797"/>
      <c r="H644" s="2142"/>
    </row>
    <row r="645" spans="1:8" ht="13.5">
      <c r="A645" s="1797"/>
      <c r="B645" s="1801"/>
      <c r="C645" s="1797"/>
      <c r="D645" s="1797"/>
      <c r="E645" s="2141"/>
      <c r="F645" s="2142"/>
      <c r="G645" s="1802"/>
      <c r="H645" s="2142"/>
    </row>
    <row r="646" spans="1:8" ht="13.5" customHeight="1">
      <c r="A646" s="1798" t="str">
        <f>'Part IV-A-Uses of Funds'!$C$16</f>
        <v>&lt;&lt; Enter description here; provide detail &amp; justification in tab Part IV-b &gt;&gt;</v>
      </c>
      <c r="B646" s="1798"/>
      <c r="C646" s="1798"/>
      <c r="D646" s="1798"/>
      <c r="E646" s="2141"/>
      <c r="F646" s="2142">
        <f>'Part IV-B-Other Items'!F19</f>
        <v>0</v>
      </c>
      <c r="G646" s="1797"/>
      <c r="H646" s="2142">
        <f>'Part IV-B-Other Items'!H19</f>
        <v>0</v>
      </c>
    </row>
    <row r="647" spans="1:8" ht="13.5">
      <c r="A647" s="1798"/>
      <c r="B647" s="1798"/>
      <c r="C647" s="1798"/>
      <c r="D647" s="1798"/>
      <c r="E647" s="2141"/>
      <c r="F647" s="2142"/>
      <c r="G647" s="1797"/>
      <c r="H647" s="2142"/>
    </row>
    <row r="648" spans="1:8" ht="13.5">
      <c r="A648" s="2141"/>
      <c r="B648" s="2141"/>
      <c r="C648" s="2141"/>
      <c r="D648" s="2141"/>
      <c r="E648" s="2141"/>
      <c r="F648" s="2142"/>
      <c r="G648" s="1797"/>
      <c r="H648" s="2142"/>
    </row>
    <row r="649" spans="1:8" ht="13.5">
      <c r="A649" s="1799" t="s">
        <v>3708</v>
      </c>
      <c r="B649" s="1800">
        <f>'Part IV-A-Uses of Funds'!$G$16</f>
        <v>0</v>
      </c>
      <c r="C649" s="1799" t="s">
        <v>1790</v>
      </c>
      <c r="D649" s="1800">
        <f>'Part IV-A-Uses of Funds'!$J$16+'Part IV-A-Uses of Funds'!$M$16+'Part IV-A-Uses of Funds'!$P$16</f>
        <v>0</v>
      </c>
      <c r="E649" s="2141"/>
      <c r="F649" s="2142"/>
      <c r="G649" s="1797"/>
      <c r="H649" s="2142"/>
    </row>
    <row r="650" spans="1:8" ht="13.5">
      <c r="A650" s="1797"/>
      <c r="B650" s="1801"/>
      <c r="C650" s="1797"/>
      <c r="D650" s="1797"/>
      <c r="E650" s="2141"/>
      <c r="F650" s="2142"/>
      <c r="G650" s="1802"/>
      <c r="H650" s="2142"/>
    </row>
    <row r="651" spans="1:8" ht="13.5">
      <c r="A651" s="1794" t="s">
        <v>3707</v>
      </c>
      <c r="B651" s="1797"/>
      <c r="C651" s="1797"/>
      <c r="D651" s="1797"/>
      <c r="E651" s="1797"/>
      <c r="F651" s="1797"/>
      <c r="G651" s="1797"/>
      <c r="H651" s="2141"/>
    </row>
    <row r="652" spans="1:8" ht="12.75" customHeight="1">
      <c r="A652" s="1798" t="str">
        <f>'Part IV-A-Uses of Funds'!$C$41</f>
        <v>&lt;&lt; Enter description here; provide detail &amp; justification in tab Part IV-b &gt;&gt;</v>
      </c>
      <c r="B652" s="1798"/>
      <c r="C652" s="1798"/>
      <c r="D652" s="1798"/>
      <c r="E652" s="1797"/>
      <c r="F652" s="2142">
        <f>'Part IV-B-Other Items'!F25</f>
        <v>0</v>
      </c>
      <c r="G652" s="1797"/>
      <c r="H652" s="2142">
        <f>'Part IV-B-Other Items'!H25</f>
        <v>0</v>
      </c>
    </row>
    <row r="653" spans="1:8" ht="12.75" customHeight="1">
      <c r="A653" s="1798"/>
      <c r="B653" s="1798"/>
      <c r="C653" s="1798"/>
      <c r="D653" s="1798"/>
      <c r="E653" s="1797"/>
      <c r="F653" s="2142"/>
      <c r="G653" s="1797"/>
      <c r="H653" s="2142"/>
    </row>
    <row r="654" spans="1:8">
      <c r="A654" s="1797"/>
      <c r="B654" s="1797"/>
      <c r="C654" s="1797"/>
      <c r="D654" s="1797"/>
      <c r="E654" s="1797"/>
      <c r="F654" s="2142"/>
      <c r="G654" s="1797"/>
      <c r="H654" s="2142"/>
    </row>
    <row r="655" spans="1:8">
      <c r="A655" s="1799" t="s">
        <v>3708</v>
      </c>
      <c r="B655" s="1800">
        <f>'Part IV-A-Uses of Funds'!$G$41</f>
        <v>560128</v>
      </c>
      <c r="C655" s="1799" t="s">
        <v>1790</v>
      </c>
      <c r="D655" s="1800">
        <f>'Part IV-A-Uses of Funds'!$J$41+'Part IV-A-Uses of Funds'!$M$41+'Part IV-A-Uses of Funds'!$P$41</f>
        <v>560128</v>
      </c>
      <c r="E655" s="1797"/>
      <c r="F655" s="2142"/>
      <c r="G655" s="1797"/>
      <c r="H655" s="2142"/>
    </row>
    <row r="656" spans="1:8">
      <c r="A656" s="1797"/>
      <c r="B656" s="1801"/>
      <c r="C656" s="1797"/>
      <c r="D656" s="1797"/>
      <c r="E656" s="1797"/>
      <c r="F656" s="2142"/>
      <c r="G656" s="1802"/>
      <c r="H656" s="2142"/>
    </row>
    <row r="657" spans="1:8" ht="13.5">
      <c r="A657" s="1794" t="s">
        <v>722</v>
      </c>
      <c r="B657" s="1797"/>
      <c r="C657" s="1797"/>
      <c r="D657" s="1797"/>
      <c r="E657" s="1797"/>
      <c r="F657" s="1797"/>
      <c r="G657" s="1797"/>
      <c r="H657" s="2141"/>
    </row>
    <row r="658" spans="1:8" ht="12.75" customHeight="1">
      <c r="A658" s="1798" t="str">
        <f>'Part IV-A-Uses of Funds'!$C$62</f>
        <v>Tax Exempt Bond Interest Expense</v>
      </c>
      <c r="B658" s="1798"/>
      <c r="C658" s="1798"/>
      <c r="D658" s="1798"/>
      <c r="E658" s="1797"/>
      <c r="F658" s="2142" t="str">
        <f>'Part IV-B-Other Items'!F31</f>
        <v>This is based on projected interest on the tax exempt bond proceeds, calculated at the total bond amount multiplied by the interest rate, multiplied again by the term.</v>
      </c>
      <c r="G658" s="1797"/>
      <c r="H658" s="2142" t="str">
        <f>'Part IV-B-Other Items'!H31</f>
        <v>The portion of bond interest expense attributed during construction of the buildings is depreciable basis to those buildings; as buildings are completed and placed in service, the proportion of the interest begins to become excluded from basis.</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3708</v>
      </c>
      <c r="B661" s="1800">
        <f>'Part IV-A-Uses of Funds'!$G$62</f>
        <v>370000</v>
      </c>
      <c r="C661" s="1799" t="s">
        <v>1790</v>
      </c>
      <c r="D661" s="1800">
        <f>'Part IV-A-Uses of Funds'!$J$62+'Part IV-A-Uses of Funds'!$M$62+'Part IV-A-Uses of Funds'!$P$62</f>
        <v>370000</v>
      </c>
      <c r="E661" s="1797"/>
      <c r="F661" s="2142"/>
      <c r="G661" s="1797"/>
      <c r="H661" s="2142"/>
    </row>
    <row r="662" spans="1:8" ht="13.5">
      <c r="A662" s="2141"/>
      <c r="B662" s="2141"/>
      <c r="C662" s="2141"/>
      <c r="D662" s="1797"/>
      <c r="E662" s="1797"/>
      <c r="F662" s="2142"/>
      <c r="G662" s="1802"/>
      <c r="H662" s="2142"/>
    </row>
    <row r="663" spans="1:8" ht="12.75" customHeight="1">
      <c r="A663" s="1798" t="str">
        <f>'Part IV-A-Uses of Funds'!$C$63</f>
        <v>&lt;&lt; Enter description here; provide detail &amp; justification in tab Part IV-b &gt;&gt;</v>
      </c>
      <c r="B663" s="1798"/>
      <c r="C663" s="1798"/>
      <c r="D663" s="1798"/>
      <c r="E663" s="1797"/>
      <c r="F663" s="2142">
        <f>'Part IV-B-Other Items'!F36</f>
        <v>0</v>
      </c>
      <c r="G663" s="1797"/>
      <c r="H663" s="2142">
        <f>'Part IV-B-Other Items'!H36</f>
        <v>0</v>
      </c>
    </row>
    <row r="664" spans="1:8" ht="12.75" customHeight="1">
      <c r="A664" s="1798"/>
      <c r="B664" s="1798"/>
      <c r="C664" s="1798"/>
      <c r="D664" s="1798"/>
      <c r="E664" s="1797"/>
      <c r="F664" s="2142"/>
      <c r="G664" s="1797"/>
      <c r="H664" s="2142"/>
    </row>
    <row r="665" spans="1:8">
      <c r="A665" s="1797"/>
      <c r="B665" s="1797"/>
      <c r="C665" s="1797"/>
      <c r="D665" s="1797"/>
      <c r="E665" s="1797"/>
      <c r="F665" s="2142"/>
      <c r="G665" s="1797"/>
      <c r="H665" s="2142"/>
    </row>
    <row r="666" spans="1:8">
      <c r="A666" s="1799" t="s">
        <v>3708</v>
      </c>
      <c r="B666" s="1800">
        <f>'Part IV-A-Uses of Funds'!$G$63</f>
        <v>0</v>
      </c>
      <c r="C666" s="1799" t="s">
        <v>1790</v>
      </c>
      <c r="D666" s="1800">
        <f>'Part IV-A-Uses of Funds'!$J$63+'Part IV-A-Uses of Funds'!$M$63+'Part IV-A-Uses of Funds'!$P$63</f>
        <v>0</v>
      </c>
      <c r="E666" s="1797"/>
      <c r="F666" s="2142"/>
      <c r="G666" s="1797"/>
      <c r="H666" s="2142"/>
    </row>
    <row r="667" spans="1:8" ht="13.5">
      <c r="A667" s="2141"/>
      <c r="B667" s="2141"/>
      <c r="C667" s="2141"/>
      <c r="D667" s="1797"/>
      <c r="E667" s="1797"/>
      <c r="F667" s="2142"/>
      <c r="G667" s="1802"/>
      <c r="H667" s="2142"/>
    </row>
    <row r="668" spans="1:8" ht="13.5">
      <c r="A668" s="1794" t="s">
        <v>476</v>
      </c>
      <c r="B668" s="1797"/>
      <c r="C668" s="1797"/>
      <c r="D668" s="1797"/>
      <c r="E668" s="1803"/>
      <c r="F668" s="1803"/>
      <c r="G668" s="1797"/>
      <c r="H668" s="2141"/>
    </row>
    <row r="669" spans="1:8" ht="13.5" customHeight="1">
      <c r="A669" s="1798" t="str">
        <f>'Part IV-A-Uses of Funds'!$C$76</f>
        <v>&lt;&lt; Enter description here; provide detail &amp; justification in tab Part IV-b &gt;&gt;</v>
      </c>
      <c r="B669" s="1798"/>
      <c r="C669" s="1798"/>
      <c r="D669" s="1798"/>
      <c r="E669" s="2141"/>
      <c r="F669" s="2142">
        <f>'Part IV-B-Other Items'!F42</f>
        <v>0</v>
      </c>
      <c r="G669" s="1797"/>
      <c r="H669" s="2142">
        <f>'Part IV-B-Other Items'!H42</f>
        <v>0</v>
      </c>
    </row>
    <row r="670" spans="1:8" ht="12.75" customHeight="1">
      <c r="A670" s="1798"/>
      <c r="B670" s="1798"/>
      <c r="C670" s="1798"/>
      <c r="D670" s="1798"/>
      <c r="E670" s="1797"/>
      <c r="F670" s="2142"/>
      <c r="G670" s="1797"/>
      <c r="H670" s="2142"/>
    </row>
    <row r="671" spans="1:8">
      <c r="A671" s="1797"/>
      <c r="B671" s="1797"/>
      <c r="C671" s="1797"/>
      <c r="D671" s="1797"/>
      <c r="E671" s="1797"/>
      <c r="F671" s="2142"/>
      <c r="G671" s="1797"/>
      <c r="H671" s="2142"/>
    </row>
    <row r="672" spans="1:8">
      <c r="A672" s="1799" t="s">
        <v>3708</v>
      </c>
      <c r="B672" s="1800">
        <f>'Part IV-A-Uses of Funds'!$G$76</f>
        <v>0</v>
      </c>
      <c r="C672" s="1799" t="s">
        <v>1790</v>
      </c>
      <c r="D672" s="1800">
        <f>'Part IV-A-Uses of Funds'!$J$76+'Part IV-A-Uses of Funds'!$M$76+'Part IV-A-Uses of Funds'!$P$76</f>
        <v>0</v>
      </c>
      <c r="E672" s="1797"/>
      <c r="F672" s="2142"/>
      <c r="G672" s="1797"/>
      <c r="H672" s="2142"/>
    </row>
    <row r="673" spans="1:8">
      <c r="A673" s="1797"/>
      <c r="B673" s="1801"/>
      <c r="C673" s="1797"/>
      <c r="D673" s="1797"/>
      <c r="E673" s="1797"/>
      <c r="F673" s="2142"/>
      <c r="G673" s="1802"/>
      <c r="H673" s="2142"/>
    </row>
    <row r="674" spans="1:8" ht="13.5">
      <c r="A674" s="1794" t="s">
        <v>724</v>
      </c>
      <c r="B674" s="1797"/>
      <c r="C674" s="1797"/>
      <c r="D674" s="1797"/>
      <c r="E674" s="1797"/>
      <c r="F674" s="1797"/>
      <c r="G674" s="1797"/>
      <c r="H674" s="2141"/>
    </row>
    <row r="675" spans="1:8" ht="13.5" customHeight="1">
      <c r="A675" s="1798" t="str">
        <f>'Part IV-A-Uses of Funds'!$C$90</f>
        <v>&lt;&lt; Enter description here; provide detail &amp; justification in tab Part IV-b &gt;&gt;</v>
      </c>
      <c r="B675" s="1798"/>
      <c r="C675" s="1798"/>
      <c r="D675" s="1798"/>
      <c r="E675" s="2141"/>
      <c r="F675" s="2142">
        <f>'Part IV-B-Other Items'!F48</f>
        <v>0</v>
      </c>
      <c r="G675" s="1797"/>
      <c r="H675" s="2141"/>
    </row>
    <row r="676" spans="1:8" ht="13.5">
      <c r="A676" s="1798"/>
      <c r="B676" s="1798"/>
      <c r="C676" s="1798"/>
      <c r="D676" s="1798"/>
      <c r="E676" s="1797"/>
      <c r="F676" s="2142"/>
      <c r="G676" s="1797"/>
      <c r="H676" s="2141"/>
    </row>
    <row r="677" spans="1:8" ht="13.5">
      <c r="A677" s="1797"/>
      <c r="B677" s="1797"/>
      <c r="C677" s="1797"/>
      <c r="D677" s="1797"/>
      <c r="E677" s="1797"/>
      <c r="F677" s="2142"/>
      <c r="G677" s="1797"/>
      <c r="H677" s="2141"/>
    </row>
    <row r="678" spans="1:8" ht="13.5">
      <c r="A678" s="1799" t="s">
        <v>3708</v>
      </c>
      <c r="B678" s="1800">
        <f>'Part IV-A-Uses of Funds'!$G$90</f>
        <v>0</v>
      </c>
      <c r="C678" s="1804"/>
      <c r="D678" s="1804"/>
      <c r="E678" s="1797"/>
      <c r="F678" s="2142"/>
      <c r="G678" s="1797"/>
      <c r="H678" s="2141"/>
    </row>
    <row r="679" spans="1:8" ht="13.5">
      <c r="A679" s="1797"/>
      <c r="B679" s="1797"/>
      <c r="C679" s="1797"/>
      <c r="D679" s="1797"/>
      <c r="E679" s="1797"/>
      <c r="F679" s="2142"/>
      <c r="G679" s="1802"/>
      <c r="H679" s="2141"/>
    </row>
    <row r="680" spans="1:8" ht="13.5">
      <c r="A680" s="1794" t="s">
        <v>5109</v>
      </c>
      <c r="B680" s="1797"/>
      <c r="C680" s="1797"/>
      <c r="D680" s="1797"/>
      <c r="E680" s="1797"/>
      <c r="F680" s="1797"/>
      <c r="G680" s="1797"/>
      <c r="H680" s="2141"/>
    </row>
    <row r="681" spans="1:8" ht="13.5" customHeight="1">
      <c r="A681" s="1798" t="str">
        <f>'Part IV-A-Uses of Funds'!$C$103</f>
        <v>&lt;&lt; Enter description here; provide detail &amp; justification in tab Part IV-b &gt;&gt;</v>
      </c>
      <c r="B681" s="1798"/>
      <c r="C681" s="1798"/>
      <c r="D681" s="1798"/>
      <c r="E681" s="2141"/>
      <c r="F681" s="2142">
        <f>'Part IV-B-Other Items'!F54</f>
        <v>0</v>
      </c>
      <c r="G681" s="1797"/>
      <c r="H681" s="2141"/>
    </row>
    <row r="682" spans="1:8" ht="13.5">
      <c r="A682" s="1798"/>
      <c r="B682" s="1798"/>
      <c r="C682" s="1798"/>
      <c r="D682" s="1798"/>
      <c r="E682" s="1797"/>
      <c r="F682" s="2142"/>
      <c r="G682" s="1797"/>
      <c r="H682" s="2141"/>
    </row>
    <row r="683" spans="1:8" ht="13.5">
      <c r="A683" s="1797"/>
      <c r="B683" s="1797"/>
      <c r="C683" s="1797"/>
      <c r="D683" s="1797"/>
      <c r="E683" s="1797"/>
      <c r="F683" s="2142"/>
      <c r="G683" s="1797"/>
      <c r="H683" s="2141"/>
    </row>
    <row r="684" spans="1:8" ht="13.5">
      <c r="A684" s="1799" t="s">
        <v>3708</v>
      </c>
      <c r="B684" s="1800">
        <f>'Part IV-A-Uses of Funds'!$G$103</f>
        <v>0</v>
      </c>
      <c r="C684" s="1804"/>
      <c r="D684" s="1804"/>
      <c r="E684" s="1797"/>
      <c r="F684" s="2142"/>
      <c r="G684" s="1797"/>
      <c r="H684" s="2141"/>
    </row>
    <row r="685" spans="1:8" ht="13.5">
      <c r="A685" s="2748"/>
      <c r="B685" s="2748"/>
      <c r="C685" s="2748"/>
      <c r="D685" s="2748"/>
      <c r="E685" s="2748"/>
      <c r="F685" s="2142"/>
      <c r="G685" s="1802"/>
      <c r="H685" s="2141"/>
    </row>
    <row r="686" spans="1:8" ht="13.5" customHeight="1">
      <c r="A686" s="1798" t="str">
        <f>'Part IV-A-Uses of Funds'!$C$104</f>
        <v>&lt;&lt; Enter description here; provide detail &amp; justification in tab Part IV-b &gt;&gt;</v>
      </c>
      <c r="B686" s="1798"/>
      <c r="C686" s="1798"/>
      <c r="D686" s="1798"/>
      <c r="E686" s="2141"/>
      <c r="F686" s="2142">
        <f>'Part IV-B-Other Items'!F59</f>
        <v>0</v>
      </c>
      <c r="G686" s="1797"/>
      <c r="H686" s="2141"/>
    </row>
    <row r="687" spans="1:8" ht="13.5">
      <c r="A687" s="1798"/>
      <c r="B687" s="1798"/>
      <c r="C687" s="1798"/>
      <c r="D687" s="1798"/>
      <c r="E687" s="1797"/>
      <c r="F687" s="2142"/>
      <c r="G687" s="1797"/>
      <c r="H687" s="2141"/>
    </row>
    <row r="688" spans="1:8" ht="13.5">
      <c r="A688" s="1797"/>
      <c r="B688" s="1797"/>
      <c r="C688" s="1797"/>
      <c r="D688" s="1797"/>
      <c r="E688" s="1797"/>
      <c r="F688" s="2142"/>
      <c r="G688" s="1797"/>
      <c r="H688" s="2141"/>
    </row>
    <row r="689" spans="1:8" ht="13.5">
      <c r="A689" s="1799" t="s">
        <v>3708</v>
      </c>
      <c r="B689" s="1800">
        <f>'Part IV-A-Uses of Funds'!$G$104</f>
        <v>0</v>
      </c>
      <c r="C689" s="1804"/>
      <c r="D689" s="1804"/>
      <c r="E689" s="1797"/>
      <c r="F689" s="2142"/>
      <c r="G689" s="1797"/>
      <c r="H689" s="2141"/>
    </row>
    <row r="690" spans="1:8" ht="13.5">
      <c r="A690" s="2748"/>
      <c r="B690" s="2748"/>
      <c r="C690" s="2748"/>
      <c r="D690" s="2748"/>
      <c r="E690" s="2748"/>
      <c r="F690" s="2142"/>
      <c r="G690" s="1802"/>
      <c r="H690" s="2141"/>
    </row>
    <row r="691" spans="1:8" ht="13.5">
      <c r="A691" s="1794" t="s">
        <v>5110</v>
      </c>
      <c r="B691" s="1797"/>
      <c r="C691" s="1797"/>
      <c r="D691" s="1797"/>
      <c r="E691" s="1797"/>
      <c r="F691" s="1797"/>
      <c r="G691" s="1797"/>
      <c r="H691" s="2141"/>
    </row>
    <row r="692" spans="1:8" ht="13.5" customHeight="1">
      <c r="A692" s="1798" t="str">
        <f>'Part IV-A-Uses of Funds'!$C$110</f>
        <v>&lt;&lt; Enter description here; provide detail &amp; justification in tab Part IV-b &gt;&gt;</v>
      </c>
      <c r="B692" s="1798"/>
      <c r="C692" s="1798"/>
      <c r="D692" s="1798"/>
      <c r="E692" s="2141"/>
      <c r="F692" s="2142">
        <f>'Part IV-B-Other Items'!F65</f>
        <v>0</v>
      </c>
      <c r="G692" s="1797"/>
      <c r="H692" s="2141"/>
    </row>
    <row r="693" spans="1:8" ht="13.5">
      <c r="A693" s="1798"/>
      <c r="B693" s="1798"/>
      <c r="C693" s="1798"/>
      <c r="D693" s="1798"/>
      <c r="E693" s="1797"/>
      <c r="F693" s="2142"/>
      <c r="G693" s="1797"/>
      <c r="H693" s="2141"/>
    </row>
    <row r="694" spans="1:8" ht="13.5">
      <c r="A694" s="1797"/>
      <c r="B694" s="1797"/>
      <c r="C694" s="1797"/>
      <c r="D694" s="1797"/>
      <c r="E694" s="1797"/>
      <c r="F694" s="2142"/>
      <c r="G694" s="1797"/>
      <c r="H694" s="2141"/>
    </row>
    <row r="695" spans="1:8" ht="13.5">
      <c r="A695" s="1799" t="s">
        <v>3708</v>
      </c>
      <c r="B695" s="1800">
        <f>'Part IV-A-Uses of Funds'!$G$110</f>
        <v>0</v>
      </c>
      <c r="C695" s="1804"/>
      <c r="D695" s="1804"/>
      <c r="E695" s="1797"/>
      <c r="F695" s="2142"/>
      <c r="G695" s="1797"/>
      <c r="H695" s="2141"/>
    </row>
    <row r="696" spans="1:8" ht="13.5">
      <c r="A696" s="1797"/>
      <c r="B696" s="1801"/>
      <c r="C696" s="1797"/>
      <c r="D696" s="1797"/>
      <c r="E696" s="1797"/>
      <c r="F696" s="2142"/>
      <c r="G696" s="1802"/>
      <c r="H696" s="2141"/>
    </row>
    <row r="697" spans="1:8" ht="13.5">
      <c r="A697" s="1794" t="s">
        <v>1309</v>
      </c>
      <c r="B697" s="1797"/>
      <c r="C697" s="1797"/>
      <c r="D697" s="1797"/>
      <c r="E697" s="1797"/>
      <c r="F697" s="1797"/>
      <c r="G697" s="1797"/>
      <c r="H697" s="2141"/>
    </row>
    <row r="698" spans="1:8" ht="13.5" customHeight="1">
      <c r="A698" s="1798" t="str">
        <f>'Part IV-A-Uses of Funds'!$C$125</f>
        <v>&lt;&lt; Enter description here; provide detail &amp; justification in tab Part IV-b &gt;&gt;</v>
      </c>
      <c r="B698" s="1798"/>
      <c r="C698" s="1798"/>
      <c r="D698" s="1798"/>
      <c r="E698" s="2141"/>
      <c r="F698" s="2142">
        <f>'Part IV-B-Other Items'!F71</f>
        <v>0</v>
      </c>
      <c r="G698" s="1797"/>
      <c r="H698" s="2142">
        <f>'Part IV-B-Other Items'!H71</f>
        <v>0</v>
      </c>
    </row>
    <row r="699" spans="1:8" ht="12.75" customHeight="1">
      <c r="A699" s="1798"/>
      <c r="B699" s="1798"/>
      <c r="C699" s="1798"/>
      <c r="D699" s="1798"/>
      <c r="E699" s="1797"/>
      <c r="F699" s="2142"/>
      <c r="G699" s="1797"/>
      <c r="H699" s="2142"/>
    </row>
    <row r="700" spans="1:8">
      <c r="A700" s="1797"/>
      <c r="B700" s="1797"/>
      <c r="C700" s="1797"/>
      <c r="D700" s="1797"/>
      <c r="E700" s="1797"/>
      <c r="F700" s="2142"/>
      <c r="G700" s="1797"/>
      <c r="H700" s="2142"/>
    </row>
    <row r="701" spans="1:8">
      <c r="A701" s="1799" t="s">
        <v>3708</v>
      </c>
      <c r="B701" s="1800">
        <f>'Part IV-A-Uses of Funds'!$G$125</f>
        <v>0</v>
      </c>
      <c r="C701" s="1799" t="s">
        <v>1790</v>
      </c>
      <c r="D701" s="1800">
        <f>'Part IV-A-Uses of Funds'!$J$125+'Part IV-A-Uses of Funds'!$M$125+'Part IV-A-Uses of Funds'!$P$125</f>
        <v>0</v>
      </c>
      <c r="E701" s="1797"/>
      <c r="F701" s="2142"/>
      <c r="G701" s="1797"/>
      <c r="H701" s="2142"/>
    </row>
    <row r="702" spans="1:8">
      <c r="A702" s="1797"/>
      <c r="B702" s="1801"/>
      <c r="C702" s="1797"/>
      <c r="D702" s="1797"/>
      <c r="E702" s="1797"/>
      <c r="F702" s="2142"/>
      <c r="G702" s="1802"/>
      <c r="H702" s="2142"/>
    </row>
    <row r="703" spans="1:8" ht="13.5">
      <c r="A703" s="1794" t="s">
        <v>5111</v>
      </c>
      <c r="B703" s="1801"/>
      <c r="C703" s="1797"/>
      <c r="D703" s="1797"/>
      <c r="E703" s="1797"/>
      <c r="F703" s="1797"/>
      <c r="G703" s="1802"/>
      <c r="H703" s="2141"/>
    </row>
    <row r="704" spans="1:8" ht="13.5" customHeight="1">
      <c r="A704" s="1798" t="str">
        <f>'Part IV-A-Uses of Funds'!$C$129</f>
        <v>&lt;&lt; Enter description here; provide detail &amp; justification in tab Part IV-b &gt;&gt;</v>
      </c>
      <c r="B704" s="1798"/>
      <c r="C704" s="1798"/>
      <c r="D704" s="1798"/>
      <c r="E704" s="2141"/>
      <c r="F704" s="2142">
        <f>'Part IV-B-Other Items'!F77</f>
        <v>0</v>
      </c>
      <c r="G704" s="1797"/>
      <c r="H704" s="2142">
        <f>'Part IV-B-Other Items'!H77</f>
        <v>0</v>
      </c>
    </row>
    <row r="705" spans="1:13" ht="12.75" customHeight="1">
      <c r="A705" s="1798"/>
      <c r="B705" s="1798"/>
      <c r="C705" s="1798"/>
      <c r="D705" s="1798"/>
      <c r="E705" s="1797"/>
      <c r="F705" s="2142"/>
      <c r="G705" s="1797"/>
      <c r="H705" s="2142"/>
    </row>
    <row r="706" spans="1:13">
      <c r="A706" s="1797"/>
      <c r="B706" s="1797"/>
      <c r="C706" s="1797"/>
      <c r="D706" s="1797"/>
      <c r="E706" s="1797"/>
      <c r="F706" s="2142"/>
      <c r="G706" s="1797"/>
      <c r="H706" s="2142"/>
    </row>
    <row r="707" spans="1:13">
      <c r="A707" s="1799" t="s">
        <v>3708</v>
      </c>
      <c r="B707" s="1800">
        <f>'Part IV-A-Uses of Funds'!$G$129</f>
        <v>0</v>
      </c>
      <c r="C707" s="1799" t="s">
        <v>1790</v>
      </c>
      <c r="D707" s="1800">
        <f>'Part IV-A-Uses of Funds'!$J$129+'Part IV-A-Uses of Funds'!$M$129+'Part IV-A-Uses of Funds'!$P$129</f>
        <v>0</v>
      </c>
      <c r="E707" s="1797"/>
      <c r="F707" s="2142"/>
      <c r="G707" s="1797"/>
      <c r="H707" s="2142"/>
    </row>
    <row r="708" spans="1:13" ht="13.5">
      <c r="A708" s="2141"/>
      <c r="B708" s="2141"/>
      <c r="C708" s="2141"/>
      <c r="D708" s="1797"/>
      <c r="E708" s="1800"/>
      <c r="F708" s="2142"/>
      <c r="G708" s="1802"/>
      <c r="H708" s="2142"/>
    </row>
    <row r="711" spans="1:13">
      <c r="A711" s="1631" t="str">
        <f>CONCATENATE("PART FIVE - UTILITY ALLOWANCES","  -  ",'Part I-Project Information'!$O$6," ",'Part I-Project Information'!$F$34,", ",'Part I-Project Information'!F748,", ",'Part I-Project Information'!J749," County")</f>
        <v>PART FIVE - UTILITY ALLOWANCES  -  2019-5 Stone Terrace Phase II, ,  County</v>
      </c>
      <c r="B711" s="1631"/>
      <c r="C711" s="1631"/>
      <c r="D711" s="1631"/>
      <c r="E711" s="1631"/>
      <c r="F711" s="1631"/>
      <c r="G711" s="1631"/>
      <c r="H711" s="1631"/>
      <c r="I711" s="1631"/>
      <c r="J711" s="1631"/>
      <c r="K711" s="1631"/>
      <c r="L711" s="1631"/>
      <c r="M711" s="1631"/>
    </row>
    <row r="713" spans="1:13">
      <c r="B713" s="2120" t="str">
        <f>'Part I-Project Information'!$B$6</f>
        <v>May 2019 Final</v>
      </c>
      <c r="C713" s="2120"/>
      <c r="D713" s="2120"/>
      <c r="E713" s="2120"/>
      <c r="F713" s="1631" t="s">
        <v>4613</v>
      </c>
      <c r="I713" s="1947" t="str">
        <f>VLOOKUP('Part I-Project Information'!$J$39,'DCA Underwriting Assumptions'!$G$158:$H$317,2)</f>
        <v>Local PHA</v>
      </c>
    </row>
    <row r="715" spans="1:13">
      <c r="A715" s="1806" t="s">
        <v>3807</v>
      </c>
    </row>
    <row r="717" spans="1:13" ht="51">
      <c r="A717" s="742" t="s">
        <v>616</v>
      </c>
      <c r="B717" s="742" t="s">
        <v>2227</v>
      </c>
      <c r="F717" s="742" t="s">
        <v>2519</v>
      </c>
      <c r="I717" s="1635" t="str">
        <f>'Part V-Utility Allowances'!I7</f>
        <v>Housing Authority of DeKalb County, Georgia</v>
      </c>
      <c r="J717" s="1635"/>
      <c r="K717" s="1635"/>
      <c r="L717" s="1635"/>
      <c r="M717" s="1635"/>
    </row>
    <row r="718" spans="1:13">
      <c r="F718" s="742" t="s">
        <v>636</v>
      </c>
      <c r="I718" s="2143">
        <f>'Part V-Utility Allowances'!I8</f>
        <v>43282</v>
      </c>
      <c r="J718" s="2143"/>
      <c r="K718" s="1637" t="s">
        <v>540</v>
      </c>
      <c r="L718" s="2111" t="str">
        <f>'Part V-Utility Allowances'!L8</f>
        <v>MF</v>
      </c>
      <c r="M718" s="2111"/>
    </row>
    <row r="720" spans="1:13">
      <c r="F720" s="2111" t="s">
        <v>609</v>
      </c>
      <c r="G720" s="2111"/>
      <c r="I720" s="2111" t="s">
        <v>200</v>
      </c>
      <c r="J720" s="2111"/>
      <c r="K720" s="2111"/>
      <c r="L720" s="2111"/>
      <c r="M720" s="2111"/>
    </row>
    <row r="721" spans="1:13">
      <c r="B721" s="742" t="s">
        <v>798</v>
      </c>
      <c r="D721" s="742" t="s">
        <v>1599</v>
      </c>
      <c r="F721" s="1637" t="s">
        <v>642</v>
      </c>
      <c r="G721" s="1637" t="s">
        <v>1850</v>
      </c>
      <c r="I721" s="1637" t="s">
        <v>568</v>
      </c>
      <c r="J721" s="1637">
        <v>1</v>
      </c>
      <c r="K721" s="1637">
        <v>2</v>
      </c>
      <c r="L721" s="1637">
        <v>3</v>
      </c>
      <c r="M721" s="1637">
        <v>4</v>
      </c>
    </row>
    <row r="722" spans="1:13">
      <c r="B722" s="742" t="s">
        <v>1852</v>
      </c>
      <c r="D722" s="2111" t="str">
        <f>'Part V-Utility Allowances'!D12</f>
        <v>Electric Heat Pump</v>
      </c>
      <c r="E722" s="2111"/>
      <c r="F722" s="2749" t="str">
        <f>'Part V-Utility Allowances'!F12</f>
        <v>X</v>
      </c>
      <c r="G722" s="2749">
        <f>'Part V-Utility Allowances'!G12</f>
        <v>0</v>
      </c>
      <c r="I722" s="1637">
        <f>'Part V-Utility Allowances'!I12</f>
        <v>0</v>
      </c>
      <c r="J722" s="1637">
        <f>'Part V-Utility Allowances'!J12</f>
        <v>9</v>
      </c>
      <c r="K722" s="1637">
        <f>'Part V-Utility Allowances'!K12</f>
        <v>11</v>
      </c>
      <c r="L722" s="1637">
        <f>'Part V-Utility Allowances'!L12</f>
        <v>13</v>
      </c>
      <c r="M722" s="1637">
        <f>'Part V-Utility Allowances'!M12</f>
        <v>14</v>
      </c>
    </row>
    <row r="723" spans="1:13">
      <c r="B723" s="742" t="s">
        <v>1597</v>
      </c>
      <c r="D723" s="2111" t="str">
        <f>'Part V-Utility Allowances'!D13</f>
        <v>Electric</v>
      </c>
      <c r="E723" s="2111"/>
      <c r="F723" s="2749" t="str">
        <f>'Part V-Utility Allowances'!F13</f>
        <v>X</v>
      </c>
      <c r="G723" s="2749">
        <f>'Part V-Utility Allowances'!G13</f>
        <v>0</v>
      </c>
      <c r="I723" s="1637">
        <f>'Part V-Utility Allowances'!I13</f>
        <v>0</v>
      </c>
      <c r="J723" s="1637">
        <f>'Part V-Utility Allowances'!J13</f>
        <v>4</v>
      </c>
      <c r="K723" s="1637">
        <f>'Part V-Utility Allowances'!K13</f>
        <v>6</v>
      </c>
      <c r="L723" s="1637">
        <f>'Part V-Utility Allowances'!L13</f>
        <v>8</v>
      </c>
      <c r="M723" s="1637">
        <f>'Part V-Utility Allowances'!M13</f>
        <v>10</v>
      </c>
    </row>
    <row r="724" spans="1:13">
      <c r="B724" s="742" t="s">
        <v>1598</v>
      </c>
      <c r="D724" s="2111" t="str">
        <f>'Part V-Utility Allowances'!D14</f>
        <v>Electric</v>
      </c>
      <c r="E724" s="2111"/>
      <c r="F724" s="2749" t="str">
        <f>'Part V-Utility Allowances'!F14</f>
        <v>X</v>
      </c>
      <c r="G724" s="2749">
        <f>'Part V-Utility Allowances'!G14</f>
        <v>0</v>
      </c>
      <c r="I724" s="1637">
        <f>'Part V-Utility Allowances'!I14</f>
        <v>0</v>
      </c>
      <c r="J724" s="1637">
        <f>'Part V-Utility Allowances'!J14</f>
        <v>10</v>
      </c>
      <c r="K724" s="1637">
        <f>'Part V-Utility Allowances'!K14</f>
        <v>13</v>
      </c>
      <c r="L724" s="1637">
        <f>'Part V-Utility Allowances'!L14</f>
        <v>16</v>
      </c>
      <c r="M724" s="1637">
        <f>'Part V-Utility Allowances'!M14</f>
        <v>19</v>
      </c>
    </row>
    <row r="725" spans="1:13">
      <c r="B725" s="742" t="s">
        <v>467</v>
      </c>
      <c r="D725" s="742" t="s">
        <v>1596</v>
      </c>
      <c r="F725" s="2749" t="str">
        <f>'Part V-Utility Allowances'!F15</f>
        <v>X</v>
      </c>
      <c r="G725" s="2749">
        <f>'Part V-Utility Allowances'!G15</f>
        <v>0</v>
      </c>
      <c r="I725" s="1637">
        <f>'Part V-Utility Allowances'!I15</f>
        <v>0</v>
      </c>
      <c r="J725" s="1637">
        <f>'Part V-Utility Allowances'!J15</f>
        <v>8</v>
      </c>
      <c r="K725" s="1637">
        <f>'Part V-Utility Allowances'!K15</f>
        <v>11</v>
      </c>
      <c r="L725" s="1637">
        <f>'Part V-Utility Allowances'!L15</f>
        <v>13</v>
      </c>
      <c r="M725" s="1637">
        <f>'Part V-Utility Allowances'!M15</f>
        <v>16</v>
      </c>
    </row>
    <row r="726" spans="1:13">
      <c r="B726" s="742" t="s">
        <v>3804</v>
      </c>
      <c r="D726" s="742" t="s">
        <v>1596</v>
      </c>
      <c r="F726" s="2749">
        <f>'Part V-Utility Allowances'!F16</f>
        <v>0</v>
      </c>
      <c r="G726" s="2749" t="str">
        <f>'Part V-Utility Allowances'!G16</f>
        <v>X</v>
      </c>
      <c r="I726" s="1637">
        <f>'Part V-Utility Allowances'!I16</f>
        <v>0</v>
      </c>
      <c r="J726" s="1637">
        <f>'Part V-Utility Allowances'!J16</f>
        <v>0</v>
      </c>
      <c r="K726" s="1637">
        <f>'Part V-Utility Allowances'!K16</f>
        <v>0</v>
      </c>
      <c r="L726" s="1637">
        <f>'Part V-Utility Allowances'!L16</f>
        <v>0</v>
      </c>
      <c r="M726" s="1637">
        <f>'Part V-Utility Allowances'!M16</f>
        <v>0</v>
      </c>
    </row>
    <row r="727" spans="1:13">
      <c r="B727" s="742" t="s">
        <v>3805</v>
      </c>
      <c r="D727" s="742" t="s">
        <v>1596</v>
      </c>
      <c r="F727" s="2749">
        <f>'Part V-Utility Allowances'!F17</f>
        <v>0</v>
      </c>
      <c r="G727" s="2749" t="str">
        <f>'Part V-Utility Allowances'!G17</f>
        <v>X</v>
      </c>
      <c r="I727" s="1637">
        <f>'Part V-Utility Allowances'!I17</f>
        <v>0</v>
      </c>
      <c r="J727" s="1637">
        <f>'Part V-Utility Allowances'!J17</f>
        <v>0</v>
      </c>
      <c r="K727" s="1637">
        <f>'Part V-Utility Allowances'!K17</f>
        <v>0</v>
      </c>
      <c r="L727" s="1637">
        <f>'Part V-Utility Allowances'!L17</f>
        <v>0</v>
      </c>
      <c r="M727" s="1637">
        <f>'Part V-Utility Allowances'!M17</f>
        <v>0</v>
      </c>
    </row>
    <row r="728" spans="1:13">
      <c r="B728" s="742" t="s">
        <v>3806</v>
      </c>
      <c r="D728" s="742" t="s">
        <v>1596</v>
      </c>
      <c r="F728" s="2749" t="str">
        <f>'Part V-Utility Allowances'!F18</f>
        <v>X</v>
      </c>
      <c r="G728" s="2749">
        <f>'Part V-Utility Allowances'!G18</f>
        <v>0</v>
      </c>
      <c r="I728" s="1637">
        <f>'Part V-Utility Allowances'!I18</f>
        <v>0</v>
      </c>
      <c r="J728" s="1637">
        <f>'Part V-Utility Allowances'!J18</f>
        <v>16</v>
      </c>
      <c r="K728" s="1637">
        <f>'Part V-Utility Allowances'!K18</f>
        <v>23</v>
      </c>
      <c r="L728" s="1637">
        <f>'Part V-Utility Allowances'!L18</f>
        <v>29</v>
      </c>
      <c r="M728" s="1637">
        <f>'Part V-Utility Allowances'!M18</f>
        <v>36</v>
      </c>
    </row>
    <row r="729" spans="1:13">
      <c r="B729" s="742" t="s">
        <v>1370</v>
      </c>
      <c r="D729" s="742" t="s">
        <v>4526</v>
      </c>
      <c r="E729" s="1637" t="str">
        <f>'Part V-Utility Allowances'!E19</f>
        <v>Yes</v>
      </c>
      <c r="F729" s="2749">
        <f>'Part V-Utility Allowances'!F19</f>
        <v>0</v>
      </c>
      <c r="G729" s="2749" t="str">
        <f>'Part V-Utility Allowances'!G19</f>
        <v>X</v>
      </c>
      <c r="I729" s="1637">
        <f>'Part V-Utility Allowances'!I19</f>
        <v>0</v>
      </c>
      <c r="J729" s="1637">
        <f>'Part V-Utility Allowances'!J19</f>
        <v>0</v>
      </c>
      <c r="K729" s="1637">
        <f>'Part V-Utility Allowances'!K19</f>
        <v>0</v>
      </c>
      <c r="L729" s="1637">
        <f>'Part V-Utility Allowances'!L19</f>
        <v>0</v>
      </c>
      <c r="M729" s="1637">
        <f>'Part V-Utility Allowances'!M19</f>
        <v>0</v>
      </c>
    </row>
    <row r="730" spans="1:13">
      <c r="B730" s="742" t="s">
        <v>1851</v>
      </c>
      <c r="F730" s="2749">
        <f>'Part V-Utility Allowances'!F20</f>
        <v>0</v>
      </c>
      <c r="G730" s="2749" t="str">
        <f>'Part V-Utility Allowances'!G20</f>
        <v>X</v>
      </c>
      <c r="I730" s="1637">
        <f>'Part V-Utility Allowances'!I20</f>
        <v>0</v>
      </c>
      <c r="J730" s="1637">
        <f>'Part V-Utility Allowances'!J20</f>
        <v>0</v>
      </c>
      <c r="K730" s="1637">
        <f>'Part V-Utility Allowances'!K20</f>
        <v>0</v>
      </c>
      <c r="L730" s="1637">
        <f>'Part V-Utility Allowances'!L20</f>
        <v>0</v>
      </c>
      <c r="M730" s="1637">
        <f>'Part V-Utility Allowances'!M20</f>
        <v>0</v>
      </c>
    </row>
    <row r="731" spans="1:13">
      <c r="B731" s="742" t="s">
        <v>741</v>
      </c>
      <c r="C731" s="521" t="str">
        <f>'Part V-Utility Allowances'!C21</f>
        <v>Electric Charge</v>
      </c>
      <c r="D731" s="521"/>
      <c r="E731" s="521"/>
      <c r="F731" s="2749" t="str">
        <f>'Part V-Utility Allowances'!F21</f>
        <v>X</v>
      </c>
      <c r="G731" s="2749">
        <f>'Part V-Utility Allowances'!G21</f>
        <v>0</v>
      </c>
      <c r="I731" s="1637">
        <f>'Part V-Utility Allowances'!I21</f>
        <v>0</v>
      </c>
      <c r="J731" s="1637">
        <f>'Part V-Utility Allowances'!J21</f>
        <v>14</v>
      </c>
      <c r="K731" s="1637">
        <f>'Part V-Utility Allowances'!K21</f>
        <v>14</v>
      </c>
      <c r="L731" s="1637">
        <f>'Part V-Utility Allowances'!L21</f>
        <v>14</v>
      </c>
      <c r="M731" s="1637">
        <f>'Part V-Utility Allowances'!M21</f>
        <v>14</v>
      </c>
    </row>
    <row r="732" spans="1:13">
      <c r="B732" s="742" t="s">
        <v>1020</v>
      </c>
      <c r="F732" s="1637"/>
      <c r="G732" s="1637"/>
      <c r="I732" s="1637">
        <f>IF(SUM(I722:I731)=0,0,IF(OR($D722="&lt;&lt;Select Fuel &gt;&gt;",$D723="&lt;&lt;Select Fuel &gt;&gt;",$D724="&lt;&lt;Select Fuel &gt;&gt;"),"Select Fuel",IF($E729="&lt;Select&gt;","Submeter?",SUM(I722:I731))))</f>
        <v>0</v>
      </c>
      <c r="J732" s="1637">
        <f>IF(SUM(J722:J731)=0,0,IF(OR($D722="&lt;&lt;Select Fuel &gt;&gt;",$D723="&lt;&lt;Select Fuel &gt;&gt;",$D724="&lt;&lt;Select Fuel &gt;&gt;"),"Select Fuel",IF($E729="&lt;Select&gt;","Submeter?",SUM(J722:J731))))</f>
        <v>61</v>
      </c>
      <c r="K732" s="1637">
        <f>IF(SUM(K722:K731)=0,0,IF(OR($D722="&lt;&lt;Select Fuel &gt;&gt;",$D723="&lt;&lt;Select Fuel &gt;&gt;",$D724="&lt;&lt;Select Fuel &gt;&gt;"),"Select Fuel",IF($E729="&lt;Select&gt;","Submeter?",SUM(K722:K731))))</f>
        <v>78</v>
      </c>
      <c r="L732" s="1637">
        <f>IF(SUM(L722:L731)=0,0,IF(OR($D722="&lt;&lt;Select Fuel &gt;&gt;",$D723="&lt;&lt;Select Fuel &gt;&gt;",$D724="&lt;&lt;Select Fuel &gt;&gt;"),"Select Fuel",IF($E729="&lt;Select&gt;","Submeter?",SUM(L722:L731))))</f>
        <v>93</v>
      </c>
      <c r="M732" s="1637">
        <f>IF(SUM(M722:M731)=0,0,IF(OR($D722="&lt;&lt;Select Fuel &gt;&gt;",$D723="&lt;&lt;Select Fuel &gt;&gt;",$D724="&lt;&lt;Select Fuel &gt;&gt;"),"Select Fuel",IF($E729="&lt;Select&gt;","Submeter?",SUM(M722:M731))))</f>
        <v>109</v>
      </c>
    </row>
    <row r="734" spans="1:13">
      <c r="A734" s="742" t="s">
        <v>740</v>
      </c>
      <c r="B734" s="742" t="s">
        <v>2228</v>
      </c>
      <c r="F734" s="742" t="s">
        <v>2519</v>
      </c>
      <c r="I734" s="1635">
        <f>'Part V-Utility Allowances'!I24</f>
        <v>0</v>
      </c>
      <c r="J734" s="1635"/>
      <c r="K734" s="1635"/>
      <c r="L734" s="1635"/>
      <c r="M734" s="1635"/>
    </row>
    <row r="735" spans="1:13">
      <c r="F735" s="742" t="s">
        <v>636</v>
      </c>
      <c r="I735" s="2143">
        <f>'Part V-Utility Allowances'!I25</f>
        <v>0</v>
      </c>
      <c r="J735" s="2143"/>
      <c r="K735" s="1637" t="s">
        <v>540</v>
      </c>
      <c r="L735" s="2111">
        <f>'Part V-Utility Allowances'!L25</f>
        <v>0</v>
      </c>
      <c r="M735" s="2111"/>
    </row>
    <row r="737" spans="2:13">
      <c r="F737" s="2111" t="s">
        <v>609</v>
      </c>
      <c r="G737" s="2111"/>
      <c r="I737" s="2111" t="s">
        <v>200</v>
      </c>
      <c r="J737" s="2111"/>
      <c r="K737" s="2111"/>
      <c r="L737" s="2111"/>
      <c r="M737" s="2111"/>
    </row>
    <row r="738" spans="2:13">
      <c r="B738" s="742" t="s">
        <v>798</v>
      </c>
      <c r="D738" s="742" t="s">
        <v>1599</v>
      </c>
      <c r="F738" s="1637" t="s">
        <v>642</v>
      </c>
      <c r="G738" s="1637" t="s">
        <v>1850</v>
      </c>
      <c r="I738" s="1637" t="s">
        <v>568</v>
      </c>
      <c r="J738" s="1637">
        <v>1</v>
      </c>
      <c r="K738" s="1637">
        <v>2</v>
      </c>
      <c r="L738" s="1637">
        <v>3</v>
      </c>
      <c r="M738" s="1637">
        <v>4</v>
      </c>
    </row>
    <row r="739" spans="2:13">
      <c r="B739" s="742" t="s">
        <v>1852</v>
      </c>
      <c r="D739" s="2111" t="str">
        <f>'Part V-Utility Allowances'!D29</f>
        <v>&lt;&lt;Select Fuel &gt;&gt;</v>
      </c>
      <c r="E739" s="2111"/>
      <c r="F739" s="2749">
        <f>'Part V-Utility Allowances'!F29</f>
        <v>0</v>
      </c>
      <c r="G739" s="2749">
        <f>'Part V-Utility Allowances'!G29</f>
        <v>0</v>
      </c>
      <c r="I739" s="1637">
        <f>'Part V-Utility Allowances'!I29</f>
        <v>0</v>
      </c>
      <c r="J739" s="1637">
        <f>'Part V-Utility Allowances'!J29</f>
        <v>0</v>
      </c>
      <c r="K739" s="1637">
        <f>'Part V-Utility Allowances'!K29</f>
        <v>0</v>
      </c>
      <c r="L739" s="1637">
        <f>'Part V-Utility Allowances'!L29</f>
        <v>0</v>
      </c>
      <c r="M739" s="1637">
        <f>'Part V-Utility Allowances'!M29</f>
        <v>0</v>
      </c>
    </row>
    <row r="740" spans="2:13">
      <c r="B740" s="742" t="s">
        <v>1597</v>
      </c>
      <c r="D740" s="2111" t="str">
        <f>'Part V-Utility Allowances'!D30</f>
        <v>&lt;&lt;Select Fuel &gt;&gt;</v>
      </c>
      <c r="E740" s="2111"/>
      <c r="F740" s="2749">
        <f>'Part V-Utility Allowances'!F30</f>
        <v>0</v>
      </c>
      <c r="G740" s="2749">
        <f>'Part V-Utility Allowances'!G30</f>
        <v>0</v>
      </c>
      <c r="I740" s="1637">
        <f>'Part V-Utility Allowances'!I30</f>
        <v>0</v>
      </c>
      <c r="J740" s="1637">
        <f>'Part V-Utility Allowances'!J30</f>
        <v>0</v>
      </c>
      <c r="K740" s="1637">
        <f>'Part V-Utility Allowances'!K30</f>
        <v>0</v>
      </c>
      <c r="L740" s="1637">
        <f>'Part V-Utility Allowances'!L30</f>
        <v>0</v>
      </c>
      <c r="M740" s="1637">
        <f>'Part V-Utility Allowances'!M30</f>
        <v>0</v>
      </c>
    </row>
    <row r="741" spans="2:13">
      <c r="B741" s="742" t="s">
        <v>1598</v>
      </c>
      <c r="D741" s="2111" t="str">
        <f>'Part V-Utility Allowances'!D31</f>
        <v>&lt;&lt;Select Fuel &gt;&gt;</v>
      </c>
      <c r="E741" s="2111"/>
      <c r="F741" s="2749">
        <f>'Part V-Utility Allowances'!F31</f>
        <v>0</v>
      </c>
      <c r="G741" s="2749">
        <f>'Part V-Utility Allowances'!G31</f>
        <v>0</v>
      </c>
      <c r="I741" s="1637">
        <f>'Part V-Utility Allowances'!I31</f>
        <v>0</v>
      </c>
      <c r="J741" s="1637">
        <f>'Part V-Utility Allowances'!J31</f>
        <v>0</v>
      </c>
      <c r="K741" s="1637">
        <f>'Part V-Utility Allowances'!K31</f>
        <v>0</v>
      </c>
      <c r="L741" s="1637">
        <f>'Part V-Utility Allowances'!L31</f>
        <v>0</v>
      </c>
      <c r="M741" s="1637">
        <f>'Part V-Utility Allowances'!M31</f>
        <v>0</v>
      </c>
    </row>
    <row r="742" spans="2:13">
      <c r="B742" s="742" t="s">
        <v>467</v>
      </c>
      <c r="D742" s="742" t="s">
        <v>1596</v>
      </c>
      <c r="F742" s="2749">
        <f>'Part V-Utility Allowances'!F32</f>
        <v>0</v>
      </c>
      <c r="G742" s="2749">
        <f>'Part V-Utility Allowances'!G32</f>
        <v>0</v>
      </c>
      <c r="I742" s="1637">
        <f>'Part V-Utility Allowances'!I32</f>
        <v>0</v>
      </c>
      <c r="J742" s="1637">
        <f>'Part V-Utility Allowances'!J32</f>
        <v>0</v>
      </c>
      <c r="K742" s="1637">
        <f>'Part V-Utility Allowances'!K32</f>
        <v>0</v>
      </c>
      <c r="L742" s="1637">
        <f>'Part V-Utility Allowances'!L32</f>
        <v>0</v>
      </c>
      <c r="M742" s="1637">
        <f>'Part V-Utility Allowances'!M32</f>
        <v>0</v>
      </c>
    </row>
    <row r="743" spans="2:13">
      <c r="B743" s="742" t="s">
        <v>3804</v>
      </c>
      <c r="D743" s="742" t="s">
        <v>1596</v>
      </c>
      <c r="F743" s="2749">
        <f>'Part V-Utility Allowances'!F33</f>
        <v>0</v>
      </c>
      <c r="G743" s="2749">
        <f>'Part V-Utility Allowances'!G33</f>
        <v>0</v>
      </c>
      <c r="I743" s="1637">
        <f>'Part V-Utility Allowances'!I33</f>
        <v>0</v>
      </c>
      <c r="J743" s="1637">
        <f>'Part V-Utility Allowances'!J33</f>
        <v>0</v>
      </c>
      <c r="K743" s="1637">
        <f>'Part V-Utility Allowances'!K33</f>
        <v>0</v>
      </c>
      <c r="L743" s="1637">
        <f>'Part V-Utility Allowances'!L33</f>
        <v>0</v>
      </c>
      <c r="M743" s="1637">
        <f>'Part V-Utility Allowances'!M33</f>
        <v>0</v>
      </c>
    </row>
    <row r="744" spans="2:13">
      <c r="B744" s="742" t="s">
        <v>3805</v>
      </c>
      <c r="D744" s="742" t="s">
        <v>1596</v>
      </c>
      <c r="F744" s="2749">
        <f>'Part V-Utility Allowances'!F34</f>
        <v>0</v>
      </c>
      <c r="G744" s="2749">
        <f>'Part V-Utility Allowances'!G34</f>
        <v>0</v>
      </c>
      <c r="I744" s="1637">
        <f>'Part V-Utility Allowances'!I34</f>
        <v>0</v>
      </c>
      <c r="J744" s="1637">
        <f>'Part V-Utility Allowances'!J34</f>
        <v>0</v>
      </c>
      <c r="K744" s="1637">
        <f>'Part V-Utility Allowances'!K34</f>
        <v>0</v>
      </c>
      <c r="L744" s="1637">
        <f>'Part V-Utility Allowances'!L34</f>
        <v>0</v>
      </c>
      <c r="M744" s="1637">
        <f>'Part V-Utility Allowances'!M34</f>
        <v>0</v>
      </c>
    </row>
    <row r="745" spans="2:13">
      <c r="B745" s="742" t="s">
        <v>3806</v>
      </c>
      <c r="D745" s="742" t="s">
        <v>1596</v>
      </c>
      <c r="F745" s="2749">
        <f>'Part V-Utility Allowances'!F35</f>
        <v>0</v>
      </c>
      <c r="G745" s="2749">
        <f>'Part V-Utility Allowances'!G35</f>
        <v>0</v>
      </c>
      <c r="I745" s="1637">
        <f>'Part V-Utility Allowances'!I35</f>
        <v>0</v>
      </c>
      <c r="J745" s="1637">
        <f>'Part V-Utility Allowances'!J35</f>
        <v>0</v>
      </c>
      <c r="K745" s="1637">
        <f>'Part V-Utility Allowances'!K35</f>
        <v>0</v>
      </c>
      <c r="L745" s="1637">
        <f>'Part V-Utility Allowances'!L35</f>
        <v>0</v>
      </c>
      <c r="M745" s="1637">
        <f>'Part V-Utility Allowances'!M35</f>
        <v>0</v>
      </c>
    </row>
    <row r="746" spans="2:13">
      <c r="B746" s="742" t="s">
        <v>1370</v>
      </c>
      <c r="D746" s="742" t="s">
        <v>4526</v>
      </c>
      <c r="E746" s="1637" t="str">
        <f>'Part V-Utility Allowances'!E36</f>
        <v>&lt;Select&gt;</v>
      </c>
      <c r="F746" s="2749">
        <f>'Part V-Utility Allowances'!F36</f>
        <v>0</v>
      </c>
      <c r="G746" s="2749">
        <f>'Part V-Utility Allowances'!G36</f>
        <v>0</v>
      </c>
      <c r="I746" s="1637">
        <f>'Part V-Utility Allowances'!I36</f>
        <v>0</v>
      </c>
      <c r="J746" s="1637">
        <f>'Part V-Utility Allowances'!J36</f>
        <v>0</v>
      </c>
      <c r="K746" s="1637">
        <f>'Part V-Utility Allowances'!K36</f>
        <v>0</v>
      </c>
      <c r="L746" s="1637">
        <f>'Part V-Utility Allowances'!L36</f>
        <v>0</v>
      </c>
      <c r="M746" s="1637">
        <f>'Part V-Utility Allowances'!M36</f>
        <v>0</v>
      </c>
    </row>
    <row r="747" spans="2:13">
      <c r="B747" s="742" t="s">
        <v>1851</v>
      </c>
      <c r="F747" s="2749">
        <f>'Part V-Utility Allowances'!F37</f>
        <v>0</v>
      </c>
      <c r="G747" s="2749">
        <f>'Part V-Utility Allowances'!G37</f>
        <v>0</v>
      </c>
      <c r="I747" s="1637">
        <f>'Part V-Utility Allowances'!I37</f>
        <v>0</v>
      </c>
      <c r="J747" s="1637">
        <f>'Part V-Utility Allowances'!J37</f>
        <v>0</v>
      </c>
      <c r="K747" s="1637">
        <f>'Part V-Utility Allowances'!K37</f>
        <v>0</v>
      </c>
      <c r="L747" s="1637">
        <f>'Part V-Utility Allowances'!L37</f>
        <v>0</v>
      </c>
      <c r="M747" s="1637">
        <f>'Part V-Utility Allowances'!M37</f>
        <v>0</v>
      </c>
    </row>
    <row r="748" spans="2:13">
      <c r="B748" s="742" t="s">
        <v>741</v>
      </c>
      <c r="C748" s="521">
        <v>0</v>
      </c>
      <c r="D748" s="521"/>
      <c r="E748" s="521"/>
      <c r="F748" s="2749">
        <f>'Part V-Utility Allowances'!F38</f>
        <v>0</v>
      </c>
      <c r="G748" s="2749">
        <f>'Part V-Utility Allowances'!G38</f>
        <v>0</v>
      </c>
      <c r="I748" s="1637">
        <f>'Part V-Utility Allowances'!I38</f>
        <v>0</v>
      </c>
      <c r="J748" s="1637">
        <f>'Part V-Utility Allowances'!J38</f>
        <v>0</v>
      </c>
      <c r="K748" s="1637">
        <f>'Part V-Utility Allowances'!K38</f>
        <v>0</v>
      </c>
      <c r="L748" s="1637">
        <f>'Part V-Utility Allowances'!L38</f>
        <v>0</v>
      </c>
      <c r="M748" s="1637">
        <f>'Part V-Utility Allowances'!M38</f>
        <v>0</v>
      </c>
    </row>
    <row r="749" spans="2:13">
      <c r="B749" s="742" t="s">
        <v>1020</v>
      </c>
      <c r="F749" s="1637"/>
      <c r="G749" s="1637"/>
      <c r="I749" s="1637">
        <f>IF(SUM(I739:I748)=0,0,IF(OR($D739="&lt;&lt;Select Fuel &gt;&gt;",$D741="&lt;&lt;Select Fuel &gt;&gt;",$D742="&lt;&lt;Select Fuel &gt;&gt;"),"Select Fuel",IF($E746="&lt;Select&gt;","Submeter?",SUM(I739:I748))))</f>
        <v>0</v>
      </c>
      <c r="J749" s="1637">
        <f>IF(SUM(J739:J748)=0,0,IF(OR($D739="&lt;&lt;Select Fuel &gt;&gt;",$D741="&lt;&lt;Select Fuel &gt;&gt;",$D742="&lt;&lt;Select Fuel &gt;&gt;"),"Select Fuel",IF($E746="&lt;Select&gt;","Submeter?",SUM(J739:J748))))</f>
        <v>0</v>
      </c>
      <c r="K749" s="1637">
        <f>IF(SUM(K739:K748)=0,0,IF(OR($D739="&lt;&lt;Select Fuel &gt;&gt;",$D741="&lt;&lt;Select Fuel &gt;&gt;",$D742="&lt;&lt;Select Fuel &gt;&gt;"),"Select Fuel",IF($E746="&lt;Select&gt;","Submeter?",SUM(K739:K748))))</f>
        <v>0</v>
      </c>
      <c r="L749" s="1637">
        <f>IF(SUM(L739:L748)=0,0,IF(OR($D739="&lt;&lt;Select Fuel &gt;&gt;",$D741="&lt;&lt;Select Fuel &gt;&gt;",$D742="&lt;&lt;Select Fuel &gt;&gt;"),"Select Fuel",IF($E746="&lt;Select&gt;","Submeter?",SUM(L739:L748))))</f>
        <v>0</v>
      </c>
      <c r="M749" s="1637">
        <f>IF(SUM(M739:M748)=0,0,IF(OR($D739="&lt;&lt;Select Fuel &gt;&gt;",$D741="&lt;&lt;Select Fuel &gt;&gt;",$D742="&lt;&lt;Select Fuel &gt;&gt;"),"Select Fuel",IF($E746="&lt;Select&gt;","Submeter?",SUM(M739:M748))))</f>
        <v>0</v>
      </c>
    </row>
    <row r="751" spans="2:13">
      <c r="B751" s="1216" t="s">
        <v>4527</v>
      </c>
      <c r="F751" s="1637"/>
      <c r="G751" s="1637"/>
      <c r="I751" s="1637"/>
      <c r="J751" s="1637"/>
      <c r="K751" s="1637"/>
      <c r="L751" s="1637"/>
      <c r="M751" s="1637"/>
    </row>
    <row r="752" spans="2:13">
      <c r="B752" s="742" t="s">
        <v>572</v>
      </c>
    </row>
    <row r="753" spans="1:357">
      <c r="B753" s="1485">
        <f>'Part V-Utility Allowances'!B43</f>
        <v>0</v>
      </c>
      <c r="C753" s="1485"/>
      <c r="D753" s="1485"/>
      <c r="E753" s="1485"/>
      <c r="F753" s="1485"/>
      <c r="G753" s="1485"/>
      <c r="H753" s="1485"/>
      <c r="I753" s="1485"/>
      <c r="J753" s="1485"/>
      <c r="K753" s="1485"/>
      <c r="L753" s="1485"/>
      <c r="M753" s="1485"/>
    </row>
    <row r="755" spans="1:357">
      <c r="B755" s="742" t="s">
        <v>1845</v>
      </c>
    </row>
    <row r="756" spans="1:357">
      <c r="B756" s="1485">
        <f>'Part V-Utility Allowances'!B46</f>
        <v>0</v>
      </c>
      <c r="C756" s="1485"/>
      <c r="D756" s="1485"/>
      <c r="E756" s="1485"/>
      <c r="F756" s="1485"/>
      <c r="G756" s="1485"/>
      <c r="H756" s="1485"/>
      <c r="I756" s="1485"/>
      <c r="J756" s="1485"/>
      <c r="K756" s="1485"/>
      <c r="L756" s="1485"/>
      <c r="M756" s="1485"/>
    </row>
    <row r="763" spans="1:357">
      <c r="A763" s="1631" t="str">
        <f>CONCATENATE("PART SIX - PROJECTED REVENUES &amp; EXPENSES","  -  ",'Part I-Project Information'!$O$6," ",'Part I-Project Information'!$F$34,", ",'Part I-Project Information'!F800,", ",'Part I-Project Information'!J801," County")</f>
        <v>PART SIX - PROJECTED REVENUES &amp; EXPENSES  -  2019-5 Stone Terrace Phase II, ,  County</v>
      </c>
      <c r="B763" s="1631"/>
      <c r="C763" s="1631"/>
      <c r="D763" s="1631"/>
      <c r="E763" s="1631"/>
      <c r="F763" s="1631"/>
      <c r="G763" s="1631"/>
      <c r="H763" s="1631"/>
      <c r="I763" s="1631"/>
      <c r="J763" s="1631"/>
      <c r="K763" s="1631"/>
      <c r="L763" s="1631"/>
      <c r="M763" s="1631"/>
      <c r="N763" s="1631"/>
      <c r="O763" s="1631"/>
      <c r="P763" s="1631"/>
      <c r="Q763" s="1631"/>
      <c r="R763" s="1631"/>
      <c r="S763" s="1631"/>
      <c r="T763" s="1631"/>
      <c r="U763" s="1631" t="str">
        <f>A763</f>
        <v>PART SIX - PROJECTED REVENUES &amp; EXPENSES  -  2019-5 Stone Terrace Phase II, ,  County</v>
      </c>
      <c r="V763" s="1631"/>
      <c r="W763" s="1631"/>
      <c r="X763" s="1631"/>
      <c r="Y763" s="1631"/>
      <c r="Z763" s="1631"/>
      <c r="AA763" s="1631"/>
      <c r="AB763" s="1631"/>
      <c r="AC763" s="1631"/>
      <c r="AD763" s="1631"/>
      <c r="AE763" s="1631"/>
      <c r="AF763" s="1631"/>
      <c r="AG763" s="1631"/>
      <c r="AH763" s="1631"/>
      <c r="AI763" s="1631"/>
      <c r="AJ763" s="1631"/>
      <c r="AK763" s="1631"/>
      <c r="AL763" s="1631"/>
      <c r="AM763" s="1631"/>
      <c r="AN763" s="1631"/>
      <c r="AO763" s="1631"/>
      <c r="AP763" s="1631"/>
      <c r="AQ763" s="1631"/>
      <c r="AR763" s="1631"/>
      <c r="AS763" s="1631"/>
      <c r="AT763" s="1631"/>
      <c r="AU763" s="1631"/>
      <c r="AV763" s="1631"/>
      <c r="AW763" s="1631"/>
      <c r="AX763" s="1631"/>
      <c r="AY763" s="1631"/>
      <c r="AZ763" s="1631"/>
      <c r="BA763" s="1631"/>
      <c r="BB763" s="1631"/>
      <c r="BC763" s="1631"/>
      <c r="BD763" s="1631"/>
      <c r="BE763" s="1631"/>
      <c r="BF763" s="1631"/>
      <c r="BG763" s="1631"/>
      <c r="BH763" s="1631"/>
      <c r="BI763" s="1631"/>
      <c r="BJ763" s="1631"/>
      <c r="BK763" s="1631"/>
      <c r="BL763" s="1631"/>
      <c r="BM763" s="1631"/>
      <c r="BN763" s="1631"/>
      <c r="BO763" s="1631"/>
      <c r="BP763" s="1631"/>
      <c r="BQ763" s="1631"/>
      <c r="BR763" s="1631"/>
      <c r="BS763" s="1631"/>
      <c r="BT763" s="1631"/>
      <c r="BU763" s="1631"/>
      <c r="BV763" s="1631"/>
      <c r="BW763" s="1631"/>
      <c r="BX763" s="1631"/>
      <c r="BY763" s="1631"/>
      <c r="BZ763" s="1631"/>
      <c r="CA763" s="1631"/>
      <c r="CB763" s="1631"/>
      <c r="CC763" s="1631"/>
      <c r="CD763" s="1631"/>
      <c r="CE763" s="1631"/>
      <c r="CF763" s="1631"/>
      <c r="CG763" s="1631"/>
      <c r="CH763" s="1631"/>
      <c r="CI763" s="1631"/>
      <c r="CJ763" s="1631"/>
      <c r="CK763" s="1631"/>
      <c r="CL763" s="1631"/>
      <c r="CM763" s="1631"/>
      <c r="CN763" s="1631"/>
      <c r="CO763" s="1631"/>
      <c r="CP763" s="1631"/>
      <c r="CQ763" s="1631"/>
      <c r="CR763" s="1631"/>
      <c r="CS763" s="1631"/>
      <c r="CT763" s="1631"/>
      <c r="CU763" s="1631"/>
      <c r="CV763" s="1631"/>
      <c r="CW763" s="1631"/>
      <c r="CX763" s="1631"/>
      <c r="CY763" s="1631"/>
      <c r="CZ763" s="1631"/>
      <c r="DA763" s="1631"/>
      <c r="DB763" s="1631"/>
      <c r="DC763" s="1631"/>
      <c r="DD763" s="1631"/>
      <c r="DE763" s="1631"/>
      <c r="DF763" s="1631"/>
      <c r="DG763" s="1631"/>
      <c r="DH763" s="1631"/>
      <c r="DI763" s="1631"/>
      <c r="DJ763" s="1631"/>
      <c r="DK763" s="1631"/>
      <c r="DL763" s="1631"/>
      <c r="DM763" s="1631"/>
      <c r="DN763" s="1631"/>
      <c r="DO763" s="1631"/>
      <c r="DP763" s="1631"/>
      <c r="DQ763" s="1631"/>
      <c r="DR763" s="1631"/>
      <c r="DS763" s="1631"/>
      <c r="DT763" s="1631"/>
      <c r="DU763" s="1631"/>
      <c r="DV763" s="1631"/>
      <c r="DW763" s="1631"/>
      <c r="DX763" s="1631"/>
      <c r="DY763" s="1631"/>
      <c r="DZ763" s="1631"/>
      <c r="EA763" s="1631"/>
      <c r="EB763" s="1631"/>
      <c r="EC763" s="1631"/>
      <c r="ED763" s="1631"/>
      <c r="EE763" s="1631"/>
      <c r="EF763" s="1631"/>
      <c r="EG763" s="1631"/>
      <c r="EH763" s="1631"/>
      <c r="EI763" s="1631"/>
      <c r="EJ763" s="1631"/>
      <c r="EK763" s="1631"/>
      <c r="EL763" s="1631"/>
      <c r="EM763" s="1631"/>
      <c r="EN763" s="1631"/>
      <c r="EO763" s="1631"/>
      <c r="EP763" s="1631"/>
      <c r="EQ763" s="1631"/>
      <c r="ER763" s="1631"/>
      <c r="ES763" s="1631"/>
      <c r="ET763" s="1631"/>
      <c r="EU763" s="1631"/>
      <c r="EV763" s="1631"/>
      <c r="EW763" s="1631"/>
      <c r="EX763" s="1631"/>
      <c r="EY763" s="1631"/>
      <c r="EZ763" s="1631"/>
      <c r="FA763" s="1631"/>
      <c r="FB763" s="1631"/>
      <c r="FC763" s="1631"/>
      <c r="FD763" s="1631"/>
      <c r="FE763" s="1631"/>
      <c r="FF763" s="1631"/>
      <c r="FG763" s="1631"/>
      <c r="FH763" s="1631"/>
      <c r="FI763" s="1631"/>
      <c r="FJ763" s="1631"/>
      <c r="FK763" s="1631"/>
      <c r="FL763" s="1631"/>
      <c r="FM763" s="1631"/>
      <c r="FN763" s="1631"/>
      <c r="FO763" s="1631"/>
      <c r="FP763" s="1631"/>
      <c r="FQ763" s="1631"/>
      <c r="FR763" s="1631"/>
      <c r="FS763" s="1631"/>
      <c r="FT763" s="1631"/>
      <c r="FU763" s="1631"/>
      <c r="FV763" s="1631"/>
      <c r="FW763" s="1631"/>
      <c r="FX763" s="1631"/>
      <c r="FY763" s="1631"/>
      <c r="FZ763" s="1631"/>
      <c r="GA763" s="1631"/>
      <c r="GB763" s="1631"/>
      <c r="GC763" s="1631"/>
      <c r="GD763" s="1631"/>
      <c r="GE763" s="1631"/>
      <c r="GF763" s="1631"/>
      <c r="GG763" s="1631"/>
      <c r="GH763" s="1631"/>
      <c r="GI763" s="1631"/>
      <c r="GJ763" s="1631"/>
      <c r="GK763" s="1631"/>
      <c r="GL763" s="1631"/>
      <c r="GM763" s="1631"/>
      <c r="GN763" s="1631"/>
      <c r="GO763" s="1631"/>
      <c r="GP763" s="1631"/>
      <c r="GQ763" s="1631"/>
      <c r="GR763" s="1631"/>
      <c r="GS763" s="1631"/>
      <c r="GT763" s="1631"/>
      <c r="GU763" s="1631"/>
      <c r="GV763" s="1631"/>
      <c r="GW763" s="1631"/>
      <c r="GX763" s="1631"/>
      <c r="GY763" s="1631"/>
      <c r="GZ763" s="1631"/>
      <c r="HA763" s="1631"/>
      <c r="HB763" s="1631"/>
      <c r="HC763" s="1631"/>
      <c r="HD763" s="1631"/>
      <c r="HE763" s="1631"/>
      <c r="HF763" s="1631"/>
      <c r="HG763" s="1631"/>
      <c r="HH763" s="1631"/>
      <c r="HI763" s="1631"/>
      <c r="HJ763" s="1631"/>
      <c r="HK763" s="1631"/>
      <c r="HL763" s="1631"/>
      <c r="HM763" s="1631"/>
      <c r="HN763" s="1631"/>
      <c r="HO763" s="1631"/>
      <c r="HP763" s="1631"/>
      <c r="HQ763" s="1631"/>
      <c r="HR763" s="1631"/>
      <c r="HS763" s="1631"/>
      <c r="HT763" s="1631"/>
      <c r="HU763" s="1631"/>
      <c r="HV763" s="1631"/>
      <c r="HW763" s="1630"/>
      <c r="HX763" s="1630"/>
      <c r="HY763" s="1630"/>
      <c r="HZ763" s="1630"/>
      <c r="IA763" s="1630"/>
      <c r="IB763" s="1630"/>
      <c r="IC763" s="1630"/>
      <c r="ID763" s="1630"/>
      <c r="IE763" s="1630"/>
      <c r="IF763" s="1630"/>
      <c r="IG763" s="1630"/>
      <c r="IH763" s="1630"/>
      <c r="II763" s="1630"/>
      <c r="IJ763" s="1630"/>
      <c r="IK763" s="1630"/>
      <c r="IL763" s="1630"/>
      <c r="IM763" s="1630"/>
      <c r="IN763" s="1630"/>
      <c r="IO763" s="1630"/>
      <c r="IP763" s="1630"/>
      <c r="IQ763" s="1630"/>
      <c r="IR763" s="1630"/>
      <c r="IS763" s="1630"/>
      <c r="IT763" s="1630"/>
      <c r="IU763" s="1630"/>
      <c r="IV763" s="1630"/>
      <c r="IW763" s="1630"/>
      <c r="IX763" s="1630"/>
      <c r="IY763" s="1630"/>
      <c r="IZ763" s="1630"/>
      <c r="JA763" s="1630"/>
      <c r="JB763" s="1630"/>
      <c r="JC763" s="1630"/>
      <c r="JD763" s="1630"/>
      <c r="JE763" s="1630"/>
      <c r="JF763" s="1630"/>
      <c r="JG763" s="1630"/>
      <c r="JH763" s="1630"/>
      <c r="JI763" s="1630"/>
      <c r="JJ763" s="1630"/>
      <c r="JK763" s="1630"/>
      <c r="JL763" s="1630"/>
      <c r="JM763" s="1630"/>
      <c r="JN763" s="1630"/>
      <c r="JO763" s="1630"/>
      <c r="JP763" s="1630"/>
      <c r="JQ763" s="1630"/>
      <c r="JR763" s="1630"/>
      <c r="JS763" s="1630"/>
      <c r="JT763" s="1630"/>
      <c r="JU763" s="1630"/>
      <c r="JV763" s="1630"/>
      <c r="JW763" s="1630"/>
      <c r="JX763" s="1630"/>
      <c r="JY763" s="1630"/>
      <c r="JZ763" s="1630"/>
      <c r="KA763" s="1630"/>
      <c r="KB763" s="1630"/>
      <c r="KC763" s="1630"/>
      <c r="KD763" s="1630"/>
      <c r="KE763" s="1630"/>
      <c r="KF763" s="1630"/>
      <c r="KG763" s="1630"/>
      <c r="KH763" s="1630"/>
      <c r="KI763" s="1630"/>
      <c r="KJ763" s="1630"/>
      <c r="KK763" s="1630"/>
      <c r="KL763" s="1630"/>
      <c r="KM763" s="1630"/>
      <c r="KN763" s="1630"/>
      <c r="KO763" s="1631"/>
      <c r="KP763" s="1631"/>
      <c r="KQ763" s="1630"/>
      <c r="KR763" s="1630"/>
      <c r="KS763" s="1630"/>
      <c r="KT763" s="1631"/>
      <c r="KU763" s="1631"/>
      <c r="KV763" s="1631"/>
      <c r="KW763" s="1631"/>
      <c r="KX763" s="1631"/>
      <c r="KY763" s="1631"/>
      <c r="KZ763" s="1631"/>
      <c r="LA763" s="1631"/>
      <c r="LB763" s="1631"/>
      <c r="LC763" s="1631"/>
      <c r="LD763" s="1631"/>
      <c r="LE763" s="1631"/>
      <c r="LF763" s="1631"/>
      <c r="LG763" s="1631"/>
      <c r="LH763" s="1631"/>
      <c r="LI763" s="1631"/>
      <c r="LJ763" s="1631"/>
      <c r="LK763" s="1631"/>
      <c r="LL763" s="1631"/>
      <c r="LM763" s="1631"/>
      <c r="LN763" s="1631"/>
      <c r="LO763" s="1631"/>
      <c r="LP763" s="1631"/>
      <c r="LQ763" s="1631"/>
      <c r="LR763" s="1631"/>
      <c r="LS763" s="1631"/>
      <c r="LT763" s="1631"/>
      <c r="LU763" s="1631"/>
      <c r="LV763" s="1631"/>
      <c r="LW763" s="1631"/>
      <c r="LX763" s="1631"/>
      <c r="LY763" s="1631"/>
      <c r="LZ763" s="1631"/>
      <c r="MA763" s="1631"/>
      <c r="MB763" s="1631"/>
      <c r="MC763" s="1631"/>
      <c r="MD763" s="1631"/>
      <c r="ME763" s="1631"/>
      <c r="MF763" s="1631"/>
      <c r="MG763" s="1631"/>
      <c r="MH763" s="1631"/>
      <c r="MI763" s="1631"/>
      <c r="MJ763" s="1631"/>
      <c r="MK763" s="1631"/>
      <c r="ML763" s="1631"/>
      <c r="MM763" s="1631"/>
      <c r="MN763" s="1631"/>
      <c r="MO763" s="1631"/>
      <c r="MP763" s="1631"/>
      <c r="MQ763" s="1631"/>
      <c r="MR763" s="1631"/>
      <c r="MS763" s="1631"/>
    </row>
    <row r="764" spans="1:357">
      <c r="W764" s="1486"/>
      <c r="X764" s="1486"/>
      <c r="Y764" s="1486"/>
      <c r="Z764" s="1486"/>
      <c r="AA764" s="1486"/>
      <c r="AB764" s="1486"/>
      <c r="AC764" s="1486"/>
      <c r="AD764" s="1486"/>
      <c r="AE764" s="1486"/>
      <c r="AF764" s="1486"/>
      <c r="AG764" s="1486"/>
      <c r="AH764" s="1486"/>
      <c r="AI764" s="1486"/>
      <c r="AJ764" s="1486"/>
      <c r="AK764" s="1486"/>
      <c r="AL764" s="1486"/>
      <c r="AM764" s="1486"/>
      <c r="AN764" s="1486"/>
      <c r="AO764" s="1486"/>
      <c r="AP764" s="1486"/>
      <c r="AQ764" s="1486"/>
      <c r="AR764" s="1486"/>
      <c r="AS764" s="1486"/>
      <c r="AT764" s="1486"/>
      <c r="AU764" s="1486"/>
      <c r="AV764" s="1486"/>
      <c r="AW764" s="1486"/>
      <c r="AX764" s="1486"/>
      <c r="AY764" s="1486"/>
      <c r="AZ764" s="1486"/>
      <c r="BA764" s="1486"/>
      <c r="BB764" s="1486"/>
      <c r="BC764" s="1486"/>
      <c r="BD764" s="1486"/>
      <c r="BE764" s="1486"/>
      <c r="BF764" s="1486"/>
      <c r="BG764" s="1486"/>
      <c r="BH764" s="1486"/>
      <c r="BI764" s="1486"/>
      <c r="BJ764" s="1486"/>
      <c r="BK764" s="1486"/>
      <c r="BL764" s="1486"/>
      <c r="BM764" s="1486"/>
      <c r="BN764" s="1486"/>
      <c r="BO764" s="1486"/>
      <c r="BP764" s="1486"/>
      <c r="BQ764" s="1486"/>
      <c r="BR764" s="1486"/>
      <c r="BS764" s="1486"/>
      <c r="BT764" s="1486"/>
      <c r="BU764" s="1486"/>
      <c r="BV764" s="1486"/>
      <c r="BW764" s="1486"/>
      <c r="BX764" s="1486"/>
      <c r="BY764" s="1486"/>
      <c r="BZ764" s="1486"/>
      <c r="CA764" s="1486"/>
      <c r="CB764" s="1486"/>
      <c r="CC764" s="1486"/>
      <c r="CD764" s="1486"/>
      <c r="CE764" s="1486"/>
      <c r="CF764" s="1486"/>
      <c r="CG764" s="1486"/>
      <c r="CH764" s="1486"/>
      <c r="CI764" s="1486"/>
      <c r="CJ764" s="1486"/>
      <c r="CK764" s="1486"/>
      <c r="CL764" s="1486"/>
      <c r="CM764" s="1486"/>
      <c r="CN764" s="1486"/>
      <c r="CO764" s="1486"/>
      <c r="CP764" s="1486"/>
      <c r="CQ764" s="1486"/>
      <c r="CR764" s="1486"/>
      <c r="CS764" s="1486"/>
      <c r="CT764" s="1486"/>
      <c r="CU764" s="1486"/>
      <c r="CV764" s="1486"/>
      <c r="CW764" s="1486"/>
      <c r="CX764" s="1486"/>
      <c r="CY764" s="1486"/>
      <c r="CZ764" s="1486"/>
      <c r="DA764" s="1486"/>
      <c r="DB764" s="1486"/>
      <c r="DC764" s="1486"/>
      <c r="DD764" s="1486"/>
      <c r="DE764" s="1486"/>
      <c r="DF764" s="1486"/>
      <c r="DG764" s="1486"/>
      <c r="DH764" s="1486"/>
      <c r="DI764" s="1486"/>
      <c r="DJ764" s="1486"/>
      <c r="DK764" s="1486"/>
      <c r="DL764" s="1486"/>
      <c r="DM764" s="1486"/>
      <c r="DN764" s="1486"/>
      <c r="DO764" s="1486"/>
      <c r="DP764" s="1486"/>
      <c r="DQ764" s="1486"/>
      <c r="DR764" s="1486"/>
      <c r="DS764" s="1486"/>
      <c r="DT764" s="1486"/>
      <c r="DU764" s="1486"/>
      <c r="DV764" s="1486"/>
      <c r="DW764" s="1486"/>
      <c r="DX764" s="1486"/>
      <c r="DY764" s="1486"/>
      <c r="DZ764" s="1486"/>
      <c r="EA764" s="1486"/>
      <c r="EB764" s="1486"/>
      <c r="EC764" s="1486"/>
      <c r="ED764" s="1486"/>
      <c r="EE764" s="1486"/>
      <c r="EF764" s="1486"/>
      <c r="EG764" s="1486"/>
      <c r="EH764" s="1486"/>
      <c r="EI764" s="1486"/>
      <c r="EJ764" s="1486"/>
      <c r="EK764" s="1486"/>
      <c r="EL764" s="1486"/>
      <c r="EM764" s="1486"/>
      <c r="EN764" s="1486"/>
      <c r="EO764" s="1486"/>
      <c r="EP764" s="1486"/>
      <c r="EQ764" s="1486"/>
      <c r="ER764" s="1486"/>
      <c r="ES764" s="1486"/>
      <c r="ET764" s="1486"/>
      <c r="EU764" s="1486"/>
      <c r="EV764" s="1486"/>
      <c r="EW764" s="1486"/>
      <c r="EX764" s="1486"/>
      <c r="EY764" s="1486"/>
      <c r="EZ764" s="1486"/>
      <c r="FA764" s="1486"/>
      <c r="FB764" s="1486"/>
      <c r="FC764" s="1486"/>
      <c r="FD764" s="1486"/>
      <c r="FE764" s="1486"/>
      <c r="FF764" s="1486"/>
      <c r="FG764" s="1486"/>
      <c r="FH764" s="1486"/>
      <c r="FI764" s="1486"/>
      <c r="FJ764" s="1486"/>
      <c r="FK764" s="1486"/>
      <c r="FL764" s="1486"/>
      <c r="FM764" s="1486"/>
      <c r="FN764" s="1486"/>
      <c r="FO764" s="1486"/>
      <c r="FP764" s="1486"/>
      <c r="FQ764" s="1486"/>
      <c r="FR764" s="1486"/>
      <c r="FS764" s="1486"/>
      <c r="FT764" s="1486"/>
      <c r="FU764" s="1486"/>
      <c r="FV764" s="1486"/>
      <c r="FW764" s="1486"/>
      <c r="FX764" s="1486"/>
      <c r="FY764" s="1486"/>
      <c r="FZ764" s="1486"/>
      <c r="GA764" s="1486"/>
      <c r="GB764" s="1486"/>
      <c r="GC764" s="1486"/>
      <c r="GD764" s="1486"/>
      <c r="GE764" s="1486"/>
      <c r="GF764" s="1486"/>
      <c r="GG764" s="1486"/>
      <c r="GH764" s="1486"/>
      <c r="GI764" s="1486"/>
      <c r="GJ764" s="1486"/>
      <c r="GK764" s="1486"/>
      <c r="GL764" s="1486"/>
      <c r="GM764" s="1486"/>
      <c r="GN764" s="1486"/>
      <c r="GO764" s="1486"/>
      <c r="GP764" s="1486"/>
      <c r="GQ764" s="1486"/>
      <c r="GR764" s="1486"/>
      <c r="GS764" s="1486"/>
      <c r="GT764" s="1486"/>
      <c r="GU764" s="1486"/>
      <c r="GV764" s="1486"/>
      <c r="GW764" s="1486"/>
      <c r="GX764" s="1486"/>
      <c r="GY764" s="1486"/>
      <c r="GZ764" s="1486"/>
      <c r="HA764" s="1486"/>
      <c r="HB764" s="1486"/>
      <c r="HC764" s="1486"/>
      <c r="HD764" s="1486"/>
      <c r="HE764" s="1486"/>
      <c r="HF764" s="1486"/>
      <c r="HG764" s="1486"/>
      <c r="HH764" s="1486"/>
      <c r="HI764" s="1486"/>
      <c r="HJ764" s="1486"/>
      <c r="HK764" s="1486"/>
      <c r="HL764" s="1486"/>
      <c r="HM764" s="1486"/>
      <c r="HN764" s="1486"/>
      <c r="HO764" s="1486"/>
      <c r="HP764" s="1486"/>
      <c r="HQ764" s="1486"/>
      <c r="HR764" s="1486"/>
      <c r="HS764" s="1486"/>
      <c r="HT764" s="1486"/>
      <c r="HU764" s="1486"/>
      <c r="HV764" s="1486"/>
      <c r="HW764" s="1486"/>
      <c r="HX764" s="1486"/>
      <c r="HY764" s="1632"/>
      <c r="HZ764" s="1632"/>
      <c r="IA764" s="1632"/>
      <c r="IB764" s="1632"/>
      <c r="IC764" s="1632"/>
      <c r="ID764" s="1632"/>
      <c r="IE764" s="1632"/>
      <c r="IF764" s="1632"/>
      <c r="IG764" s="1632"/>
      <c r="IH764" s="1632"/>
      <c r="II764" s="1632"/>
      <c r="IJ764" s="1632"/>
      <c r="IK764" s="1632"/>
      <c r="IL764" s="1632"/>
      <c r="IM764" s="1632"/>
      <c r="IN764" s="1632"/>
      <c r="IO764" s="1632"/>
      <c r="IP764" s="1632"/>
      <c r="IQ764" s="1632"/>
      <c r="IR764" s="1632"/>
      <c r="IS764" s="1632"/>
      <c r="IT764" s="1632"/>
      <c r="IU764" s="1632"/>
      <c r="IV764" s="1632"/>
      <c r="IW764" s="1632"/>
      <c r="IX764" s="1632"/>
      <c r="IY764" s="1632"/>
      <c r="IZ764" s="1632"/>
      <c r="JA764" s="1632"/>
      <c r="JB764" s="1632"/>
      <c r="JC764" s="1632"/>
      <c r="JD764" s="1632"/>
      <c r="JE764" s="1632"/>
      <c r="JF764" s="1632"/>
      <c r="JG764" s="1632"/>
      <c r="JH764" s="1632"/>
      <c r="JI764" s="1632"/>
      <c r="JJ764" s="1632"/>
      <c r="JK764" s="1632"/>
      <c r="JL764" s="1632"/>
      <c r="JM764" s="1632"/>
      <c r="JN764" s="1632"/>
      <c r="JO764" s="1632"/>
      <c r="JP764" s="1632"/>
      <c r="JQ764" s="1632"/>
      <c r="JR764" s="1632"/>
      <c r="JS764" s="1632"/>
      <c r="JT764" s="1632"/>
      <c r="JU764" s="1632"/>
      <c r="JV764" s="1632"/>
      <c r="JW764" s="1632"/>
      <c r="JX764" s="1632"/>
      <c r="JY764" s="1632"/>
      <c r="JZ764" s="1632"/>
      <c r="KA764" s="1632"/>
      <c r="KB764" s="1632"/>
      <c r="KC764" s="1632"/>
      <c r="KD764" s="1632"/>
      <c r="KE764" s="1632"/>
      <c r="KF764" s="1632"/>
      <c r="KG764" s="1632"/>
      <c r="KH764" s="1632"/>
      <c r="KI764" s="1632"/>
      <c r="KJ764" s="1632"/>
      <c r="KK764" s="1632"/>
      <c r="KL764" s="1632"/>
      <c r="KM764" s="1632"/>
      <c r="KN764" s="1632"/>
      <c r="KO764" s="1632"/>
      <c r="KP764" s="1632"/>
      <c r="KQ764" s="1632"/>
      <c r="KR764" s="1632"/>
      <c r="KS764" s="1632"/>
      <c r="KT764" s="1632"/>
      <c r="KU764" s="1632"/>
      <c r="KV764" s="1486"/>
      <c r="KW764" s="1486"/>
      <c r="KX764" s="1486"/>
      <c r="KY764" s="1486"/>
      <c r="KZ764" s="1486"/>
      <c r="LA764" s="1486"/>
      <c r="LB764" s="1486"/>
      <c r="LC764" s="1486"/>
      <c r="LD764" s="1486"/>
      <c r="LE764" s="1486"/>
      <c r="LK764" s="1486"/>
      <c r="LL764" s="1486"/>
      <c r="LM764" s="1486"/>
      <c r="LN764" s="1486"/>
      <c r="LO764" s="1486"/>
      <c r="LP764" s="1486"/>
      <c r="LQ764" s="1486"/>
      <c r="LR764" s="1486"/>
      <c r="LS764" s="1486"/>
      <c r="LT764" s="1486"/>
      <c r="LU764" s="1486"/>
      <c r="LV764" s="1486"/>
      <c r="LW764" s="1486"/>
      <c r="LX764" s="1486"/>
      <c r="LY764" s="1486"/>
      <c r="LZ764" s="1486"/>
      <c r="MA764" s="1486"/>
      <c r="MB764" s="1486"/>
      <c r="MC764" s="1486"/>
      <c r="MD764" s="1486"/>
    </row>
    <row r="765" spans="1:357" ht="12.75" customHeight="1">
      <c r="A765" s="1631" t="s">
        <v>616</v>
      </c>
      <c r="B765" s="1631" t="s">
        <v>2366</v>
      </c>
      <c r="C765" s="1631"/>
      <c r="D765" s="1652" t="s">
        <v>3570</v>
      </c>
      <c r="E765" s="1631"/>
      <c r="F765" s="1631"/>
      <c r="G765" s="1631"/>
      <c r="H765" s="1631"/>
      <c r="I765" s="1631"/>
      <c r="J765" s="1631"/>
      <c r="K765" s="1631"/>
      <c r="L765" s="1631"/>
      <c r="M765" s="1631"/>
      <c r="N765" s="1631"/>
      <c r="O765" s="1631"/>
      <c r="P765" s="1631"/>
      <c r="Q765" s="1631"/>
      <c r="R765" s="1631"/>
      <c r="S765" s="1631"/>
      <c r="T765" s="1631"/>
      <c r="U765" s="1631" t="str">
        <f>B765</f>
        <v>RENT SCHEDULE</v>
      </c>
      <c r="V765" s="1631"/>
      <c r="W765" s="1634"/>
      <c r="X765" s="1634"/>
      <c r="Y765" s="1634"/>
      <c r="Z765" s="1634"/>
      <c r="AA765" s="1634"/>
      <c r="AB765" s="1634"/>
      <c r="AC765" s="1634"/>
      <c r="AD765" s="1634"/>
      <c r="AE765" s="1634"/>
      <c r="AF765" s="1634"/>
      <c r="AG765" s="1634"/>
      <c r="AH765" s="1634"/>
      <c r="AI765" s="1634"/>
      <c r="AJ765" s="1634"/>
      <c r="AK765" s="1634"/>
      <c r="AL765" s="1634"/>
      <c r="AM765" s="1634"/>
      <c r="AN765" s="1634"/>
      <c r="AO765" s="1634"/>
      <c r="AP765" s="1634"/>
      <c r="AQ765" s="1634"/>
      <c r="AR765" s="1634"/>
      <c r="AS765" s="1634"/>
      <c r="AT765" s="1634"/>
      <c r="AU765" s="1634"/>
      <c r="AV765" s="1634"/>
      <c r="AW765" s="1634"/>
      <c r="AX765" s="1634"/>
      <c r="AY765" s="1634"/>
      <c r="AZ765" s="1634"/>
      <c r="BA765" s="1634"/>
      <c r="BB765" s="1634"/>
      <c r="BC765" s="1634"/>
      <c r="BD765" s="1634"/>
      <c r="BE765" s="1634"/>
      <c r="BF765" s="1634"/>
      <c r="BG765" s="1634"/>
      <c r="BH765" s="1634"/>
      <c r="BI765" s="1634"/>
      <c r="BJ765" s="1634"/>
      <c r="BK765" s="1634"/>
      <c r="BL765" s="1634"/>
      <c r="BM765" s="1634"/>
      <c r="BN765" s="1634"/>
      <c r="BO765" s="1634"/>
      <c r="BP765" s="1634"/>
      <c r="BQ765" s="1634"/>
      <c r="BR765" s="1634"/>
      <c r="BS765" s="1634"/>
      <c r="BT765" s="1634"/>
      <c r="BU765" s="1634"/>
      <c r="BV765" s="1634"/>
      <c r="BW765" s="1634"/>
      <c r="BX765" s="1634"/>
      <c r="BY765" s="1634"/>
      <c r="BZ765" s="1634"/>
      <c r="CA765" s="1634"/>
      <c r="CB765" s="1634"/>
      <c r="CC765" s="1634"/>
      <c r="CD765" s="1634"/>
      <c r="CE765" s="1634"/>
      <c r="CF765" s="1634"/>
      <c r="CG765" s="1634"/>
      <c r="CH765" s="1634"/>
      <c r="CI765" s="1634"/>
      <c r="CJ765" s="1634"/>
      <c r="CK765" s="1634"/>
      <c r="CL765" s="1634"/>
      <c r="CM765" s="1634"/>
      <c r="CN765" s="1634"/>
      <c r="CO765" s="1634"/>
      <c r="CP765" s="1634"/>
      <c r="CQ765" s="1634"/>
      <c r="CR765" s="1634"/>
      <c r="CS765" s="1634"/>
      <c r="CT765" s="1634"/>
      <c r="CU765" s="1634"/>
      <c r="CV765" s="1634"/>
      <c r="CW765" s="1634"/>
      <c r="CX765" s="1634"/>
      <c r="CY765" s="1634"/>
      <c r="CZ765" s="1634"/>
      <c r="DA765" s="1634"/>
      <c r="DB765" s="1634"/>
      <c r="DC765" s="1634"/>
      <c r="DD765" s="1634"/>
      <c r="DE765" s="1634"/>
      <c r="DF765" s="1634"/>
      <c r="DG765" s="1634"/>
      <c r="DH765" s="1634"/>
      <c r="DI765" s="1634"/>
      <c r="DJ765" s="1634"/>
      <c r="DK765" s="1634"/>
      <c r="DL765" s="1634"/>
      <c r="DM765" s="1634"/>
      <c r="DN765" s="1634"/>
      <c r="DO765" s="1634"/>
      <c r="DP765" s="1634"/>
      <c r="DQ765" s="1634"/>
      <c r="DR765" s="1634"/>
      <c r="DS765" s="1634"/>
      <c r="DT765" s="1634"/>
      <c r="DU765" s="1634"/>
      <c r="DV765" s="1634"/>
      <c r="DW765" s="1634"/>
      <c r="DX765" s="1634"/>
      <c r="DY765" s="1634"/>
      <c r="DZ765" s="1634"/>
      <c r="EA765" s="1634"/>
      <c r="EB765" s="1634"/>
      <c r="EC765" s="1634"/>
      <c r="ED765" s="1634"/>
      <c r="EE765" s="1634"/>
      <c r="EF765" s="1634"/>
      <c r="EG765" s="1634"/>
      <c r="EH765" s="1634"/>
      <c r="EI765" s="1634"/>
      <c r="EJ765" s="1634"/>
      <c r="EK765" s="1634"/>
      <c r="EL765" s="1634"/>
      <c r="EM765" s="1634"/>
      <c r="EN765" s="1634"/>
      <c r="EO765" s="1634"/>
      <c r="EP765" s="1634"/>
      <c r="EQ765" s="1634"/>
      <c r="ER765" s="1634"/>
      <c r="ES765" s="1634"/>
      <c r="ET765" s="1634"/>
      <c r="EU765" s="1634"/>
      <c r="EV765" s="1634"/>
      <c r="EW765" s="1634"/>
      <c r="EX765" s="1634"/>
      <c r="EY765" s="1634"/>
      <c r="EZ765" s="1634"/>
      <c r="FA765" s="1634"/>
      <c r="FB765" s="1634"/>
      <c r="FC765" s="1634"/>
      <c r="FD765" s="1634"/>
      <c r="FE765" s="1634"/>
      <c r="FF765" s="1634"/>
      <c r="FG765" s="1634"/>
      <c r="FH765" s="1634"/>
      <c r="FI765" s="1634"/>
      <c r="FJ765" s="1634"/>
      <c r="FK765" s="1634"/>
      <c r="FL765" s="1634"/>
      <c r="FM765" s="1634"/>
      <c r="FN765" s="1634"/>
      <c r="FO765" s="1634"/>
      <c r="FP765" s="1634"/>
      <c r="FQ765" s="1634"/>
      <c r="FR765" s="1634"/>
      <c r="FS765" s="1634"/>
      <c r="FT765" s="1634"/>
      <c r="FU765" s="1634"/>
      <c r="FV765" s="1634"/>
      <c r="FW765" s="1634"/>
      <c r="FX765" s="1634"/>
      <c r="FY765" s="1634"/>
      <c r="FZ765" s="1634"/>
      <c r="GA765" s="1634"/>
      <c r="GB765" s="1634"/>
      <c r="GC765" s="1634"/>
      <c r="GD765" s="1634"/>
      <c r="GE765" s="1634"/>
      <c r="GF765" s="1634"/>
      <c r="GG765" s="1634"/>
      <c r="GH765" s="1634"/>
      <c r="GI765" s="1634"/>
      <c r="GJ765" s="1634"/>
      <c r="GK765" s="1634"/>
      <c r="GL765" s="1634"/>
      <c r="GM765" s="1634"/>
      <c r="GN765" s="1634"/>
      <c r="GO765" s="1634"/>
      <c r="GP765" s="1634"/>
      <c r="GQ765" s="1634"/>
      <c r="GR765" s="1634"/>
      <c r="GS765" s="1634"/>
      <c r="GT765" s="1634"/>
      <c r="GU765" s="1634"/>
      <c r="GV765" s="1634"/>
      <c r="GW765" s="1634"/>
      <c r="GX765" s="1634"/>
      <c r="GY765" s="1634"/>
      <c r="GZ765" s="1634"/>
      <c r="HA765" s="1634"/>
      <c r="HB765" s="1634"/>
      <c r="HC765" s="1634"/>
      <c r="HD765" s="1634"/>
      <c r="HE765" s="1634"/>
      <c r="HF765" s="1634"/>
      <c r="HG765" s="1634"/>
      <c r="HH765" s="1634"/>
      <c r="HI765" s="1634"/>
      <c r="HJ765" s="1634"/>
      <c r="HK765" s="1634"/>
      <c r="HL765" s="1634"/>
      <c r="HM765" s="1634"/>
      <c r="HN765" s="1634"/>
      <c r="HO765" s="1634"/>
      <c r="HP765" s="1634"/>
      <c r="HQ765" s="1634"/>
      <c r="HR765" s="1634"/>
      <c r="HS765" s="1634"/>
      <c r="HT765" s="1634"/>
      <c r="HU765" s="1634"/>
      <c r="HV765" s="1634"/>
      <c r="HW765" s="1634"/>
      <c r="HX765" s="1634"/>
      <c r="HY765" s="1633"/>
      <c r="HZ765" s="1633"/>
      <c r="IA765" s="1633"/>
      <c r="IB765" s="1633"/>
      <c r="IC765" s="1633"/>
      <c r="ID765" s="1632" t="s">
        <v>485</v>
      </c>
      <c r="IE765" s="1632" t="s">
        <v>2440</v>
      </c>
      <c r="IF765" s="1632" t="s">
        <v>2441</v>
      </c>
      <c r="IG765" s="1632" t="s">
        <v>2442</v>
      </c>
      <c r="IH765" s="1632" t="s">
        <v>2443</v>
      </c>
      <c r="II765" s="1632" t="s">
        <v>485</v>
      </c>
      <c r="IJ765" s="1632" t="s">
        <v>2440</v>
      </c>
      <c r="IK765" s="1632" t="s">
        <v>2441</v>
      </c>
      <c r="IL765" s="1632" t="s">
        <v>2442</v>
      </c>
      <c r="IM765" s="1632" t="s">
        <v>2443</v>
      </c>
      <c r="IN765" s="1633"/>
      <c r="IO765" s="1633"/>
      <c r="IP765" s="1633"/>
      <c r="IQ765" s="1633"/>
      <c r="IR765" s="1633"/>
      <c r="IS765" s="1633"/>
      <c r="IT765" s="1633"/>
      <c r="IU765" s="1633"/>
      <c r="IV765" s="1633"/>
      <c r="IW765" s="1633"/>
      <c r="IX765" s="1632" t="s">
        <v>485</v>
      </c>
      <c r="IY765" s="1632" t="s">
        <v>2440</v>
      </c>
      <c r="IZ765" s="1632" t="s">
        <v>2441</v>
      </c>
      <c r="JA765" s="1632" t="s">
        <v>2442</v>
      </c>
      <c r="JB765" s="1632" t="s">
        <v>2443</v>
      </c>
      <c r="JC765" s="1632" t="s">
        <v>485</v>
      </c>
      <c r="JD765" s="1632" t="s">
        <v>2440</v>
      </c>
      <c r="JE765" s="1632" t="s">
        <v>2441</v>
      </c>
      <c r="JF765" s="1632" t="s">
        <v>2442</v>
      </c>
      <c r="JG765" s="1632" t="s">
        <v>2443</v>
      </c>
      <c r="JH765" s="1632" t="s">
        <v>485</v>
      </c>
      <c r="JI765" s="1632" t="s">
        <v>2440</v>
      </c>
      <c r="JJ765" s="1632" t="s">
        <v>2441</v>
      </c>
      <c r="JK765" s="1632" t="s">
        <v>2442</v>
      </c>
      <c r="JL765" s="1632" t="s">
        <v>2443</v>
      </c>
      <c r="JM765" s="1632" t="s">
        <v>485</v>
      </c>
      <c r="JN765" s="1632" t="s">
        <v>2440</v>
      </c>
      <c r="JO765" s="1632" t="s">
        <v>2441</v>
      </c>
      <c r="JP765" s="1632" t="s">
        <v>2442</v>
      </c>
      <c r="JQ765" s="1632" t="s">
        <v>2443</v>
      </c>
      <c r="JR765" s="1632" t="s">
        <v>485</v>
      </c>
      <c r="JS765" s="1632" t="s">
        <v>2440</v>
      </c>
      <c r="JT765" s="1632" t="s">
        <v>2441</v>
      </c>
      <c r="JU765" s="1632" t="s">
        <v>2442</v>
      </c>
      <c r="JV765" s="1632" t="s">
        <v>2443</v>
      </c>
      <c r="JW765" s="1632" t="s">
        <v>485</v>
      </c>
      <c r="JX765" s="1632" t="s">
        <v>2440</v>
      </c>
      <c r="JY765" s="1632" t="s">
        <v>2441</v>
      </c>
      <c r="JZ765" s="1632" t="s">
        <v>2442</v>
      </c>
      <c r="KA765" s="1632" t="s">
        <v>2443</v>
      </c>
      <c r="KB765" s="1632" t="s">
        <v>485</v>
      </c>
      <c r="KC765" s="1632" t="s">
        <v>2440</v>
      </c>
      <c r="KD765" s="1632" t="s">
        <v>2441</v>
      </c>
      <c r="KE765" s="1632" t="s">
        <v>2442</v>
      </c>
      <c r="KF765" s="1632" t="s">
        <v>2443</v>
      </c>
      <c r="KG765" s="1632" t="s">
        <v>485</v>
      </c>
      <c r="KH765" s="1632" t="s">
        <v>2440</v>
      </c>
      <c r="KI765" s="1632" t="s">
        <v>2441</v>
      </c>
      <c r="KJ765" s="1632" t="s">
        <v>2442</v>
      </c>
      <c r="KK765" s="1632" t="s">
        <v>2443</v>
      </c>
      <c r="KL765" s="1632" t="s">
        <v>485</v>
      </c>
      <c r="KM765" s="1632" t="s">
        <v>2440</v>
      </c>
      <c r="KN765" s="1632" t="s">
        <v>2441</v>
      </c>
      <c r="KO765" s="1632" t="s">
        <v>2442</v>
      </c>
      <c r="KP765" s="1632" t="s">
        <v>2443</v>
      </c>
      <c r="KQ765" s="1632" t="s">
        <v>485</v>
      </c>
      <c r="KR765" s="1632" t="s">
        <v>2440</v>
      </c>
      <c r="KS765" s="1632" t="s">
        <v>2441</v>
      </c>
      <c r="KT765" s="1632" t="s">
        <v>2442</v>
      </c>
      <c r="KU765" s="1632" t="s">
        <v>2443</v>
      </c>
      <c r="KV765" s="1632" t="s">
        <v>485</v>
      </c>
      <c r="KW765" s="1632" t="s">
        <v>2440</v>
      </c>
      <c r="KX765" s="1632" t="s">
        <v>2441</v>
      </c>
      <c r="KY765" s="1632" t="s">
        <v>2442</v>
      </c>
      <c r="KZ765" s="1632" t="s">
        <v>2443</v>
      </c>
      <c r="LA765" s="1632" t="s">
        <v>485</v>
      </c>
      <c r="LB765" s="1632" t="s">
        <v>2440</v>
      </c>
      <c r="LC765" s="1632" t="s">
        <v>2441</v>
      </c>
      <c r="LD765" s="1632" t="s">
        <v>2442</v>
      </c>
      <c r="LE765" s="1632" t="s">
        <v>2443</v>
      </c>
      <c r="LF765" s="1631"/>
      <c r="LG765" s="1631"/>
      <c r="LH765" s="1631"/>
      <c r="LI765" s="1631"/>
      <c r="LJ765" s="1631"/>
      <c r="LK765" s="1634"/>
      <c r="LL765" s="1634"/>
      <c r="LM765" s="1634"/>
      <c r="LN765" s="1634"/>
      <c r="LO765" s="1634"/>
      <c r="LP765" s="1634"/>
      <c r="LQ765" s="1634"/>
      <c r="LR765" s="1634"/>
      <c r="LS765" s="1634"/>
      <c r="LT765" s="1634"/>
      <c r="LU765" s="1634"/>
      <c r="LV765" s="1634"/>
      <c r="LW765" s="1634"/>
      <c r="LX765" s="1634"/>
      <c r="LY765" s="1634"/>
      <c r="LZ765" s="1634"/>
      <c r="MA765" s="1634"/>
      <c r="MB765" s="1634"/>
      <c r="MC765" s="1634"/>
      <c r="MD765" s="1634"/>
      <c r="ME765" s="1635" t="s">
        <v>3423</v>
      </c>
      <c r="MF765" s="1635" t="s">
        <v>3424</v>
      </c>
      <c r="MG765" s="1635" t="s">
        <v>3425</v>
      </c>
      <c r="MH765" s="1635" t="s">
        <v>3426</v>
      </c>
      <c r="MI765" s="1635" t="s">
        <v>3427</v>
      </c>
      <c r="MJ765" s="1631"/>
      <c r="MK765" s="1631"/>
      <c r="ML765" s="1631"/>
      <c r="MM765" s="1631"/>
      <c r="MN765" s="1631"/>
      <c r="MO765" s="1631"/>
      <c r="MP765" s="1631"/>
      <c r="MQ765" s="1631"/>
      <c r="MR765" s="1631"/>
      <c r="MS765" s="1631"/>
    </row>
    <row r="766" spans="1:357" ht="12.75" customHeight="1">
      <c r="A766" s="1631"/>
      <c r="B766" s="1631"/>
      <c r="C766" s="1631"/>
      <c r="D766" s="1631"/>
      <c r="E766" s="1631"/>
      <c r="F766" s="1631"/>
      <c r="G766" s="1631"/>
      <c r="H766" s="1631"/>
      <c r="I766" s="1631"/>
      <c r="J766" s="1631"/>
      <c r="K766" s="1631"/>
      <c r="L766" s="1631"/>
      <c r="M766" s="1631"/>
      <c r="N766" s="1631"/>
      <c r="O766" s="1631"/>
      <c r="P766" s="1810" t="s">
        <v>4528</v>
      </c>
      <c r="Q766" s="2716"/>
      <c r="R766" s="1636"/>
      <c r="S766" s="1636"/>
      <c r="T766" s="1636"/>
      <c r="U766" s="1636"/>
      <c r="V766" s="1631"/>
      <c r="W766" s="1810" t="s">
        <v>4627</v>
      </c>
      <c r="X766" s="1810" t="s">
        <v>4628</v>
      </c>
      <c r="Y766" s="1810" t="s">
        <v>4629</v>
      </c>
      <c r="Z766" s="1810" t="s">
        <v>4630</v>
      </c>
      <c r="AA766" s="1810" t="s">
        <v>4631</v>
      </c>
      <c r="AB766" s="1810" t="s">
        <v>4632</v>
      </c>
      <c r="AC766" s="1810" t="s">
        <v>4633</v>
      </c>
      <c r="AD766" s="1810" t="s">
        <v>4634</v>
      </c>
      <c r="AE766" s="1810" t="s">
        <v>4635</v>
      </c>
      <c r="AF766" s="1810" t="s">
        <v>4636</v>
      </c>
      <c r="AG766" s="1810" t="s">
        <v>919</v>
      </c>
      <c r="AH766" s="1810" t="s">
        <v>756</v>
      </c>
      <c r="AI766" s="1810" t="s">
        <v>757</v>
      </c>
      <c r="AJ766" s="1810" t="s">
        <v>758</v>
      </c>
      <c r="AK766" s="1810" t="s">
        <v>759</v>
      </c>
      <c r="AL766" s="1810" t="s">
        <v>920</v>
      </c>
      <c r="AM766" s="1810" t="s">
        <v>2310</v>
      </c>
      <c r="AN766" s="1810" t="s">
        <v>2311</v>
      </c>
      <c r="AO766" s="1810" t="s">
        <v>2312</v>
      </c>
      <c r="AP766" s="1810" t="s">
        <v>2313</v>
      </c>
      <c r="AQ766" s="1810" t="s">
        <v>4638</v>
      </c>
      <c r="AR766" s="1810" t="s">
        <v>4639</v>
      </c>
      <c r="AS766" s="1810" t="s">
        <v>4640</v>
      </c>
      <c r="AT766" s="1810" t="s">
        <v>4641</v>
      </c>
      <c r="AU766" s="1810" t="s">
        <v>4637</v>
      </c>
      <c r="AV766" s="1810" t="s">
        <v>921</v>
      </c>
      <c r="AW766" s="1810" t="s">
        <v>2314</v>
      </c>
      <c r="AX766" s="1810" t="s">
        <v>2315</v>
      </c>
      <c r="AY766" s="1810" t="s">
        <v>2316</v>
      </c>
      <c r="AZ766" s="1810" t="s">
        <v>2317</v>
      </c>
      <c r="BA766" s="1810" t="s">
        <v>4642</v>
      </c>
      <c r="BB766" s="1810" t="s">
        <v>4643</v>
      </c>
      <c r="BC766" s="1810" t="s">
        <v>4644</v>
      </c>
      <c r="BD766" s="1810" t="s">
        <v>4645</v>
      </c>
      <c r="BE766" s="1810" t="s">
        <v>4646</v>
      </c>
      <c r="BF766" s="1810" t="s">
        <v>129</v>
      </c>
      <c r="BG766" s="1810" t="s">
        <v>2318</v>
      </c>
      <c r="BH766" s="1810" t="s">
        <v>2319</v>
      </c>
      <c r="BI766" s="1810" t="s">
        <v>2320</v>
      </c>
      <c r="BJ766" s="1810" t="s">
        <v>1148</v>
      </c>
      <c r="BK766" s="1810" t="s">
        <v>4647</v>
      </c>
      <c r="BL766" s="1810" t="s">
        <v>4648</v>
      </c>
      <c r="BM766" s="1810" t="s">
        <v>4649</v>
      </c>
      <c r="BN766" s="1810" t="s">
        <v>4650</v>
      </c>
      <c r="BO766" s="1810" t="s">
        <v>4651</v>
      </c>
      <c r="BP766" s="1810" t="s">
        <v>556</v>
      </c>
      <c r="BQ766" s="1810" t="s">
        <v>557</v>
      </c>
      <c r="BR766" s="1810" t="s">
        <v>577</v>
      </c>
      <c r="BS766" s="1810" t="s">
        <v>578</v>
      </c>
      <c r="BT766" s="1810" t="s">
        <v>579</v>
      </c>
      <c r="BU766" s="1810" t="s">
        <v>4652</v>
      </c>
      <c r="BV766" s="1810" t="s">
        <v>4653</v>
      </c>
      <c r="BW766" s="1810" t="s">
        <v>4654</v>
      </c>
      <c r="BX766" s="1810" t="s">
        <v>4655</v>
      </c>
      <c r="BY766" s="1810" t="s">
        <v>4656</v>
      </c>
      <c r="BZ766" s="1810" t="s">
        <v>580</v>
      </c>
      <c r="CA766" s="1810" t="s">
        <v>581</v>
      </c>
      <c r="CB766" s="1810" t="s">
        <v>582</v>
      </c>
      <c r="CC766" s="1810" t="s">
        <v>583</v>
      </c>
      <c r="CD766" s="1810" t="s">
        <v>584</v>
      </c>
      <c r="CE766" s="1810" t="s">
        <v>585</v>
      </c>
      <c r="CF766" s="1810" t="s">
        <v>586</v>
      </c>
      <c r="CG766" s="1810" t="s">
        <v>931</v>
      </c>
      <c r="CH766" s="1810" t="s">
        <v>932</v>
      </c>
      <c r="CI766" s="1810" t="s">
        <v>933</v>
      </c>
      <c r="CJ766" s="1810" t="s">
        <v>4662</v>
      </c>
      <c r="CK766" s="1810" t="s">
        <v>4663</v>
      </c>
      <c r="CL766" s="1810" t="s">
        <v>4664</v>
      </c>
      <c r="CM766" s="1810" t="s">
        <v>4665</v>
      </c>
      <c r="CN766" s="1810" t="s">
        <v>4666</v>
      </c>
      <c r="CO766" s="1810" t="s">
        <v>4657</v>
      </c>
      <c r="CP766" s="1810" t="s">
        <v>4658</v>
      </c>
      <c r="CQ766" s="1810" t="s">
        <v>4659</v>
      </c>
      <c r="CR766" s="1810" t="s">
        <v>4660</v>
      </c>
      <c r="CS766" s="1810" t="s">
        <v>4661</v>
      </c>
      <c r="CT766" s="1810" t="s">
        <v>4667</v>
      </c>
      <c r="CU766" s="1810" t="s">
        <v>4668</v>
      </c>
      <c r="CV766" s="1810" t="s">
        <v>4669</v>
      </c>
      <c r="CW766" s="1810" t="s">
        <v>4670</v>
      </c>
      <c r="CX766" s="1810" t="s">
        <v>4671</v>
      </c>
      <c r="CY766" s="1810" t="s">
        <v>496</v>
      </c>
      <c r="CZ766" s="1810" t="s">
        <v>497</v>
      </c>
      <c r="DA766" s="1810" t="s">
        <v>498</v>
      </c>
      <c r="DB766" s="1810" t="s">
        <v>499</v>
      </c>
      <c r="DC766" s="1810" t="s">
        <v>500</v>
      </c>
      <c r="DD766" s="1810" t="s">
        <v>4672</v>
      </c>
      <c r="DE766" s="1810" t="s">
        <v>4673</v>
      </c>
      <c r="DF766" s="1810" t="s">
        <v>4674</v>
      </c>
      <c r="DG766" s="1810" t="s">
        <v>4675</v>
      </c>
      <c r="DH766" s="1810" t="s">
        <v>4676</v>
      </c>
      <c r="DI766" s="1810" t="s">
        <v>880</v>
      </c>
      <c r="DJ766" s="1810" t="s">
        <v>881</v>
      </c>
      <c r="DK766" s="1810" t="s">
        <v>882</v>
      </c>
      <c r="DL766" s="1810" t="s">
        <v>883</v>
      </c>
      <c r="DM766" s="1810" t="s">
        <v>884</v>
      </c>
      <c r="DN766" s="1810" t="s">
        <v>885</v>
      </c>
      <c r="DO766" s="1810" t="s">
        <v>886</v>
      </c>
      <c r="DP766" s="1810" t="s">
        <v>887</v>
      </c>
      <c r="DQ766" s="1810" t="s">
        <v>888</v>
      </c>
      <c r="DR766" s="1810" t="s">
        <v>889</v>
      </c>
      <c r="DS766" s="1810" t="s">
        <v>4677</v>
      </c>
      <c r="DT766" s="1810" t="s">
        <v>4678</v>
      </c>
      <c r="DU766" s="1810" t="s">
        <v>4679</v>
      </c>
      <c r="DV766" s="1810" t="s">
        <v>4680</v>
      </c>
      <c r="DW766" s="1810" t="s">
        <v>4681</v>
      </c>
      <c r="DX766" s="1810" t="s">
        <v>4682</v>
      </c>
      <c r="DY766" s="1810" t="s">
        <v>4683</v>
      </c>
      <c r="DZ766" s="1810" t="s">
        <v>4684</v>
      </c>
      <c r="EA766" s="1810" t="s">
        <v>4685</v>
      </c>
      <c r="EB766" s="1810" t="s">
        <v>4686</v>
      </c>
      <c r="EC766" s="1810" t="s">
        <v>2430</v>
      </c>
      <c r="ED766" s="1810" t="s">
        <v>2431</v>
      </c>
      <c r="EE766" s="1810" t="s">
        <v>2432</v>
      </c>
      <c r="EF766" s="1810" t="s">
        <v>2433</v>
      </c>
      <c r="EG766" s="1810" t="s">
        <v>2434</v>
      </c>
      <c r="EH766" s="1810" t="s">
        <v>4687</v>
      </c>
      <c r="EI766" s="1810" t="s">
        <v>4688</v>
      </c>
      <c r="EJ766" s="1810" t="s">
        <v>4689</v>
      </c>
      <c r="EK766" s="1810" t="s">
        <v>4690</v>
      </c>
      <c r="EL766" s="1810" t="s">
        <v>4691</v>
      </c>
      <c r="EM766" s="1810" t="s">
        <v>4692</v>
      </c>
      <c r="EN766" s="1810" t="s">
        <v>4693</v>
      </c>
      <c r="EO766" s="1810" t="s">
        <v>4694</v>
      </c>
      <c r="EP766" s="1810" t="s">
        <v>4695</v>
      </c>
      <c r="EQ766" s="1810" t="s">
        <v>4696</v>
      </c>
      <c r="ER766" s="1635" t="s">
        <v>117</v>
      </c>
      <c r="ES766" s="1635" t="s">
        <v>1151</v>
      </c>
      <c r="ET766" s="1635" t="s">
        <v>1152</v>
      </c>
      <c r="EU766" s="1635" t="s">
        <v>1213</v>
      </c>
      <c r="EV766" s="1635" t="s">
        <v>1214</v>
      </c>
      <c r="EW766" s="1635" t="s">
        <v>132</v>
      </c>
      <c r="EX766" s="1635" t="s">
        <v>1215</v>
      </c>
      <c r="EY766" s="1635" t="s">
        <v>1216</v>
      </c>
      <c r="EZ766" s="1635" t="s">
        <v>1217</v>
      </c>
      <c r="FA766" s="1635" t="s">
        <v>1218</v>
      </c>
      <c r="FB766" s="1810" t="s">
        <v>4697</v>
      </c>
      <c r="FC766" s="1810" t="s">
        <v>4698</v>
      </c>
      <c r="FD766" s="1810" t="s">
        <v>4699</v>
      </c>
      <c r="FE766" s="1810" t="s">
        <v>4700</v>
      </c>
      <c r="FF766" s="1810" t="s">
        <v>4701</v>
      </c>
      <c r="FG766" s="1635" t="s">
        <v>131</v>
      </c>
      <c r="FH766" s="1635" t="s">
        <v>911</v>
      </c>
      <c r="FI766" s="1635" t="s">
        <v>912</v>
      </c>
      <c r="FJ766" s="1635" t="s">
        <v>913</v>
      </c>
      <c r="FK766" s="1635" t="s">
        <v>914</v>
      </c>
      <c r="FL766" s="1810" t="s">
        <v>4702</v>
      </c>
      <c r="FM766" s="1810" t="s">
        <v>4703</v>
      </c>
      <c r="FN766" s="1810" t="s">
        <v>4704</v>
      </c>
      <c r="FO766" s="1810" t="s">
        <v>4705</v>
      </c>
      <c r="FP766" s="1810" t="s">
        <v>4706</v>
      </c>
      <c r="FQ766" s="1635" t="s">
        <v>130</v>
      </c>
      <c r="FR766" s="1635" t="s">
        <v>915</v>
      </c>
      <c r="FS766" s="1635" t="s">
        <v>916</v>
      </c>
      <c r="FT766" s="1635" t="s">
        <v>917</v>
      </c>
      <c r="FU766" s="1635" t="s">
        <v>918</v>
      </c>
      <c r="FV766" s="1635" t="s">
        <v>809</v>
      </c>
      <c r="FW766" s="1635" t="s">
        <v>810</v>
      </c>
      <c r="FX766" s="1635" t="s">
        <v>811</v>
      </c>
      <c r="FY766" s="1635" t="s">
        <v>812</v>
      </c>
      <c r="FZ766" s="1635" t="s">
        <v>813</v>
      </c>
      <c r="GA766" s="1635" t="s">
        <v>957</v>
      </c>
      <c r="GB766" s="1635" t="s">
        <v>958</v>
      </c>
      <c r="GC766" s="1635" t="s">
        <v>959</v>
      </c>
      <c r="GD766" s="1635" t="s">
        <v>960</v>
      </c>
      <c r="GE766" s="1635" t="s">
        <v>2429</v>
      </c>
      <c r="GF766" s="1635" t="s">
        <v>1433</v>
      </c>
      <c r="GG766" s="1635" t="s">
        <v>1434</v>
      </c>
      <c r="GH766" s="1635" t="s">
        <v>1435</v>
      </c>
      <c r="GI766" s="1635" t="s">
        <v>1436</v>
      </c>
      <c r="GJ766" s="1635" t="s">
        <v>1437</v>
      </c>
      <c r="GK766" s="1635" t="s">
        <v>436</v>
      </c>
      <c r="GL766" s="1635" t="s">
        <v>437</v>
      </c>
      <c r="GM766" s="1635" t="s">
        <v>438</v>
      </c>
      <c r="GN766" s="1635" t="s">
        <v>439</v>
      </c>
      <c r="GO766" s="1635" t="s">
        <v>440</v>
      </c>
      <c r="GP766" s="1635" t="s">
        <v>17</v>
      </c>
      <c r="GQ766" s="1635" t="s">
        <v>18</v>
      </c>
      <c r="GR766" s="1635" t="s">
        <v>19</v>
      </c>
      <c r="GS766" s="1635" t="s">
        <v>20</v>
      </c>
      <c r="GT766" s="1635" t="s">
        <v>21</v>
      </c>
      <c r="GU766" s="1635" t="s">
        <v>222</v>
      </c>
      <c r="GV766" s="1635" t="s">
        <v>223</v>
      </c>
      <c r="GW766" s="1635" t="s">
        <v>224</v>
      </c>
      <c r="GX766" s="1635" t="s">
        <v>1811</v>
      </c>
      <c r="GY766" s="1635" t="s">
        <v>1812</v>
      </c>
      <c r="GZ766" s="1635" t="s">
        <v>1813</v>
      </c>
      <c r="HA766" s="1635" t="s">
        <v>592</v>
      </c>
      <c r="HB766" s="1635" t="s">
        <v>593</v>
      </c>
      <c r="HC766" s="1635" t="s">
        <v>594</v>
      </c>
      <c r="HD766" s="1635" t="s">
        <v>595</v>
      </c>
      <c r="HE766" s="1635" t="s">
        <v>22</v>
      </c>
      <c r="HF766" s="1635" t="s">
        <v>23</v>
      </c>
      <c r="HG766" s="1635" t="s">
        <v>24</v>
      </c>
      <c r="HH766" s="1635" t="s">
        <v>25</v>
      </c>
      <c r="HI766" s="1635" t="s">
        <v>26</v>
      </c>
      <c r="HJ766" s="1635" t="s">
        <v>495</v>
      </c>
      <c r="HK766" s="1635" t="s">
        <v>432</v>
      </c>
      <c r="HL766" s="1635" t="s">
        <v>433</v>
      </c>
      <c r="HM766" s="1635" t="s">
        <v>434</v>
      </c>
      <c r="HN766" s="1635" t="s">
        <v>435</v>
      </c>
      <c r="HO766" s="1635" t="s">
        <v>2208</v>
      </c>
      <c r="HP766" s="1635" t="s">
        <v>2209</v>
      </c>
      <c r="HQ766" s="1635" t="s">
        <v>2210</v>
      </c>
      <c r="HR766" s="1635" t="s">
        <v>1479</v>
      </c>
      <c r="HS766" s="1635" t="s">
        <v>1480</v>
      </c>
      <c r="HT766" s="1635" t="s">
        <v>27</v>
      </c>
      <c r="HU766" s="1635" t="s">
        <v>28</v>
      </c>
      <c r="HV766" s="1635" t="s">
        <v>29</v>
      </c>
      <c r="HW766" s="1635" t="s">
        <v>30</v>
      </c>
      <c r="HX766" s="1635" t="s">
        <v>31</v>
      </c>
      <c r="HY766" s="1630"/>
      <c r="HZ766" s="1630"/>
      <c r="IA766" s="1630"/>
      <c r="IB766" s="1630"/>
      <c r="IC766" s="1630"/>
      <c r="ID766" s="1630"/>
      <c r="IE766" s="1630"/>
      <c r="IF766" s="1630"/>
      <c r="IG766" s="1630"/>
      <c r="IH766" s="1630"/>
      <c r="II766" s="1630"/>
      <c r="IJ766" s="1630"/>
      <c r="IK766" s="1630"/>
      <c r="IL766" s="1630"/>
      <c r="IM766" s="1630"/>
      <c r="IN766" s="1630"/>
      <c r="IO766" s="1630"/>
      <c r="IP766" s="1630"/>
      <c r="IQ766" s="1630"/>
      <c r="IR766" s="1630"/>
      <c r="IS766" s="1630"/>
      <c r="IT766" s="1630"/>
      <c r="IU766" s="1630"/>
      <c r="IV766" s="1630"/>
      <c r="IW766" s="1630"/>
      <c r="IX766" s="1630"/>
      <c r="IY766" s="1630"/>
      <c r="IZ766" s="1630"/>
      <c r="JA766" s="1630"/>
      <c r="JB766" s="1630"/>
      <c r="JC766" s="1630"/>
      <c r="JD766" s="1630"/>
      <c r="JE766" s="1630"/>
      <c r="JF766" s="1630"/>
      <c r="JG766" s="1630"/>
      <c r="JH766" s="1630"/>
      <c r="JI766" s="1630"/>
      <c r="JJ766" s="1630"/>
      <c r="JK766" s="1630"/>
      <c r="JL766" s="1630"/>
      <c r="JM766" s="1630"/>
      <c r="JN766" s="1630"/>
      <c r="JO766" s="1630"/>
      <c r="JP766" s="1630"/>
      <c r="JQ766" s="1630"/>
      <c r="JR766" s="1630"/>
      <c r="JS766" s="1630"/>
      <c r="JT766" s="1630"/>
      <c r="JU766" s="1630"/>
      <c r="JV766" s="1630"/>
      <c r="JW766" s="1630"/>
      <c r="JX766" s="1630"/>
      <c r="JY766" s="1630"/>
      <c r="JZ766" s="1630"/>
      <c r="KA766" s="1630"/>
      <c r="KB766" s="1630"/>
      <c r="KC766" s="1630"/>
      <c r="KD766" s="1630"/>
      <c r="KE766" s="1630"/>
      <c r="KF766" s="1630"/>
      <c r="KG766" s="1630"/>
      <c r="KH766" s="1630"/>
      <c r="KI766" s="1630"/>
      <c r="KJ766" s="1630"/>
      <c r="KK766" s="1630"/>
      <c r="KL766" s="1630"/>
      <c r="KM766" s="1630"/>
      <c r="KN766" s="1630"/>
      <c r="KO766" s="1630"/>
      <c r="KP766" s="1630"/>
      <c r="KQ766" s="1630"/>
      <c r="KR766" s="1630"/>
      <c r="KS766" s="1630"/>
      <c r="KT766" s="1630"/>
      <c r="KU766" s="1630"/>
      <c r="KV766" s="1631"/>
      <c r="KW766" s="1631"/>
      <c r="KX766" s="1631"/>
      <c r="KY766" s="1631"/>
      <c r="KZ766" s="1631"/>
      <c r="LA766" s="1631"/>
      <c r="LB766" s="1631"/>
      <c r="LC766" s="1631"/>
      <c r="LD766" s="1631"/>
      <c r="LE766" s="1631"/>
      <c r="LF766" s="1635" t="s">
        <v>1625</v>
      </c>
      <c r="LG766" s="1635" t="s">
        <v>2523</v>
      </c>
      <c r="LH766" s="1635" t="s">
        <v>2524</v>
      </c>
      <c r="LI766" s="1635" t="s">
        <v>386</v>
      </c>
      <c r="LJ766" s="1635" t="s">
        <v>387</v>
      </c>
      <c r="LK766" s="1635" t="s">
        <v>388</v>
      </c>
      <c r="LL766" s="1635" t="s">
        <v>389</v>
      </c>
      <c r="LM766" s="1635" t="s">
        <v>390</v>
      </c>
      <c r="LN766" s="1635" t="s">
        <v>391</v>
      </c>
      <c r="LO766" s="1635" t="s">
        <v>392</v>
      </c>
      <c r="LP766" s="1635" t="s">
        <v>202</v>
      </c>
      <c r="LQ766" s="1635" t="s">
        <v>203</v>
      </c>
      <c r="LR766" s="1635" t="s">
        <v>204</v>
      </c>
      <c r="LS766" s="1635" t="s">
        <v>205</v>
      </c>
      <c r="LT766" s="1635" t="s">
        <v>206</v>
      </c>
      <c r="LU766" s="1635" t="s">
        <v>207</v>
      </c>
      <c r="LV766" s="1635" t="s">
        <v>208</v>
      </c>
      <c r="LW766" s="1635" t="s">
        <v>209</v>
      </c>
      <c r="LX766" s="1635" t="s">
        <v>210</v>
      </c>
      <c r="LY766" s="1635" t="s">
        <v>211</v>
      </c>
      <c r="LZ766" s="1635" t="s">
        <v>212</v>
      </c>
      <c r="MA766" s="1635" t="s">
        <v>213</v>
      </c>
      <c r="MB766" s="1635" t="s">
        <v>214</v>
      </c>
      <c r="MC766" s="1635" t="s">
        <v>215</v>
      </c>
      <c r="MD766" s="1635" t="s">
        <v>216</v>
      </c>
      <c r="ME766" s="1635"/>
      <c r="MF766" s="1635"/>
      <c r="MG766" s="1635"/>
      <c r="MH766" s="1635"/>
      <c r="MI766" s="1635"/>
      <c r="MJ766" s="1631"/>
      <c r="MK766" s="1631"/>
      <c r="ML766" s="1631"/>
      <c r="MM766" s="1631"/>
      <c r="MN766" s="1631"/>
      <c r="MO766" s="1631"/>
      <c r="MP766" s="1631"/>
      <c r="MQ766" s="1631"/>
      <c r="MR766" s="1631"/>
      <c r="MS766" s="1631"/>
    </row>
    <row r="767" spans="1:357" ht="12.75" customHeight="1">
      <c r="A767" s="2750" t="str">
        <f>IF(A810&gt;0,"Finish Row!","")</f>
        <v/>
      </c>
      <c r="B767" s="1631" t="s">
        <v>1846</v>
      </c>
      <c r="C767" s="1631"/>
      <c r="D767" s="1631"/>
      <c r="E767" s="1631"/>
      <c r="F767" s="1631"/>
      <c r="G767" s="1630" t="str">
        <f>'Part VI-Revenues &amp; Expenses'!G5</f>
        <v>&lt;Select&gt;</v>
      </c>
      <c r="H767" s="1631"/>
      <c r="I767" s="1631"/>
      <c r="J767" s="1633" t="s">
        <v>3565</v>
      </c>
      <c r="K767" s="2751" t="str">
        <f>'Part I-Project Information'!$B$6</f>
        <v>May 2019 Final</v>
      </c>
      <c r="L767" s="2752"/>
      <c r="M767" s="1947" t="s">
        <v>576</v>
      </c>
      <c r="N767" s="1631"/>
      <c r="O767" s="1630" t="s">
        <v>5158</v>
      </c>
      <c r="P767" s="1810"/>
      <c r="Q767" s="2716"/>
      <c r="R767" s="1631"/>
      <c r="S767" s="1631"/>
      <c r="T767" s="1631"/>
      <c r="U767" s="1631"/>
      <c r="V767" s="1631"/>
      <c r="W767" s="1810"/>
      <c r="X767" s="1810"/>
      <c r="Y767" s="1810"/>
      <c r="Z767" s="1810"/>
      <c r="AA767" s="1810"/>
      <c r="AB767" s="1810"/>
      <c r="AC767" s="1810"/>
      <c r="AD767" s="1810"/>
      <c r="AE767" s="1810"/>
      <c r="AF767" s="1810"/>
      <c r="AG767" s="1810"/>
      <c r="AH767" s="1810"/>
      <c r="AI767" s="1810"/>
      <c r="AJ767" s="1810"/>
      <c r="AK767" s="1810"/>
      <c r="AL767" s="1810"/>
      <c r="AM767" s="1810"/>
      <c r="AN767" s="1810"/>
      <c r="AO767" s="1810"/>
      <c r="AP767" s="1810"/>
      <c r="AQ767" s="1810"/>
      <c r="AR767" s="1810"/>
      <c r="AS767" s="1810"/>
      <c r="AT767" s="1810"/>
      <c r="AU767" s="1810"/>
      <c r="AV767" s="1810"/>
      <c r="AW767" s="1810"/>
      <c r="AX767" s="1810"/>
      <c r="AY767" s="1810"/>
      <c r="AZ767" s="1810"/>
      <c r="BA767" s="1810"/>
      <c r="BB767" s="1810"/>
      <c r="BC767" s="1810"/>
      <c r="BD767" s="1810"/>
      <c r="BE767" s="1810"/>
      <c r="BF767" s="1810"/>
      <c r="BG767" s="1810"/>
      <c r="BH767" s="1810"/>
      <c r="BI767" s="1810"/>
      <c r="BJ767" s="1810"/>
      <c r="BK767" s="1810"/>
      <c r="BL767" s="1810"/>
      <c r="BM767" s="1810"/>
      <c r="BN767" s="1810"/>
      <c r="BO767" s="1810"/>
      <c r="BP767" s="1810"/>
      <c r="BQ767" s="1810"/>
      <c r="BR767" s="1810"/>
      <c r="BS767" s="1810"/>
      <c r="BT767" s="1810"/>
      <c r="BU767" s="1810"/>
      <c r="BV767" s="1810"/>
      <c r="BW767" s="1810"/>
      <c r="BX767" s="1810"/>
      <c r="BY767" s="1810"/>
      <c r="BZ767" s="1810"/>
      <c r="CA767" s="1810"/>
      <c r="CB767" s="1810"/>
      <c r="CC767" s="1810"/>
      <c r="CD767" s="1810"/>
      <c r="CE767" s="1810"/>
      <c r="CF767" s="1810"/>
      <c r="CG767" s="1810"/>
      <c r="CH767" s="1810"/>
      <c r="CI767" s="1810"/>
      <c r="CJ767" s="1810"/>
      <c r="CK767" s="1810"/>
      <c r="CL767" s="1810"/>
      <c r="CM767" s="1810"/>
      <c r="CN767" s="1810"/>
      <c r="CO767" s="1810"/>
      <c r="CP767" s="1810"/>
      <c r="CQ767" s="1810"/>
      <c r="CR767" s="1810"/>
      <c r="CS767" s="1810"/>
      <c r="CT767" s="1810"/>
      <c r="CU767" s="1810"/>
      <c r="CV767" s="1810"/>
      <c r="CW767" s="1810"/>
      <c r="CX767" s="1810"/>
      <c r="CY767" s="1810"/>
      <c r="CZ767" s="1810"/>
      <c r="DA767" s="1810"/>
      <c r="DB767" s="1810"/>
      <c r="DC767" s="1810"/>
      <c r="DD767" s="1810"/>
      <c r="DE767" s="1810"/>
      <c r="DF767" s="1810"/>
      <c r="DG767" s="1810"/>
      <c r="DH767" s="1810"/>
      <c r="DI767" s="1810"/>
      <c r="DJ767" s="1810"/>
      <c r="DK767" s="1810"/>
      <c r="DL767" s="1810"/>
      <c r="DM767" s="1810"/>
      <c r="DN767" s="1810"/>
      <c r="DO767" s="1810"/>
      <c r="DP767" s="1810"/>
      <c r="DQ767" s="1810"/>
      <c r="DR767" s="1810"/>
      <c r="DS767" s="1810"/>
      <c r="DT767" s="1810"/>
      <c r="DU767" s="1810"/>
      <c r="DV767" s="1810"/>
      <c r="DW767" s="1810"/>
      <c r="DX767" s="1810"/>
      <c r="DY767" s="1810"/>
      <c r="DZ767" s="1810"/>
      <c r="EA767" s="1810"/>
      <c r="EB767" s="1810"/>
      <c r="EC767" s="1810"/>
      <c r="ED767" s="1810"/>
      <c r="EE767" s="1810"/>
      <c r="EF767" s="1810"/>
      <c r="EG767" s="1810"/>
      <c r="EH767" s="1810"/>
      <c r="EI767" s="1810"/>
      <c r="EJ767" s="1810"/>
      <c r="EK767" s="1810"/>
      <c r="EL767" s="1810"/>
      <c r="EM767" s="1810"/>
      <c r="EN767" s="1810"/>
      <c r="EO767" s="1810"/>
      <c r="EP767" s="1810"/>
      <c r="EQ767" s="1810"/>
      <c r="ER767" s="1635"/>
      <c r="ES767" s="1635"/>
      <c r="ET767" s="1635"/>
      <c r="EU767" s="1635"/>
      <c r="EV767" s="1635"/>
      <c r="EW767" s="1635"/>
      <c r="EX767" s="1635"/>
      <c r="EY767" s="1635"/>
      <c r="EZ767" s="1635"/>
      <c r="FA767" s="1635"/>
      <c r="FB767" s="1810"/>
      <c r="FC767" s="1810"/>
      <c r="FD767" s="1810"/>
      <c r="FE767" s="1810"/>
      <c r="FF767" s="1810"/>
      <c r="FG767" s="1635"/>
      <c r="FH767" s="1635"/>
      <c r="FI767" s="1635"/>
      <c r="FJ767" s="1635"/>
      <c r="FK767" s="1635"/>
      <c r="FL767" s="1810"/>
      <c r="FM767" s="1810"/>
      <c r="FN767" s="1810"/>
      <c r="FO767" s="1810"/>
      <c r="FP767" s="1810"/>
      <c r="FQ767" s="1635"/>
      <c r="FR767" s="1635"/>
      <c r="FS767" s="1635"/>
      <c r="FT767" s="1635"/>
      <c r="FU767" s="1635"/>
      <c r="FV767" s="1635"/>
      <c r="FW767" s="1635"/>
      <c r="FX767" s="1635"/>
      <c r="FY767" s="1635"/>
      <c r="FZ767" s="1635"/>
      <c r="GA767" s="1635"/>
      <c r="GB767" s="1635"/>
      <c r="GC767" s="1635"/>
      <c r="GD767" s="1635"/>
      <c r="GE767" s="1635"/>
      <c r="GF767" s="1635"/>
      <c r="GG767" s="1635"/>
      <c r="GH767" s="1635"/>
      <c r="GI767" s="1635"/>
      <c r="GJ767" s="1635"/>
      <c r="GK767" s="1635"/>
      <c r="GL767" s="1635"/>
      <c r="GM767" s="1635"/>
      <c r="GN767" s="1635"/>
      <c r="GO767" s="1635"/>
      <c r="GP767" s="1635"/>
      <c r="GQ767" s="1635"/>
      <c r="GR767" s="1635"/>
      <c r="GS767" s="1635"/>
      <c r="GT767" s="1635"/>
      <c r="GU767" s="1635"/>
      <c r="GV767" s="1635"/>
      <c r="GW767" s="1635"/>
      <c r="GX767" s="1635"/>
      <c r="GY767" s="1635"/>
      <c r="GZ767" s="1635"/>
      <c r="HA767" s="1635"/>
      <c r="HB767" s="1635"/>
      <c r="HC767" s="1635"/>
      <c r="HD767" s="1635"/>
      <c r="HE767" s="1635"/>
      <c r="HF767" s="1635"/>
      <c r="HG767" s="1635"/>
      <c r="HH767" s="1635"/>
      <c r="HI767" s="1635"/>
      <c r="HJ767" s="1635"/>
      <c r="HK767" s="1635"/>
      <c r="HL767" s="1635"/>
      <c r="HM767" s="1635"/>
      <c r="HN767" s="1635"/>
      <c r="HO767" s="1635"/>
      <c r="HP767" s="1635"/>
      <c r="HQ767" s="1635"/>
      <c r="HR767" s="1635"/>
      <c r="HS767" s="1635"/>
      <c r="HT767" s="1635"/>
      <c r="HU767" s="1635"/>
      <c r="HV767" s="1635"/>
      <c r="HW767" s="1635"/>
      <c r="HX767" s="1635"/>
      <c r="HY767" s="1630"/>
      <c r="HZ767" s="1630"/>
      <c r="IA767" s="1630"/>
      <c r="IB767" s="1630"/>
      <c r="IC767" s="1630"/>
      <c r="ID767" s="1630"/>
      <c r="IE767" s="1630"/>
      <c r="IF767" s="1630"/>
      <c r="IG767" s="1630"/>
      <c r="IH767" s="1630"/>
      <c r="II767" s="1630"/>
      <c r="IJ767" s="1630"/>
      <c r="IK767" s="1630"/>
      <c r="IL767" s="1630"/>
      <c r="IM767" s="1630"/>
      <c r="IN767" s="1630"/>
      <c r="IO767" s="1630"/>
      <c r="IP767" s="1630"/>
      <c r="IQ767" s="1630"/>
      <c r="IR767" s="1630"/>
      <c r="IS767" s="1630"/>
      <c r="IT767" s="1630"/>
      <c r="IU767" s="1630"/>
      <c r="IV767" s="1630"/>
      <c r="IW767" s="1630"/>
      <c r="IX767" s="1630"/>
      <c r="IY767" s="1630"/>
      <c r="IZ767" s="1630"/>
      <c r="JA767" s="1630"/>
      <c r="JB767" s="1630"/>
      <c r="JC767" s="1630"/>
      <c r="JD767" s="1630"/>
      <c r="JE767" s="1630"/>
      <c r="JF767" s="1630"/>
      <c r="JG767" s="1630"/>
      <c r="JH767" s="1630"/>
      <c r="JI767" s="1630"/>
      <c r="JJ767" s="1630"/>
      <c r="JK767" s="1630"/>
      <c r="JL767" s="1630"/>
      <c r="JM767" s="1630"/>
      <c r="JN767" s="1630"/>
      <c r="JO767" s="1630"/>
      <c r="JP767" s="1630"/>
      <c r="JQ767" s="1630"/>
      <c r="JR767" s="1630"/>
      <c r="JS767" s="1630"/>
      <c r="JT767" s="1630"/>
      <c r="JU767" s="1630"/>
      <c r="JV767" s="1630"/>
      <c r="JW767" s="1630"/>
      <c r="JX767" s="1630"/>
      <c r="JY767" s="1630"/>
      <c r="JZ767" s="1630"/>
      <c r="KA767" s="1630"/>
      <c r="KB767" s="1630"/>
      <c r="KC767" s="1630"/>
      <c r="KD767" s="1630"/>
      <c r="KE767" s="1630"/>
      <c r="KF767" s="1630"/>
      <c r="KG767" s="1630"/>
      <c r="KH767" s="1630"/>
      <c r="KI767" s="1630"/>
      <c r="KJ767" s="1630"/>
      <c r="KK767" s="1630"/>
      <c r="KL767" s="1630"/>
      <c r="KM767" s="1630"/>
      <c r="KN767" s="1630"/>
      <c r="KO767" s="1630"/>
      <c r="KP767" s="1630"/>
      <c r="KQ767" s="1630"/>
      <c r="KR767" s="1630"/>
      <c r="KS767" s="1630"/>
      <c r="KT767" s="1630"/>
      <c r="KU767" s="1630"/>
      <c r="KV767" s="1631"/>
      <c r="KW767" s="1631"/>
      <c r="KX767" s="1631"/>
      <c r="KY767" s="1631"/>
      <c r="KZ767" s="1631"/>
      <c r="LA767" s="1631"/>
      <c r="LB767" s="1631"/>
      <c r="LC767" s="1631"/>
      <c r="LD767" s="1631"/>
      <c r="LE767" s="1631"/>
      <c r="LF767" s="1635"/>
      <c r="LG767" s="1635"/>
      <c r="LH767" s="1635"/>
      <c r="LI767" s="1635"/>
      <c r="LJ767" s="1635"/>
      <c r="LK767" s="1635"/>
      <c r="LL767" s="1635"/>
      <c r="LM767" s="1635"/>
      <c r="LN767" s="1635"/>
      <c r="LO767" s="1635"/>
      <c r="LP767" s="1635"/>
      <c r="LQ767" s="1635"/>
      <c r="LR767" s="1635"/>
      <c r="LS767" s="1635"/>
      <c r="LT767" s="1635"/>
      <c r="LU767" s="1635"/>
      <c r="LV767" s="1635"/>
      <c r="LW767" s="1635"/>
      <c r="LX767" s="1635"/>
      <c r="LY767" s="1635"/>
      <c r="LZ767" s="1635"/>
      <c r="MA767" s="1635"/>
      <c r="MB767" s="1635"/>
      <c r="MC767" s="1635"/>
      <c r="MD767" s="1635"/>
      <c r="ME767" s="1635"/>
      <c r="MF767" s="1635"/>
      <c r="MG767" s="1635"/>
      <c r="MH767" s="1635"/>
      <c r="MI767" s="1635"/>
      <c r="MJ767" s="1636" t="s">
        <v>3418</v>
      </c>
      <c r="MK767" s="1636" t="s">
        <v>3419</v>
      </c>
      <c r="ML767" s="1636" t="s">
        <v>3420</v>
      </c>
      <c r="MM767" s="1636" t="s">
        <v>3421</v>
      </c>
      <c r="MN767" s="1636" t="s">
        <v>3422</v>
      </c>
      <c r="MO767" s="1635" t="s">
        <v>3432</v>
      </c>
      <c r="MP767" s="1635" t="s">
        <v>3434</v>
      </c>
      <c r="MQ767" s="1635" t="s">
        <v>3435</v>
      </c>
      <c r="MR767" s="1635" t="s">
        <v>3436</v>
      </c>
      <c r="MS767" s="1635" t="s">
        <v>3437</v>
      </c>
    </row>
    <row r="768" spans="1:357" ht="12.75" customHeight="1">
      <c r="A768" s="2750"/>
      <c r="B768" s="1843" t="s">
        <v>1805</v>
      </c>
      <c r="C768" s="1631"/>
      <c r="D768" s="1631"/>
      <c r="E768" s="1631"/>
      <c r="F768" s="1630" t="str">
        <f>'Part VI-Revenues &amp; Expenses'!F6</f>
        <v>&lt;Select&gt;</v>
      </c>
      <c r="G768" s="1633" t="s">
        <v>3665</v>
      </c>
      <c r="H768" s="1810" t="s">
        <v>3892</v>
      </c>
      <c r="I768" s="1633" t="s">
        <v>798</v>
      </c>
      <c r="J768" s="1633" t="s">
        <v>3668</v>
      </c>
      <c r="K768" s="2752"/>
      <c r="L768" s="2752"/>
      <c r="M768" s="2753" t="str">
        <f>'Part I-Project Information'!$O$40</f>
        <v>Atlanta-Sandy Springs-Marietta</v>
      </c>
      <c r="N768" s="2753"/>
      <c r="O768" s="1924">
        <f>VLOOKUP('Part I-Project Information'!$O$40,'DCA Underwriting Assumptions'!$C$158:$D$268,2)</f>
        <v>74800</v>
      </c>
      <c r="P768" s="1810"/>
      <c r="Q768" s="2716"/>
      <c r="R768" s="1631"/>
      <c r="S768" s="1631" t="s">
        <v>2698</v>
      </c>
      <c r="T768" s="1631"/>
      <c r="U768" s="1631"/>
      <c r="V768" s="1631"/>
      <c r="W768" s="1810"/>
      <c r="X768" s="1810"/>
      <c r="Y768" s="1810"/>
      <c r="Z768" s="1810"/>
      <c r="AA768" s="1810"/>
      <c r="AB768" s="1810"/>
      <c r="AC768" s="1810"/>
      <c r="AD768" s="1810"/>
      <c r="AE768" s="1810"/>
      <c r="AF768" s="1810"/>
      <c r="AG768" s="1810"/>
      <c r="AH768" s="1810"/>
      <c r="AI768" s="1810"/>
      <c r="AJ768" s="1810"/>
      <c r="AK768" s="1810"/>
      <c r="AL768" s="1810"/>
      <c r="AM768" s="1810"/>
      <c r="AN768" s="1810"/>
      <c r="AO768" s="1810"/>
      <c r="AP768" s="1810"/>
      <c r="AQ768" s="1810"/>
      <c r="AR768" s="1810"/>
      <c r="AS768" s="1810"/>
      <c r="AT768" s="1810"/>
      <c r="AU768" s="1810"/>
      <c r="AV768" s="1810"/>
      <c r="AW768" s="1810"/>
      <c r="AX768" s="1810"/>
      <c r="AY768" s="1810"/>
      <c r="AZ768" s="1810"/>
      <c r="BA768" s="1810"/>
      <c r="BB768" s="1810"/>
      <c r="BC768" s="1810"/>
      <c r="BD768" s="1810"/>
      <c r="BE768" s="1810"/>
      <c r="BF768" s="1810"/>
      <c r="BG768" s="1810"/>
      <c r="BH768" s="1810"/>
      <c r="BI768" s="1810"/>
      <c r="BJ768" s="1810"/>
      <c r="BK768" s="1810"/>
      <c r="BL768" s="1810"/>
      <c r="BM768" s="1810"/>
      <c r="BN768" s="1810"/>
      <c r="BO768" s="1810"/>
      <c r="BP768" s="1810"/>
      <c r="BQ768" s="1810"/>
      <c r="BR768" s="1810"/>
      <c r="BS768" s="1810"/>
      <c r="BT768" s="1810"/>
      <c r="BU768" s="1810"/>
      <c r="BV768" s="1810"/>
      <c r="BW768" s="1810"/>
      <c r="BX768" s="1810"/>
      <c r="BY768" s="1810"/>
      <c r="BZ768" s="1810"/>
      <c r="CA768" s="1810"/>
      <c r="CB768" s="1810"/>
      <c r="CC768" s="1810"/>
      <c r="CD768" s="1810"/>
      <c r="CE768" s="1810"/>
      <c r="CF768" s="1810"/>
      <c r="CG768" s="1810"/>
      <c r="CH768" s="1810"/>
      <c r="CI768" s="1810"/>
      <c r="CJ768" s="1810"/>
      <c r="CK768" s="1810"/>
      <c r="CL768" s="1810"/>
      <c r="CM768" s="1810"/>
      <c r="CN768" s="1810"/>
      <c r="CO768" s="1810"/>
      <c r="CP768" s="1810"/>
      <c r="CQ768" s="1810"/>
      <c r="CR768" s="1810"/>
      <c r="CS768" s="1810"/>
      <c r="CT768" s="1810"/>
      <c r="CU768" s="1810"/>
      <c r="CV768" s="1810"/>
      <c r="CW768" s="1810"/>
      <c r="CX768" s="1810"/>
      <c r="CY768" s="1810"/>
      <c r="CZ768" s="1810"/>
      <c r="DA768" s="1810"/>
      <c r="DB768" s="1810"/>
      <c r="DC768" s="1810"/>
      <c r="DD768" s="1810"/>
      <c r="DE768" s="1810"/>
      <c r="DF768" s="1810"/>
      <c r="DG768" s="1810"/>
      <c r="DH768" s="1810"/>
      <c r="DI768" s="1810"/>
      <c r="DJ768" s="1810"/>
      <c r="DK768" s="1810"/>
      <c r="DL768" s="1810"/>
      <c r="DM768" s="1810"/>
      <c r="DN768" s="1810"/>
      <c r="DO768" s="1810"/>
      <c r="DP768" s="1810"/>
      <c r="DQ768" s="1810"/>
      <c r="DR768" s="1810"/>
      <c r="DS768" s="1810"/>
      <c r="DT768" s="1810"/>
      <c r="DU768" s="1810"/>
      <c r="DV768" s="1810"/>
      <c r="DW768" s="1810"/>
      <c r="DX768" s="1810"/>
      <c r="DY768" s="1810"/>
      <c r="DZ768" s="1810"/>
      <c r="EA768" s="1810"/>
      <c r="EB768" s="1810"/>
      <c r="EC768" s="1810"/>
      <c r="ED768" s="1810"/>
      <c r="EE768" s="1810"/>
      <c r="EF768" s="1810"/>
      <c r="EG768" s="1810"/>
      <c r="EH768" s="1810"/>
      <c r="EI768" s="1810"/>
      <c r="EJ768" s="1810"/>
      <c r="EK768" s="1810"/>
      <c r="EL768" s="1810"/>
      <c r="EM768" s="1810"/>
      <c r="EN768" s="1810"/>
      <c r="EO768" s="1810"/>
      <c r="EP768" s="1810"/>
      <c r="EQ768" s="1810"/>
      <c r="ER768" s="1635"/>
      <c r="ES768" s="1635"/>
      <c r="ET768" s="1635"/>
      <c r="EU768" s="1635"/>
      <c r="EV768" s="1635"/>
      <c r="EW768" s="1635"/>
      <c r="EX768" s="1635"/>
      <c r="EY768" s="1635"/>
      <c r="EZ768" s="1635"/>
      <c r="FA768" s="1635"/>
      <c r="FB768" s="1810"/>
      <c r="FC768" s="1810"/>
      <c r="FD768" s="1810"/>
      <c r="FE768" s="1810"/>
      <c r="FF768" s="1810"/>
      <c r="FG768" s="1635"/>
      <c r="FH768" s="1635"/>
      <c r="FI768" s="1635"/>
      <c r="FJ768" s="1635"/>
      <c r="FK768" s="1635"/>
      <c r="FL768" s="1810"/>
      <c r="FM768" s="1810"/>
      <c r="FN768" s="1810"/>
      <c r="FO768" s="1810"/>
      <c r="FP768" s="1810"/>
      <c r="FQ768" s="1635"/>
      <c r="FR768" s="1635"/>
      <c r="FS768" s="1635"/>
      <c r="FT768" s="1635"/>
      <c r="FU768" s="1635"/>
      <c r="FV768" s="1635"/>
      <c r="FW768" s="1635"/>
      <c r="FX768" s="1635"/>
      <c r="FY768" s="1635"/>
      <c r="FZ768" s="1635"/>
      <c r="GA768" s="1635"/>
      <c r="GB768" s="1635"/>
      <c r="GC768" s="1635"/>
      <c r="GD768" s="1635"/>
      <c r="GE768" s="1635"/>
      <c r="GF768" s="1635"/>
      <c r="GG768" s="1635"/>
      <c r="GH768" s="1635"/>
      <c r="GI768" s="1635"/>
      <c r="GJ768" s="1635"/>
      <c r="GK768" s="1635"/>
      <c r="GL768" s="1635"/>
      <c r="GM768" s="1635"/>
      <c r="GN768" s="1635"/>
      <c r="GO768" s="1635"/>
      <c r="GP768" s="1635"/>
      <c r="GQ768" s="1635"/>
      <c r="GR768" s="1635"/>
      <c r="GS768" s="1635"/>
      <c r="GT768" s="1635"/>
      <c r="GU768" s="1635"/>
      <c r="GV768" s="1635"/>
      <c r="GW768" s="1635"/>
      <c r="GX768" s="1635"/>
      <c r="GY768" s="1635"/>
      <c r="GZ768" s="1635"/>
      <c r="HA768" s="1635"/>
      <c r="HB768" s="1635"/>
      <c r="HC768" s="1635"/>
      <c r="HD768" s="1635"/>
      <c r="HE768" s="1635"/>
      <c r="HF768" s="1635"/>
      <c r="HG768" s="1635"/>
      <c r="HH768" s="1635"/>
      <c r="HI768" s="1635"/>
      <c r="HJ768" s="1635"/>
      <c r="HK768" s="1635"/>
      <c r="HL768" s="1635"/>
      <c r="HM768" s="1635"/>
      <c r="HN768" s="1635"/>
      <c r="HO768" s="1635"/>
      <c r="HP768" s="1635"/>
      <c r="HQ768" s="1635"/>
      <c r="HR768" s="1635"/>
      <c r="HS768" s="1635"/>
      <c r="HT768" s="1635"/>
      <c r="HU768" s="1635"/>
      <c r="HV768" s="1635"/>
      <c r="HW768" s="1635"/>
      <c r="HX768" s="1635"/>
      <c r="HY768" s="1630"/>
      <c r="HZ768" s="1630"/>
      <c r="IA768" s="1630"/>
      <c r="IB768" s="1630"/>
      <c r="IC768" s="1630"/>
      <c r="ID768" s="1630"/>
      <c r="IE768" s="1630"/>
      <c r="IF768" s="1630"/>
      <c r="IG768" s="1630"/>
      <c r="IH768" s="1630"/>
      <c r="II768" s="1630"/>
      <c r="IJ768" s="1630"/>
      <c r="IK768" s="1630"/>
      <c r="IL768" s="1630"/>
      <c r="IM768" s="1630"/>
      <c r="IN768" s="1630"/>
      <c r="IO768" s="1630"/>
      <c r="IP768" s="1630"/>
      <c r="IQ768" s="1630"/>
      <c r="IR768" s="1630"/>
      <c r="IS768" s="1630"/>
      <c r="IT768" s="1630"/>
      <c r="IU768" s="1630"/>
      <c r="IV768" s="1630"/>
      <c r="IW768" s="1630"/>
      <c r="IX768" s="1630"/>
      <c r="IY768" s="1630"/>
      <c r="IZ768" s="1630"/>
      <c r="JA768" s="1630"/>
      <c r="JB768" s="1630"/>
      <c r="JC768" s="1630"/>
      <c r="JD768" s="1630"/>
      <c r="JE768" s="1630"/>
      <c r="JF768" s="1630"/>
      <c r="JG768" s="1630"/>
      <c r="JH768" s="1630"/>
      <c r="JI768" s="1630"/>
      <c r="JJ768" s="1630"/>
      <c r="JK768" s="1630"/>
      <c r="JL768" s="1630"/>
      <c r="JM768" s="1630"/>
      <c r="JN768" s="1630"/>
      <c r="JO768" s="1630"/>
      <c r="JP768" s="1630"/>
      <c r="JQ768" s="1630"/>
      <c r="JR768" s="1630"/>
      <c r="JS768" s="1630"/>
      <c r="JT768" s="1630"/>
      <c r="JU768" s="1630"/>
      <c r="JV768" s="1630"/>
      <c r="JW768" s="1630"/>
      <c r="JX768" s="1630"/>
      <c r="JY768" s="1630"/>
      <c r="JZ768" s="1630"/>
      <c r="KA768" s="1630"/>
      <c r="KB768" s="1630"/>
      <c r="KC768" s="1630"/>
      <c r="KD768" s="1630"/>
      <c r="KE768" s="1630"/>
      <c r="KF768" s="1630"/>
      <c r="KG768" s="1630"/>
      <c r="KH768" s="1630"/>
      <c r="KI768" s="1630"/>
      <c r="KJ768" s="1630"/>
      <c r="KK768" s="1630"/>
      <c r="KL768" s="1630"/>
      <c r="KM768" s="1630"/>
      <c r="KN768" s="1630"/>
      <c r="KO768" s="1630"/>
      <c r="KP768" s="1630"/>
      <c r="KQ768" s="1630"/>
      <c r="KR768" s="1630"/>
      <c r="KS768" s="1630"/>
      <c r="KT768" s="1630"/>
      <c r="KU768" s="1630"/>
      <c r="KV768" s="1631"/>
      <c r="KW768" s="1631"/>
      <c r="KX768" s="1631"/>
      <c r="KY768" s="1631"/>
      <c r="KZ768" s="1631"/>
      <c r="LA768" s="1631"/>
      <c r="LB768" s="1631"/>
      <c r="LC768" s="1631"/>
      <c r="LD768" s="1631"/>
      <c r="LE768" s="1631"/>
      <c r="LF768" s="1635"/>
      <c r="LG768" s="1635"/>
      <c r="LH768" s="1635"/>
      <c r="LI768" s="1635"/>
      <c r="LJ768" s="1635"/>
      <c r="LK768" s="1635"/>
      <c r="LL768" s="1635"/>
      <c r="LM768" s="1635"/>
      <c r="LN768" s="1635"/>
      <c r="LO768" s="1635"/>
      <c r="LP768" s="1635"/>
      <c r="LQ768" s="1635"/>
      <c r="LR768" s="1635"/>
      <c r="LS768" s="1635"/>
      <c r="LT768" s="1635"/>
      <c r="LU768" s="1635"/>
      <c r="LV768" s="1635"/>
      <c r="LW768" s="1635"/>
      <c r="LX768" s="1635"/>
      <c r="LY768" s="1635"/>
      <c r="LZ768" s="1635"/>
      <c r="MA768" s="1635"/>
      <c r="MB768" s="1635"/>
      <c r="MC768" s="1635"/>
      <c r="MD768" s="1635"/>
      <c r="ME768" s="1635"/>
      <c r="MF768" s="1635"/>
      <c r="MG768" s="1635"/>
      <c r="MH768" s="1635"/>
      <c r="MI768" s="1635"/>
      <c r="MJ768" s="1636"/>
      <c r="MK768" s="1636"/>
      <c r="ML768" s="1636"/>
      <c r="MM768" s="1636"/>
      <c r="MN768" s="1636"/>
      <c r="MO768" s="1635"/>
      <c r="MP768" s="1635"/>
      <c r="MQ768" s="1635"/>
      <c r="MR768" s="1635"/>
      <c r="MS768" s="1635"/>
    </row>
    <row r="769" spans="1:357">
      <c r="A769" s="2750"/>
      <c r="B769" s="2754" t="s">
        <v>4709</v>
      </c>
      <c r="C769" s="1631"/>
      <c r="D769" s="1631"/>
      <c r="E769" s="1631"/>
      <c r="F769" s="1631"/>
      <c r="G769" s="1633" t="s">
        <v>3666</v>
      </c>
      <c r="H769" s="1810"/>
      <c r="I769" s="1633" t="s">
        <v>799</v>
      </c>
      <c r="J769" s="1633" t="s">
        <v>3669</v>
      </c>
      <c r="K769" s="1636"/>
      <c r="L769" s="1636"/>
      <c r="M769" s="2753"/>
      <c r="N769" s="2753"/>
      <c r="O769" s="1631"/>
      <c r="P769" s="1810"/>
      <c r="Q769" s="2716"/>
      <c r="R769" s="1636"/>
      <c r="S769" s="1636"/>
      <c r="T769" s="1923" t="s">
        <v>2695</v>
      </c>
      <c r="U769" s="1636"/>
      <c r="V769" s="1631"/>
      <c r="W769" s="1810"/>
      <c r="X769" s="1810"/>
      <c r="Y769" s="1810"/>
      <c r="Z769" s="1810"/>
      <c r="AA769" s="1810"/>
      <c r="AB769" s="1810"/>
      <c r="AC769" s="1810"/>
      <c r="AD769" s="1810"/>
      <c r="AE769" s="1810"/>
      <c r="AF769" s="1810"/>
      <c r="AG769" s="1810"/>
      <c r="AH769" s="1810"/>
      <c r="AI769" s="1810"/>
      <c r="AJ769" s="1810"/>
      <c r="AK769" s="1810"/>
      <c r="AL769" s="1810"/>
      <c r="AM769" s="1810"/>
      <c r="AN769" s="1810"/>
      <c r="AO769" s="1810"/>
      <c r="AP769" s="1810"/>
      <c r="AQ769" s="1810"/>
      <c r="AR769" s="1810"/>
      <c r="AS769" s="1810"/>
      <c r="AT769" s="1810"/>
      <c r="AU769" s="1810"/>
      <c r="AV769" s="1810"/>
      <c r="AW769" s="1810"/>
      <c r="AX769" s="1810"/>
      <c r="AY769" s="1810"/>
      <c r="AZ769" s="1810"/>
      <c r="BA769" s="1810"/>
      <c r="BB769" s="1810"/>
      <c r="BC769" s="1810"/>
      <c r="BD769" s="1810"/>
      <c r="BE769" s="1810"/>
      <c r="BF769" s="1810"/>
      <c r="BG769" s="1810"/>
      <c r="BH769" s="1810"/>
      <c r="BI769" s="1810"/>
      <c r="BJ769" s="1810"/>
      <c r="BK769" s="1810"/>
      <c r="BL769" s="1810"/>
      <c r="BM769" s="1810"/>
      <c r="BN769" s="1810"/>
      <c r="BO769" s="1810"/>
      <c r="BP769" s="1810"/>
      <c r="BQ769" s="1810"/>
      <c r="BR769" s="1810"/>
      <c r="BS769" s="1810"/>
      <c r="BT769" s="1810"/>
      <c r="BU769" s="1810"/>
      <c r="BV769" s="1810"/>
      <c r="BW769" s="1810"/>
      <c r="BX769" s="1810"/>
      <c r="BY769" s="1810"/>
      <c r="BZ769" s="1810"/>
      <c r="CA769" s="1810"/>
      <c r="CB769" s="1810"/>
      <c r="CC769" s="1810"/>
      <c r="CD769" s="1810"/>
      <c r="CE769" s="1810"/>
      <c r="CF769" s="1810"/>
      <c r="CG769" s="1810"/>
      <c r="CH769" s="1810"/>
      <c r="CI769" s="1810"/>
      <c r="CJ769" s="1810"/>
      <c r="CK769" s="1810"/>
      <c r="CL769" s="1810"/>
      <c r="CM769" s="1810"/>
      <c r="CN769" s="1810"/>
      <c r="CO769" s="1810"/>
      <c r="CP769" s="1810"/>
      <c r="CQ769" s="1810"/>
      <c r="CR769" s="1810"/>
      <c r="CS769" s="1810"/>
      <c r="CT769" s="1810"/>
      <c r="CU769" s="1810"/>
      <c r="CV769" s="1810"/>
      <c r="CW769" s="1810"/>
      <c r="CX769" s="1810"/>
      <c r="CY769" s="1810"/>
      <c r="CZ769" s="1810"/>
      <c r="DA769" s="1810"/>
      <c r="DB769" s="1810"/>
      <c r="DC769" s="1810"/>
      <c r="DD769" s="1810"/>
      <c r="DE769" s="1810"/>
      <c r="DF769" s="1810"/>
      <c r="DG769" s="1810"/>
      <c r="DH769" s="1810"/>
      <c r="DI769" s="1810"/>
      <c r="DJ769" s="1810"/>
      <c r="DK769" s="1810"/>
      <c r="DL769" s="1810"/>
      <c r="DM769" s="1810"/>
      <c r="DN769" s="1810"/>
      <c r="DO769" s="1810"/>
      <c r="DP769" s="1810"/>
      <c r="DQ769" s="1810"/>
      <c r="DR769" s="1810"/>
      <c r="DS769" s="1810"/>
      <c r="DT769" s="1810"/>
      <c r="DU769" s="1810"/>
      <c r="DV769" s="1810"/>
      <c r="DW769" s="1810"/>
      <c r="DX769" s="1810"/>
      <c r="DY769" s="1810"/>
      <c r="DZ769" s="1810"/>
      <c r="EA769" s="1810"/>
      <c r="EB769" s="1810"/>
      <c r="EC769" s="1810"/>
      <c r="ED769" s="1810"/>
      <c r="EE769" s="1810"/>
      <c r="EF769" s="1810"/>
      <c r="EG769" s="1810"/>
      <c r="EH769" s="1810"/>
      <c r="EI769" s="1810"/>
      <c r="EJ769" s="1810"/>
      <c r="EK769" s="1810"/>
      <c r="EL769" s="1810"/>
      <c r="EM769" s="1810"/>
      <c r="EN769" s="1810"/>
      <c r="EO769" s="1810"/>
      <c r="EP769" s="1810"/>
      <c r="EQ769" s="1810"/>
      <c r="ER769" s="1635"/>
      <c r="ES769" s="1635"/>
      <c r="ET769" s="1635"/>
      <c r="EU769" s="1635"/>
      <c r="EV769" s="1635"/>
      <c r="EW769" s="1635"/>
      <c r="EX769" s="1635"/>
      <c r="EY769" s="1635"/>
      <c r="EZ769" s="1635"/>
      <c r="FA769" s="1635"/>
      <c r="FB769" s="1810"/>
      <c r="FC769" s="1810"/>
      <c r="FD769" s="1810"/>
      <c r="FE769" s="1810"/>
      <c r="FF769" s="1810"/>
      <c r="FG769" s="1635"/>
      <c r="FH769" s="1635"/>
      <c r="FI769" s="1635"/>
      <c r="FJ769" s="1635"/>
      <c r="FK769" s="1635"/>
      <c r="FL769" s="1810"/>
      <c r="FM769" s="1810"/>
      <c r="FN769" s="1810"/>
      <c r="FO769" s="1810"/>
      <c r="FP769" s="1810"/>
      <c r="FQ769" s="1635"/>
      <c r="FR769" s="1635"/>
      <c r="FS769" s="1635"/>
      <c r="FT769" s="1635"/>
      <c r="FU769" s="1635"/>
      <c r="FV769" s="1635"/>
      <c r="FW769" s="1635"/>
      <c r="FX769" s="1635"/>
      <c r="FY769" s="1635"/>
      <c r="FZ769" s="1635"/>
      <c r="GA769" s="1635"/>
      <c r="GB769" s="1635"/>
      <c r="GC769" s="1635"/>
      <c r="GD769" s="1635"/>
      <c r="GE769" s="1635"/>
      <c r="GF769" s="1635"/>
      <c r="GG769" s="1635"/>
      <c r="GH769" s="1635"/>
      <c r="GI769" s="1635"/>
      <c r="GJ769" s="1635"/>
      <c r="GK769" s="1635"/>
      <c r="GL769" s="1635"/>
      <c r="GM769" s="1635"/>
      <c r="GN769" s="1635"/>
      <c r="GO769" s="1635"/>
      <c r="GP769" s="1635"/>
      <c r="GQ769" s="1635"/>
      <c r="GR769" s="1635"/>
      <c r="GS769" s="1635"/>
      <c r="GT769" s="1635"/>
      <c r="GU769" s="1635"/>
      <c r="GV769" s="1635"/>
      <c r="GW769" s="1635"/>
      <c r="GX769" s="1635"/>
      <c r="GY769" s="1635"/>
      <c r="GZ769" s="1635"/>
      <c r="HA769" s="1635"/>
      <c r="HB769" s="1635"/>
      <c r="HC769" s="1635"/>
      <c r="HD769" s="1635"/>
      <c r="HE769" s="1635"/>
      <c r="HF769" s="1635"/>
      <c r="HG769" s="1635"/>
      <c r="HH769" s="1635"/>
      <c r="HI769" s="1635"/>
      <c r="HJ769" s="1635"/>
      <c r="HK769" s="1635"/>
      <c r="HL769" s="1635"/>
      <c r="HM769" s="1635"/>
      <c r="HN769" s="1635"/>
      <c r="HO769" s="1635"/>
      <c r="HP769" s="1635"/>
      <c r="HQ769" s="1635"/>
      <c r="HR769" s="1635"/>
      <c r="HS769" s="1635"/>
      <c r="HT769" s="1635"/>
      <c r="HU769" s="1635"/>
      <c r="HV769" s="1635"/>
      <c r="HW769" s="1635"/>
      <c r="HX769" s="1635"/>
      <c r="HY769" s="1630"/>
      <c r="HZ769" s="1630"/>
      <c r="IA769" s="1630"/>
      <c r="IB769" s="1630"/>
      <c r="IC769" s="1630"/>
      <c r="ID769" s="1630"/>
      <c r="IE769" s="1630"/>
      <c r="IF769" s="1630"/>
      <c r="IG769" s="1630"/>
      <c r="IH769" s="1630"/>
      <c r="II769" s="1630"/>
      <c r="IJ769" s="1630"/>
      <c r="IK769" s="1630"/>
      <c r="IL769" s="1630"/>
      <c r="IM769" s="1630"/>
      <c r="IN769" s="1630"/>
      <c r="IO769" s="1630"/>
      <c r="IP769" s="1630"/>
      <c r="IQ769" s="1630"/>
      <c r="IR769" s="1630"/>
      <c r="IS769" s="1630"/>
      <c r="IT769" s="1630"/>
      <c r="IU769" s="1630"/>
      <c r="IV769" s="1630"/>
      <c r="IW769" s="1630"/>
      <c r="IX769" s="1637"/>
      <c r="IY769" s="1637"/>
      <c r="IZ769" s="1637"/>
      <c r="JA769" s="1637"/>
      <c r="JB769" s="1637"/>
      <c r="JC769" s="1637"/>
      <c r="JD769" s="1637"/>
      <c r="JE769" s="1637"/>
      <c r="JF769" s="1637"/>
      <c r="JG769" s="1637"/>
      <c r="JH769" s="1637"/>
      <c r="JI769" s="1637"/>
      <c r="JJ769" s="1637"/>
      <c r="JK769" s="1637"/>
      <c r="JL769" s="1637"/>
      <c r="JM769" s="1637"/>
      <c r="JN769" s="1637"/>
      <c r="JO769" s="1637"/>
      <c r="JP769" s="1637"/>
      <c r="JQ769" s="1637"/>
      <c r="JR769" s="1637"/>
      <c r="JS769" s="1637"/>
      <c r="JT769" s="1637"/>
      <c r="JU769" s="1637"/>
      <c r="JV769" s="1637"/>
      <c r="JW769" s="1637"/>
      <c r="JX769" s="1637"/>
      <c r="JY769" s="1637"/>
      <c r="JZ769" s="1637"/>
      <c r="KA769" s="1637"/>
      <c r="KB769" s="1637"/>
      <c r="KC769" s="1637"/>
      <c r="KD769" s="1637"/>
      <c r="KE769" s="1637"/>
      <c r="KF769" s="1637"/>
      <c r="KG769" s="1637"/>
      <c r="KH769" s="1637"/>
      <c r="KI769" s="1637"/>
      <c r="KJ769" s="1637"/>
      <c r="KK769" s="1637"/>
      <c r="KL769" s="1637"/>
      <c r="KM769" s="1637"/>
      <c r="KN769" s="1637"/>
      <c r="KO769" s="1637"/>
      <c r="KP769" s="1637"/>
      <c r="KQ769" s="1637"/>
      <c r="KR769" s="1637"/>
      <c r="KS769" s="1637"/>
      <c r="KT769" s="1637"/>
      <c r="KU769" s="1637"/>
      <c r="KV769" s="1637"/>
      <c r="KW769" s="1637"/>
      <c r="KX769" s="1637"/>
      <c r="KY769" s="1637"/>
      <c r="KZ769" s="1637"/>
      <c r="LA769" s="1637"/>
      <c r="LB769" s="1637"/>
      <c r="LC769" s="1637"/>
      <c r="LD769" s="1637"/>
      <c r="LE769" s="1637"/>
      <c r="LF769" s="1635"/>
      <c r="LG769" s="1635"/>
      <c r="LH769" s="1635"/>
      <c r="LI769" s="1635"/>
      <c r="LJ769" s="1635"/>
      <c r="LK769" s="1635"/>
      <c r="LL769" s="1635"/>
      <c r="LM769" s="1635"/>
      <c r="LN769" s="1635"/>
      <c r="LO769" s="1635"/>
      <c r="LP769" s="1635"/>
      <c r="LQ769" s="1635"/>
      <c r="LR769" s="1635"/>
      <c r="LS769" s="1635"/>
      <c r="LT769" s="1635"/>
      <c r="LU769" s="1635"/>
      <c r="LV769" s="1635"/>
      <c r="LW769" s="1635"/>
      <c r="LX769" s="1635"/>
      <c r="LY769" s="1635"/>
      <c r="LZ769" s="1635"/>
      <c r="MA769" s="1635"/>
      <c r="MB769" s="1635"/>
      <c r="MC769" s="1635"/>
      <c r="MD769" s="1635"/>
      <c r="ME769" s="1635"/>
      <c r="MF769" s="1635"/>
      <c r="MG769" s="1635"/>
      <c r="MH769" s="1635"/>
      <c r="MI769" s="1635"/>
      <c r="MJ769" s="1636"/>
      <c r="MK769" s="1636"/>
      <c r="ML769" s="1636"/>
      <c r="MM769" s="1636"/>
      <c r="MN769" s="1636"/>
      <c r="MO769" s="1635"/>
      <c r="MP769" s="1635"/>
      <c r="MQ769" s="1635"/>
      <c r="MR769" s="1635"/>
      <c r="MS769" s="1635"/>
    </row>
    <row r="770" spans="1:357" ht="12.75" customHeight="1">
      <c r="A770" s="2750"/>
      <c r="B770" s="1633" t="s">
        <v>4710</v>
      </c>
      <c r="C770" s="1633" t="s">
        <v>172</v>
      </c>
      <c r="D770" s="1633" t="s">
        <v>545</v>
      </c>
      <c r="E770" s="1633" t="s">
        <v>1476</v>
      </c>
      <c r="F770" s="1633" t="s">
        <v>1476</v>
      </c>
      <c r="G770" s="1633" t="s">
        <v>1478</v>
      </c>
      <c r="H770" s="1633" t="s">
        <v>3666</v>
      </c>
      <c r="I770" s="2755" t="s">
        <v>5074</v>
      </c>
      <c r="J770" s="1633" t="s">
        <v>5159</v>
      </c>
      <c r="K770" s="1634" t="s">
        <v>145</v>
      </c>
      <c r="L770" s="1634"/>
      <c r="M770" s="1633" t="s">
        <v>2367</v>
      </c>
      <c r="N770" s="1633" t="s">
        <v>532</v>
      </c>
      <c r="O770" s="1633" t="s">
        <v>383</v>
      </c>
      <c r="P770" s="1810"/>
      <c r="Q770" s="1634" t="s">
        <v>3574</v>
      </c>
      <c r="R770" s="1634"/>
      <c r="S770" s="1633" t="s">
        <v>2694</v>
      </c>
      <c r="T770" s="1633" t="s">
        <v>2696</v>
      </c>
      <c r="U770" s="1633"/>
      <c r="V770" s="1486"/>
      <c r="W770" s="1810"/>
      <c r="X770" s="1810"/>
      <c r="Y770" s="1810"/>
      <c r="Z770" s="1810"/>
      <c r="AA770" s="1810"/>
      <c r="AB770" s="1810"/>
      <c r="AC770" s="1810"/>
      <c r="AD770" s="1810"/>
      <c r="AE770" s="1810"/>
      <c r="AF770" s="1810"/>
      <c r="AG770" s="1810"/>
      <c r="AH770" s="1810"/>
      <c r="AI770" s="1810"/>
      <c r="AJ770" s="1810"/>
      <c r="AK770" s="1810"/>
      <c r="AL770" s="1810"/>
      <c r="AM770" s="1810"/>
      <c r="AN770" s="1810"/>
      <c r="AO770" s="1810"/>
      <c r="AP770" s="1810"/>
      <c r="AQ770" s="1810"/>
      <c r="AR770" s="1810"/>
      <c r="AS770" s="1810"/>
      <c r="AT770" s="1810"/>
      <c r="AU770" s="1810"/>
      <c r="AV770" s="1810"/>
      <c r="AW770" s="1810"/>
      <c r="AX770" s="1810"/>
      <c r="AY770" s="1810"/>
      <c r="AZ770" s="1810"/>
      <c r="BA770" s="1810"/>
      <c r="BB770" s="1810"/>
      <c r="BC770" s="1810"/>
      <c r="BD770" s="1810"/>
      <c r="BE770" s="1810"/>
      <c r="BF770" s="1810"/>
      <c r="BG770" s="1810"/>
      <c r="BH770" s="1810"/>
      <c r="BI770" s="1810"/>
      <c r="BJ770" s="1810"/>
      <c r="BK770" s="1810"/>
      <c r="BL770" s="1810"/>
      <c r="BM770" s="1810"/>
      <c r="BN770" s="1810"/>
      <c r="BO770" s="1810"/>
      <c r="BP770" s="1810"/>
      <c r="BQ770" s="1810"/>
      <c r="BR770" s="1810"/>
      <c r="BS770" s="1810"/>
      <c r="BT770" s="1810"/>
      <c r="BU770" s="1810"/>
      <c r="BV770" s="1810"/>
      <c r="BW770" s="1810"/>
      <c r="BX770" s="1810"/>
      <c r="BY770" s="1810"/>
      <c r="BZ770" s="1810"/>
      <c r="CA770" s="1810"/>
      <c r="CB770" s="1810"/>
      <c r="CC770" s="1810"/>
      <c r="CD770" s="1810"/>
      <c r="CE770" s="1810"/>
      <c r="CF770" s="1810"/>
      <c r="CG770" s="1810"/>
      <c r="CH770" s="1810"/>
      <c r="CI770" s="1810"/>
      <c r="CJ770" s="1810"/>
      <c r="CK770" s="1810"/>
      <c r="CL770" s="1810"/>
      <c r="CM770" s="1810"/>
      <c r="CN770" s="1810"/>
      <c r="CO770" s="1810"/>
      <c r="CP770" s="1810"/>
      <c r="CQ770" s="1810"/>
      <c r="CR770" s="1810"/>
      <c r="CS770" s="1810"/>
      <c r="CT770" s="1810"/>
      <c r="CU770" s="1810"/>
      <c r="CV770" s="1810"/>
      <c r="CW770" s="1810"/>
      <c r="CX770" s="1810"/>
      <c r="CY770" s="1810"/>
      <c r="CZ770" s="1810"/>
      <c r="DA770" s="1810"/>
      <c r="DB770" s="1810"/>
      <c r="DC770" s="1810"/>
      <c r="DD770" s="1810"/>
      <c r="DE770" s="1810"/>
      <c r="DF770" s="1810"/>
      <c r="DG770" s="1810"/>
      <c r="DH770" s="1810"/>
      <c r="DI770" s="1810"/>
      <c r="DJ770" s="1810"/>
      <c r="DK770" s="1810"/>
      <c r="DL770" s="1810"/>
      <c r="DM770" s="1810"/>
      <c r="DN770" s="1810"/>
      <c r="DO770" s="1810"/>
      <c r="DP770" s="1810"/>
      <c r="DQ770" s="1810"/>
      <c r="DR770" s="1810"/>
      <c r="DS770" s="1810"/>
      <c r="DT770" s="1810"/>
      <c r="DU770" s="1810"/>
      <c r="DV770" s="1810"/>
      <c r="DW770" s="1810"/>
      <c r="DX770" s="1810"/>
      <c r="DY770" s="1810"/>
      <c r="DZ770" s="1810"/>
      <c r="EA770" s="1810"/>
      <c r="EB770" s="1810"/>
      <c r="EC770" s="1810"/>
      <c r="ED770" s="1810"/>
      <c r="EE770" s="1810"/>
      <c r="EF770" s="1810"/>
      <c r="EG770" s="1810"/>
      <c r="EH770" s="1810"/>
      <c r="EI770" s="1810"/>
      <c r="EJ770" s="1810"/>
      <c r="EK770" s="1810"/>
      <c r="EL770" s="1810"/>
      <c r="EM770" s="1810"/>
      <c r="EN770" s="1810"/>
      <c r="EO770" s="1810"/>
      <c r="EP770" s="1810"/>
      <c r="EQ770" s="1810"/>
      <c r="ER770" s="1635"/>
      <c r="ES770" s="1635"/>
      <c r="ET770" s="1635"/>
      <c r="EU770" s="1635"/>
      <c r="EV770" s="1635"/>
      <c r="EW770" s="1635"/>
      <c r="EX770" s="1635"/>
      <c r="EY770" s="1635"/>
      <c r="EZ770" s="1635"/>
      <c r="FA770" s="1635"/>
      <c r="FB770" s="1810"/>
      <c r="FC770" s="1810"/>
      <c r="FD770" s="1810"/>
      <c r="FE770" s="1810"/>
      <c r="FF770" s="1810"/>
      <c r="FG770" s="1635"/>
      <c r="FH770" s="1635"/>
      <c r="FI770" s="1635"/>
      <c r="FJ770" s="1635"/>
      <c r="FK770" s="1635"/>
      <c r="FL770" s="1810"/>
      <c r="FM770" s="1810"/>
      <c r="FN770" s="1810"/>
      <c r="FO770" s="1810"/>
      <c r="FP770" s="1810"/>
      <c r="FQ770" s="1635"/>
      <c r="FR770" s="1635"/>
      <c r="FS770" s="1635"/>
      <c r="FT770" s="1635"/>
      <c r="FU770" s="1635"/>
      <c r="FV770" s="1635"/>
      <c r="FW770" s="1635"/>
      <c r="FX770" s="1635"/>
      <c r="FY770" s="1635"/>
      <c r="FZ770" s="1635"/>
      <c r="GA770" s="1635"/>
      <c r="GB770" s="1635"/>
      <c r="GC770" s="1635"/>
      <c r="GD770" s="1635"/>
      <c r="GE770" s="1635"/>
      <c r="GF770" s="1635"/>
      <c r="GG770" s="1635"/>
      <c r="GH770" s="1635"/>
      <c r="GI770" s="1635"/>
      <c r="GJ770" s="1635"/>
      <c r="GK770" s="1635"/>
      <c r="GL770" s="1635"/>
      <c r="GM770" s="1635"/>
      <c r="GN770" s="1635"/>
      <c r="GO770" s="1635"/>
      <c r="GP770" s="1635"/>
      <c r="GQ770" s="1635"/>
      <c r="GR770" s="1635"/>
      <c r="GS770" s="1635"/>
      <c r="GT770" s="1635"/>
      <c r="GU770" s="1635"/>
      <c r="GV770" s="1635"/>
      <c r="GW770" s="1635"/>
      <c r="GX770" s="1635"/>
      <c r="GY770" s="1635"/>
      <c r="GZ770" s="1635"/>
      <c r="HA770" s="1635"/>
      <c r="HB770" s="1635"/>
      <c r="HC770" s="1635"/>
      <c r="HD770" s="1635"/>
      <c r="HE770" s="1635"/>
      <c r="HF770" s="1635"/>
      <c r="HG770" s="1635"/>
      <c r="HH770" s="1635"/>
      <c r="HI770" s="1635"/>
      <c r="HJ770" s="1635"/>
      <c r="HK770" s="1635"/>
      <c r="HL770" s="1635"/>
      <c r="HM770" s="1635"/>
      <c r="HN770" s="1635"/>
      <c r="HO770" s="1635"/>
      <c r="HP770" s="1635"/>
      <c r="HQ770" s="1635"/>
      <c r="HR770" s="1635"/>
      <c r="HS770" s="1635"/>
      <c r="HT770" s="1635"/>
      <c r="HU770" s="1635"/>
      <c r="HV770" s="1635"/>
      <c r="HW770" s="1635"/>
      <c r="HX770" s="1635"/>
      <c r="HY770" s="1635" t="s">
        <v>1462</v>
      </c>
      <c r="HZ770" s="1637" t="s">
        <v>2440</v>
      </c>
      <c r="IA770" s="1637" t="s">
        <v>2441</v>
      </c>
      <c r="IB770" s="1637" t="s">
        <v>2442</v>
      </c>
      <c r="IC770" s="1637" t="s">
        <v>2443</v>
      </c>
      <c r="ID770" s="1635" t="s">
        <v>2497</v>
      </c>
      <c r="IE770" s="1635" t="s">
        <v>2497</v>
      </c>
      <c r="IF770" s="1635" t="s">
        <v>2497</v>
      </c>
      <c r="IG770" s="1635" t="s">
        <v>2497</v>
      </c>
      <c r="IH770" s="1635" t="s">
        <v>2497</v>
      </c>
      <c r="II770" s="1635" t="s">
        <v>3366</v>
      </c>
      <c r="IJ770" s="1635" t="s">
        <v>3366</v>
      </c>
      <c r="IK770" s="1635" t="s">
        <v>3366</v>
      </c>
      <c r="IL770" s="1635" t="s">
        <v>3366</v>
      </c>
      <c r="IM770" s="1635" t="s">
        <v>3366</v>
      </c>
      <c r="IN770" s="1637" t="s">
        <v>568</v>
      </c>
      <c r="IO770" s="1637" t="s">
        <v>2440</v>
      </c>
      <c r="IP770" s="1637" t="s">
        <v>2441</v>
      </c>
      <c r="IQ770" s="1637" t="s">
        <v>2442</v>
      </c>
      <c r="IR770" s="1637" t="s">
        <v>2443</v>
      </c>
      <c r="IS770" s="1637" t="s">
        <v>568</v>
      </c>
      <c r="IT770" s="1637" t="s">
        <v>2440</v>
      </c>
      <c r="IU770" s="1637" t="s">
        <v>2441</v>
      </c>
      <c r="IV770" s="1637" t="s">
        <v>2442</v>
      </c>
      <c r="IW770" s="1637" t="s">
        <v>2443</v>
      </c>
      <c r="IX770" s="1635" t="s">
        <v>2499</v>
      </c>
      <c r="IY770" s="1635" t="s">
        <v>2499</v>
      </c>
      <c r="IZ770" s="1635" t="s">
        <v>2499</v>
      </c>
      <c r="JA770" s="1635" t="s">
        <v>2499</v>
      </c>
      <c r="JB770" s="1635" t="s">
        <v>2499</v>
      </c>
      <c r="JC770" s="1635" t="s">
        <v>3362</v>
      </c>
      <c r="JD770" s="1635" t="s">
        <v>3362</v>
      </c>
      <c r="JE770" s="1635" t="s">
        <v>3362</v>
      </c>
      <c r="JF770" s="1635" t="s">
        <v>3362</v>
      </c>
      <c r="JG770" s="1635" t="s">
        <v>3362</v>
      </c>
      <c r="JH770" s="1635" t="s">
        <v>358</v>
      </c>
      <c r="JI770" s="1635" t="s">
        <v>358</v>
      </c>
      <c r="JJ770" s="1635" t="s">
        <v>358</v>
      </c>
      <c r="JK770" s="1635" t="s">
        <v>358</v>
      </c>
      <c r="JL770" s="1635" t="s">
        <v>358</v>
      </c>
      <c r="JM770" s="1635" t="s">
        <v>3361</v>
      </c>
      <c r="JN770" s="1635" t="s">
        <v>3361</v>
      </c>
      <c r="JO770" s="1635" t="s">
        <v>3361</v>
      </c>
      <c r="JP770" s="1635" t="s">
        <v>3361</v>
      </c>
      <c r="JQ770" s="1635" t="s">
        <v>3361</v>
      </c>
      <c r="JR770" s="1635" t="s">
        <v>359</v>
      </c>
      <c r="JS770" s="1635" t="s">
        <v>359</v>
      </c>
      <c r="JT770" s="1635" t="s">
        <v>359</v>
      </c>
      <c r="JU770" s="1635" t="s">
        <v>359</v>
      </c>
      <c r="JV770" s="1635" t="s">
        <v>359</v>
      </c>
      <c r="JW770" s="1635" t="s">
        <v>3360</v>
      </c>
      <c r="JX770" s="1635" t="s">
        <v>3360</v>
      </c>
      <c r="JY770" s="1635" t="s">
        <v>3360</v>
      </c>
      <c r="JZ770" s="1635" t="s">
        <v>3360</v>
      </c>
      <c r="KA770" s="1635" t="s">
        <v>3360</v>
      </c>
      <c r="KB770" s="1635" t="s">
        <v>360</v>
      </c>
      <c r="KC770" s="1635" t="s">
        <v>360</v>
      </c>
      <c r="KD770" s="1635" t="s">
        <v>360</v>
      </c>
      <c r="KE770" s="1635" t="s">
        <v>360</v>
      </c>
      <c r="KF770" s="1635" t="s">
        <v>360</v>
      </c>
      <c r="KG770" s="1635" t="s">
        <v>3363</v>
      </c>
      <c r="KH770" s="1635" t="s">
        <v>3363</v>
      </c>
      <c r="KI770" s="1635" t="s">
        <v>3363</v>
      </c>
      <c r="KJ770" s="1635" t="s">
        <v>3363</v>
      </c>
      <c r="KK770" s="1635" t="s">
        <v>3363</v>
      </c>
      <c r="KL770" s="1635" t="s">
        <v>361</v>
      </c>
      <c r="KM770" s="1635" t="s">
        <v>361</v>
      </c>
      <c r="KN770" s="1635" t="s">
        <v>361</v>
      </c>
      <c r="KO770" s="1635" t="s">
        <v>361</v>
      </c>
      <c r="KP770" s="1635" t="s">
        <v>361</v>
      </c>
      <c r="KQ770" s="1635" t="s">
        <v>3364</v>
      </c>
      <c r="KR770" s="1635" t="s">
        <v>3364</v>
      </c>
      <c r="KS770" s="1635" t="s">
        <v>3364</v>
      </c>
      <c r="KT770" s="1635" t="s">
        <v>3364</v>
      </c>
      <c r="KU770" s="1635" t="s">
        <v>3364</v>
      </c>
      <c r="KV770" s="1635" t="s">
        <v>1461</v>
      </c>
      <c r="KW770" s="1635" t="s">
        <v>1461</v>
      </c>
      <c r="KX770" s="1635" t="s">
        <v>1461</v>
      </c>
      <c r="KY770" s="1635" t="s">
        <v>1461</v>
      </c>
      <c r="KZ770" s="1635" t="s">
        <v>1461</v>
      </c>
      <c r="LA770" s="1635" t="s">
        <v>3365</v>
      </c>
      <c r="LB770" s="1635" t="s">
        <v>3365</v>
      </c>
      <c r="LC770" s="1635" t="s">
        <v>3365</v>
      </c>
      <c r="LD770" s="1635" t="s">
        <v>3365</v>
      </c>
      <c r="LE770" s="1635" t="s">
        <v>3365</v>
      </c>
      <c r="LF770" s="1635"/>
      <c r="LG770" s="1635"/>
      <c r="LH770" s="1635"/>
      <c r="LI770" s="1635"/>
      <c r="LJ770" s="1635"/>
      <c r="LK770" s="1635"/>
      <c r="LL770" s="1635"/>
      <c r="LM770" s="1635"/>
      <c r="LN770" s="1635"/>
      <c r="LO770" s="1635"/>
      <c r="LP770" s="1635"/>
      <c r="LQ770" s="1635"/>
      <c r="LR770" s="1635"/>
      <c r="LS770" s="1635"/>
      <c r="LT770" s="1635"/>
      <c r="LU770" s="1635"/>
      <c r="LV770" s="1635"/>
      <c r="LW770" s="1635"/>
      <c r="LX770" s="1635"/>
      <c r="LY770" s="1635"/>
      <c r="LZ770" s="1635"/>
      <c r="MA770" s="1635"/>
      <c r="MB770" s="1635"/>
      <c r="MC770" s="1635"/>
      <c r="MD770" s="1635"/>
      <c r="ME770" s="1635"/>
      <c r="MF770" s="1635"/>
      <c r="MG770" s="1635"/>
      <c r="MH770" s="1635"/>
      <c r="MI770" s="1635"/>
      <c r="MJ770" s="1636"/>
      <c r="MK770" s="1636"/>
      <c r="ML770" s="1636"/>
      <c r="MM770" s="1636"/>
      <c r="MN770" s="1636"/>
      <c r="MO770" s="1635"/>
      <c r="MP770" s="1635"/>
      <c r="MQ770" s="1635"/>
      <c r="MR770" s="1635"/>
      <c r="MS770" s="1635"/>
    </row>
    <row r="771" spans="1:357" ht="16.5">
      <c r="A771" s="2750"/>
      <c r="B771" s="2756" t="s">
        <v>5076</v>
      </c>
      <c r="C771" s="1633" t="s">
        <v>171</v>
      </c>
      <c r="D771" s="1633" t="s">
        <v>173</v>
      </c>
      <c r="E771" s="1633" t="s">
        <v>1477</v>
      </c>
      <c r="F771" s="1633" t="s">
        <v>1279</v>
      </c>
      <c r="G771" s="1633" t="s">
        <v>3667</v>
      </c>
      <c r="H771" s="1633" t="s">
        <v>1478</v>
      </c>
      <c r="I771" s="2755"/>
      <c r="J771" s="1821" t="s">
        <v>350</v>
      </c>
      <c r="K771" s="1633" t="s">
        <v>1530</v>
      </c>
      <c r="L771" s="1633" t="s">
        <v>539</v>
      </c>
      <c r="M771" s="1633" t="s">
        <v>1476</v>
      </c>
      <c r="N771" s="1633" t="s">
        <v>3315</v>
      </c>
      <c r="O771" s="1633" t="s">
        <v>384</v>
      </c>
      <c r="P771" s="1810"/>
      <c r="Q771" s="1633" t="s">
        <v>3575</v>
      </c>
      <c r="R771" s="1633" t="s">
        <v>1040</v>
      </c>
      <c r="S771" s="1633" t="s">
        <v>1478</v>
      </c>
      <c r="T771" s="1633" t="s">
        <v>2697</v>
      </c>
      <c r="U771" s="2111" t="s">
        <v>1845</v>
      </c>
      <c r="V771" s="2111"/>
      <c r="W771" s="1810"/>
      <c r="X771" s="1810"/>
      <c r="Y771" s="1810"/>
      <c r="Z771" s="1810"/>
      <c r="AA771" s="1810"/>
      <c r="AB771" s="1810"/>
      <c r="AC771" s="1810"/>
      <c r="AD771" s="1810"/>
      <c r="AE771" s="1810"/>
      <c r="AF771" s="1810"/>
      <c r="AG771" s="1810"/>
      <c r="AH771" s="1810"/>
      <c r="AI771" s="1810"/>
      <c r="AJ771" s="1810"/>
      <c r="AK771" s="1810"/>
      <c r="AL771" s="1810"/>
      <c r="AM771" s="1810"/>
      <c r="AN771" s="1810"/>
      <c r="AO771" s="1810"/>
      <c r="AP771" s="1810"/>
      <c r="AQ771" s="1810"/>
      <c r="AR771" s="1810"/>
      <c r="AS771" s="1810"/>
      <c r="AT771" s="1810"/>
      <c r="AU771" s="1810"/>
      <c r="AV771" s="1810"/>
      <c r="AW771" s="1810"/>
      <c r="AX771" s="1810"/>
      <c r="AY771" s="1810"/>
      <c r="AZ771" s="1810"/>
      <c r="BA771" s="1810"/>
      <c r="BB771" s="1810"/>
      <c r="BC771" s="1810"/>
      <c r="BD771" s="1810"/>
      <c r="BE771" s="1810"/>
      <c r="BF771" s="1810"/>
      <c r="BG771" s="1810"/>
      <c r="BH771" s="1810"/>
      <c r="BI771" s="1810"/>
      <c r="BJ771" s="1810"/>
      <c r="BK771" s="1810"/>
      <c r="BL771" s="1810"/>
      <c r="BM771" s="1810"/>
      <c r="BN771" s="1810"/>
      <c r="BO771" s="1810"/>
      <c r="BP771" s="1810"/>
      <c r="BQ771" s="1810"/>
      <c r="BR771" s="1810"/>
      <c r="BS771" s="1810"/>
      <c r="BT771" s="1810"/>
      <c r="BU771" s="1810"/>
      <c r="BV771" s="1810"/>
      <c r="BW771" s="1810"/>
      <c r="BX771" s="1810"/>
      <c r="BY771" s="1810"/>
      <c r="BZ771" s="1810"/>
      <c r="CA771" s="1810"/>
      <c r="CB771" s="1810"/>
      <c r="CC771" s="1810"/>
      <c r="CD771" s="1810"/>
      <c r="CE771" s="1810"/>
      <c r="CF771" s="1810"/>
      <c r="CG771" s="1810"/>
      <c r="CH771" s="1810"/>
      <c r="CI771" s="1810"/>
      <c r="CJ771" s="1810"/>
      <c r="CK771" s="1810"/>
      <c r="CL771" s="1810"/>
      <c r="CM771" s="1810"/>
      <c r="CN771" s="1810"/>
      <c r="CO771" s="1810"/>
      <c r="CP771" s="1810"/>
      <c r="CQ771" s="1810"/>
      <c r="CR771" s="1810"/>
      <c r="CS771" s="1810"/>
      <c r="CT771" s="1810"/>
      <c r="CU771" s="1810"/>
      <c r="CV771" s="1810"/>
      <c r="CW771" s="1810"/>
      <c r="CX771" s="1810"/>
      <c r="CY771" s="1810"/>
      <c r="CZ771" s="1810"/>
      <c r="DA771" s="1810"/>
      <c r="DB771" s="1810"/>
      <c r="DC771" s="1810"/>
      <c r="DD771" s="1810"/>
      <c r="DE771" s="1810"/>
      <c r="DF771" s="1810"/>
      <c r="DG771" s="1810"/>
      <c r="DH771" s="1810"/>
      <c r="DI771" s="1810"/>
      <c r="DJ771" s="1810"/>
      <c r="DK771" s="1810"/>
      <c r="DL771" s="1810"/>
      <c r="DM771" s="1810"/>
      <c r="DN771" s="1810"/>
      <c r="DO771" s="1810"/>
      <c r="DP771" s="1810"/>
      <c r="DQ771" s="1810"/>
      <c r="DR771" s="1810"/>
      <c r="DS771" s="1810"/>
      <c r="DT771" s="1810"/>
      <c r="DU771" s="1810"/>
      <c r="DV771" s="1810"/>
      <c r="DW771" s="1810"/>
      <c r="DX771" s="1810"/>
      <c r="DY771" s="1810"/>
      <c r="DZ771" s="1810"/>
      <c r="EA771" s="1810"/>
      <c r="EB771" s="1810"/>
      <c r="EC771" s="1810"/>
      <c r="ED771" s="1810"/>
      <c r="EE771" s="1810"/>
      <c r="EF771" s="1810"/>
      <c r="EG771" s="1810"/>
      <c r="EH771" s="1810"/>
      <c r="EI771" s="1810"/>
      <c r="EJ771" s="1810"/>
      <c r="EK771" s="1810"/>
      <c r="EL771" s="1810"/>
      <c r="EM771" s="1810"/>
      <c r="EN771" s="1810"/>
      <c r="EO771" s="1810"/>
      <c r="EP771" s="1810"/>
      <c r="EQ771" s="1810"/>
      <c r="ER771" s="1635"/>
      <c r="ES771" s="1635"/>
      <c r="ET771" s="1635"/>
      <c r="EU771" s="1635"/>
      <c r="EV771" s="1635"/>
      <c r="EW771" s="1635"/>
      <c r="EX771" s="1635"/>
      <c r="EY771" s="1635"/>
      <c r="EZ771" s="1635"/>
      <c r="FA771" s="1635"/>
      <c r="FB771" s="1810"/>
      <c r="FC771" s="1810"/>
      <c r="FD771" s="1810"/>
      <c r="FE771" s="1810"/>
      <c r="FF771" s="1810"/>
      <c r="FG771" s="1635"/>
      <c r="FH771" s="1635"/>
      <c r="FI771" s="1635"/>
      <c r="FJ771" s="1635"/>
      <c r="FK771" s="1635"/>
      <c r="FL771" s="1810"/>
      <c r="FM771" s="1810"/>
      <c r="FN771" s="1810"/>
      <c r="FO771" s="1810"/>
      <c r="FP771" s="1810"/>
      <c r="FQ771" s="1635"/>
      <c r="FR771" s="1635"/>
      <c r="FS771" s="1635"/>
      <c r="FT771" s="1635"/>
      <c r="FU771" s="1635"/>
      <c r="FV771" s="1635"/>
      <c r="FW771" s="1635"/>
      <c r="FX771" s="1635"/>
      <c r="FY771" s="1635"/>
      <c r="FZ771" s="1635"/>
      <c r="GA771" s="1635"/>
      <c r="GB771" s="1635"/>
      <c r="GC771" s="1635"/>
      <c r="GD771" s="1635"/>
      <c r="GE771" s="1635"/>
      <c r="GF771" s="1635"/>
      <c r="GG771" s="1635"/>
      <c r="GH771" s="1635"/>
      <c r="GI771" s="1635"/>
      <c r="GJ771" s="1635"/>
      <c r="GK771" s="1635"/>
      <c r="GL771" s="1635"/>
      <c r="GM771" s="1635"/>
      <c r="GN771" s="1635"/>
      <c r="GO771" s="1635"/>
      <c r="GP771" s="1635"/>
      <c r="GQ771" s="1635"/>
      <c r="GR771" s="1635"/>
      <c r="GS771" s="1635"/>
      <c r="GT771" s="1635"/>
      <c r="GU771" s="1635"/>
      <c r="GV771" s="1635"/>
      <c r="GW771" s="1635"/>
      <c r="GX771" s="1635"/>
      <c r="GY771" s="1635"/>
      <c r="GZ771" s="1635"/>
      <c r="HA771" s="1635"/>
      <c r="HB771" s="1635"/>
      <c r="HC771" s="1635"/>
      <c r="HD771" s="1635"/>
      <c r="HE771" s="1635"/>
      <c r="HF771" s="1635"/>
      <c r="HG771" s="1635"/>
      <c r="HH771" s="1635"/>
      <c r="HI771" s="1635"/>
      <c r="HJ771" s="1635"/>
      <c r="HK771" s="1635"/>
      <c r="HL771" s="1635"/>
      <c r="HM771" s="1635"/>
      <c r="HN771" s="1635"/>
      <c r="HO771" s="1635"/>
      <c r="HP771" s="1635"/>
      <c r="HQ771" s="1635"/>
      <c r="HR771" s="1635"/>
      <c r="HS771" s="1635"/>
      <c r="HT771" s="1635"/>
      <c r="HU771" s="1635"/>
      <c r="HV771" s="1635"/>
      <c r="HW771" s="1635"/>
      <c r="HX771" s="1635"/>
      <c r="HY771" s="1635"/>
      <c r="HZ771" s="1637" t="s">
        <v>2496</v>
      </c>
      <c r="IA771" s="1637" t="s">
        <v>2496</v>
      </c>
      <c r="IB771" s="1637" t="s">
        <v>2496</v>
      </c>
      <c r="IC771" s="1637" t="s">
        <v>2496</v>
      </c>
      <c r="ID771" s="1635"/>
      <c r="IE771" s="1635"/>
      <c r="IF771" s="1635"/>
      <c r="IG771" s="1635"/>
      <c r="IH771" s="1635"/>
      <c r="II771" s="1635"/>
      <c r="IJ771" s="1635"/>
      <c r="IK771" s="1635"/>
      <c r="IL771" s="1635"/>
      <c r="IM771" s="1635"/>
      <c r="IN771" s="1637" t="s">
        <v>2498</v>
      </c>
      <c r="IO771" s="1637" t="s">
        <v>2498</v>
      </c>
      <c r="IP771" s="1637" t="s">
        <v>2498</v>
      </c>
      <c r="IQ771" s="1637" t="s">
        <v>2498</v>
      </c>
      <c r="IR771" s="1637" t="s">
        <v>2498</v>
      </c>
      <c r="IS771" s="1637" t="s">
        <v>3367</v>
      </c>
      <c r="IT771" s="1637" t="s">
        <v>3367</v>
      </c>
      <c r="IU771" s="1637" t="s">
        <v>3367</v>
      </c>
      <c r="IV771" s="1637" t="s">
        <v>3367</v>
      </c>
      <c r="IW771" s="1637" t="s">
        <v>3367</v>
      </c>
      <c r="IX771" s="1635"/>
      <c r="IY771" s="1635"/>
      <c r="IZ771" s="1635"/>
      <c r="JA771" s="1635"/>
      <c r="JB771" s="1635"/>
      <c r="JC771" s="1635"/>
      <c r="JD771" s="1635"/>
      <c r="JE771" s="1635"/>
      <c r="JF771" s="1635"/>
      <c r="JG771" s="1635"/>
      <c r="JH771" s="1635"/>
      <c r="JI771" s="1635"/>
      <c r="JJ771" s="1635"/>
      <c r="JK771" s="1635"/>
      <c r="JL771" s="1635"/>
      <c r="JM771" s="1635"/>
      <c r="JN771" s="1635"/>
      <c r="JO771" s="1635"/>
      <c r="JP771" s="1635"/>
      <c r="JQ771" s="1635"/>
      <c r="JR771" s="1635"/>
      <c r="JS771" s="1635"/>
      <c r="JT771" s="1635"/>
      <c r="JU771" s="1635"/>
      <c r="JV771" s="1635"/>
      <c r="JW771" s="1635"/>
      <c r="JX771" s="1635"/>
      <c r="JY771" s="1635"/>
      <c r="JZ771" s="1635"/>
      <c r="KA771" s="1635"/>
      <c r="KB771" s="1635"/>
      <c r="KC771" s="1635"/>
      <c r="KD771" s="1635"/>
      <c r="KE771" s="1635"/>
      <c r="KF771" s="1635"/>
      <c r="KG771" s="1635"/>
      <c r="KH771" s="1635"/>
      <c r="KI771" s="1635"/>
      <c r="KJ771" s="1635"/>
      <c r="KK771" s="1635"/>
      <c r="KL771" s="1635"/>
      <c r="KM771" s="1635"/>
      <c r="KN771" s="1635"/>
      <c r="KO771" s="1635"/>
      <c r="KP771" s="1635"/>
      <c r="KQ771" s="1635"/>
      <c r="KR771" s="1635"/>
      <c r="KS771" s="1635"/>
      <c r="KT771" s="1635"/>
      <c r="KU771" s="1635"/>
      <c r="KV771" s="1635"/>
      <c r="KW771" s="1635"/>
      <c r="KX771" s="1635"/>
      <c r="KY771" s="1635"/>
      <c r="KZ771" s="1635"/>
      <c r="LA771" s="1635"/>
      <c r="LB771" s="1635"/>
      <c r="LC771" s="1635"/>
      <c r="LD771" s="1635"/>
      <c r="LE771" s="1635"/>
      <c r="LF771" s="1635"/>
      <c r="LG771" s="1635"/>
      <c r="LH771" s="1635"/>
      <c r="LI771" s="1635"/>
      <c r="LJ771" s="1635"/>
      <c r="LK771" s="1635"/>
      <c r="LL771" s="1635"/>
      <c r="LM771" s="1635"/>
      <c r="LN771" s="1635"/>
      <c r="LO771" s="1635"/>
      <c r="LP771" s="1635"/>
      <c r="LQ771" s="1635"/>
      <c r="LR771" s="1635"/>
      <c r="LS771" s="1635"/>
      <c r="LT771" s="1635"/>
      <c r="LU771" s="1635"/>
      <c r="LV771" s="1635"/>
      <c r="LW771" s="1635"/>
      <c r="LX771" s="1635"/>
      <c r="LY771" s="1635"/>
      <c r="LZ771" s="1635"/>
      <c r="MA771" s="1635"/>
      <c r="MB771" s="1635"/>
      <c r="MC771" s="1635"/>
      <c r="MD771" s="1635"/>
      <c r="ME771" s="1635"/>
      <c r="MF771" s="1635"/>
      <c r="MG771" s="1635"/>
      <c r="MH771" s="1635"/>
      <c r="MI771" s="1635"/>
      <c r="MJ771" s="1636"/>
      <c r="MK771" s="1636"/>
      <c r="ML771" s="1636"/>
      <c r="MM771" s="1636"/>
      <c r="MN771" s="1636"/>
      <c r="MO771" s="1635"/>
      <c r="MP771" s="1635"/>
      <c r="MQ771" s="1635"/>
      <c r="MR771" s="1635"/>
      <c r="MS771" s="1635"/>
    </row>
    <row r="772" spans="1:357" ht="13.5">
      <c r="A772" s="1630" t="str">
        <f t="shared" ref="A772:A809" si="0">IF(AND(E772&gt;0,OR(B772="",C772="",D772="",F772="",G772="", H772="",M772="",N772="",O772="",P772="")),1,"")</f>
        <v/>
      </c>
      <c r="B772" s="2757" t="str">
        <f>'Part VI-Revenues &amp; Expenses'!B10</f>
        <v>N/A-CS</v>
      </c>
      <c r="C772" s="2146">
        <f>'Part VI-Revenues &amp; Expenses'!C10</f>
        <v>0</v>
      </c>
      <c r="D772" s="2147">
        <f>'Part VI-Revenues &amp; Expenses'!D10</f>
        <v>0</v>
      </c>
      <c r="E772" s="2148">
        <f>'Part VI-Revenues &amp; Expenses'!E10</f>
        <v>0</v>
      </c>
      <c r="F772" s="2148">
        <f>'Part VI-Revenues &amp; Expenses'!F10</f>
        <v>0</v>
      </c>
      <c r="G772" s="2148">
        <f>'Part VI-Revenues &amp; Expenses'!G10</f>
        <v>0</v>
      </c>
      <c r="H772" s="2148">
        <f>'Part VI-Revenues &amp; Expenses'!H10</f>
        <v>0</v>
      </c>
      <c r="I772" s="2148">
        <f>'Part VI-Revenues &amp; Expenses'!I10</f>
        <v>0</v>
      </c>
      <c r="J772" s="2149">
        <f>'Part VI-Revenues &amp; Expenses'!J10</f>
        <v>0</v>
      </c>
      <c r="K772" s="1822">
        <f t="shared" ref="K772:K809" si="1">MAX(0,H772-I772)</f>
        <v>0</v>
      </c>
      <c r="L772" s="1822">
        <f t="shared" ref="L772:L809" si="2">MAX(0,E772*K772)</f>
        <v>0</v>
      </c>
      <c r="M772" s="2133">
        <f>'Part VI-Revenues &amp; Expenses'!M10</f>
        <v>0</v>
      </c>
      <c r="N772" s="2133">
        <f>'Part VI-Revenues &amp; Expenses'!N10</f>
        <v>0</v>
      </c>
      <c r="O772" s="2133">
        <f>'Part VI-Revenues &amp; Expenses'!O10</f>
        <v>0</v>
      </c>
      <c r="P772" s="1633">
        <f>'Part VI-Revenues &amp; Expenses'!P10</f>
        <v>0</v>
      </c>
      <c r="Q772" s="1823" t="str">
        <f>'Part VI-Revenues &amp; Expenses'!Q10</f>
        <v/>
      </c>
      <c r="R772" s="1824" t="str">
        <f>'Part VI-Revenues &amp; Expenses'!R10</f>
        <v/>
      </c>
      <c r="S772" s="1823">
        <f>'Part VI-Revenues &amp; Expenses'!S10</f>
        <v>0</v>
      </c>
      <c r="T772" s="1824">
        <f>'Part VI-Revenues &amp; Expenses'!T10</f>
        <v>0</v>
      </c>
      <c r="U772" s="1838">
        <f>'Part VI-Revenues &amp; Expenses'!U10:V10</f>
        <v>0</v>
      </c>
      <c r="V772" s="1838"/>
      <c r="W772" s="742" t="str">
        <f t="shared" ref="W772:W809" si="3">IF(AND(C772="Efficiency",B772=80,NOT(M772="Common Space")),E772,"")</f>
        <v/>
      </c>
      <c r="X772" s="742" t="str">
        <f t="shared" ref="X772:X809" si="4">IF(AND(C772=1,B772=80,NOT(M772="Common Space")),E772,"")</f>
        <v/>
      </c>
      <c r="Y772" s="742" t="str">
        <f t="shared" ref="Y772:Y809" si="5">IF(AND(C772=2,B772=80,NOT(M772="Common Space")),E772,"")</f>
        <v/>
      </c>
      <c r="Z772" s="742" t="str">
        <f t="shared" ref="Z772:Z809" si="6">IF(AND(C772=3,B772=80,NOT(M772="Common Space")),E772,"")</f>
        <v/>
      </c>
      <c r="AA772" s="742" t="str">
        <f t="shared" ref="AA772:AA809" si="7">IF(AND(C772=4,B772=80,NOT(M772="Common Space")),E772,"")</f>
        <v/>
      </c>
      <c r="AB772" s="742" t="str">
        <f t="shared" ref="AB772:AB809" si="8">IF(AND(C772="Efficiency",B772=70,NOT(M772="Common Space")),E772,"")</f>
        <v/>
      </c>
      <c r="AC772" s="742" t="str">
        <f t="shared" ref="AC772:AC809" si="9">IF(AND(C772=1,B772=70,NOT(M772="Common Space")),E772,"")</f>
        <v/>
      </c>
      <c r="AD772" s="742" t="str">
        <f t="shared" ref="AD772:AD809" si="10">IF(AND(C772=2,B772=70,NOT(M772="Common Space")),E772,"")</f>
        <v/>
      </c>
      <c r="AE772" s="742" t="str">
        <f t="shared" ref="AE772:AE809" si="11">IF(AND(C772=3,B772=70,NOT(M772="Common Space")),E772,"")</f>
        <v/>
      </c>
      <c r="AF772" s="742" t="str">
        <f t="shared" ref="AF772:AF809" si="12">IF(AND(C772=4,B772=70,NOT(M772="Common Space")),E772,"")</f>
        <v/>
      </c>
      <c r="AG772" s="742" t="str">
        <f t="shared" ref="AG772:AG809" si="13">IF(AND(C772="Efficiency",B772=60,NOT(M772="Common Space")),E772,"")</f>
        <v/>
      </c>
      <c r="AH772" s="742" t="str">
        <f t="shared" ref="AH772:AH809" si="14">IF(AND(C772=1,B772=60,NOT(M772="Common Space")),E772,"")</f>
        <v/>
      </c>
      <c r="AI772" s="742" t="str">
        <f t="shared" ref="AI772:AI809" si="15">IF(AND(C772=2,B772=60,NOT(M772="Common Space")),E772,"")</f>
        <v/>
      </c>
      <c r="AJ772" s="742" t="str">
        <f t="shared" ref="AJ772:AJ809" si="16">IF(AND(C772=3,B772=60,NOT(M772="Common Space")),E772,"")</f>
        <v/>
      </c>
      <c r="AK772" s="742" t="str">
        <f t="shared" ref="AK772:AK809" si="17">IF(AND(C772=4,B772=60,NOT(M772="Common Space")),E772,"")</f>
        <v/>
      </c>
      <c r="AL772" s="742" t="str">
        <f t="shared" ref="AL772:AL809" si="18">IF(AND(C772="Efficiency",B772=50,NOT(M772="Common Space")),E772,"")</f>
        <v/>
      </c>
      <c r="AM772" s="742" t="str">
        <f t="shared" ref="AM772:AM809" si="19">IF(AND(C772=1,B772=50,NOT(M772="Common Space")),E772,"")</f>
        <v/>
      </c>
      <c r="AN772" s="742" t="str">
        <f t="shared" ref="AN772:AN809" si="20">IF(AND(C772=2,B772=50,NOT(M772="Common Space")),E772,"")</f>
        <v/>
      </c>
      <c r="AO772" s="742" t="str">
        <f t="shared" ref="AO772:AO809" si="21">IF(AND(C772=3,B772=50,NOT(M772="Common Space")),E772,"")</f>
        <v/>
      </c>
      <c r="AP772" s="742" t="str">
        <f t="shared" ref="AP772:AP809" si="22">IF(AND(C772=4,B772=50,NOT(M772="Common Space")),E772,"")</f>
        <v/>
      </c>
      <c r="AQ772" s="742" t="str">
        <f t="shared" ref="AQ772:AQ809" si="23">IF(AND(C772="Efficiency",B772=40,NOT(M772="Common Space")),E772,"")</f>
        <v/>
      </c>
      <c r="AR772" s="742" t="str">
        <f t="shared" ref="AR772:AR809" si="24">IF(AND(C772=1,B772=40,NOT(M772="Common Space")),E772,"")</f>
        <v/>
      </c>
      <c r="AS772" s="742" t="str">
        <f t="shared" ref="AS772:AS809" si="25">IF(AND(C772=2,B772=40,NOT(M772="Common Space")),E772,"")</f>
        <v/>
      </c>
      <c r="AT772" s="742" t="str">
        <f t="shared" ref="AT772:AT809" si="26">IF(AND(C772=3,B772=40,NOT(M772="Common Space")),E772,"")</f>
        <v/>
      </c>
      <c r="AU772" s="742" t="str">
        <f t="shared" ref="AU772:AU809" si="27">IF(AND(C772=4,B772=40,NOT(M772="Common Space")),E772,"")</f>
        <v/>
      </c>
      <c r="AV772" s="742" t="str">
        <f t="shared" ref="AV772:AV809" si="28">IF(AND(C772="Efficiency",B772=30,NOT(M772="Common Space")),E772,"")</f>
        <v/>
      </c>
      <c r="AW772" s="742" t="str">
        <f t="shared" ref="AW772:AW809" si="29">IF(AND(C772=1,B772=30,NOT(M772="Common Space")),E772,"")</f>
        <v/>
      </c>
      <c r="AX772" s="742" t="str">
        <f t="shared" ref="AX772:AX809" si="30">IF(AND(C772=2,B772=30,NOT(M772="Common Space")),E772,"")</f>
        <v/>
      </c>
      <c r="AY772" s="742" t="str">
        <f t="shared" ref="AY772:AY809" si="31">IF(AND(C772=3,B772=30,NOT(M772="Common Space")),E772,"")</f>
        <v/>
      </c>
      <c r="AZ772" s="742" t="str">
        <f t="shared" ref="AZ772:AZ809" si="32">IF(AND(C772=4,B772=30,NOT(M772="Common Space")),E772,"")</f>
        <v/>
      </c>
      <c r="BA772" s="742" t="str">
        <f t="shared" ref="BA772:BA809" si="33">IF(AND(C772="Efficiency",B772=20,NOT(M772="Common Space")),E772,"")</f>
        <v/>
      </c>
      <c r="BB772" s="742" t="str">
        <f t="shared" ref="BB772:BB809" si="34">IF(AND(C772=1,B772=20,NOT(M772="Common Space")),E772,"")</f>
        <v/>
      </c>
      <c r="BC772" s="742" t="str">
        <f t="shared" ref="BC772:BC809" si="35">IF(AND(C772=2,B772=20,NOT(M772="Common Space")),E772,"")</f>
        <v/>
      </c>
      <c r="BD772" s="742" t="str">
        <f t="shared" ref="BD772:BD809" si="36">IF(AND(C772=3,B772=20,NOT(M772="Common Space")),E772,"")</f>
        <v/>
      </c>
      <c r="BE772" s="742" t="str">
        <f t="shared" ref="BE772:BE809" si="37">IF(AND(C772=4,B772=20,NOT(M772="Common Space")),E772,"")</f>
        <v/>
      </c>
      <c r="BF772" s="742" t="str">
        <f t="shared" ref="BF772:BF809" si="38">IF(AND(C772="Efficiency",B772="Unrestricted",NOT(M772="Common Space")),E772,"")</f>
        <v/>
      </c>
      <c r="BG772" s="742" t="str">
        <f t="shared" ref="BG772:BG809" si="39">IF(AND(C772=1,B772="Unrestricted",NOT(M772="Common Space")),E772,"")</f>
        <v/>
      </c>
      <c r="BH772" s="742" t="str">
        <f t="shared" ref="BH772:BH809" si="40">IF(AND(C772=2,B772="Unrestricted",NOT(M772="Common Space")),E772,"")</f>
        <v/>
      </c>
      <c r="BI772" s="742" t="str">
        <f t="shared" ref="BI772:BI809" si="41">IF(AND(C772=3,B772="Unrestricted",NOT(M772="Common Space")),E772,"")</f>
        <v/>
      </c>
      <c r="BJ772" s="742" t="str">
        <f t="shared" ref="BJ772:BJ809" si="42">IF(AND(C772=4,B772="Unrestricted",NOT(M772="Common Space")),E772,"")</f>
        <v/>
      </c>
      <c r="BK772" s="742" t="str">
        <f t="shared" ref="BK772:BK809" si="43">IF(OR(AND($C772="Efficiency",NOT($J772=""),NOT($J772="PHA Oper Sub"),$B772=20,NOT($M772="Common Space")),AND($C772="Efficiency",NOT($J772=""),NOT($J772="PHA Oper Sub"),$B772="HOME 20",NOT($M772="Common Space"))),$E772,"")</f>
        <v/>
      </c>
      <c r="BL772" s="742" t="str">
        <f t="shared" ref="BL772:BL809" si="44">IF(OR(AND($C772=1,NOT($J772=""),NOT($J772="PHA Oper Sub"),$B772=20,NOT($M772="Common Space")),AND($C772=1,NOT($J772=""),NOT($J772="PHA Oper Sub"),$B772="HOME 20",NOT($M772="Common Space"))),$E772,"")</f>
        <v/>
      </c>
      <c r="BM772" s="742" t="str">
        <f t="shared" ref="BM772:BM809" si="45">IF(OR(AND($C772=2,NOT($J772=""),NOT($J772="PHA Oper Sub"),$B772=20,NOT($M772="Common Space")),AND($C772=2,NOT($J772=""),NOT($J772="PHA Oper Sub"),$B772="HOME 20",NOT($M772="Common Space"))),$E772,"")</f>
        <v/>
      </c>
      <c r="BN772" s="742" t="str">
        <f t="shared" ref="BN772:BN809" si="46">IF(OR(AND($C772=3,NOT($J772=""),NOT($J772="PHA Oper Sub"),$B772=20,NOT($M772="Common Space")),AND($C772=3,NOT($J772=""),NOT($J772="PHA Oper Sub"),$B772="HOME 20",NOT($M772="Common Space"))),$E772,"")</f>
        <v/>
      </c>
      <c r="BO772" s="742" t="str">
        <f t="shared" ref="BO772:BO809" si="47">IF(OR(AND($C772=4,NOT($J772=""),NOT($J772="PHA Oper Sub"),$B772=20,NOT($M772="Common Space")),AND($C772=4,NOT($J772=""),NOT($J772="PHA Oper Sub"),$B772="HOME 20",NOT($M772="Common Space"))),$E772,"")</f>
        <v/>
      </c>
      <c r="BP772" s="742" t="str">
        <f t="shared" ref="BP772:BP809" si="48">IF(OR(AND($C772="Efficiency",NOT($J772=""),NOT($J772="PHA Oper Sub"),$B772=30,NOT($M772="Common Space")),AND($C772="Efficiency",NOT($J772=""),NOT($J772="PHA Oper Sub"),$B772="HOME 30",NOT($M772="Common Space"))),$E772,"")</f>
        <v/>
      </c>
      <c r="BQ772" s="742" t="str">
        <f t="shared" ref="BQ772:BQ809" si="49">IF(OR(AND($C772=1,NOT($J772=""),NOT($J772="PHA Oper Sub"),$B772=30,NOT($M772="Common Space")),AND($C772=1,NOT($J772=""),NOT($J772="PHA Oper Sub"),$B772="HOME 30",NOT($M772="Common Space"))),$E772,"")</f>
        <v/>
      </c>
      <c r="BR772" s="742" t="str">
        <f t="shared" ref="BR772:BR809" si="50">IF(OR(AND($C772=2,NOT($J772=""),NOT($J772="PHA Oper Sub"),$B772=30,NOT($M772="Common Space")),AND($C772=2,NOT($J772=""),NOT($J772="PHA Oper Sub"),$B772="HOME 30",NOT($M772="Common Space"))),$E772,"")</f>
        <v/>
      </c>
      <c r="BS772" s="742" t="str">
        <f t="shared" ref="BS772:BS809" si="51">IF(OR(AND($C772=3,NOT($J772=""),NOT($J772="PHA Oper Sub"),$B772=30,NOT($M772="Common Space")),AND($C772=3,NOT($J772=""),NOT($J772="PHA Oper Sub"),$B772="HOME 30",NOT($M772="Common Space"))),$E772,"")</f>
        <v/>
      </c>
      <c r="BT772" s="742" t="str">
        <f t="shared" ref="BT772:BT809" si="52">IF(OR(AND($C772=4,NOT($J772=""),NOT($J772="PHA Oper Sub"),$B772=30,NOT($M772="Common Space")),AND($C772=4,NOT($J772=""),NOT($J772="PHA Oper Sub"),$B772="HOME 30",NOT($M772="Common Space"))),$E772,"")</f>
        <v/>
      </c>
      <c r="BU772" s="742" t="str">
        <f t="shared" ref="BU772:BU809" si="53">IF(OR(AND($C772="Efficiency",NOT($J772=""),NOT($J772="PHA Oper Sub"),$B772=40,NOT($M772="Common Space")),AND($C772="Efficiency",NOT($J772=""),NOT($J772="PHA Oper Sub"),$B772="HOME 40",NOT($M772="Common Space"))),$E772,"")</f>
        <v/>
      </c>
      <c r="BV772" s="742" t="str">
        <f t="shared" ref="BV772:BV809" si="54">IF(OR(AND($C772=1,NOT($J772=""),NOT($J772="PHA Oper Sub"),$B772=40,NOT($M772="Common Space")),AND($C772=1,NOT($J772=""),NOT($J772="PHA Oper Sub"),$B772="HOME 40",NOT($M772="Common Space"))),$E772,"")</f>
        <v/>
      </c>
      <c r="BW772" s="742" t="str">
        <f t="shared" ref="BW772:BW809" si="55">IF(OR(AND($C772=2,NOT($J772=""),NOT($J772="PHA Oper Sub"),$B772=40,NOT($M772="Common Space")),AND($C772=2,NOT($J772=""),NOT($J772="PHA Oper Sub"),$B772="HOME 40",NOT($M772="Common Space"))),$E772,"")</f>
        <v/>
      </c>
      <c r="BX772" s="742" t="str">
        <f t="shared" ref="BX772:BX809" si="56">IF(OR(AND($C772=3,NOT($J772=""),NOT($J772="PHA Oper Sub"),$B772=40,NOT($M772="Common Space")),AND($C772=3,NOT($J772=""),NOT($J772="PHA Oper Sub"),$B772="HOME 40",NOT($M772="Common Space"))),$E772,"")</f>
        <v/>
      </c>
      <c r="BY772" s="742" t="str">
        <f t="shared" ref="BY772:BY809" si="57">IF(OR(AND($C772=4,NOT($J772=""),NOT($J772="PHA Oper Sub"),$B772=40,NOT($M772="Common Space")),AND($C772=4,NOT($J772=""),NOT($J772="PHA Oper Sub"),$B772="HOME 40",NOT($M772="Common Space"))),$E772,"")</f>
        <v/>
      </c>
      <c r="BZ772" s="742" t="str">
        <f t="shared" ref="BZ772:BZ809" si="58">IF(OR(AND($C772="Efficiency",NOT($J772=""),NOT($J772="PHA Oper Sub"),NOT($J772=0),$B772=50,NOT($M772="Common Space")),AND($C772="Efficiency",NOT($J772=""),NOT($J772=0),NOT($J772="PHA Oper Sub"),$B772="HOME 50",NOT($M772="Common Space"))),$E772,"")</f>
        <v/>
      </c>
      <c r="CA772" s="742" t="str">
        <f t="shared" ref="CA772:CA809" si="59">IF(OR(AND($C772=1,NOT($J772=""),NOT($J772=0),NOT($J772="PHA Oper Sub"),$B772=50,NOT($M772="Common Space")),AND($C772=1,NOT($J772=""),NOT($J772=0),NOT($J772="PHA Oper Sub"),$B772="HOME 50",NOT($M772="Common Space"))),$E772,"")</f>
        <v/>
      </c>
      <c r="CB772" s="742" t="str">
        <f t="shared" ref="CB772:CB809" si="60">IF(OR(AND($C772=2,NOT($J772=""),NOT($J772=0),NOT($J772="PHA Oper Sub"),$B772=50,NOT($M772="Common Space")),AND($C772=2,NOT($J772=""),NOT($J772=0),NOT($J772="PHA Oper Sub"),$B772="HOME 50",NOT($M772="Common Space"))),$E772,"")</f>
        <v/>
      </c>
      <c r="CC772" s="742" t="str">
        <f t="shared" ref="CC772:CC809" si="61">IF(OR(AND($C772=3,NOT($J772=""),NOT($J772=0),NOT($J772="PHA Oper Sub"),$B772=50,NOT($M772="Common Space")),AND($C772=3,NOT($J772=""),NOT($J772=0),NOT($J772="PHA Oper Sub"),$B772="HOME 50",NOT($M772="Common Space"))),$E772,"")</f>
        <v/>
      </c>
      <c r="CD772" s="742" t="str">
        <f t="shared" ref="CD772:CD809" si="62">IF(OR(AND($C772=4,NOT($J772=""),NOT($J772=0),NOT($J772="PHA Oper Sub"),$B772=50,NOT($M772="Common Space")),AND($C772=4,NOT($J772=""),NOT($J772=0),NOT($J772="PHA Oper Sub"),$B772="HOME 50",NOT($M772="Common Space"))),$E772,"")</f>
        <v/>
      </c>
      <c r="CE772" s="742" t="str">
        <f t="shared" ref="CE772:CE809" si="63">IF(OR(AND($C772="Efficiency",NOT($J772=""),NOT($J772=0),NOT($J772="PHA Oper Sub"),$B772=60,NOT($M772="Common Space")),AND($C772="Efficiency",NOT($J772=""),NOT($J772=0),NOT($J772="PHA Oper Sub"),$B772="HOME 60",NOT($M772="Common Space"))),$E772,"")</f>
        <v/>
      </c>
      <c r="CF772" s="742" t="str">
        <f t="shared" ref="CF772:CF809" si="64">IF(OR(AND($C772=1,NOT($J772=""),NOT($J772=0),NOT($J772="PHA Oper Sub"),$B772=60,NOT($M772="Common Space")),AND($C772=1,NOT($J772=""),NOT($J772=0),NOT($J772="PHA Oper Sub"),$B772="HOME 60",NOT($M772="Common Space"))),$E772,"")</f>
        <v/>
      </c>
      <c r="CG772" s="742" t="str">
        <f t="shared" ref="CG772:CG809" si="65">IF(OR(AND($C772=2,NOT($J772=""),NOT($J772=0),NOT($J772="PHA Oper Sub"),$B772=60,NOT($M772="Common Space")),AND($C772=2,NOT($J772=""),NOT($J772=0),NOT($J772="PHA Oper Sub"),$B772="HOME 60",NOT($M772="Common Space"))),$E772,"")</f>
        <v/>
      </c>
      <c r="CH772" s="742" t="str">
        <f t="shared" ref="CH772:CH809" si="66">IF(OR(AND($C772=3,NOT($J772=""),NOT($J772=0),NOT($J772="PHA Oper Sub"),$B772=60,NOT($M772="Common Space")),AND($C772=3,NOT($J772=""),NOT($J772=0),NOT($J772="PHA Oper Sub"),$B772="HOME 60",NOT($M772="Common Space"))),$E772,"")</f>
        <v/>
      </c>
      <c r="CI772" s="742" t="str">
        <f t="shared" ref="CI772:CI809" si="67">IF(OR(AND($C772=4,NOT($J772=""),NOT($J772=0),NOT($J772="PHA Oper Sub"),$B772=60,NOT($M772="Common Space")),AND($C772=4,NOT($J772=""),NOT($J772=0),NOT($J772="PHA Oper Sub"),$B772="HOME 60",NOT($M772="Common Space"))),$E772,"")</f>
        <v/>
      </c>
      <c r="CJ772" s="742" t="str">
        <f t="shared" ref="CJ772:CJ809" si="68">IF(OR(AND($C772="Efficiency",NOT($J772=""),NOT($J772="PHA Oper Sub"),$B772=70,NOT($M772="Common Space")),AND($C772="Efficiency",NOT($J772=""),NOT($J772="PHA Oper Sub"),$B772="HOME 70",NOT($M772="Common Space"))),$E772,"")</f>
        <v/>
      </c>
      <c r="CK772" s="742" t="str">
        <f t="shared" ref="CK772:CK809" si="69">IF(OR(AND($C772=1,NOT($J772=""),NOT($J772="PHA Oper Sub"),$B772=70,NOT($M772="Common Space")),AND($C772=1,NOT($J772=""),NOT($J772="PHA Oper Sub"),$B772="HOME 70",NOT($M772="Common Space"))),$E772,"")</f>
        <v/>
      </c>
      <c r="CL772" s="742" t="str">
        <f t="shared" ref="CL772:CL809" si="70">IF(OR(AND($C772=2,NOT($J772=""),NOT($J772="PHA Oper Sub"),$B772=70,NOT($M772="Common Space")),AND($C772=2,NOT($J772=""),NOT($J772="PHA Oper Sub"),$B772="HOME 70",NOT($M772="Common Space"))),$E772,"")</f>
        <v/>
      </c>
      <c r="CM772" s="742" t="str">
        <f t="shared" ref="CM772:CM809" si="71">IF(OR(AND($C772=3,NOT($J772=""),NOT($J772="PHA Oper Sub"),$B772=70,NOT($M772="Common Space")),AND($C772=3,NOT($J772=""),NOT($J772="PHA Oper Sub"),$B772="HOME 70",NOT($M772="Common Space"))),$E772,"")</f>
        <v/>
      </c>
      <c r="CN772" s="742" t="str">
        <f t="shared" ref="CN772:CN809" si="72">IF(OR(AND($C772=4,NOT($J772=""),NOT($J772="PHA Oper Sub"),$B772=70,NOT($M772="Common Space")),AND($C772=4,NOT($J772=""),NOT($J772="PHA Oper Sub"),$B772="HOME 70",NOT($M772="Common Space"))),$E772,"")</f>
        <v/>
      </c>
      <c r="CO772" s="742" t="str">
        <f t="shared" ref="CO772:CO809" si="73">IF(OR(AND($C772="Efficiency",NOT($J772=""),NOT($J772="PHA Oper Sub"),$B772=80,NOT($M772="Common Space")),AND($C772="Efficiency",NOT($J772=""),NOT($J772="PHA Oper Sub"),$B772="HOME 80",NOT($M772="Common Space"))),$E772,"")</f>
        <v/>
      </c>
      <c r="CP772" s="742" t="str">
        <f t="shared" ref="CP772:CP809" si="74">IF(OR(AND($C772=1,NOT($J772=""),NOT($J772="PHA Oper Sub"),$B772=80,NOT($M772="Common Space")),AND($C772=1,NOT($J772=""),NOT($J772="PHA Oper Sub"),$B772="HOME 80",NOT($M772="Common Space"))),$E772,"")</f>
        <v/>
      </c>
      <c r="CQ772" s="742" t="str">
        <f t="shared" ref="CQ772:CQ809" si="75">IF(OR(AND($C772=2,NOT($J772=""),NOT($J772="PHA Oper Sub"),$B772=80,NOT($M772="Common Space")),AND($C772=2,NOT($J772=""),NOT($J772="PHA Oper Sub"),$B772="HOME 80",NOT($M772="Common Space"))),$E772,"")</f>
        <v/>
      </c>
      <c r="CR772" s="742" t="str">
        <f t="shared" ref="CR772:CR809" si="76">IF(OR(AND($C772=3,NOT($J772=""),NOT($J772="PHA Oper Sub"),$B772=80,NOT($M772="Common Space")),AND($C772=3,NOT($J772=""),NOT($J772="PHA Oper Sub"),$B772="HOME 80",NOT($M772="Common Space"))),$E772,"")</f>
        <v/>
      </c>
      <c r="CS772" s="742" t="str">
        <f t="shared" ref="CS772:CS809" si="77">IF(OR(AND($C772=4,NOT($J772=""),NOT($J772="PHA Oper Sub"),$B772=80,NOT($M772="Common Space")),AND($C772=4,NOT($J772=""),NOT($J772="PHA Oper Sub"),$B772="HOME 80",NOT($M772="Common Space"))),$E772,"")</f>
        <v/>
      </c>
      <c r="CT772" s="742" t="str">
        <f t="shared" ref="CT772:CT809" si="78">IF(OR(AND($C772="Efficiency",$J772="PHA Oper Sub",$B772=20,NOT($M772="Common Space")),AND($C772="Efficiency",$J772="PHA Oper Sub",$B772="HOME 20",NOT($M772="Common Space"))),$E772,"")</f>
        <v/>
      </c>
      <c r="CU772" s="742" t="str">
        <f t="shared" ref="CU772:CU809" si="79">IF(OR(AND($C772=1,$J772="PHA Oper Sub",$B772=20,NOT($M772="Common Space")),AND($C772=1,$J772="PHA Oper Sub",$B772="HOME 20",NOT($M772="Common Space"))),$E772,"")</f>
        <v/>
      </c>
      <c r="CV772" s="742" t="str">
        <f t="shared" ref="CV772:CV809" si="80">IF(OR(AND($C772=2,$J772="PHA Oper Sub",$B772=20,NOT($M772="Common Space")),AND($C772=2,$J772="PHA Oper Sub",$B772="HOME 20",NOT($M772="Common Space"))),$E772,"")</f>
        <v/>
      </c>
      <c r="CW772" s="742" t="str">
        <f t="shared" ref="CW772:CW809" si="81">IF(OR(AND($C772=3,$J772="PHA Oper Sub",$B772=20,NOT($M772="Common Space")),AND($C772=3,$J772="PHA Oper Sub",$B772="HOME 20",NOT($M772="Common Space"))),$E772,"")</f>
        <v/>
      </c>
      <c r="CX772" s="742" t="str">
        <f t="shared" ref="CX772:CX809" si="82">IF(OR(AND($C772=4,$J772="PHA Oper Sub",$B772=20,NOT($M772="Common Space")),AND($C772=4,$J772="PHA Oper Sub",$B772="HOME 20",NOT($M772="Common Space"))),$E772,"")</f>
        <v/>
      </c>
      <c r="CY772" s="742" t="str">
        <f t="shared" ref="CY772:CY809" si="83">IF(OR(AND($C772="Efficiency",$J772="PHA Oper Sub",$B772=30,NOT($M772="Common Space")),AND($C772="Efficiency",$J772="PHA Oper Sub",$B772="HOME 30",NOT($M772="Common Space"))),$E772,"")</f>
        <v/>
      </c>
      <c r="CZ772" s="742" t="str">
        <f t="shared" ref="CZ772:CZ809" si="84">IF(OR(AND($C772=1,$J772="PHA Oper Sub",$B772=30,NOT($M772="Common Space")),AND($C772=1,$J772="PHA Oper Sub",$B772="HOME 30",NOT($M772="Common Space"))),$E772,"")</f>
        <v/>
      </c>
      <c r="DA772" s="742" t="str">
        <f t="shared" ref="DA772:DA809" si="85">IF(OR(AND($C772=2,$J772="PHA Oper Sub",$B772=30,NOT($M772="Common Space")),AND($C772=2,$J772="PHA Oper Sub",$B772="HOME 30",NOT($M772="Common Space"))),$E772,"")</f>
        <v/>
      </c>
      <c r="DB772" s="742" t="str">
        <f t="shared" ref="DB772:DB809" si="86">IF(OR(AND($C772=3,$J772="PHA Oper Sub",$B772=30,NOT($M772="Common Space")),AND($C772=3,$J772="PHA Oper Sub",$B772="HOME 30",NOT($M772="Common Space"))),$E772,"")</f>
        <v/>
      </c>
      <c r="DC772" s="742" t="str">
        <f t="shared" ref="DC772:DC809" si="87">IF(OR(AND($C772=4,$J772="PHA Oper Sub",$B772=30,NOT($M772="Common Space")),AND($C772=4,$J772="PHA Oper Sub",$B772="HOME 30",NOT($M772="Common Space"))),$E772,"")</f>
        <v/>
      </c>
      <c r="DD772" s="742" t="str">
        <f t="shared" ref="DD772:DD809" si="88">IF(OR(AND($C772="Efficiency",$J772="PHA Oper Sub",$B772=40,NOT($M772="Common Space")),AND($C772="Efficiency",$J772="PHA Oper Sub",$B772="HOME 40",NOT($M772="Common Space"))),$E772,"")</f>
        <v/>
      </c>
      <c r="DE772" s="742" t="str">
        <f t="shared" ref="DE772:DE809" si="89">IF(OR(AND($C772=1,$J772="PHA Oper Sub",$B772=40,NOT($M772="Common Space")),AND($C772=1,$J772="PHA Oper Sub",$B772="HOME 40",NOT($M772="Common Space"))),$E772,"")</f>
        <v/>
      </c>
      <c r="DF772" s="742" t="str">
        <f t="shared" ref="DF772:DF809" si="90">IF(OR(AND($C772=2,$J772="PHA Oper Sub",$B772=40,NOT($M772="Common Space")),AND($C772=2,$J772="PHA Oper Sub",$B772="HOME 40",NOT($M772="Common Space"))),$E772,"")</f>
        <v/>
      </c>
      <c r="DG772" s="742" t="str">
        <f t="shared" ref="DG772:DG809" si="91">IF(OR(AND($C772=3,$J772="PHA Oper Sub",$B772=40,NOT($M772="Common Space")),AND($C772=3,$J772="PHA Oper Sub",$B772="HOME 40",NOT($M772="Common Space"))),$E772,"")</f>
        <v/>
      </c>
      <c r="DH772" s="742" t="str">
        <f t="shared" ref="DH772:DH809" si="92">IF(OR(AND($C772=4,$J772="PHA Oper Sub",$B772=40,NOT($M772="Common Space")),AND($C772=4,$J772="PHA Oper Sub",$B772="HOME 40",NOT($M772="Common Space"))),$E772,"")</f>
        <v/>
      </c>
      <c r="DI772" s="742" t="str">
        <f t="shared" ref="DI772:DI809" si="93">IF(OR(AND($C772="Efficiency",$J772="PHA Oper Sub",$B772=50,NOT($M772="Common Space")),AND($C772="Efficiency",$J772="PHA Oper Sub",$B772="HOME 50",NOT($M772="Common Space"))),$E772,"")</f>
        <v/>
      </c>
      <c r="DJ772" s="742" t="str">
        <f t="shared" ref="DJ772:DJ809" si="94">IF(OR(AND($C772=1,$J772="PHA Oper Sub",$B772=50,NOT($M772="Common Space")),AND($C772=1,$J772="PHA Oper Sub",$B772="HOME 50",NOT($M772="Common Space"))),$E772,"")</f>
        <v/>
      </c>
      <c r="DK772" s="742" t="str">
        <f t="shared" ref="DK772:DK809" si="95">IF(OR(AND($C772=2,$J772="PHA Oper Sub",$B772=50,NOT($M772="Common Space")),AND($C772=2,$J772="PHA Oper Sub",$B772="HOME 50",NOT($M772="Common Space"))),$E772,"")</f>
        <v/>
      </c>
      <c r="DL772" s="742" t="str">
        <f t="shared" ref="DL772:DL809" si="96">IF(OR(AND($C772=3,$J772="PHA Oper Sub",$B772=50,NOT($M772="Common Space")),AND($C772=3,$J772="PHA Oper Sub",$B772="HOME 50",NOT($M772="Common Space"))),$E772,"")</f>
        <v/>
      </c>
      <c r="DM772" s="742" t="str">
        <f t="shared" ref="DM772:DM809" si="97">IF(OR(AND($C772=4,$J772="PHA Oper Sub",$B772=50,NOT($M772="Common Space")),AND($C772=4,$J772="PHA Oper Sub",$B772="HOME 50",NOT($M772="Common Space"))),$E772,"")</f>
        <v/>
      </c>
      <c r="DN772" s="742" t="str">
        <f t="shared" ref="DN772:DN809" si="98">IF(OR(AND($C772="Efficiency",$J772="PHA Oper Sub",$B772=60,NOT($M772="Common Space")),AND($C772="Efficiency",$J772="PHA Oper Sub",$B772="HOME 60",NOT($M772="Common Space"))),$E772,"")</f>
        <v/>
      </c>
      <c r="DO772" s="742" t="str">
        <f t="shared" ref="DO772:DO809" si="99">IF(OR(AND($C772=1,$J772="PHA Oper Sub",$B772=60,NOT($M772="Common Space")),AND($C772=1,$J772="PHA Oper Sub",$B772="HOME 60",NOT($M772="Common Space"))),$E772,"")</f>
        <v/>
      </c>
      <c r="DP772" s="742" t="str">
        <f t="shared" ref="DP772:DP809" si="100">IF(OR(AND($C772=2,$J772="PHA Oper Sub",$B772=60,NOT($M772="Common Space")),AND($C772=2,$J772="PHA Oper Sub",$B772="HOME 60",NOT($M772="Common Space"))),$E772,"")</f>
        <v/>
      </c>
      <c r="DQ772" s="742" t="str">
        <f t="shared" ref="DQ772:DQ809" si="101">IF(OR(AND($C772=3,$J772="PHA Oper Sub",$B772=60,NOT($M772="Common Space")),AND($C772=3,$J772="PHA Oper Sub",$B772="HOME 60",NOT($M772="Common Space"))),$E772,"")</f>
        <v/>
      </c>
      <c r="DR772" s="742" t="str">
        <f t="shared" ref="DR772:DR809" si="102">IF(OR(AND($C772=4,$J772="PHA Oper Sub",$B772=60,NOT($M772="Common Space")),AND($C772=4,$J772="PHA Oper Sub",$B772="HOME 60",NOT($M772="Common Space"))),$E772,"")</f>
        <v/>
      </c>
      <c r="DS772" s="742" t="str">
        <f t="shared" ref="DS772:DS809" si="103">IF(OR(AND($C772="Efficiency",$J772="PHA Oper Sub",$B772=70,NOT($M772="Common Space")),AND($C772="Efficiency",$J772="PHA Oper Sub",$B772="HOME 70",NOT($M772="Common Space"))),$E772,"")</f>
        <v/>
      </c>
      <c r="DT772" s="742" t="str">
        <f t="shared" ref="DT772:DT809" si="104">IF(OR(AND($C772=1,$J772="PHA Oper Sub",$B772=70,NOT($M772="Common Space")),AND($C772=1,$J772="PHA Oper Sub",$B772="HOME 70",NOT($M772="Common Space"))),$E772,"")</f>
        <v/>
      </c>
      <c r="DU772" s="742" t="str">
        <f t="shared" ref="DU772:DU809" si="105">IF(OR(AND($C772=2,$J772="PHA Oper Sub",$B772=70,NOT($M772="Common Space")),AND($C772=2,$J772="PHA Oper Sub",$B772="HOME 70",NOT($M772="Common Space"))),$E772,"")</f>
        <v/>
      </c>
      <c r="DV772" s="742" t="str">
        <f t="shared" ref="DV772:DV809" si="106">IF(OR(AND($C772=3,$J772="PHA Oper Sub",$B772=70,NOT($M772="Common Space")),AND($C772=3,$J772="PHA Oper Sub",$B772="HOME 70",NOT($M772="Common Space"))),$E772,"")</f>
        <v/>
      </c>
      <c r="DW772" s="742" t="str">
        <f t="shared" ref="DW772:DW809" si="107">IF(OR(AND($C772=4,$J772="PHA Oper Sub",$B772=70,NOT($M772="Common Space")),AND($C772=4,$J772="PHA Oper Sub",$B772="HOME 70",NOT($M772="Common Space"))),$E772,"")</f>
        <v/>
      </c>
      <c r="DX772" s="742" t="str">
        <f t="shared" ref="DX772:DX809" si="108">IF(OR(AND($C772="Efficiency",$J772="PHA Oper Sub",$B772=80,NOT($M772="Common Space")),AND($C772="Efficiency",$J772="PHA Oper Sub",$B772="HOME 80",NOT($M772="Common Space"))),$E772,"")</f>
        <v/>
      </c>
      <c r="DY772" s="742" t="str">
        <f t="shared" ref="DY772:DY809" si="109">IF(OR(AND($C772=1,$J772="PHA Oper Sub",$B772=80,NOT($M772="Common Space")),AND($C772=1,$J772="PHA Oper Sub",$B772="HOME 80",NOT($M772="Common Space"))),$E772,"")</f>
        <v/>
      </c>
      <c r="DZ772" s="742" t="str">
        <f t="shared" ref="DZ772:DZ809" si="110">IF(OR(AND($C772=2,$J772="PHA Oper Sub",$B772=80,NOT($M772="Common Space")),AND($C772=2,$J772="PHA Oper Sub",$B772="HOME 80",NOT($M772="Common Space"))),$E772,"")</f>
        <v/>
      </c>
      <c r="EA772" s="742" t="str">
        <f t="shared" ref="EA772:EA809" si="111">IF(OR(AND($C772=3,$J772="PHA Oper Sub",$B772=80,NOT($M772="Common Space")),AND($C772=3,$J772="PHA Oper Sub",$B772="HOME 80",NOT($M772="Common Space"))),$E772,"")</f>
        <v/>
      </c>
      <c r="EB772" s="742" t="str">
        <f t="shared" ref="EB772:EB809" si="112">IF(OR(AND($C772=4,$J772="PHA Oper Sub",$B772=80,NOT($M772="Common Space")),AND($C772=4,$J772="PHA Oper Sub",$B772="HOME 80",NOT($M772="Common Space"))),$E772,"")</f>
        <v/>
      </c>
      <c r="EC772" s="742" t="str">
        <f t="shared" ref="EC772:EC809" si="113">IF(AND(C772="Efficiency",M772="Common Space"),E772,"")</f>
        <v/>
      </c>
      <c r="ED772" s="742" t="str">
        <f t="shared" ref="ED772:ED809" si="114">IF(AND(C772=1,M772="Common Space"),E772,"")</f>
        <v/>
      </c>
      <c r="EE772" s="742" t="str">
        <f t="shared" ref="EE772:EE809" si="115">IF(AND(C772=2,M772="Common Space"),E772,"")</f>
        <v/>
      </c>
      <c r="EF772" s="742" t="str">
        <f t="shared" ref="EF772:EF809" si="116">IF(AND(C772=3,M772="Common Space"),E772,"")</f>
        <v/>
      </c>
      <c r="EG772" s="742" t="str">
        <f>IF(AND(C772=4,M772="Common Space"),E772,"")</f>
        <v/>
      </c>
      <c r="EH772" s="742" t="str">
        <f t="shared" ref="EH772:EH809" si="117">IF(OR(AND($C772="Efficiency",$B772=80,NOT($M772="Common Space")),AND($C772="Efficiency",$B772="HOME 80",NOT($M772="Common Space"))),$E772*$F772,"")</f>
        <v/>
      </c>
      <c r="EI772" s="742" t="str">
        <f t="shared" ref="EI772:EI809" si="118">IF(OR(AND($C772=1,$B772=80,NOT($M772="Common Space")),AND($C772=1,$B772="HOME 80",NOT($M772="Common Space"))),$E772*$F772,"")</f>
        <v/>
      </c>
      <c r="EJ772" s="742" t="str">
        <f t="shared" ref="EJ772:EJ809" si="119">IF(OR(AND($C772=2,$B772=80,NOT($M772="Common Space")),AND($C772=2,$B772="HOME 80",NOT($M772="Common Space"))),$E772*$F772,"")</f>
        <v/>
      </c>
      <c r="EK772" s="742" t="str">
        <f t="shared" ref="EK772:EK809" si="120">IF(OR(AND($C772=3,$B772=80,NOT($M772="Common Space")),AND($C772=3,$B772="HOME 80",NOT($M772="Common Space"))),$E772*$F772,"")</f>
        <v/>
      </c>
      <c r="EL772" s="742" t="str">
        <f t="shared" ref="EL772:EL809" si="121">IF(OR(AND($C772=4,$B772=80,NOT($M772="Common Space")),AND($C772=4,$B772="HOME 80",NOT($M772="Common Space"))),$E772*$F772,"")</f>
        <v/>
      </c>
      <c r="EM772" s="742" t="str">
        <f t="shared" ref="EM772:EM809" si="122">IF(OR(AND($C772="Efficiency",$B772=70,NOT($M772="Common Space")),AND($C772="Efficiency",$B772="HOME 70",NOT($M772="Common Space"))),$E772*$F772,"")</f>
        <v/>
      </c>
      <c r="EN772" s="742" t="str">
        <f t="shared" ref="EN772:EN809" si="123">IF(OR(AND($C772=1,$B772=70,NOT($M772="Common Space")),AND($C772=1,$B772="HOME 70",NOT($M772="Common Space"))),$E772*$F772,"")</f>
        <v/>
      </c>
      <c r="EO772" s="742" t="str">
        <f t="shared" ref="EO772:EO809" si="124">IF(OR(AND($C772=2,$B772=70,NOT($M772="Common Space")),AND($C772=2,$B772="HOME 70",NOT($M772="Common Space"))),$E772*$F772,"")</f>
        <v/>
      </c>
      <c r="EP772" s="742" t="str">
        <f t="shared" ref="EP772:EP809" si="125">IF(OR(AND($C772=3,$B772=70,NOT($M772="Common Space")),AND($C772=3,$B772="HOME 70",NOT($M772="Common Space"))),$E772*$F772,"")</f>
        <v/>
      </c>
      <c r="EQ772" s="742" t="str">
        <f t="shared" ref="EQ772:EQ809" si="126">IF(OR(AND($C772=4,$B772=70,NOT($M772="Common Space")),AND($C772=4,$B772="HOME 70",NOT($M772="Common Space"))),$E772*$F772,"")</f>
        <v/>
      </c>
      <c r="ER772" s="742" t="str">
        <f t="shared" ref="ER772:ER809" si="127">IF(OR(AND($C772="Efficiency",$B772=60,NOT($M772="Common Space")),AND($C772="Efficiency",$B772="HOME 60",NOT($M772="Common Space"))),$E772*$F772,"")</f>
        <v/>
      </c>
      <c r="ES772" s="742" t="str">
        <f t="shared" ref="ES772:ES809" si="128">IF(OR(AND($C772=1,$B772=60,NOT($M772="Common Space")),AND($C772=1,$B772="HOME 60",NOT($M772="Common Space"))),$E772*$F772,"")</f>
        <v/>
      </c>
      <c r="ET772" s="742" t="str">
        <f t="shared" ref="ET772:ET809" si="129">IF(OR(AND($C772=2,$B772=60,NOT($M772="Common Space")),AND($C772=2,$B772="HOME 60",NOT($M772="Common Space"))),$E772*$F772,"")</f>
        <v/>
      </c>
      <c r="EU772" s="742" t="str">
        <f t="shared" ref="EU772:EU809" si="130">IF(OR(AND($C772=3,$B772=60,NOT($M772="Common Space")),AND($C772=3,$B772="HOME 60",NOT($M772="Common Space"))),$E772*$F772,"")</f>
        <v/>
      </c>
      <c r="EV772" s="742" t="str">
        <f t="shared" ref="EV772:EV809" si="131">IF(OR(AND($C772=4,$B772=60,NOT($M772="Common Space")),AND($C772=4,$B772="HOME 60",NOT($M772="Common Space"))),$E772*$F772,"")</f>
        <v/>
      </c>
      <c r="EW772" s="742" t="str">
        <f>IF(OR(AND($C772="Efficiency",$B772=50,NOT($M772="Common Space")),AND($C772="Efficiency",$B772="HOME 50",NOT($M772="Common Space"))),$E772*$F772,"")</f>
        <v/>
      </c>
      <c r="EX772" s="742" t="str">
        <f>IF(OR(AND($C772=1,$B772=50,NOT($M772="Common Space")),AND($C772=1,$B772="HOME 50",NOT($M772="Common Space"))),$E772*$F772,"")</f>
        <v/>
      </c>
      <c r="EY772" s="742" t="str">
        <f>IF(OR(AND($C772=2,$B772=50,NOT($M772="Common Space")),AND($C772=2,$B772="HOME 50",NOT($M772="Common Space"))),$E772*$F772,"")</f>
        <v/>
      </c>
      <c r="EZ772" s="742" t="str">
        <f>IF(OR(AND($C772=3,$B772=50,NOT($M772="Common Space")),AND($C772=3,$B772="HOME 50",NOT($M772="Common Space"))),$E772*$F772,"")</f>
        <v/>
      </c>
      <c r="FA772" s="742" t="str">
        <f>IF(OR(AND($C772=4,$B772=50,NOT($M772="Common Space")),AND($C772=4,$B772="HOME 50",NOT($M772="Common Space"))),$E772*$F772,"")</f>
        <v/>
      </c>
      <c r="FB772" s="742" t="str">
        <f t="shared" ref="FB772:FB809" si="132">IF(OR(AND($C772="Efficiency",$B772=40,NOT($M772="Common Space")),AND($C772="Efficiency",$B772="HOME 40",NOT($M772="Common Space"))),$E772*$F772,"")</f>
        <v/>
      </c>
      <c r="FC772" s="742" t="str">
        <f t="shared" ref="FC772:FC809" si="133">IF(OR(AND($C772=1,$B772=40,NOT($M772="Common Space")),AND($C772=1,$B772="HOME 40",NOT($M772="Common Space"))),$E772*$F772,"")</f>
        <v/>
      </c>
      <c r="FD772" s="742" t="str">
        <f t="shared" ref="FD772:FD809" si="134">IF(OR(AND($C772=2,$B772=40,NOT($M772="Common Space")),AND($C772=2,$B772="HOME 40",NOT($M772="Common Space"))),$E772*$F772,"")</f>
        <v/>
      </c>
      <c r="FE772" s="742" t="str">
        <f t="shared" ref="FE772:FE809" si="135">IF(OR(AND($C772=3,$B772=40,NOT($M772="Common Space")),AND($C772=3,$B772="HOME 40",NOT($M772="Common Space"))),$E772*$F772,"")</f>
        <v/>
      </c>
      <c r="FF772" s="742" t="str">
        <f t="shared" ref="FF772:FF809" si="136">IF(OR(AND($C772=4,$B772=40,NOT($M772="Common Space")),AND($C772=4,$B772="HOME 40",NOT($M772="Common Space"))),$E772*$F772,"")</f>
        <v/>
      </c>
      <c r="FG772" s="742" t="str">
        <f>IF(OR(AND($C772="Efficiency",$B772=30,NOT($M772="Common Space")),AND($C772="Efficiency",$B772="HOME 30",NOT($M772="Common Space"))),$E772*$F772,"")</f>
        <v/>
      </c>
      <c r="FH772" s="742" t="str">
        <f>IF(OR(AND($C772=1,$B772=30,NOT($M772="Common Space")),AND($C772=1,$B772="HOME 30",NOT($M772="Common Space"))),$E772*$F772,"")</f>
        <v/>
      </c>
      <c r="FI772" s="742" t="str">
        <f>IF(OR(AND($C772=2,$B772=30,NOT($M772="Common Space")),AND($C772=2,$B772="HOME 30",NOT($M772="Common Space"))),$E772*$F772,"")</f>
        <v/>
      </c>
      <c r="FJ772" s="742" t="str">
        <f>IF(OR(AND($C772=3,$B772=30,NOT($M772="Common Space")),AND($C772=3,$B772="HOME 30",NOT($M772="Common Space"))),$E772*$F772,"")</f>
        <v/>
      </c>
      <c r="FK772" s="742" t="str">
        <f>IF(OR(AND($C772=4,$B772=30,NOT($M772="Common Space")),AND($C772=4,$B772="HOME 30",NOT($M772="Common Space"))),$E772*$F772,"")</f>
        <v/>
      </c>
      <c r="FL772" s="742" t="str">
        <f t="shared" ref="FL772:FL809" si="137">IF(OR(AND($C772="Efficiency",$B772=20,NOT($M772="Common Space")),AND($C772="Efficiency",$B772="HOME 20",NOT($M772="Common Space"))),$E772*$F772,"")</f>
        <v/>
      </c>
      <c r="FM772" s="742" t="str">
        <f t="shared" ref="FM772:FM809" si="138">IF(OR(AND($C772=1,$B772=20,NOT($M772="Common Space")),AND($C772=1,$B772="HOME 20",NOT($M772="Common Space"))),$E772*$F772,"")</f>
        <v/>
      </c>
      <c r="FN772" s="742" t="str">
        <f t="shared" ref="FN772:FN809" si="139">IF(OR(AND($C772=2,$B772=20,NOT($M772="Common Space")),AND($C772=2,$B772="HOME 20",NOT($M772="Common Space"))),$E772*$F772,"")</f>
        <v/>
      </c>
      <c r="FO772" s="742" t="str">
        <f t="shared" ref="FO772:FO809" si="140">IF(OR(AND($C772=3,$B772=20,NOT($M772="Common Space")),AND($C772=3,$B772="HOME 20",NOT($M772="Common Space"))),$E772*$F772,"")</f>
        <v/>
      </c>
      <c r="FP772" s="742" t="str">
        <f t="shared" ref="FP772:FP809" si="141">IF(OR(AND($C772=4,$B772=20,NOT($M772="Common Space")),AND($C772=4,$B772="HOME 20",NOT($M772="Common Space"))),$E772*$F772,"")</f>
        <v/>
      </c>
      <c r="FQ772" s="742" t="str">
        <f t="shared" ref="FQ772:FQ809" si="142">IF(AND(C772="Efficiency",B772="Unrestricted",NOT(M772="Common Space")),E772*F772,"")</f>
        <v/>
      </c>
      <c r="FR772" s="742" t="str">
        <f t="shared" ref="FR772:FR809" si="143">IF(AND(C772=1,B772="Unrestricted",NOT(M772="Common Space")),E772*F772,"")</f>
        <v/>
      </c>
      <c r="FS772" s="742" t="str">
        <f t="shared" ref="FS772:FS809" si="144">IF(AND(C772=2,B772="Unrestricted",NOT(M772="Common Space")),E772*F772,"")</f>
        <v/>
      </c>
      <c r="FT772" s="742" t="str">
        <f t="shared" ref="FT772:FT809" si="145">IF(AND(C772=3,B772="Unrestricted",NOT(M772="Common Space")),E772*F772,"")</f>
        <v/>
      </c>
      <c r="FU772" s="742" t="str">
        <f t="shared" ref="FU772:FU809" si="146">IF(AND(C772=4,B772="Unrestricted",NOT(M772="Common Space")),E772*F772,"")</f>
        <v/>
      </c>
      <c r="FV772" s="742" t="str">
        <f t="shared" ref="FV772:FV809" si="147">IF(AND(C772="Efficiency",NOT(J772=""),NOT($J772=0),NOT(M772="Common Space")),E772*F772,"")</f>
        <v/>
      </c>
      <c r="FW772" s="742" t="str">
        <f t="shared" ref="FW772:FW809" si="148">IF(AND(C772=1,NOT(J772=""),NOT($J772=0),NOT(M772="Common Space")),E772*F772,"")</f>
        <v/>
      </c>
      <c r="FX772" s="742" t="str">
        <f t="shared" ref="FX772:FX809" si="149">IF(AND(C772=2,NOT(J772=""),NOT($J772=0),NOT(M772="Common Space")),E772*F772,"")</f>
        <v/>
      </c>
      <c r="FY772" s="742" t="str">
        <f t="shared" ref="FY772:FY809" si="150">IF(AND(C772=3,NOT(J772=""),NOT($J772=0),NOT(M772="Common Space")),E772*F772,"")</f>
        <v/>
      </c>
      <c r="FZ772" s="742" t="str">
        <f t="shared" ref="FZ772:FZ809" si="151">IF(AND(C772=4,NOT(J772=""),NOT($J772=0),NOT(M772="Common Space")),E772*F772,"")</f>
        <v/>
      </c>
      <c r="GA772" s="742" t="str">
        <f t="shared" ref="GA772:GA809" si="152">IF(AND(C772="Efficiency",M772="Common Space"),E772*F772,"")</f>
        <v/>
      </c>
      <c r="GB772" s="742" t="str">
        <f t="shared" ref="GB772:GB809" si="153">IF(AND(C772=1,M772="Common Space"),E772*F772,"")</f>
        <v/>
      </c>
      <c r="GC772" s="742" t="str">
        <f t="shared" ref="GC772:GC809" si="154">IF(AND(C772=2,M772="Common Space"),E772*F772,"")</f>
        <v/>
      </c>
      <c r="GD772" s="742" t="str">
        <f t="shared" ref="GD772:GD809" si="155">IF(AND(C772=3,M772="Common Space"),E772*F772,"")</f>
        <v/>
      </c>
      <c r="GE772" s="742" t="str">
        <f t="shared" ref="GE772:GE809" si="156">IF(AND(C772=4,M772="Common Space"),E772*F772,"")</f>
        <v/>
      </c>
      <c r="GF772" s="742" t="str">
        <f t="shared" ref="GF772:GF809" si="157">IF(AND($C772="Efficiency", $O772="New Construction",NOT($B772="Unrestricted"),NOT($B772="NSP 120"),NOT($B772="N/A-CS"),NOT($M772="Common Space")),$E772,"")</f>
        <v/>
      </c>
      <c r="GG772" s="742" t="str">
        <f t="shared" ref="GG772:GG809" si="158">IF(AND($C772=1, $O772="New Construction",NOT($B772="Unrestricted"),NOT($B772="NSP 120"),NOT($B772="N/A-CS"),NOT($M772="Common Space")),$E772,"")</f>
        <v/>
      </c>
      <c r="GH772" s="742" t="str">
        <f t="shared" ref="GH772:GH809" si="159">IF(AND($C772=2, $O772="New Construction",NOT($B772="Unrestricted"),NOT($B772="NSP 120"),NOT($B772="N/A-CS"),NOT($M772="Common Space")),$E772,"")</f>
        <v/>
      </c>
      <c r="GI772" s="742" t="str">
        <f t="shared" ref="GI772:GI809" si="160">IF(AND($C772=3, $O772="New Construction",NOT($B772="Unrestricted"),NOT($B772="NSP 120"),NOT($B772="N/A-CS"),NOT($M772="Common Space")),$E772,"")</f>
        <v/>
      </c>
      <c r="GJ772" s="742" t="str">
        <f t="shared" ref="GJ772:GJ809" si="161">IF(AND($C772=4, $O772="New Construction",NOT($B772="Unrestricted"),NOT($B772="NSP 120"),NOT($B772="N/A-CS"),NOT($M772="Common Space")),$E772,"")</f>
        <v/>
      </c>
      <c r="GK772" s="742" t="str">
        <f t="shared" ref="GK772:GK809" si="162">IF(AND($C772="Efficiency", $O772="New Construction",$B772="Unrestricted",NOT($B772="N/A-CS"),NOT($M772="Common Space")),$E772,"")</f>
        <v/>
      </c>
      <c r="GL772" s="742" t="str">
        <f t="shared" ref="GL772:GL809" si="163">IF(AND($C772=1, $O772="New Construction",$B772="Unrestricted",NOT($B772="N/A-CS"),NOT($M772="Common Space")),$E772,"")</f>
        <v/>
      </c>
      <c r="GM772" s="742" t="str">
        <f t="shared" ref="GM772:GM809" si="164">IF(AND($C772=2, $O772="New Construction",$B772="Unrestricted",NOT($B772="N/A-CS"),NOT($M772="Common Space")),$E772,"")</f>
        <v/>
      </c>
      <c r="GN772" s="742" t="str">
        <f t="shared" ref="GN772:GN809" si="165">IF(AND($C772=3, $O772="New Construction",$B772="Unrestricted",NOT($B772="N/A-CS"),NOT($M772="Common Space")),$E772,"")</f>
        <v/>
      </c>
      <c r="GO772" s="742" t="str">
        <f t="shared" ref="GO772:GO809" si="166">IF(AND($C772=4, $O772="New Construction",$B772="Unrestricted",NOT($B772="N/A-CS"),NOT($M772="Common Space")),$E772,"")</f>
        <v/>
      </c>
      <c r="GP772" s="742" t="str">
        <f t="shared" ref="GP772:GP809" si="167">IF(AND($C772="Efficiency", $O772="New Construction",$B772="N/A-CS",$M772="Common Space"),$E772,"")</f>
        <v/>
      </c>
      <c r="GQ772" s="742" t="str">
        <f t="shared" ref="GQ772:GQ809" si="168">IF(AND($C772=1, $O772="New Construction",$B772="N/A-CS",$M772="Common Space"),$E772,"")</f>
        <v/>
      </c>
      <c r="GR772" s="742" t="str">
        <f t="shared" ref="GR772:GR809" si="169">IF(AND($C772=2, $O772="New Construction",$B772="N/A-CS",$M772="Common Space"),$E772,"")</f>
        <v/>
      </c>
      <c r="GS772" s="742" t="str">
        <f t="shared" ref="GS772:GS809" si="170">IF(AND($C772=3, $O772="New Construction",$B772="N/A-CS",$M772="Common Space"),$E772,"")</f>
        <v/>
      </c>
      <c r="GT772" s="742" t="str">
        <f t="shared" ref="GT772:GT809" si="171">IF(AND($C772=4, $O772="New Construction",$B772="N/A-CS",$M772="Common Space"),$E772,"")</f>
        <v/>
      </c>
      <c r="GU772" s="742" t="str">
        <f t="shared" ref="GU772:GU809" si="172">IF(AND($C772="Efficiency", $O772="Acquisition/Rehab",NOT($B772="Unrestricted"),NOT($B772="NSP 120"),NOT($B772="N/A-CS"),NOT($M772="Common Space")),$E772,"")</f>
        <v/>
      </c>
      <c r="GV772" s="742" t="str">
        <f t="shared" ref="GV772:GV809" si="173">IF(AND($C772=1, $O772="Acquisition/Rehab",NOT($B772="Unrestricted"),NOT($B772="NSP 120"),NOT($B772="N/A-CS"),NOT($M772="Common Space")),$E772,"")</f>
        <v/>
      </c>
      <c r="GW772" s="742" t="str">
        <f t="shared" ref="GW772:GW809" si="174">IF(AND($C772=2, $O772="Acquisition/Rehab",NOT($B772="Unrestricted"),NOT($B772="NSP 120"),NOT($B772="N/A-CS"),NOT($M772="Common Space")),$E772,"")</f>
        <v/>
      </c>
      <c r="GX772" s="742" t="str">
        <f t="shared" ref="GX772:GX809" si="175">IF(AND($C772=3, $O772="Acquisition/Rehab",NOT($B772="Unrestricted"),NOT($B772="NSP 120"),NOT($B772="N/A-CS"),NOT($M772="Common Space")),$E772,"")</f>
        <v/>
      </c>
      <c r="GY772" s="742" t="str">
        <f t="shared" ref="GY772:GY809" si="176">IF(AND($C772=4, $O772="Acquisition/Rehab",NOT($B772="Unrestricted"),NOT($B772="NSP 120"),NOT($B772="N/A-CS"),NOT($M772="Common Space")),$E772,"")</f>
        <v/>
      </c>
      <c r="GZ772" s="742" t="str">
        <f t="shared" ref="GZ772:GZ809" si="177">IF(AND($C772="Efficiency", $O772="Acquisition/Rehab",$B772="Unrestricted",NOT($B772="N/A-CS"),NOT($M772="Common Space")),$E772,"")</f>
        <v/>
      </c>
      <c r="HA772" s="742" t="str">
        <f t="shared" ref="HA772:HA809" si="178">IF(AND($C772=1, $O772="Acquisition/Rehab",$B772="Unrestricted",NOT($B772="N/A-CS"),NOT($M772="Common Space")),$E772,"")</f>
        <v/>
      </c>
      <c r="HB772" s="742" t="str">
        <f t="shared" ref="HB772:HB809" si="179">IF(AND($C772=2, $O772="Acquisition/Rehab",$B772="Unrestricted",NOT($B772="N/A-CS"),NOT($M772="Common Space")),$E772,"")</f>
        <v/>
      </c>
      <c r="HC772" s="742" t="str">
        <f t="shared" ref="HC772:HC809" si="180">IF(AND($C772=3, $O772="Acquisition/Rehab",$B772="Unrestricted",NOT($B772="N/A-CS"),NOT($M772="Common Space")),$E772,"")</f>
        <v/>
      </c>
      <c r="HD772" s="742" t="str">
        <f t="shared" ref="HD772:HD809" si="181">IF(AND($C772=4, $O772="Acquisition/Rehab",$B772="Unrestricted",NOT($B772="N/A-CS"),NOT($M772="Common Space")),$E772,"")</f>
        <v/>
      </c>
      <c r="HE772" s="742" t="str">
        <f t="shared" ref="HE772:HE809" si="182">IF(AND($C772="Efficiency", $O772="Acquisition/Rehab",$B772="N/A-CS",$M772="Common Space"),$E772,"")</f>
        <v/>
      </c>
      <c r="HF772" s="742" t="str">
        <f t="shared" ref="HF772:HF809" si="183">IF(AND($C772=1, $O772="Acquisition/Rehab",$B772="N/A-CS",$M772="Common Space"),$E772,"")</f>
        <v/>
      </c>
      <c r="HG772" s="742" t="str">
        <f t="shared" ref="HG772:HG809" si="184">IF(AND($C772=2, $O772="Acquisition/Rehab",$B772="N/A-CS",$M772="Common Space"),$E772,"")</f>
        <v/>
      </c>
      <c r="HH772" s="742" t="str">
        <f t="shared" ref="HH772:HH809" si="185">IF(AND($C772=3, $O772="Acquisition/Rehab",$B772="N/A-CS",$M772="Common Space"),$E772,"")</f>
        <v/>
      </c>
      <c r="HI772" s="742" t="str">
        <f t="shared" ref="HI772:HI809" si="186">IF(AND($C772=4, $O772="Acquisition/Rehab",$B772="N/A-CS",$M772="Common Space"),$E772,"")</f>
        <v/>
      </c>
      <c r="HJ772" s="742" t="str">
        <f t="shared" ref="HJ772:HJ809" si="187">IF(AND($C772="Efficiency", $O772="Rehabilitation",NOT($B772="Unrestricted"),NOT($B772="NSP 120"),NOT($B772="N/A-CS"),NOT($M772="Common Space")),$E772,"")</f>
        <v/>
      </c>
      <c r="HK772" s="742" t="str">
        <f t="shared" ref="HK772:HK809" si="188">IF(AND($C772=1, $O772="Rehabilitation",NOT($B772="Unrestricted"),NOT($B772="NSP 120"),NOT($B772="N/A-CS"),NOT($M772="Common Space")),$E772,"")</f>
        <v/>
      </c>
      <c r="HL772" s="742" t="str">
        <f t="shared" ref="HL772:HL809" si="189">IF(AND($C772=2, $O772="Rehabilitation",NOT($B772="Unrestricted"),NOT($B772="NSP 120"),NOT($B772="N/A-CS"),NOT($M772="Common Space")),$E772,"")</f>
        <v/>
      </c>
      <c r="HM772" s="742" t="str">
        <f t="shared" ref="HM772:HM809" si="190">IF(AND($C772=3, $O772="Rehabilitation",NOT($B772="Unrestricted"),NOT($B772="NSP 120"),NOT($B772="N/A-CS"),NOT($M772="Common Space")),$E772,"")</f>
        <v/>
      </c>
      <c r="HN772" s="742" t="str">
        <f t="shared" ref="HN772:HN809" si="191">IF(AND($C772=4, $O772="Rehabilitation",NOT($B772="Unrestricted"),NOT($B772="NSP 120"),NOT($B772="N/A-CS"),NOT($M772="Common Space")),$E772,"")</f>
        <v/>
      </c>
      <c r="HO772" s="742" t="str">
        <f t="shared" ref="HO772:HO809" si="192">IF(AND($C772="Efficiency", $O772="Rehabilitation",$B772="Unrestricted",NOT($B772="N/A-CS"),NOT($M772="Common Space")),$E772,"")</f>
        <v/>
      </c>
      <c r="HP772" s="742" t="str">
        <f t="shared" ref="HP772:HP809" si="193">IF(AND($C772=1, $O772="Rehabilitation",$B772="Unrestricted",NOT($B772="N/A-CS"),NOT($M772="Common Space")),$E772,"")</f>
        <v/>
      </c>
      <c r="HQ772" s="742" t="str">
        <f t="shared" ref="HQ772:HQ809" si="194">IF(AND($C772=2, $O772="Rehabilitation",$B772="Unrestricted",NOT($B772="N/A-CS"),NOT($M772="Common Space")),$E772,"")</f>
        <v/>
      </c>
      <c r="HR772" s="742" t="str">
        <f t="shared" ref="HR772:HR809" si="195">IF(AND($C772=3, $O772="Rehabilitation",$B772="Unrestricted",NOT($B772="N/A-CS"),NOT($M772="Common Space")),$E772,"")</f>
        <v/>
      </c>
      <c r="HS772" s="742" t="str">
        <f t="shared" ref="HS772:HS809" si="196">IF(AND($C772=4, $O772="Rehabilitation",$B772="Unrestricted",NOT($B772="N/A-CS"),NOT($M772="Common Space")),$E772,"")</f>
        <v/>
      </c>
      <c r="HT772" s="742" t="str">
        <f t="shared" ref="HT772:HT809" si="197">IF(AND($C772="Efficiency", $O772="Rehabilitation",$B772="N/A-CS",$M772="Common Space"),$E772,"")</f>
        <v/>
      </c>
      <c r="HU772" s="742" t="str">
        <f t="shared" ref="HU772:HU809" si="198">IF(AND($C772=1, $O772="Rehabilitation",$B772="N/A-CS",$M772="Common Space"),$E772,"")</f>
        <v/>
      </c>
      <c r="HV772" s="742" t="str">
        <f t="shared" ref="HV772:HV809" si="199">IF(AND($C772=2, $O772="Rehabilitation",$B772="N/A-CS",$M772="Common Space"),$E772,"")</f>
        <v/>
      </c>
      <c r="HW772" s="742" t="str">
        <f t="shared" ref="HW772:HW809" si="200">IF(AND($C772=3, $O772="Rehabilitation",$B772="N/A-CS",$M772="Common Space"),$E772,"")</f>
        <v/>
      </c>
      <c r="HX772" s="742" t="str">
        <f t="shared" ref="HX772:HX809" si="201">IF(AND($C772=4, $O772="Rehabilitation",$B772="N/A-CS",$M772="Common Space"),$E772,"")</f>
        <v/>
      </c>
      <c r="HY772" s="1638" t="str">
        <f t="shared" ref="HY772:HY809" si="202">IF(AND($C772="Efficiency", NOT(OR($N772="SF Detached",$N772="Mfd Home",$N772="Duplex",$N772="Townhome"))),$E772,"")</f>
        <v/>
      </c>
      <c r="HZ772" s="1638" t="str">
        <f t="shared" ref="HZ772:HZ809" si="203">IF(AND($C772=1, NOT(OR($N772="SF Detached",$N772="Mfd Home",$N772="Duplex",$N772="Townhome"))),$E772,"")</f>
        <v/>
      </c>
      <c r="IA772" s="1638" t="str">
        <f t="shared" ref="IA772:IA809" si="204">IF(AND($C772=2, NOT(OR($N772="SF Detached",$N772="Mfd Home",$N772="Duplex",$N772="Townhome"))),$E772,"")</f>
        <v/>
      </c>
      <c r="IB772" s="1638" t="str">
        <f t="shared" ref="IB772:IB809" si="205">IF(AND($C772=3, NOT(OR($N772="SF Detached",$N772="Mfd Home",$N772="Duplex",$N772="Townhome"))),$E772,"")</f>
        <v/>
      </c>
      <c r="IC772" s="1638" t="str">
        <f t="shared" ref="IC772:IC809" si="206">IF(AND($C772=4, NOT(OR($N772="SF Detached",$N772="Mfd Home",$N772="Duplex",$N772="Townhome"))),$E772,"")</f>
        <v/>
      </c>
      <c r="ID772" s="1638" t="str">
        <f t="shared" ref="ID772:ID809" si="207">IF(AND($C772="Efficiency", $N772="SF Detached",NOT($P772="Yes")),$E772,"")</f>
        <v/>
      </c>
      <c r="IE772" s="1638" t="str">
        <f t="shared" ref="IE772:IE809" si="208">IF(AND($C772=1, $N772="SF Detached",NOT($P772="Yes")),$E772,"")</f>
        <v/>
      </c>
      <c r="IF772" s="1638" t="str">
        <f t="shared" ref="IF772:IF809" si="209">IF(AND($C772=2, $N772="SF Detached",NOT($P772="Yes")),$E772,"")</f>
        <v/>
      </c>
      <c r="IG772" s="1638" t="str">
        <f t="shared" ref="IG772:IG809" si="210">IF(AND($C772=3, $N772="SF Detached",NOT($P772="Yes")),$E772,"")</f>
        <v/>
      </c>
      <c r="IH772" s="1638" t="str">
        <f t="shared" ref="IH772:IH809" si="211">IF(AND($C772=4, $N772="SF Detached",NOT($P772="Yes")),$E772,"")</f>
        <v/>
      </c>
      <c r="II772" s="1638" t="str">
        <f t="shared" ref="II772:II809" si="212">IF(AND($C772="Efficiency", $N772="SF Detached",$P772="Yes"),$E772,"")</f>
        <v/>
      </c>
      <c r="IJ772" s="1638" t="str">
        <f t="shared" ref="IJ772:IJ809" si="213">IF(AND($C772=1, $N772="SF Detached",$P772="Yes"),$E772,"")</f>
        <v/>
      </c>
      <c r="IK772" s="1638" t="str">
        <f t="shared" ref="IK772:IK809" si="214">IF(AND($C772=2, $N772="SF Detached",$P772="Yes"),$E772,"")</f>
        <v/>
      </c>
      <c r="IL772" s="1638" t="str">
        <f t="shared" ref="IL772:IL809" si="215">IF(AND($C772=3, $N772="SF Detached",$P772="Yes"),$E772,"")</f>
        <v/>
      </c>
      <c r="IM772" s="1638" t="str">
        <f t="shared" ref="IM772:IM809" si="216">IF(AND($C772=4, $N772="SF Detached",$P772="Yes"),$E772,"")</f>
        <v/>
      </c>
      <c r="IN772" s="1638" t="str">
        <f t="shared" ref="IN772:IN809" si="217">IF(AND($C772="Efficiency", $N772="Mfd Home",NOT($P772="Yes")),$E772,"")</f>
        <v/>
      </c>
      <c r="IO772" s="1638" t="str">
        <f t="shared" ref="IO772:IO809" si="218">IF(AND($C772=1, $N772="Mfd Home",NOT($P772="Yes")),$E772,"")</f>
        <v/>
      </c>
      <c r="IP772" s="1638" t="str">
        <f t="shared" ref="IP772:IP809" si="219">IF(AND($C772=2, $N772="Mfd Home",NOT($P772="Yes")),$E772,"")</f>
        <v/>
      </c>
      <c r="IQ772" s="1638" t="str">
        <f t="shared" ref="IQ772:IQ809" si="220">IF(AND($C772=3, $N772="Mfd Home",NOT($P772="Yes")),$E772,"")</f>
        <v/>
      </c>
      <c r="IR772" s="1638" t="str">
        <f t="shared" ref="IR772:IR809" si="221">IF(AND($C772=4, $N772="Mfd Home",NOT($P772="Yes")),$E772,"")</f>
        <v/>
      </c>
      <c r="IS772" s="1638" t="str">
        <f t="shared" ref="IS772:IS809" si="222">IF(AND($C772="Efficiency", $N772="Mfd Home",$P772="Yes"),$E772,"")</f>
        <v/>
      </c>
      <c r="IT772" s="1638" t="str">
        <f t="shared" ref="IT772:IT809" si="223">IF(AND($C772=1, $N772="Mfd Home",$P772="Yes"),$E772,"")</f>
        <v/>
      </c>
      <c r="IU772" s="1638" t="str">
        <f t="shared" ref="IU772:IU809" si="224">IF(AND($C772=2, $N772="Mfd Home",$P772="Yes"),$E772,"")</f>
        <v/>
      </c>
      <c r="IV772" s="1638" t="str">
        <f t="shared" ref="IV772:IV809" si="225">IF(AND($C772=3, $N772="Mfd Home",$P772="Yes"),$E772,"")</f>
        <v/>
      </c>
      <c r="IW772" s="1638" t="str">
        <f t="shared" ref="IW772:IW809" si="226">IF(AND($C772=4, $N772="Mfd Home",$P772="Yes"),$E772,"")</f>
        <v/>
      </c>
      <c r="IX772" s="1638" t="str">
        <f t="shared" ref="IX772:IX809" si="227">IF(AND($C772="Efficiency", $N772="Duplex",NOT($P772="Yes")),$E772,"")</f>
        <v/>
      </c>
      <c r="IY772" s="1638" t="str">
        <f t="shared" ref="IY772:IY809" si="228">IF(AND($C772=1, $N772="Duplex",NOT($P772="Yes")),$E772,"")</f>
        <v/>
      </c>
      <c r="IZ772" s="1638" t="str">
        <f t="shared" ref="IZ772:IZ809" si="229">IF(AND($C772=2, $N772="Duplex",NOT($P772="Yes")),$E772,"")</f>
        <v/>
      </c>
      <c r="JA772" s="1638" t="str">
        <f t="shared" ref="JA772:JA809" si="230">IF(AND($C772=3, $N772="Duplex",NOT($P772="Yes")),$E772,"")</f>
        <v/>
      </c>
      <c r="JB772" s="1638" t="str">
        <f t="shared" ref="JB772:JB809" si="231">IF(AND($C772=4, $N772="Duplex",NOT($P772="Yes")),$E772,"")</f>
        <v/>
      </c>
      <c r="JC772" s="1638" t="str">
        <f t="shared" ref="JC772:JC809" si="232">IF(AND($C772="Efficiency", $N772="Duplex",$P772="Yes"),$E772,"")</f>
        <v/>
      </c>
      <c r="JD772" s="1638" t="str">
        <f t="shared" ref="JD772:JD809" si="233">IF(AND($C772=1, $N772="Duplex",$P772="Yes"),$E772,"")</f>
        <v/>
      </c>
      <c r="JE772" s="1638" t="str">
        <f t="shared" ref="JE772:JE809" si="234">IF(AND($C772=2, $N772="Duplex",$P772="Yes"),$E772,"")</f>
        <v/>
      </c>
      <c r="JF772" s="1638" t="str">
        <f t="shared" ref="JF772:JF809" si="235">IF(AND($C772=3, $N772="Duplex",$P772="Yes"),$E772,"")</f>
        <v/>
      </c>
      <c r="JG772" s="1638" t="str">
        <f t="shared" ref="JG772:JG809" si="236">IF(AND($C772=4, $N772="Duplex",$P772="Yes"),$E772,"")</f>
        <v/>
      </c>
      <c r="JH772" s="1638" t="str">
        <f t="shared" ref="JH772:JH809" si="237">IF(AND($C772="Efficiency", $N772="Townhome",NOT($P772="Yes")),$E772,"")</f>
        <v/>
      </c>
      <c r="JI772" s="1638" t="str">
        <f t="shared" ref="JI772:JI809" si="238">IF(AND($C772=1, $N772="Townhome",NOT($P772="Yes")),$E772,"")</f>
        <v/>
      </c>
      <c r="JJ772" s="1638" t="str">
        <f t="shared" ref="JJ772:JJ809" si="239">IF(AND($C772=2, $N772="Townhome",NOT($P772="Yes")),$E772,"")</f>
        <v/>
      </c>
      <c r="JK772" s="1638" t="str">
        <f t="shared" ref="JK772:JK809" si="240">IF(AND($C772=3, $N772="Townhome",NOT($P772="Yes")),$E772,"")</f>
        <v/>
      </c>
      <c r="JL772" s="1638" t="str">
        <f t="shared" ref="JL772:JL809" si="241">IF(AND($C772=4, $N772="Townhome",NOT($P772="Yes")),$E772,"")</f>
        <v/>
      </c>
      <c r="JM772" s="1638" t="str">
        <f t="shared" ref="JM772:JM809" si="242">IF(AND($C772="Efficiency", $N772="Townhome",$P772="Yes"),$E772,"")</f>
        <v/>
      </c>
      <c r="JN772" s="1638" t="str">
        <f t="shared" ref="JN772:JN809" si="243">IF(AND($C772=1, $N772="Townhome",$P772="Yes"),$E772,"")</f>
        <v/>
      </c>
      <c r="JO772" s="1638" t="str">
        <f t="shared" ref="JO772:JO809" si="244">IF(AND($C772=2, $N772="Townhome",$P772="Yes"),$E772,"")</f>
        <v/>
      </c>
      <c r="JP772" s="1638" t="str">
        <f t="shared" ref="JP772:JP809" si="245">IF(AND($C772=3, $N772="Townhome",$P772="Yes"),$E772,"")</f>
        <v/>
      </c>
      <c r="JQ772" s="1638" t="str">
        <f t="shared" ref="JQ772:JQ809" si="246">IF(AND($C772=4, $N772="Townhome",$P772="Yes"),$E772,"")</f>
        <v/>
      </c>
      <c r="JR772" s="1638" t="str">
        <f t="shared" ref="JR772:JR809" si="247">IF(AND($C772="Efficiency", $N772="1-Story",NOT($P772="Yes")),$E772,"")</f>
        <v/>
      </c>
      <c r="JS772" s="1638" t="str">
        <f t="shared" ref="JS772:JS809" si="248">IF(AND($C772=1, $N772="1-Story",NOT($P772="Yes")),$E772,"")</f>
        <v/>
      </c>
      <c r="JT772" s="1638" t="str">
        <f t="shared" ref="JT772:JT809" si="249">IF(AND($C772=2, $N772="1-Story",NOT($P772="Yes")),$E772,"")</f>
        <v/>
      </c>
      <c r="JU772" s="1638" t="str">
        <f t="shared" ref="JU772:JU809" si="250">IF(AND($C772=3, $N772="1-Story",NOT($P772="Yes")),$E772,"")</f>
        <v/>
      </c>
      <c r="JV772" s="1638" t="str">
        <f t="shared" ref="JV772:JV809" si="251">IF(AND($C772=4, $N772="1-Story",NOT($P772="Yes")),$E772,"")</f>
        <v/>
      </c>
      <c r="JW772" s="1638" t="str">
        <f t="shared" ref="JW772:JW809" si="252">IF(AND($C772="Efficiency", $N772="1-Story",$P772="Yes"),$E772,"")</f>
        <v/>
      </c>
      <c r="JX772" s="1638" t="str">
        <f t="shared" ref="JX772:JX809" si="253">IF(AND($C772=1, $N772="1-Story",$P772="Yes"),$E772,"")</f>
        <v/>
      </c>
      <c r="JY772" s="1638" t="str">
        <f t="shared" ref="JY772:JY809" si="254">IF(AND($C772=2, $N772="1-Story",$P772="Yes"),$E772,"")</f>
        <v/>
      </c>
      <c r="JZ772" s="1638" t="str">
        <f t="shared" ref="JZ772:JZ809" si="255">IF(AND($C772=3, $N772="1-Story",$P772="Yes"),$E772,"")</f>
        <v/>
      </c>
      <c r="KA772" s="1638" t="str">
        <f t="shared" ref="KA772:KA809" si="256">IF(AND($C772=4, $N772="1-Story",$P772="Yes"),$E772,"")</f>
        <v/>
      </c>
      <c r="KB772" s="1638" t="str">
        <f t="shared" ref="KB772:KB809" si="257">IF(AND($C772="Efficiency", $N772="2-Story",NOT($P772="Yes")),$E772,"")</f>
        <v/>
      </c>
      <c r="KC772" s="1638" t="str">
        <f t="shared" ref="KC772:KC809" si="258">IF(AND($C772=1, $N772="2-Story",NOT($P772="Yes")),$E772,"")</f>
        <v/>
      </c>
      <c r="KD772" s="1638" t="str">
        <f t="shared" ref="KD772:KD809" si="259">IF(AND($C772=2, $N772="2-Story",NOT($P772="Yes")),$E772,"")</f>
        <v/>
      </c>
      <c r="KE772" s="1638" t="str">
        <f t="shared" ref="KE772:KE809" si="260">IF(AND($C772=3, $N772="2-Story",NOT($P772="Yes")),$E772,"")</f>
        <v/>
      </c>
      <c r="KF772" s="1638" t="str">
        <f t="shared" ref="KF772:KF809" si="261">IF(AND($C772=4, $N772="2-Story",NOT($P772="Yes")),$E772,"")</f>
        <v/>
      </c>
      <c r="KG772" s="1638" t="str">
        <f t="shared" ref="KG772:KG809" si="262">IF(AND($C772="Efficiency", $N772="2-Story",$P772="Yes"),$E772,"")</f>
        <v/>
      </c>
      <c r="KH772" s="1638" t="str">
        <f t="shared" ref="KH772:KH809" si="263">IF(AND($C772=1, $N772="2-Story",$P772="Yes"),$E772,"")</f>
        <v/>
      </c>
      <c r="KI772" s="1638" t="str">
        <f t="shared" ref="KI772:KI809" si="264">IF(AND($C772=2, $N772="2-Story",$P772="Yes"),$E772,"")</f>
        <v/>
      </c>
      <c r="KJ772" s="1638" t="str">
        <f t="shared" ref="KJ772:KJ809" si="265">IF(AND($C772=3, $N772="2-Story",$P772="Yes"),$E772,"")</f>
        <v/>
      </c>
      <c r="KK772" s="1638" t="str">
        <f t="shared" ref="KK772:KK809" si="266">IF(AND($C772=4, $N772="2-Story",$P772="Yes"),$E772,"")</f>
        <v/>
      </c>
      <c r="KL772" s="1638" t="str">
        <f t="shared" ref="KL772:KL809" si="267">IF(AND($C772="Efficiency", $N772="2-Story Walkup",NOT($P772="Yes")),$E772,"")</f>
        <v/>
      </c>
      <c r="KM772" s="1638" t="str">
        <f t="shared" ref="KM772:KM809" si="268">IF(AND($C772=1, $N772="2-Story Walkup",NOT($P772="Yes")),$E772,"")</f>
        <v/>
      </c>
      <c r="KN772" s="1638" t="str">
        <f t="shared" ref="KN772:KN809" si="269">IF(AND($C772=2, $N772="2-Story Walkup",NOT($P772="Yes")),$E772,"")</f>
        <v/>
      </c>
      <c r="KO772" s="1638" t="str">
        <f t="shared" ref="KO772:KO809" si="270">IF(AND($C772=3, $N772="2-Story Walkup",NOT($P772="Yes")),$E772,"")</f>
        <v/>
      </c>
      <c r="KP772" s="1638" t="str">
        <f t="shared" ref="KP772:KP809" si="271">IF(AND($C772=4, $N772="2-Story Walkup",NOT($P772="Yes")),$E772,"")</f>
        <v/>
      </c>
      <c r="KQ772" s="1638" t="str">
        <f t="shared" ref="KQ772:KQ809" si="272">IF(AND($C772="Efficiency", $N772="2-Story Walkup",$P772="Yes"),$E772,"")</f>
        <v/>
      </c>
      <c r="KR772" s="1638" t="str">
        <f t="shared" ref="KR772:KR809" si="273">IF(AND($C772=1, $N772="2-Story Walkup",$P772="Yes"),$E772,"")</f>
        <v/>
      </c>
      <c r="KS772" s="1638" t="str">
        <f t="shared" ref="KS772:KS809" si="274">IF(AND($C772=2, $N772="2-Story Walkup",$P772="Yes"),$E772,"")</f>
        <v/>
      </c>
      <c r="KT772" s="1638" t="str">
        <f t="shared" ref="KT772:KT809" si="275">IF(AND($C772=3, $N772="2-Story Walkup",$P772="Yes"),$E772,"")</f>
        <v/>
      </c>
      <c r="KU772" s="1638" t="str">
        <f t="shared" ref="KU772:KU809" si="276">IF(AND($C772=4, $N772="2-Story Walkup",$P772="Yes"),$E772,"")</f>
        <v/>
      </c>
      <c r="KV772" s="1638" t="str">
        <f t="shared" ref="KV772:KV809" si="277">IF(AND($C772="Efficiency", $N772="3+ Story",NOT($P772="Yes")),$E772,"")</f>
        <v/>
      </c>
      <c r="KW772" s="1638" t="str">
        <f t="shared" ref="KW772:KW809" si="278">IF(AND($C772=1, $N772="3+ Story",NOT($P772="Yes")),$E772,"")</f>
        <v/>
      </c>
      <c r="KX772" s="1638" t="str">
        <f t="shared" ref="KX772:KX809" si="279">IF(AND($C772=2, $N772="3+ Story",NOT($P772="Yes")),$E772,"")</f>
        <v/>
      </c>
      <c r="KY772" s="1638" t="str">
        <f t="shared" ref="KY772:KY809" si="280">IF(AND($C772=3, $N772="3+ Story",NOT($P772="Yes")),$E772,"")</f>
        <v/>
      </c>
      <c r="KZ772" s="1638" t="str">
        <f t="shared" ref="KZ772:KZ809" si="281">IF(AND($C772=4, $N772="3+ Story",NOT($P772="Yes")),$E772,"")</f>
        <v/>
      </c>
      <c r="LA772" s="1638" t="str">
        <f t="shared" ref="LA772:LA809" si="282">IF(AND($C772="Efficiency", $N772="3+ Story",$P772="Yes"),$E772,"")</f>
        <v/>
      </c>
      <c r="LB772" s="1638" t="str">
        <f t="shared" ref="LB772:LB809" si="283">IF(AND($C772=1, $N772="3+ Story",$P772="Yes"),$E772,"")</f>
        <v/>
      </c>
      <c r="LC772" s="1638" t="str">
        <f t="shared" ref="LC772:LC809" si="284">IF(AND($C772=2, $N772="3+ Story",$P772="Yes"),$E772,"")</f>
        <v/>
      </c>
      <c r="LD772" s="1638" t="str">
        <f t="shared" ref="LD772:LD809" si="285">IF(AND($C772=3, $N772="3+ Story",$P772="Yes"),$E772,"")</f>
        <v/>
      </c>
      <c r="LE772" s="1638" t="str">
        <f t="shared" ref="LE772:LE809" si="286">IF(AND($C772=4, $N772="3+ Story",$P772="Yes"),$E772,"")</f>
        <v/>
      </c>
      <c r="LF772" s="1637" t="str">
        <f t="shared" ref="LF772:LF809" si="287">IF(AND($B772="NSP 120% AMI",$C772="Efficiency", NOT($M772="Common Space")),$E772,"")</f>
        <v/>
      </c>
      <c r="LG772" s="1637" t="str">
        <f t="shared" ref="LG772:LG809" si="288">IF(AND($B772="NSP 120% AMI",$C772=1,NOT($M772="Common Space")),$E772,"")</f>
        <v/>
      </c>
      <c r="LH772" s="1637" t="str">
        <f t="shared" ref="LH772:LH809" si="289">IF(AND($B772="NSP 120% AMI",$C772=2,NOT($M772="Common Space")),$E772,"")</f>
        <v/>
      </c>
      <c r="LI772" s="1637" t="str">
        <f t="shared" ref="LI772:LI809" si="290">IF(AND($B772="NSP 120% AMI",$C772=3,NOT($M772="Common Space")),$E772,"")</f>
        <v/>
      </c>
      <c r="LJ772" s="1637" t="str">
        <f t="shared" ref="LJ772:LJ809" si="291">IF(AND($B772="NSP 120% AMI",$C772=4,NOT($M772="Common Space")),$E772,"")</f>
        <v/>
      </c>
      <c r="LK772" s="742" t="str">
        <f t="shared" ref="LK772:LK809" si="292">IF(AND(C772="Efficiency",B772="NSP 120% AMI",NOT(M772="Common Space")),E772*F772,"")</f>
        <v/>
      </c>
      <c r="LL772" s="742" t="str">
        <f t="shared" ref="LL772:LL809" si="293">IF(AND(C772=1,B772="NSP 120% AMI",NOT(M772="Common Space")),E772*F772,"")</f>
        <v/>
      </c>
      <c r="LM772" s="742" t="str">
        <f t="shared" ref="LM772:LM809" si="294">IF(AND(C772=2,B772="NSP 120% AMI",NOT(M772="Common Space")),E772*F772,"")</f>
        <v/>
      </c>
      <c r="LN772" s="742" t="str">
        <f t="shared" ref="LN772:LN809" si="295">IF(AND(C772=3,B772="NSP 120% AMI",NOT(M772="Common Space")),E772*F772,"")</f>
        <v/>
      </c>
      <c r="LO772" s="742" t="str">
        <f t="shared" ref="LO772:LO809" si="296">IF(AND(C772=4,B772="NSP 120% AMI",NOT(M772="Common Space")),E772*F772,"")</f>
        <v/>
      </c>
      <c r="LP772" s="742" t="str">
        <f t="shared" ref="LP772:LP809" si="297">IF(AND($C772="Efficiency", $O772="New Construction",$B772="NSP 120% AMI",NOT($M772="Common Space")),$E772,"")</f>
        <v/>
      </c>
      <c r="LQ772" s="742" t="str">
        <f t="shared" ref="LQ772:LQ809" si="298">IF(AND($C772=1, $O772="New Construction",$B772="NSP 120% AMI",NOT($M772="Common Space")),$E772,"")</f>
        <v/>
      </c>
      <c r="LR772" s="742" t="str">
        <f t="shared" ref="LR772:LR809" si="299">IF(AND($C772=2, $O772="New Construction",$B772="NSP 120% AMI",NOT($M772="Common Space")),$E772,"")</f>
        <v/>
      </c>
      <c r="LS772" s="742" t="str">
        <f t="shared" ref="LS772:LS809" si="300">IF(AND($C772=3, $O772="New Construction",$B772="NSP 120% AMI",NOT($M772="Common Space")),$E772,"")</f>
        <v/>
      </c>
      <c r="LT772" s="742" t="str">
        <f t="shared" ref="LT772:LT809" si="301">IF(AND($C772=4, $O772="New Construction",$B772="NSP 120% AMI",NOT($M772="Common Space")),$E772,"")</f>
        <v/>
      </c>
      <c r="LU772" s="742" t="str">
        <f t="shared" ref="LU772:LU809" si="302">IF(AND($C772="Efficiency", $O772="Acquisition/Rehab",$B772="NSP 120% AMI",NOT($M772="Common Space")),$E772,"")</f>
        <v/>
      </c>
      <c r="LV772" s="742" t="str">
        <f t="shared" ref="LV772:LV809" si="303">IF(AND($C772=1, $O772="Acquisition/Rehab",$B772="NSP 120% AMI",NOT($M772="Common Space")),$E772,"")</f>
        <v/>
      </c>
      <c r="LW772" s="742" t="str">
        <f t="shared" ref="LW772:LW809" si="304">IF(AND($C772=2, $O772="Acquisition/Rehab",$B772="NSP 120% AMI",NOT($M772="Common Space")),$E772,"")</f>
        <v/>
      </c>
      <c r="LX772" s="742" t="str">
        <f t="shared" ref="LX772:LX809" si="305">IF(AND($C772=3, $O772="Acquisition/Rehab",$B772="NSP 120% AMI",NOT($M772="Common Space")),$E772,"")</f>
        <v/>
      </c>
      <c r="LY772" s="742" t="str">
        <f t="shared" ref="LY772:LY809" si="306">IF(AND($C772=4, $O772="Acquisition/Rehab",$B772="NSP 120% AMI",NOT($M772="Common Space")),$E772,"")</f>
        <v/>
      </c>
      <c r="LZ772" s="742" t="str">
        <f t="shared" ref="LZ772:LZ809" si="307">IF(AND($C772="Efficiency", $O772="Rehabilitation",$B772="NSP 120% AMI",NOT($M772="Common Space")),$E772,"")</f>
        <v/>
      </c>
      <c r="MA772" s="742" t="str">
        <f t="shared" ref="MA772:MA809" si="308">IF(AND($C772=1, $O772="Rehabilitation",$B772="NSP 120% AMI",NOT($M772="Common Space")),$E772,"")</f>
        <v/>
      </c>
      <c r="MB772" s="742" t="str">
        <f t="shared" ref="MB772:MB809" si="309">IF(AND($C772=2, $O772="Rehabilitation",$B772="NSP 120% AMI",NOT($M772="Common Space")),$E772,"")</f>
        <v/>
      </c>
      <c r="MC772" s="742" t="str">
        <f t="shared" ref="MC772:MC809" si="310">IF(AND($C772=3, $O772="Rehabilitation",$B772="NSP 120% AMI",NOT($M772="Common Space")),$E772,"")</f>
        <v/>
      </c>
      <c r="MD772" s="742" t="str">
        <f t="shared" ref="MD772:MD809" si="311">IF(AND($C772=4, $O772="Rehabilitation",$B772="NSP 120% AMI",NOT($M772="Common Space")),$E772,"")</f>
        <v/>
      </c>
      <c r="ME772" s="1637">
        <f>IF(AND($C772="Efficiency",$E772&gt;0,OR($N772="1-Story",$N772="2-Story",$N772="3+ Story",$N772="2-Story Walkup",$N772="Townhome"),OR($O772="Acquisition/Rehab",$O772="Rehabilitation"),NOT($P772="Yes")),$E772,0)</f>
        <v>0</v>
      </c>
      <c r="MF772" s="1637">
        <f>IF(AND($C772=1,$E772&gt;0,OR($N772="1-Story",$N772="2-Story",$N772="3+ Story",$N772="2-Story Walkup",$N772="Townhome"),OR($O772="Acquisition/Rehab",$O772="Rehabilitation"),NOT($P772="Yes")),$E772,0)</f>
        <v>0</v>
      </c>
      <c r="MG772" s="1637">
        <f>IF(AND($C772=2,$E772&gt;0,OR($N772="1-Story",$N772="2-Story",$N772="3+ Story",$N772="2-Story Walkup",$N772="Townhome"),OR($O772="Acquisition/Rehab",$O772="Rehabilitation"),NOT($P772="Yes")),$E772,0)</f>
        <v>0</v>
      </c>
      <c r="MH772" s="1637">
        <f>IF(AND($C772=3,$E772&gt;0,OR($N772="1-Story",$N772="2-Story",$N772="3+ Story",$N772="2-Story Walkup",$N772="Townhome"),OR($O772="Acquisition/Rehab",$O772="Rehabilitation"),NOT($P772="Yes")),$E772,0)</f>
        <v>0</v>
      </c>
      <c r="MI772" s="1637">
        <f>IF(AND($C772=4,$E772&gt;0,OR($N772="1-Story",$N772="2-Story",$N772="3+ Story",$N772="2-Story Walkup",$N772="Townhome"),OR($O772="Acquisition/Rehab",$O772="Rehabilitation"),NOT($P772="Yes")),$E772,0)</f>
        <v>0</v>
      </c>
      <c r="MJ772" s="1637">
        <f>IF(AND($C772="Efficiency",$E772&gt;0,OR($N772="1-Story",$N772="2-Story",$N772="3+ Story",$N772="2-Story Walkup",$N772="Townhome"),$O772="New Construction"),$E772,0)</f>
        <v>0</v>
      </c>
      <c r="MK772" s="1637">
        <f>IF(AND($C772=1,$E772&gt;0,OR($N772="1-Story",$N772="2-Story",$N772="3+ Story",$N772="2-Story Walkup",$N772="Townhome"),$O772="New Construction"),$E772,0)</f>
        <v>0</v>
      </c>
      <c r="ML772" s="1637">
        <f>IF(AND($C772=2,$E772&gt;0,OR($N772="1-Story",$N772="2-Story",$N772="3+ Story",$N772="2-Story Walkup",$N772="Townhome"),$O772="New Construction"),$E772,0)</f>
        <v>0</v>
      </c>
      <c r="MM772" s="1637">
        <f>IF(AND($C772=3,$E772&gt;0,OR($N772="1-Story",$N772="2-Story",$N772="3+ Story",$N772="2-Story Walkup",$N772="Townhome"),$O772="New Construction"),$E772,0)</f>
        <v>0</v>
      </c>
      <c r="MN772" s="1637">
        <f>IF(AND($C772=4,$E772&gt;0,OR($N772="1-Story",$N772="2-Story",$N772="3+ Story",$N772="2-Story Walkup",$N772="Townhome"),$O772="New Construction"),$E772,0)</f>
        <v>0</v>
      </c>
      <c r="MO772" s="1637">
        <f>IF(AND($C772="Efficiency",$E772&gt;0,OR($N772="SF Detached",$N772="Duplex",$N772="Mfd Home"),NOT($P772="Yes")),$E772,0)</f>
        <v>0</v>
      </c>
      <c r="MP772" s="1637">
        <f>IF(AND($C772=1,$E772&gt;0,OR($N772="SF Detached",$N772="Duplex",$N772="Mfd Home"),NOT($P772="Yes")),$E772,0)</f>
        <v>0</v>
      </c>
      <c r="MQ772" s="1637">
        <f>IF(AND($C772=2,$E772&gt;0,OR($N772="SF Detached",$N772="Duplex",$N772="Mfd Home"),NOT($P772="Yes")),$E772,0)</f>
        <v>0</v>
      </c>
      <c r="MR772" s="1637">
        <f>IF(AND($C772=3,$E772&gt;0,OR($N772="SF Detached",$N772="Duplex",$N772="Mfd Home"),NOT($P772="Yes")),$E772,0)</f>
        <v>0</v>
      </c>
      <c r="MS772" s="1637">
        <f>IF(AND($C772=4,$E772&gt;0,OR($N772="SF Detached",$N772="Duplex",$N772="Mfd Home"),NOT($P772="Yes")),$E772,0)</f>
        <v>0</v>
      </c>
    </row>
    <row r="773" spans="1:357" ht="13.5">
      <c r="A773" s="1630" t="str">
        <f t="shared" si="0"/>
        <v/>
      </c>
      <c r="B773" s="2757" t="str">
        <f>'Part VI-Revenues &amp; Expenses'!B11</f>
        <v>N/A-CS</v>
      </c>
      <c r="C773" s="2146">
        <f>'Part VI-Revenues &amp; Expenses'!C11</f>
        <v>0</v>
      </c>
      <c r="D773" s="2147">
        <f>'Part VI-Revenues &amp; Expenses'!D11</f>
        <v>0</v>
      </c>
      <c r="E773" s="2148">
        <f>'Part VI-Revenues &amp; Expenses'!E11</f>
        <v>0</v>
      </c>
      <c r="F773" s="2148">
        <f>'Part VI-Revenues &amp; Expenses'!F11</f>
        <v>0</v>
      </c>
      <c r="G773" s="2148">
        <f>'Part VI-Revenues &amp; Expenses'!G11</f>
        <v>0</v>
      </c>
      <c r="H773" s="2148">
        <f>'Part VI-Revenues &amp; Expenses'!H11</f>
        <v>0</v>
      </c>
      <c r="I773" s="2148">
        <f>'Part VI-Revenues &amp; Expenses'!I11</f>
        <v>0</v>
      </c>
      <c r="J773" s="2149">
        <f>'Part VI-Revenues &amp; Expenses'!J11</f>
        <v>0</v>
      </c>
      <c r="K773" s="1822">
        <f t="shared" si="1"/>
        <v>0</v>
      </c>
      <c r="L773" s="1822">
        <f t="shared" si="2"/>
        <v>0</v>
      </c>
      <c r="M773" s="2133">
        <f>'Part VI-Revenues &amp; Expenses'!M11</f>
        <v>0</v>
      </c>
      <c r="N773" s="2133">
        <f>'Part VI-Revenues &amp; Expenses'!N11</f>
        <v>0</v>
      </c>
      <c r="O773" s="2133">
        <f>'Part VI-Revenues &amp; Expenses'!O11</f>
        <v>0</v>
      </c>
      <c r="P773" s="1633">
        <f>'Part VI-Revenues &amp; Expenses'!P11</f>
        <v>0</v>
      </c>
      <c r="Q773" s="1823" t="str">
        <f>'Part VI-Revenues &amp; Expenses'!Q11</f>
        <v/>
      </c>
      <c r="R773" s="1824" t="str">
        <f>'Part VI-Revenues &amp; Expenses'!R11</f>
        <v/>
      </c>
      <c r="S773" s="1823">
        <f>'Part VI-Revenues &amp; Expenses'!S11</f>
        <v>0</v>
      </c>
      <c r="T773" s="1824">
        <f>'Part VI-Revenues &amp; Expenses'!T11</f>
        <v>0</v>
      </c>
      <c r="U773" s="1838">
        <f>'Part VI-Revenues &amp; Expenses'!U11:V11</f>
        <v>0</v>
      </c>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ref="EG773:EG809" si="312">IF(AND(C773=4,M773="Common Space"),E773,"")</f>
        <v/>
      </c>
      <c r="EH773" s="742" t="str">
        <f t="shared" si="117"/>
        <v/>
      </c>
      <c r="EI773" s="742" t="str">
        <f t="shared" si="118"/>
        <v/>
      </c>
      <c r="EJ773" s="742" t="str">
        <f t="shared" si="119"/>
        <v/>
      </c>
      <c r="EK773" s="742" t="str">
        <f t="shared" si="120"/>
        <v/>
      </c>
      <c r="EL773" s="742" t="str">
        <f t="shared" si="121"/>
        <v/>
      </c>
      <c r="EM773" s="742" t="str">
        <f t="shared" si="122"/>
        <v/>
      </c>
      <c r="EN773" s="742" t="str">
        <f t="shared" si="123"/>
        <v/>
      </c>
      <c r="EO773" s="742" t="str">
        <f t="shared" si="124"/>
        <v/>
      </c>
      <c r="EP773" s="742" t="str">
        <f t="shared" si="125"/>
        <v/>
      </c>
      <c r="EQ773" s="742" t="str">
        <f t="shared" si="126"/>
        <v/>
      </c>
      <c r="ER773" s="742" t="str">
        <f t="shared" si="127"/>
        <v/>
      </c>
      <c r="ES773" s="742" t="str">
        <f t="shared" si="128"/>
        <v/>
      </c>
      <c r="ET773" s="742" t="str">
        <f t="shared" si="129"/>
        <v/>
      </c>
      <c r="EU773" s="742" t="str">
        <f t="shared" si="130"/>
        <v/>
      </c>
      <c r="EV773" s="742" t="str">
        <f t="shared" si="131"/>
        <v/>
      </c>
      <c r="EW773" s="742" t="str">
        <f t="shared" ref="EW773:EW809" si="313">IF(OR(AND($C773="Efficiency",$B773=50,NOT($M773="Common Space")),AND($C773="Efficiency",$B773="HOME 50",NOT($M773="Common Space"))),$E773*$F773,"")</f>
        <v/>
      </c>
      <c r="EX773" s="742" t="str">
        <f t="shared" ref="EX773:EX809" si="314">IF(OR(AND($C773=1,$B773=50,NOT($M773="Common Space")),AND($C773=1,$B773="HOME 50",NOT($M773="Common Space"))),$E773*$F773,"")</f>
        <v/>
      </c>
      <c r="EY773" s="742" t="str">
        <f t="shared" ref="EY773:EY809" si="315">IF(OR(AND($C773=2,$B773=50,NOT($M773="Common Space")),AND($C773=2,$B773="HOME 50",NOT($M773="Common Space"))),$E773*$F773,"")</f>
        <v/>
      </c>
      <c r="EZ773" s="742" t="str">
        <f t="shared" ref="EZ773:EZ809" si="316">IF(OR(AND($C773=3,$B773=50,NOT($M773="Common Space")),AND($C773=3,$B773="HOME 50",NOT($M773="Common Space"))),$E773*$F773,"")</f>
        <v/>
      </c>
      <c r="FA773" s="742" t="str">
        <f t="shared" ref="FA773:FA809" si="317">IF(OR(AND($C773=4,$B773=50,NOT($M773="Common Space")),AND($C773=4,$B773="HOME 50",NOT($M773="Common Space"))),$E773*$F773,"")</f>
        <v/>
      </c>
      <c r="FB773" s="742" t="str">
        <f t="shared" si="132"/>
        <v/>
      </c>
      <c r="FC773" s="742" t="str">
        <f t="shared" si="133"/>
        <v/>
      </c>
      <c r="FD773" s="742" t="str">
        <f t="shared" si="134"/>
        <v/>
      </c>
      <c r="FE773" s="742" t="str">
        <f t="shared" si="135"/>
        <v/>
      </c>
      <c r="FF773" s="742" t="str">
        <f t="shared" si="136"/>
        <v/>
      </c>
      <c r="FG773" s="742" t="str">
        <f t="shared" ref="FG773:FG809" si="318">IF(OR(AND($C773="Efficiency",$B773=30,NOT($M773="Common Space")),AND($C773="Efficiency",$B773="HOME 30",NOT($M773="Common Space"))),$E773*$F773,"")</f>
        <v/>
      </c>
      <c r="FH773" s="742" t="str">
        <f t="shared" ref="FH773:FH809" si="319">IF(OR(AND($C773=1,$B773=30,NOT($M773="Common Space")),AND($C773=1,$B773="HOME 30",NOT($M773="Common Space"))),$E773*$F773,"")</f>
        <v/>
      </c>
      <c r="FI773" s="742" t="str">
        <f t="shared" ref="FI773:FI809" si="320">IF(OR(AND($C773=2,$B773=30,NOT($M773="Common Space")),AND($C773=2,$B773="HOME 30",NOT($M773="Common Space"))),$E773*$F773,"")</f>
        <v/>
      </c>
      <c r="FJ773" s="742" t="str">
        <f t="shared" ref="FJ773:FJ809" si="321">IF(OR(AND($C773=3,$B773=30,NOT($M773="Common Space")),AND($C773=3,$B773="HOME 30",NOT($M773="Common Space"))),$E773*$F773,"")</f>
        <v/>
      </c>
      <c r="FK773" s="742" t="str">
        <f t="shared" ref="FK773:FK809" si="322">IF(OR(AND($C773=4,$B773=30,NOT($M773="Common Space")),AND($C773=4,$B773="HOME 30",NOT($M773="Common Space"))),$E773*$F773,"")</f>
        <v/>
      </c>
      <c r="FL773" s="742" t="str">
        <f t="shared" si="137"/>
        <v/>
      </c>
      <c r="FM773" s="742" t="str">
        <f t="shared" si="138"/>
        <v/>
      </c>
      <c r="FN773" s="742" t="str">
        <f t="shared" si="139"/>
        <v/>
      </c>
      <c r="FO773" s="742" t="str">
        <f t="shared" si="140"/>
        <v/>
      </c>
      <c r="FP773" s="742" t="str">
        <f t="shared" si="141"/>
        <v/>
      </c>
      <c r="FQ773" s="742" t="str">
        <f t="shared" si="142"/>
        <v/>
      </c>
      <c r="FR773" s="742" t="str">
        <f t="shared" si="143"/>
        <v/>
      </c>
      <c r="FS773" s="742" t="str">
        <f t="shared" si="144"/>
        <v/>
      </c>
      <c r="FT773" s="742" t="str">
        <f t="shared" si="145"/>
        <v/>
      </c>
      <c r="FU773" s="742" t="str">
        <f t="shared" si="146"/>
        <v/>
      </c>
      <c r="FV773" s="742" t="str">
        <f t="shared" si="147"/>
        <v/>
      </c>
      <c r="FW773" s="742" t="str">
        <f t="shared" si="148"/>
        <v/>
      </c>
      <c r="FX773" s="742" t="str">
        <f t="shared" si="149"/>
        <v/>
      </c>
      <c r="FY773" s="742" t="str">
        <f t="shared" si="150"/>
        <v/>
      </c>
      <c r="FZ773" s="742" t="str">
        <f t="shared" si="151"/>
        <v/>
      </c>
      <c r="GA773" s="742" t="str">
        <f t="shared" si="152"/>
        <v/>
      </c>
      <c r="GB773" s="742" t="str">
        <f t="shared" si="153"/>
        <v/>
      </c>
      <c r="GC773" s="742" t="str">
        <f t="shared" si="154"/>
        <v/>
      </c>
      <c r="GD773" s="742" t="str">
        <f t="shared" si="155"/>
        <v/>
      </c>
      <c r="GE773" s="742" t="str">
        <f t="shared" si="156"/>
        <v/>
      </c>
      <c r="GF773" s="742" t="str">
        <f t="shared" si="157"/>
        <v/>
      </c>
      <c r="GG773" s="742" t="str">
        <f t="shared" si="158"/>
        <v/>
      </c>
      <c r="GH773" s="742" t="str">
        <f t="shared" si="159"/>
        <v/>
      </c>
      <c r="GI773" s="742" t="str">
        <f t="shared" si="160"/>
        <v/>
      </c>
      <c r="GJ773" s="742" t="str">
        <f t="shared" si="161"/>
        <v/>
      </c>
      <c r="GK773" s="742" t="str">
        <f t="shared" si="162"/>
        <v/>
      </c>
      <c r="GL773" s="742" t="str">
        <f t="shared" si="163"/>
        <v/>
      </c>
      <c r="GM773" s="742" t="str">
        <f t="shared" si="164"/>
        <v/>
      </c>
      <c r="GN773" s="742" t="str">
        <f t="shared" si="165"/>
        <v/>
      </c>
      <c r="GO773" s="742" t="str">
        <f t="shared" si="166"/>
        <v/>
      </c>
      <c r="GP773" s="742" t="str">
        <f t="shared" si="167"/>
        <v/>
      </c>
      <c r="GQ773" s="742" t="str">
        <f t="shared" si="168"/>
        <v/>
      </c>
      <c r="GR773" s="742" t="str">
        <f t="shared" si="169"/>
        <v/>
      </c>
      <c r="GS773" s="742" t="str">
        <f t="shared" si="170"/>
        <v/>
      </c>
      <c r="GT773" s="742" t="str">
        <f t="shared" si="171"/>
        <v/>
      </c>
      <c r="GU773" s="742" t="str">
        <f t="shared" si="172"/>
        <v/>
      </c>
      <c r="GV773" s="742" t="str">
        <f t="shared" si="173"/>
        <v/>
      </c>
      <c r="GW773" s="742" t="str">
        <f t="shared" si="174"/>
        <v/>
      </c>
      <c r="GX773" s="742" t="str">
        <f t="shared" si="175"/>
        <v/>
      </c>
      <c r="GY773" s="742" t="str">
        <f t="shared" si="176"/>
        <v/>
      </c>
      <c r="GZ773" s="742" t="str">
        <f t="shared" si="177"/>
        <v/>
      </c>
      <c r="HA773" s="742" t="str">
        <f t="shared" si="178"/>
        <v/>
      </c>
      <c r="HB773" s="742" t="str">
        <f t="shared" si="179"/>
        <v/>
      </c>
      <c r="HC773" s="742" t="str">
        <f t="shared" si="180"/>
        <v/>
      </c>
      <c r="HD773" s="742" t="str">
        <f t="shared" si="181"/>
        <v/>
      </c>
      <c r="HE773" s="742" t="str">
        <f t="shared" si="182"/>
        <v/>
      </c>
      <c r="HF773" s="742" t="str">
        <f t="shared" si="183"/>
        <v/>
      </c>
      <c r="HG773" s="742" t="str">
        <f t="shared" si="184"/>
        <v/>
      </c>
      <c r="HH773" s="742" t="str">
        <f t="shared" si="185"/>
        <v/>
      </c>
      <c r="HI773" s="742" t="str">
        <f t="shared" si="186"/>
        <v/>
      </c>
      <c r="HJ773" s="742" t="str">
        <f t="shared" si="187"/>
        <v/>
      </c>
      <c r="HK773" s="742" t="str">
        <f t="shared" si="188"/>
        <v/>
      </c>
      <c r="HL773" s="742" t="str">
        <f t="shared" si="189"/>
        <v/>
      </c>
      <c r="HM773" s="742" t="str">
        <f t="shared" si="190"/>
        <v/>
      </c>
      <c r="HN773" s="742" t="str">
        <f t="shared" si="191"/>
        <v/>
      </c>
      <c r="HO773" s="742" t="str">
        <f t="shared" si="192"/>
        <v/>
      </c>
      <c r="HP773" s="742" t="str">
        <f t="shared" si="193"/>
        <v/>
      </c>
      <c r="HQ773" s="742" t="str">
        <f t="shared" si="194"/>
        <v/>
      </c>
      <c r="HR773" s="742" t="str">
        <f t="shared" si="195"/>
        <v/>
      </c>
      <c r="HS773" s="742" t="str">
        <f t="shared" si="196"/>
        <v/>
      </c>
      <c r="HT773" s="742" t="str">
        <f t="shared" si="197"/>
        <v/>
      </c>
      <c r="HU773" s="742" t="str">
        <f t="shared" si="198"/>
        <v/>
      </c>
      <c r="HV773" s="742" t="str">
        <f t="shared" si="199"/>
        <v/>
      </c>
      <c r="HW773" s="742" t="str">
        <f t="shared" si="200"/>
        <v/>
      </c>
      <c r="HX773" s="742" t="str">
        <f t="shared" si="201"/>
        <v/>
      </c>
      <c r="HY773" s="1638" t="str">
        <f t="shared" si="202"/>
        <v/>
      </c>
      <c r="HZ773" s="1638" t="str">
        <f t="shared" si="203"/>
        <v/>
      </c>
      <c r="IA773" s="1638" t="str">
        <f t="shared" si="204"/>
        <v/>
      </c>
      <c r="IB773" s="1638" t="str">
        <f t="shared" si="205"/>
        <v/>
      </c>
      <c r="IC773" s="1638" t="str">
        <f t="shared" si="206"/>
        <v/>
      </c>
      <c r="ID773" s="1638" t="str">
        <f t="shared" si="207"/>
        <v/>
      </c>
      <c r="IE773" s="1638" t="str">
        <f t="shared" si="208"/>
        <v/>
      </c>
      <c r="IF773" s="1638" t="str">
        <f t="shared" si="209"/>
        <v/>
      </c>
      <c r="IG773" s="1638" t="str">
        <f t="shared" si="210"/>
        <v/>
      </c>
      <c r="IH773" s="1638" t="str">
        <f t="shared" si="211"/>
        <v/>
      </c>
      <c r="II773" s="1638" t="str">
        <f t="shared" si="212"/>
        <v/>
      </c>
      <c r="IJ773" s="1638" t="str">
        <f t="shared" si="213"/>
        <v/>
      </c>
      <c r="IK773" s="1638" t="str">
        <f t="shared" si="214"/>
        <v/>
      </c>
      <c r="IL773" s="1638" t="str">
        <f t="shared" si="215"/>
        <v/>
      </c>
      <c r="IM773" s="1638" t="str">
        <f t="shared" si="216"/>
        <v/>
      </c>
      <c r="IN773" s="1638" t="str">
        <f t="shared" si="217"/>
        <v/>
      </c>
      <c r="IO773" s="1638" t="str">
        <f t="shared" si="218"/>
        <v/>
      </c>
      <c r="IP773" s="1638" t="str">
        <f t="shared" si="219"/>
        <v/>
      </c>
      <c r="IQ773" s="1638" t="str">
        <f t="shared" si="220"/>
        <v/>
      </c>
      <c r="IR773" s="1638" t="str">
        <f t="shared" si="221"/>
        <v/>
      </c>
      <c r="IS773" s="1638" t="str">
        <f t="shared" si="222"/>
        <v/>
      </c>
      <c r="IT773" s="1638" t="str">
        <f t="shared" si="223"/>
        <v/>
      </c>
      <c r="IU773" s="1638" t="str">
        <f t="shared" si="224"/>
        <v/>
      </c>
      <c r="IV773" s="1638" t="str">
        <f t="shared" si="225"/>
        <v/>
      </c>
      <c r="IW773" s="1638" t="str">
        <f t="shared" si="226"/>
        <v/>
      </c>
      <c r="IX773" s="1638" t="str">
        <f t="shared" si="227"/>
        <v/>
      </c>
      <c r="IY773" s="1638" t="str">
        <f t="shared" si="228"/>
        <v/>
      </c>
      <c r="IZ773" s="1638" t="str">
        <f t="shared" si="229"/>
        <v/>
      </c>
      <c r="JA773" s="1638" t="str">
        <f t="shared" si="230"/>
        <v/>
      </c>
      <c r="JB773" s="1638" t="str">
        <f t="shared" si="231"/>
        <v/>
      </c>
      <c r="JC773" s="1638" t="str">
        <f t="shared" si="232"/>
        <v/>
      </c>
      <c r="JD773" s="1638" t="str">
        <f t="shared" si="233"/>
        <v/>
      </c>
      <c r="JE773" s="1638" t="str">
        <f t="shared" si="234"/>
        <v/>
      </c>
      <c r="JF773" s="1638" t="str">
        <f t="shared" si="235"/>
        <v/>
      </c>
      <c r="JG773" s="1638" t="str">
        <f t="shared" si="236"/>
        <v/>
      </c>
      <c r="JH773" s="1638" t="str">
        <f t="shared" si="237"/>
        <v/>
      </c>
      <c r="JI773" s="1638" t="str">
        <f t="shared" si="238"/>
        <v/>
      </c>
      <c r="JJ773" s="1638" t="str">
        <f t="shared" si="239"/>
        <v/>
      </c>
      <c r="JK773" s="1638" t="str">
        <f t="shared" si="240"/>
        <v/>
      </c>
      <c r="JL773" s="1638" t="str">
        <f t="shared" si="241"/>
        <v/>
      </c>
      <c r="JM773" s="1638" t="str">
        <f t="shared" si="242"/>
        <v/>
      </c>
      <c r="JN773" s="1638" t="str">
        <f t="shared" si="243"/>
        <v/>
      </c>
      <c r="JO773" s="1638" t="str">
        <f t="shared" si="244"/>
        <v/>
      </c>
      <c r="JP773" s="1638" t="str">
        <f t="shared" si="245"/>
        <v/>
      </c>
      <c r="JQ773" s="1638" t="str">
        <f t="shared" si="246"/>
        <v/>
      </c>
      <c r="JR773" s="1638" t="str">
        <f t="shared" si="247"/>
        <v/>
      </c>
      <c r="JS773" s="1638" t="str">
        <f t="shared" si="248"/>
        <v/>
      </c>
      <c r="JT773" s="1638" t="str">
        <f t="shared" si="249"/>
        <v/>
      </c>
      <c r="JU773" s="1638" t="str">
        <f t="shared" si="250"/>
        <v/>
      </c>
      <c r="JV773" s="1638" t="str">
        <f t="shared" si="251"/>
        <v/>
      </c>
      <c r="JW773" s="1638" t="str">
        <f t="shared" si="252"/>
        <v/>
      </c>
      <c r="JX773" s="1638" t="str">
        <f t="shared" si="253"/>
        <v/>
      </c>
      <c r="JY773" s="1638" t="str">
        <f t="shared" si="254"/>
        <v/>
      </c>
      <c r="JZ773" s="1638" t="str">
        <f t="shared" si="255"/>
        <v/>
      </c>
      <c r="KA773" s="1638" t="str">
        <f t="shared" si="256"/>
        <v/>
      </c>
      <c r="KB773" s="1638" t="str">
        <f t="shared" si="257"/>
        <v/>
      </c>
      <c r="KC773" s="1638" t="str">
        <f t="shared" si="258"/>
        <v/>
      </c>
      <c r="KD773" s="1638" t="str">
        <f t="shared" si="259"/>
        <v/>
      </c>
      <c r="KE773" s="1638" t="str">
        <f t="shared" si="260"/>
        <v/>
      </c>
      <c r="KF773" s="1638" t="str">
        <f t="shared" si="261"/>
        <v/>
      </c>
      <c r="KG773" s="1638" t="str">
        <f t="shared" si="262"/>
        <v/>
      </c>
      <c r="KH773" s="1638" t="str">
        <f t="shared" si="263"/>
        <v/>
      </c>
      <c r="KI773" s="1638" t="str">
        <f t="shared" si="264"/>
        <v/>
      </c>
      <c r="KJ773" s="1638" t="str">
        <f t="shared" si="265"/>
        <v/>
      </c>
      <c r="KK773" s="1638" t="str">
        <f t="shared" si="266"/>
        <v/>
      </c>
      <c r="KL773" s="1638" t="str">
        <f t="shared" si="267"/>
        <v/>
      </c>
      <c r="KM773" s="1638" t="str">
        <f t="shared" si="268"/>
        <v/>
      </c>
      <c r="KN773" s="1638" t="str">
        <f t="shared" si="269"/>
        <v/>
      </c>
      <c r="KO773" s="1638" t="str">
        <f t="shared" si="270"/>
        <v/>
      </c>
      <c r="KP773" s="1638" t="str">
        <f t="shared" si="271"/>
        <v/>
      </c>
      <c r="KQ773" s="1638" t="str">
        <f t="shared" si="272"/>
        <v/>
      </c>
      <c r="KR773" s="1638" t="str">
        <f t="shared" si="273"/>
        <v/>
      </c>
      <c r="KS773" s="1638" t="str">
        <f t="shared" si="274"/>
        <v/>
      </c>
      <c r="KT773" s="1638" t="str">
        <f t="shared" si="275"/>
        <v/>
      </c>
      <c r="KU773" s="1638" t="str">
        <f t="shared" si="276"/>
        <v/>
      </c>
      <c r="KV773" s="1638" t="str">
        <f t="shared" si="277"/>
        <v/>
      </c>
      <c r="KW773" s="1638" t="str">
        <f t="shared" si="278"/>
        <v/>
      </c>
      <c r="KX773" s="1638" t="str">
        <f t="shared" si="279"/>
        <v/>
      </c>
      <c r="KY773" s="1638" t="str">
        <f t="shared" si="280"/>
        <v/>
      </c>
      <c r="KZ773" s="1638" t="str">
        <f t="shared" si="281"/>
        <v/>
      </c>
      <c r="LA773" s="1638" t="str">
        <f t="shared" si="282"/>
        <v/>
      </c>
      <c r="LB773" s="1638" t="str">
        <f t="shared" si="283"/>
        <v/>
      </c>
      <c r="LC773" s="1638" t="str">
        <f t="shared" si="284"/>
        <v/>
      </c>
      <c r="LD773" s="1638" t="str">
        <f t="shared" si="285"/>
        <v/>
      </c>
      <c r="LE773" s="1638" t="str">
        <f t="shared" si="286"/>
        <v/>
      </c>
      <c r="LF773" s="1637" t="str">
        <f t="shared" si="287"/>
        <v/>
      </c>
      <c r="LG773" s="1637" t="str">
        <f t="shared" si="288"/>
        <v/>
      </c>
      <c r="LH773" s="1637" t="str">
        <f t="shared" si="289"/>
        <v/>
      </c>
      <c r="LI773" s="1637" t="str">
        <f t="shared" si="290"/>
        <v/>
      </c>
      <c r="LJ773" s="1637" t="str">
        <f t="shared" si="291"/>
        <v/>
      </c>
      <c r="LK773" s="742" t="str">
        <f t="shared" si="292"/>
        <v/>
      </c>
      <c r="LL773" s="742" t="str">
        <f t="shared" si="293"/>
        <v/>
      </c>
      <c r="LM773" s="742" t="str">
        <f t="shared" si="294"/>
        <v/>
      </c>
      <c r="LN773" s="742" t="str">
        <f t="shared" si="295"/>
        <v/>
      </c>
      <c r="LO773" s="742" t="str">
        <f t="shared" si="296"/>
        <v/>
      </c>
      <c r="LP773" s="742" t="str">
        <f t="shared" si="297"/>
        <v/>
      </c>
      <c r="LQ773" s="742" t="str">
        <f t="shared" si="298"/>
        <v/>
      </c>
      <c r="LR773" s="742" t="str">
        <f t="shared" si="299"/>
        <v/>
      </c>
      <c r="LS773" s="742" t="str">
        <f t="shared" si="300"/>
        <v/>
      </c>
      <c r="LT773" s="742" t="str">
        <f t="shared" si="301"/>
        <v/>
      </c>
      <c r="LU773" s="742" t="str">
        <f t="shared" si="302"/>
        <v/>
      </c>
      <c r="LV773" s="742" t="str">
        <f t="shared" si="303"/>
        <v/>
      </c>
      <c r="LW773" s="742" t="str">
        <f t="shared" si="304"/>
        <v/>
      </c>
      <c r="LX773" s="742" t="str">
        <f t="shared" si="305"/>
        <v/>
      </c>
      <c r="LY773" s="742" t="str">
        <f t="shared" si="306"/>
        <v/>
      </c>
      <c r="LZ773" s="742" t="str">
        <f t="shared" si="307"/>
        <v/>
      </c>
      <c r="MA773" s="742" t="str">
        <f t="shared" si="308"/>
        <v/>
      </c>
      <c r="MB773" s="742" t="str">
        <f t="shared" si="309"/>
        <v/>
      </c>
      <c r="MC773" s="742" t="str">
        <f t="shared" si="310"/>
        <v/>
      </c>
      <c r="MD773" s="742" t="str">
        <f t="shared" si="311"/>
        <v/>
      </c>
      <c r="ME773" s="1637">
        <f t="shared" ref="ME773:ME809" si="323">IF(AND($C773="Efficiency",$E773&gt;0,OR($N773="1-Story",$N773="2-Story",$N773="3+ Story",$N773="2-Story Walkup",$N773="Townhome"),OR($O773="Acquisition/Rehab",$O773="Rehabilitation"),NOT($P773="Yes")),$E773,0)</f>
        <v>0</v>
      </c>
      <c r="MF773" s="1637">
        <f t="shared" ref="MF773:MF809" si="324">IF(AND($C773=1,$E773&gt;0,OR($N773="1-Story",$N773="2-Story",$N773="3+ Story",$N773="2-Story Walkup",$N773="Townhome"),OR($O773="Acquisition/Rehab",$O773="Rehabilitation"),NOT($P773="Yes")),$E773,0)</f>
        <v>0</v>
      </c>
      <c r="MG773" s="1637">
        <f t="shared" ref="MG773:MG809" si="325">IF(AND($C773=2,$E773&gt;0,OR($N773="1-Story",$N773="2-Story",$N773="3+ Story",$N773="2-Story Walkup",$N773="Townhome"),OR($O773="Acquisition/Rehab",$O773="Rehabilitation"),NOT($P773="Yes")),$E773,0)</f>
        <v>0</v>
      </c>
      <c r="MH773" s="1637">
        <f t="shared" ref="MH773:MH809" si="326">IF(AND($C773=3,$E773&gt;0,OR($N773="1-Story",$N773="2-Story",$N773="3+ Story",$N773="2-Story Walkup",$N773="Townhome"),OR($O773="Acquisition/Rehab",$O773="Rehabilitation"),NOT($P773="Yes")),$E773,0)</f>
        <v>0</v>
      </c>
      <c r="MI773" s="1637">
        <f t="shared" ref="MI773:MI809" si="327">IF(AND($C773=4,$E773&gt;0,OR($N773="1-Story",$N773="2-Story",$N773="3+ Story",$N773="2-Story Walkup",$N773="Townhome"),OR($O773="Acquisition/Rehab",$O773="Rehabilitation"),NOT($P773="Yes")),$E773,0)</f>
        <v>0</v>
      </c>
      <c r="MJ773" s="1637">
        <f t="shared" ref="MJ773:MJ809" si="328">IF(AND($C773="Efficiency",$E773&gt;0,OR($N773="1-Story",$N773="2-Story",$N773="3+ Story",$N773="2-Story Walkup",$N773="Townhome"),$O773="New Construction"),$E773,0)</f>
        <v>0</v>
      </c>
      <c r="MK773" s="1637">
        <f t="shared" ref="MK773:MK809" si="329">IF(AND($C773=1,$E773&gt;0,OR($N773="1-Story",$N773="2-Story",$N773="3+ Story",$N773="2-Story Walkup",$N773="Townhome"),$O773="New Construction"),$E773,0)</f>
        <v>0</v>
      </c>
      <c r="ML773" s="1637">
        <f t="shared" ref="ML773:ML809" si="330">IF(AND($C773=2,$E773&gt;0,OR($N773="1-Story",$N773="2-Story",$N773="3+ Story",$N773="2-Story Walkup",$N773="Townhome"),$O773="New Construction"),$E773,0)</f>
        <v>0</v>
      </c>
      <c r="MM773" s="1637">
        <f t="shared" ref="MM773:MM809" si="331">IF(AND($C773=3,$E773&gt;0,OR($N773="1-Story",$N773="2-Story",$N773="3+ Story",$N773="2-Story Walkup",$N773="Townhome"),$O773="New Construction"),$E773,0)</f>
        <v>0</v>
      </c>
      <c r="MN773" s="1637">
        <f t="shared" ref="MN773:MN809" si="332">IF(AND($C773=4,$E773&gt;0,OR($N773="1-Story",$N773="2-Story",$N773="3+ Story",$N773="2-Story Walkup",$N773="Townhome"),$O773="New Construction"),$E773,0)</f>
        <v>0</v>
      </c>
      <c r="MO773" s="1637">
        <f t="shared" ref="MO773:MO809" si="333">IF(AND($C773="Efficiency",$E773&gt;0,OR($N773="SF Detached",$N773="Duplex",$N773="Mfd Home"),NOT($P773="Yes")),$E773,0)</f>
        <v>0</v>
      </c>
      <c r="MP773" s="1637">
        <f t="shared" ref="MP773:MP809" si="334">IF(AND($C773=1,$E773&gt;0,OR($N773="SF Detached",$N773="Duplex",$N773="Mfd Home"),NOT($P773="Yes")),$E773,0)</f>
        <v>0</v>
      </c>
      <c r="MQ773" s="1637">
        <f t="shared" ref="MQ773:MQ809" si="335">IF(AND($C773=2,$E773&gt;0,OR($N773="SF Detached",$N773="Duplex",$N773="Mfd Home"),NOT($P773="Yes")),$E773,0)</f>
        <v>0</v>
      </c>
      <c r="MR773" s="1637">
        <f t="shared" ref="MR773:MR809" si="336">IF(AND($C773=3,$E773&gt;0,OR($N773="SF Detached",$N773="Duplex",$N773="Mfd Home"),NOT($P773="Yes")),$E773,0)</f>
        <v>0</v>
      </c>
      <c r="MS773" s="1637">
        <f t="shared" ref="MS773:MS809" si="337">IF(AND($C773=4,$E773&gt;0,OR($N773="SF Detached",$N773="Duplex",$N773="Mfd Home"),NOT($P773="Yes")),$E773,0)</f>
        <v>0</v>
      </c>
    </row>
    <row r="774" spans="1:357" ht="13.5">
      <c r="A774" s="1630" t="str">
        <f t="shared" si="0"/>
        <v/>
      </c>
      <c r="B774" s="2757" t="str">
        <f>'Part VI-Revenues &amp; Expenses'!B12</f>
        <v>Unrestricted</v>
      </c>
      <c r="C774" s="2146">
        <f>'Part VI-Revenues &amp; Expenses'!C12</f>
        <v>0</v>
      </c>
      <c r="D774" s="2147">
        <f>'Part VI-Revenues &amp; Expenses'!D12</f>
        <v>0</v>
      </c>
      <c r="E774" s="2148">
        <f>'Part VI-Revenues &amp; Expenses'!E12</f>
        <v>0</v>
      </c>
      <c r="F774" s="2148">
        <f>'Part VI-Revenues &amp; Expenses'!F12</f>
        <v>0</v>
      </c>
      <c r="G774" s="2148">
        <f>'Part VI-Revenues &amp; Expenses'!G12</f>
        <v>0</v>
      </c>
      <c r="H774" s="2148">
        <f>'Part VI-Revenues &amp; Expenses'!H12</f>
        <v>0</v>
      </c>
      <c r="I774" s="2148">
        <f>'Part VI-Revenues &amp; Expenses'!I12</f>
        <v>0</v>
      </c>
      <c r="J774" s="2149">
        <f>'Part VI-Revenues &amp; Expenses'!J12</f>
        <v>0</v>
      </c>
      <c r="K774" s="1822">
        <f t="shared" si="1"/>
        <v>0</v>
      </c>
      <c r="L774" s="1822">
        <f t="shared" si="2"/>
        <v>0</v>
      </c>
      <c r="M774" s="2133">
        <f>'Part VI-Revenues &amp; Expenses'!M12</f>
        <v>0</v>
      </c>
      <c r="N774" s="2133">
        <f>'Part VI-Revenues &amp; Expenses'!N12</f>
        <v>0</v>
      </c>
      <c r="O774" s="2133">
        <f>'Part VI-Revenues &amp; Expenses'!O12</f>
        <v>0</v>
      </c>
      <c r="P774" s="1633">
        <f>'Part VI-Revenues &amp; Expenses'!P12</f>
        <v>0</v>
      </c>
      <c r="Q774" s="1823" t="str">
        <f>'Part VI-Revenues &amp; Expenses'!Q12</f>
        <v/>
      </c>
      <c r="R774" s="1824" t="str">
        <f>'Part VI-Revenues &amp; Expenses'!R12</f>
        <v/>
      </c>
      <c r="S774" s="1823">
        <f>'Part VI-Revenues &amp; Expenses'!S12</f>
        <v>0</v>
      </c>
      <c r="T774" s="1824">
        <f>'Part VI-Revenues &amp; Expenses'!T12</f>
        <v>0</v>
      </c>
      <c r="U774" s="1838">
        <f>'Part VI-Revenues &amp; Expenses'!U12:V12</f>
        <v>0</v>
      </c>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312"/>
        <v/>
      </c>
      <c r="EH774" s="742" t="str">
        <f t="shared" si="117"/>
        <v/>
      </c>
      <c r="EI774" s="742" t="str">
        <f t="shared" si="118"/>
        <v/>
      </c>
      <c r="EJ774" s="742" t="str">
        <f t="shared" si="119"/>
        <v/>
      </c>
      <c r="EK774" s="742" t="str">
        <f t="shared" si="120"/>
        <v/>
      </c>
      <c r="EL774" s="742" t="str">
        <f t="shared" si="121"/>
        <v/>
      </c>
      <c r="EM774" s="742" t="str">
        <f t="shared" si="122"/>
        <v/>
      </c>
      <c r="EN774" s="742" t="str">
        <f t="shared" si="123"/>
        <v/>
      </c>
      <c r="EO774" s="742" t="str">
        <f t="shared" si="124"/>
        <v/>
      </c>
      <c r="EP774" s="742" t="str">
        <f t="shared" si="125"/>
        <v/>
      </c>
      <c r="EQ774" s="742" t="str">
        <f t="shared" si="126"/>
        <v/>
      </c>
      <c r="ER774" s="742" t="str">
        <f t="shared" si="127"/>
        <v/>
      </c>
      <c r="ES774" s="742" t="str">
        <f t="shared" si="128"/>
        <v/>
      </c>
      <c r="ET774" s="742" t="str">
        <f t="shared" si="129"/>
        <v/>
      </c>
      <c r="EU774" s="742" t="str">
        <f t="shared" si="130"/>
        <v/>
      </c>
      <c r="EV774" s="742" t="str">
        <f t="shared" si="131"/>
        <v/>
      </c>
      <c r="EW774" s="742" t="str">
        <f t="shared" si="313"/>
        <v/>
      </c>
      <c r="EX774" s="742" t="str">
        <f t="shared" si="314"/>
        <v/>
      </c>
      <c r="EY774" s="742" t="str">
        <f t="shared" si="315"/>
        <v/>
      </c>
      <c r="EZ774" s="742" t="str">
        <f t="shared" si="316"/>
        <v/>
      </c>
      <c r="FA774" s="742" t="str">
        <f t="shared" si="317"/>
        <v/>
      </c>
      <c r="FB774" s="742" t="str">
        <f t="shared" si="132"/>
        <v/>
      </c>
      <c r="FC774" s="742" t="str">
        <f t="shared" si="133"/>
        <v/>
      </c>
      <c r="FD774" s="742" t="str">
        <f t="shared" si="134"/>
        <v/>
      </c>
      <c r="FE774" s="742" t="str">
        <f t="shared" si="135"/>
        <v/>
      </c>
      <c r="FF774" s="742" t="str">
        <f t="shared" si="136"/>
        <v/>
      </c>
      <c r="FG774" s="742" t="str">
        <f t="shared" si="318"/>
        <v/>
      </c>
      <c r="FH774" s="742" t="str">
        <f t="shared" si="319"/>
        <v/>
      </c>
      <c r="FI774" s="742" t="str">
        <f t="shared" si="320"/>
        <v/>
      </c>
      <c r="FJ774" s="742" t="str">
        <f t="shared" si="321"/>
        <v/>
      </c>
      <c r="FK774" s="742" t="str">
        <f t="shared" si="322"/>
        <v/>
      </c>
      <c r="FL774" s="742" t="str">
        <f t="shared" si="137"/>
        <v/>
      </c>
      <c r="FM774" s="742" t="str">
        <f t="shared" si="138"/>
        <v/>
      </c>
      <c r="FN774" s="742" t="str">
        <f t="shared" si="139"/>
        <v/>
      </c>
      <c r="FO774" s="742" t="str">
        <f t="shared" si="140"/>
        <v/>
      </c>
      <c r="FP774" s="742" t="str">
        <f t="shared" si="141"/>
        <v/>
      </c>
      <c r="FQ774" s="742" t="str">
        <f t="shared" si="142"/>
        <v/>
      </c>
      <c r="FR774" s="742" t="str">
        <f t="shared" si="143"/>
        <v/>
      </c>
      <c r="FS774" s="742" t="str">
        <f t="shared" si="144"/>
        <v/>
      </c>
      <c r="FT774" s="742" t="str">
        <f t="shared" si="145"/>
        <v/>
      </c>
      <c r="FU774" s="742" t="str">
        <f t="shared" si="146"/>
        <v/>
      </c>
      <c r="FV774" s="742" t="str">
        <f t="shared" si="147"/>
        <v/>
      </c>
      <c r="FW774" s="742" t="str">
        <f t="shared" si="148"/>
        <v/>
      </c>
      <c r="FX774" s="742" t="str">
        <f t="shared" si="149"/>
        <v/>
      </c>
      <c r="FY774" s="742" t="str">
        <f t="shared" si="150"/>
        <v/>
      </c>
      <c r="FZ774" s="742" t="str">
        <f t="shared" si="151"/>
        <v/>
      </c>
      <c r="GA774" s="742" t="str">
        <f t="shared" si="152"/>
        <v/>
      </c>
      <c r="GB774" s="742" t="str">
        <f t="shared" si="153"/>
        <v/>
      </c>
      <c r="GC774" s="742" t="str">
        <f t="shared" si="154"/>
        <v/>
      </c>
      <c r="GD774" s="742" t="str">
        <f t="shared" si="155"/>
        <v/>
      </c>
      <c r="GE774" s="742" t="str">
        <f t="shared" si="156"/>
        <v/>
      </c>
      <c r="GF774" s="742" t="str">
        <f t="shared" si="157"/>
        <v/>
      </c>
      <c r="GG774" s="742" t="str">
        <f t="shared" si="158"/>
        <v/>
      </c>
      <c r="GH774" s="742" t="str">
        <f t="shared" si="159"/>
        <v/>
      </c>
      <c r="GI774" s="742" t="str">
        <f t="shared" si="160"/>
        <v/>
      </c>
      <c r="GJ774" s="742" t="str">
        <f t="shared" si="161"/>
        <v/>
      </c>
      <c r="GK774" s="742" t="str">
        <f t="shared" si="162"/>
        <v/>
      </c>
      <c r="GL774" s="742" t="str">
        <f t="shared" si="163"/>
        <v/>
      </c>
      <c r="GM774" s="742" t="str">
        <f t="shared" si="164"/>
        <v/>
      </c>
      <c r="GN774" s="742" t="str">
        <f t="shared" si="165"/>
        <v/>
      </c>
      <c r="GO774" s="742" t="str">
        <f t="shared" si="166"/>
        <v/>
      </c>
      <c r="GP774" s="742" t="str">
        <f t="shared" si="167"/>
        <v/>
      </c>
      <c r="GQ774" s="742" t="str">
        <f t="shared" si="168"/>
        <v/>
      </c>
      <c r="GR774" s="742" t="str">
        <f t="shared" si="169"/>
        <v/>
      </c>
      <c r="GS774" s="742" t="str">
        <f t="shared" si="170"/>
        <v/>
      </c>
      <c r="GT774" s="742" t="str">
        <f t="shared" si="171"/>
        <v/>
      </c>
      <c r="GU774" s="742" t="str">
        <f t="shared" si="172"/>
        <v/>
      </c>
      <c r="GV774" s="742" t="str">
        <f t="shared" si="173"/>
        <v/>
      </c>
      <c r="GW774" s="742" t="str">
        <f t="shared" si="174"/>
        <v/>
      </c>
      <c r="GX774" s="742" t="str">
        <f t="shared" si="175"/>
        <v/>
      </c>
      <c r="GY774" s="742" t="str">
        <f t="shared" si="176"/>
        <v/>
      </c>
      <c r="GZ774" s="742" t="str">
        <f t="shared" si="177"/>
        <v/>
      </c>
      <c r="HA774" s="742" t="str">
        <f t="shared" si="178"/>
        <v/>
      </c>
      <c r="HB774" s="742" t="str">
        <f t="shared" si="179"/>
        <v/>
      </c>
      <c r="HC774" s="742" t="str">
        <f t="shared" si="180"/>
        <v/>
      </c>
      <c r="HD774" s="742" t="str">
        <f t="shared" si="181"/>
        <v/>
      </c>
      <c r="HE774" s="742" t="str">
        <f t="shared" si="182"/>
        <v/>
      </c>
      <c r="HF774" s="742" t="str">
        <f t="shared" si="183"/>
        <v/>
      </c>
      <c r="HG774" s="742" t="str">
        <f t="shared" si="184"/>
        <v/>
      </c>
      <c r="HH774" s="742" t="str">
        <f t="shared" si="185"/>
        <v/>
      </c>
      <c r="HI774" s="742" t="str">
        <f t="shared" si="186"/>
        <v/>
      </c>
      <c r="HJ774" s="742" t="str">
        <f t="shared" si="187"/>
        <v/>
      </c>
      <c r="HK774" s="742" t="str">
        <f t="shared" si="188"/>
        <v/>
      </c>
      <c r="HL774" s="742" t="str">
        <f t="shared" si="189"/>
        <v/>
      </c>
      <c r="HM774" s="742" t="str">
        <f t="shared" si="190"/>
        <v/>
      </c>
      <c r="HN774" s="742" t="str">
        <f t="shared" si="191"/>
        <v/>
      </c>
      <c r="HO774" s="742" t="str">
        <f t="shared" si="192"/>
        <v/>
      </c>
      <c r="HP774" s="742" t="str">
        <f t="shared" si="193"/>
        <v/>
      </c>
      <c r="HQ774" s="742" t="str">
        <f t="shared" si="194"/>
        <v/>
      </c>
      <c r="HR774" s="742" t="str">
        <f t="shared" si="195"/>
        <v/>
      </c>
      <c r="HS774" s="742" t="str">
        <f t="shared" si="196"/>
        <v/>
      </c>
      <c r="HT774" s="742" t="str">
        <f t="shared" si="197"/>
        <v/>
      </c>
      <c r="HU774" s="742" t="str">
        <f t="shared" si="198"/>
        <v/>
      </c>
      <c r="HV774" s="742" t="str">
        <f t="shared" si="199"/>
        <v/>
      </c>
      <c r="HW774" s="742" t="str">
        <f t="shared" si="200"/>
        <v/>
      </c>
      <c r="HX774" s="742" t="str">
        <f t="shared" si="201"/>
        <v/>
      </c>
      <c r="HY774" s="1638" t="str">
        <f t="shared" si="202"/>
        <v/>
      </c>
      <c r="HZ774" s="1638" t="str">
        <f t="shared" si="203"/>
        <v/>
      </c>
      <c r="IA774" s="1638" t="str">
        <f t="shared" si="204"/>
        <v/>
      </c>
      <c r="IB774" s="1638" t="str">
        <f t="shared" si="205"/>
        <v/>
      </c>
      <c r="IC774" s="1638" t="str">
        <f t="shared" si="206"/>
        <v/>
      </c>
      <c r="ID774" s="1638" t="str">
        <f t="shared" si="207"/>
        <v/>
      </c>
      <c r="IE774" s="1638" t="str">
        <f t="shared" si="208"/>
        <v/>
      </c>
      <c r="IF774" s="1638" t="str">
        <f t="shared" si="209"/>
        <v/>
      </c>
      <c r="IG774" s="1638" t="str">
        <f t="shared" si="210"/>
        <v/>
      </c>
      <c r="IH774" s="1638" t="str">
        <f t="shared" si="211"/>
        <v/>
      </c>
      <c r="II774" s="1638" t="str">
        <f t="shared" si="212"/>
        <v/>
      </c>
      <c r="IJ774" s="1638" t="str">
        <f t="shared" si="213"/>
        <v/>
      </c>
      <c r="IK774" s="1638" t="str">
        <f t="shared" si="214"/>
        <v/>
      </c>
      <c r="IL774" s="1638" t="str">
        <f t="shared" si="215"/>
        <v/>
      </c>
      <c r="IM774" s="1638" t="str">
        <f t="shared" si="216"/>
        <v/>
      </c>
      <c r="IN774" s="1638" t="str">
        <f t="shared" si="217"/>
        <v/>
      </c>
      <c r="IO774" s="1638" t="str">
        <f t="shared" si="218"/>
        <v/>
      </c>
      <c r="IP774" s="1638" t="str">
        <f t="shared" si="219"/>
        <v/>
      </c>
      <c r="IQ774" s="1638" t="str">
        <f t="shared" si="220"/>
        <v/>
      </c>
      <c r="IR774" s="1638" t="str">
        <f t="shared" si="221"/>
        <v/>
      </c>
      <c r="IS774" s="1638" t="str">
        <f t="shared" si="222"/>
        <v/>
      </c>
      <c r="IT774" s="1638" t="str">
        <f t="shared" si="223"/>
        <v/>
      </c>
      <c r="IU774" s="1638" t="str">
        <f t="shared" si="224"/>
        <v/>
      </c>
      <c r="IV774" s="1638" t="str">
        <f t="shared" si="225"/>
        <v/>
      </c>
      <c r="IW774" s="1638" t="str">
        <f t="shared" si="226"/>
        <v/>
      </c>
      <c r="IX774" s="1638" t="str">
        <f t="shared" si="227"/>
        <v/>
      </c>
      <c r="IY774" s="1638" t="str">
        <f t="shared" si="228"/>
        <v/>
      </c>
      <c r="IZ774" s="1638" t="str">
        <f t="shared" si="229"/>
        <v/>
      </c>
      <c r="JA774" s="1638" t="str">
        <f t="shared" si="230"/>
        <v/>
      </c>
      <c r="JB774" s="1638" t="str">
        <f t="shared" si="231"/>
        <v/>
      </c>
      <c r="JC774" s="1638" t="str">
        <f t="shared" si="232"/>
        <v/>
      </c>
      <c r="JD774" s="1638" t="str">
        <f t="shared" si="233"/>
        <v/>
      </c>
      <c r="JE774" s="1638" t="str">
        <f t="shared" si="234"/>
        <v/>
      </c>
      <c r="JF774" s="1638" t="str">
        <f t="shared" si="235"/>
        <v/>
      </c>
      <c r="JG774" s="1638" t="str">
        <f t="shared" si="236"/>
        <v/>
      </c>
      <c r="JH774" s="1638" t="str">
        <f t="shared" si="237"/>
        <v/>
      </c>
      <c r="JI774" s="1638" t="str">
        <f t="shared" si="238"/>
        <v/>
      </c>
      <c r="JJ774" s="1638" t="str">
        <f t="shared" si="239"/>
        <v/>
      </c>
      <c r="JK774" s="1638" t="str">
        <f t="shared" si="240"/>
        <v/>
      </c>
      <c r="JL774" s="1638" t="str">
        <f t="shared" si="241"/>
        <v/>
      </c>
      <c r="JM774" s="1638" t="str">
        <f t="shared" si="242"/>
        <v/>
      </c>
      <c r="JN774" s="1638" t="str">
        <f t="shared" si="243"/>
        <v/>
      </c>
      <c r="JO774" s="1638" t="str">
        <f t="shared" si="244"/>
        <v/>
      </c>
      <c r="JP774" s="1638" t="str">
        <f t="shared" si="245"/>
        <v/>
      </c>
      <c r="JQ774" s="1638" t="str">
        <f t="shared" si="246"/>
        <v/>
      </c>
      <c r="JR774" s="1638" t="str">
        <f t="shared" si="247"/>
        <v/>
      </c>
      <c r="JS774" s="1638" t="str">
        <f t="shared" si="248"/>
        <v/>
      </c>
      <c r="JT774" s="1638" t="str">
        <f t="shared" si="249"/>
        <v/>
      </c>
      <c r="JU774" s="1638" t="str">
        <f t="shared" si="250"/>
        <v/>
      </c>
      <c r="JV774" s="1638" t="str">
        <f t="shared" si="251"/>
        <v/>
      </c>
      <c r="JW774" s="1638" t="str">
        <f t="shared" si="252"/>
        <v/>
      </c>
      <c r="JX774" s="1638" t="str">
        <f t="shared" si="253"/>
        <v/>
      </c>
      <c r="JY774" s="1638" t="str">
        <f t="shared" si="254"/>
        <v/>
      </c>
      <c r="JZ774" s="1638" t="str">
        <f t="shared" si="255"/>
        <v/>
      </c>
      <c r="KA774" s="1638" t="str">
        <f t="shared" si="256"/>
        <v/>
      </c>
      <c r="KB774" s="1638" t="str">
        <f t="shared" si="257"/>
        <v/>
      </c>
      <c r="KC774" s="1638" t="str">
        <f t="shared" si="258"/>
        <v/>
      </c>
      <c r="KD774" s="1638" t="str">
        <f t="shared" si="259"/>
        <v/>
      </c>
      <c r="KE774" s="1638" t="str">
        <f t="shared" si="260"/>
        <v/>
      </c>
      <c r="KF774" s="1638" t="str">
        <f t="shared" si="261"/>
        <v/>
      </c>
      <c r="KG774" s="1638" t="str">
        <f t="shared" si="262"/>
        <v/>
      </c>
      <c r="KH774" s="1638" t="str">
        <f t="shared" si="263"/>
        <v/>
      </c>
      <c r="KI774" s="1638" t="str">
        <f t="shared" si="264"/>
        <v/>
      </c>
      <c r="KJ774" s="1638" t="str">
        <f t="shared" si="265"/>
        <v/>
      </c>
      <c r="KK774" s="1638" t="str">
        <f t="shared" si="266"/>
        <v/>
      </c>
      <c r="KL774" s="1638" t="str">
        <f t="shared" si="267"/>
        <v/>
      </c>
      <c r="KM774" s="1638" t="str">
        <f t="shared" si="268"/>
        <v/>
      </c>
      <c r="KN774" s="1638" t="str">
        <f t="shared" si="269"/>
        <v/>
      </c>
      <c r="KO774" s="1638" t="str">
        <f t="shared" si="270"/>
        <v/>
      </c>
      <c r="KP774" s="1638" t="str">
        <f t="shared" si="271"/>
        <v/>
      </c>
      <c r="KQ774" s="1638" t="str">
        <f t="shared" si="272"/>
        <v/>
      </c>
      <c r="KR774" s="1638" t="str">
        <f t="shared" si="273"/>
        <v/>
      </c>
      <c r="KS774" s="1638" t="str">
        <f t="shared" si="274"/>
        <v/>
      </c>
      <c r="KT774" s="1638" t="str">
        <f t="shared" si="275"/>
        <v/>
      </c>
      <c r="KU774" s="1638" t="str">
        <f t="shared" si="276"/>
        <v/>
      </c>
      <c r="KV774" s="1638" t="str">
        <f t="shared" si="277"/>
        <v/>
      </c>
      <c r="KW774" s="1638" t="str">
        <f t="shared" si="278"/>
        <v/>
      </c>
      <c r="KX774" s="1638" t="str">
        <f t="shared" si="279"/>
        <v/>
      </c>
      <c r="KY774" s="1638" t="str">
        <f t="shared" si="280"/>
        <v/>
      </c>
      <c r="KZ774" s="1638" t="str">
        <f t="shared" si="281"/>
        <v/>
      </c>
      <c r="LA774" s="1638" t="str">
        <f t="shared" si="282"/>
        <v/>
      </c>
      <c r="LB774" s="1638" t="str">
        <f t="shared" si="283"/>
        <v/>
      </c>
      <c r="LC774" s="1638" t="str">
        <f t="shared" si="284"/>
        <v/>
      </c>
      <c r="LD774" s="1638" t="str">
        <f t="shared" si="285"/>
        <v/>
      </c>
      <c r="LE774" s="1638" t="str">
        <f t="shared" si="286"/>
        <v/>
      </c>
      <c r="LF774" s="1637" t="str">
        <f t="shared" si="287"/>
        <v/>
      </c>
      <c r="LG774" s="1637" t="str">
        <f t="shared" si="288"/>
        <v/>
      </c>
      <c r="LH774" s="1637" t="str">
        <f t="shared" si="289"/>
        <v/>
      </c>
      <c r="LI774" s="1637" t="str">
        <f t="shared" si="290"/>
        <v/>
      </c>
      <c r="LJ774" s="1637" t="str">
        <f t="shared" si="291"/>
        <v/>
      </c>
      <c r="LK774" s="742" t="str">
        <f t="shared" si="292"/>
        <v/>
      </c>
      <c r="LL774" s="742" t="str">
        <f t="shared" si="293"/>
        <v/>
      </c>
      <c r="LM774" s="742" t="str">
        <f t="shared" si="294"/>
        <v/>
      </c>
      <c r="LN774" s="742" t="str">
        <f t="shared" si="295"/>
        <v/>
      </c>
      <c r="LO774" s="742" t="str">
        <f t="shared" si="296"/>
        <v/>
      </c>
      <c r="LP774" s="742" t="str">
        <f t="shared" si="297"/>
        <v/>
      </c>
      <c r="LQ774" s="742" t="str">
        <f t="shared" si="298"/>
        <v/>
      </c>
      <c r="LR774" s="742" t="str">
        <f t="shared" si="299"/>
        <v/>
      </c>
      <c r="LS774" s="742" t="str">
        <f t="shared" si="300"/>
        <v/>
      </c>
      <c r="LT774" s="742" t="str">
        <f t="shared" si="301"/>
        <v/>
      </c>
      <c r="LU774" s="742" t="str">
        <f t="shared" si="302"/>
        <v/>
      </c>
      <c r="LV774" s="742" t="str">
        <f t="shared" si="303"/>
        <v/>
      </c>
      <c r="LW774" s="742" t="str">
        <f t="shared" si="304"/>
        <v/>
      </c>
      <c r="LX774" s="742" t="str">
        <f t="shared" si="305"/>
        <v/>
      </c>
      <c r="LY774" s="742" t="str">
        <f t="shared" si="306"/>
        <v/>
      </c>
      <c r="LZ774" s="742" t="str">
        <f t="shared" si="307"/>
        <v/>
      </c>
      <c r="MA774" s="742" t="str">
        <f t="shared" si="308"/>
        <v/>
      </c>
      <c r="MB774" s="742" t="str">
        <f t="shared" si="309"/>
        <v/>
      </c>
      <c r="MC774" s="742" t="str">
        <f t="shared" si="310"/>
        <v/>
      </c>
      <c r="MD774" s="742" t="str">
        <f t="shared" si="311"/>
        <v/>
      </c>
      <c r="ME774" s="1637">
        <f t="shared" si="323"/>
        <v>0</v>
      </c>
      <c r="MF774" s="1637">
        <f t="shared" si="324"/>
        <v>0</v>
      </c>
      <c r="MG774" s="1637">
        <f t="shared" si="325"/>
        <v>0</v>
      </c>
      <c r="MH774" s="1637">
        <f t="shared" si="326"/>
        <v>0</v>
      </c>
      <c r="MI774" s="1637">
        <f t="shared" si="327"/>
        <v>0</v>
      </c>
      <c r="MJ774" s="1637">
        <f t="shared" si="328"/>
        <v>0</v>
      </c>
      <c r="MK774" s="1637">
        <f t="shared" si="329"/>
        <v>0</v>
      </c>
      <c r="ML774" s="1637">
        <f t="shared" si="330"/>
        <v>0</v>
      </c>
      <c r="MM774" s="1637">
        <f t="shared" si="331"/>
        <v>0</v>
      </c>
      <c r="MN774" s="1637">
        <f t="shared" si="332"/>
        <v>0</v>
      </c>
      <c r="MO774" s="1637">
        <f t="shared" si="333"/>
        <v>0</v>
      </c>
      <c r="MP774" s="1637">
        <f t="shared" si="334"/>
        <v>0</v>
      </c>
      <c r="MQ774" s="1637">
        <f t="shared" si="335"/>
        <v>0</v>
      </c>
      <c r="MR774" s="1637">
        <f t="shared" si="336"/>
        <v>0</v>
      </c>
      <c r="MS774" s="1637">
        <f t="shared" si="337"/>
        <v>0</v>
      </c>
    </row>
    <row r="775" spans="1:357" ht="13.5">
      <c r="A775" s="1630" t="str">
        <f t="shared" si="0"/>
        <v/>
      </c>
      <c r="B775" s="2757" t="str">
        <f>'Part VI-Revenues &amp; Expenses'!B13</f>
        <v>Unrestricted</v>
      </c>
      <c r="C775" s="2146">
        <f>'Part VI-Revenues &amp; Expenses'!C13</f>
        <v>0</v>
      </c>
      <c r="D775" s="2147">
        <f>'Part VI-Revenues &amp; Expenses'!D13</f>
        <v>0</v>
      </c>
      <c r="E775" s="2148">
        <f>'Part VI-Revenues &amp; Expenses'!E13</f>
        <v>0</v>
      </c>
      <c r="F775" s="2148">
        <f>'Part VI-Revenues &amp; Expenses'!F13</f>
        <v>0</v>
      </c>
      <c r="G775" s="2148">
        <f>'Part VI-Revenues &amp; Expenses'!G13</f>
        <v>0</v>
      </c>
      <c r="H775" s="2148">
        <f>'Part VI-Revenues &amp; Expenses'!H13</f>
        <v>0</v>
      </c>
      <c r="I775" s="2148">
        <f>'Part VI-Revenues &amp; Expenses'!I13</f>
        <v>0</v>
      </c>
      <c r="J775" s="2149">
        <f>'Part VI-Revenues &amp; Expenses'!J13</f>
        <v>0</v>
      </c>
      <c r="K775" s="1822">
        <f t="shared" si="1"/>
        <v>0</v>
      </c>
      <c r="L775" s="1822">
        <f t="shared" si="2"/>
        <v>0</v>
      </c>
      <c r="M775" s="2133">
        <f>'Part VI-Revenues &amp; Expenses'!M13</f>
        <v>0</v>
      </c>
      <c r="N775" s="2133">
        <f>'Part VI-Revenues &amp; Expenses'!N13</f>
        <v>0</v>
      </c>
      <c r="O775" s="2133">
        <f>'Part VI-Revenues &amp; Expenses'!O13</f>
        <v>0</v>
      </c>
      <c r="P775" s="1633">
        <f>'Part VI-Revenues &amp; Expenses'!P13</f>
        <v>0</v>
      </c>
      <c r="Q775" s="1823" t="str">
        <f>'Part VI-Revenues &amp; Expenses'!Q13</f>
        <v/>
      </c>
      <c r="R775" s="1824" t="str">
        <f>'Part VI-Revenues &amp; Expenses'!R13</f>
        <v/>
      </c>
      <c r="S775" s="1823">
        <f>'Part VI-Revenues &amp; Expenses'!S13</f>
        <v>0</v>
      </c>
      <c r="T775" s="1824">
        <f>'Part VI-Revenues &amp; Expenses'!T13</f>
        <v>0</v>
      </c>
      <c r="U775" s="1838">
        <f>'Part VI-Revenues &amp; Expenses'!U13:V13</f>
        <v>0</v>
      </c>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312"/>
        <v/>
      </c>
      <c r="EH775" s="742" t="str">
        <f t="shared" si="117"/>
        <v/>
      </c>
      <c r="EI775" s="742" t="str">
        <f t="shared" si="118"/>
        <v/>
      </c>
      <c r="EJ775" s="742" t="str">
        <f t="shared" si="119"/>
        <v/>
      </c>
      <c r="EK775" s="742" t="str">
        <f t="shared" si="120"/>
        <v/>
      </c>
      <c r="EL775" s="742" t="str">
        <f t="shared" si="121"/>
        <v/>
      </c>
      <c r="EM775" s="742" t="str">
        <f t="shared" si="122"/>
        <v/>
      </c>
      <c r="EN775" s="742" t="str">
        <f t="shared" si="123"/>
        <v/>
      </c>
      <c r="EO775" s="742" t="str">
        <f t="shared" si="124"/>
        <v/>
      </c>
      <c r="EP775" s="742" t="str">
        <f t="shared" si="125"/>
        <v/>
      </c>
      <c r="EQ775" s="742" t="str">
        <f t="shared" si="126"/>
        <v/>
      </c>
      <c r="ER775" s="742" t="str">
        <f t="shared" si="127"/>
        <v/>
      </c>
      <c r="ES775" s="742" t="str">
        <f t="shared" si="128"/>
        <v/>
      </c>
      <c r="ET775" s="742" t="str">
        <f t="shared" si="129"/>
        <v/>
      </c>
      <c r="EU775" s="742" t="str">
        <f t="shared" si="130"/>
        <v/>
      </c>
      <c r="EV775" s="742" t="str">
        <f t="shared" si="131"/>
        <v/>
      </c>
      <c r="EW775" s="742" t="str">
        <f t="shared" si="313"/>
        <v/>
      </c>
      <c r="EX775" s="742" t="str">
        <f t="shared" si="314"/>
        <v/>
      </c>
      <c r="EY775" s="742" t="str">
        <f t="shared" si="315"/>
        <v/>
      </c>
      <c r="EZ775" s="742" t="str">
        <f t="shared" si="316"/>
        <v/>
      </c>
      <c r="FA775" s="742" t="str">
        <f t="shared" si="317"/>
        <v/>
      </c>
      <c r="FB775" s="742" t="str">
        <f t="shared" si="132"/>
        <v/>
      </c>
      <c r="FC775" s="742" t="str">
        <f t="shared" si="133"/>
        <v/>
      </c>
      <c r="FD775" s="742" t="str">
        <f t="shared" si="134"/>
        <v/>
      </c>
      <c r="FE775" s="742" t="str">
        <f t="shared" si="135"/>
        <v/>
      </c>
      <c r="FF775" s="742" t="str">
        <f t="shared" si="136"/>
        <v/>
      </c>
      <c r="FG775" s="742" t="str">
        <f t="shared" si="318"/>
        <v/>
      </c>
      <c r="FH775" s="742" t="str">
        <f t="shared" si="319"/>
        <v/>
      </c>
      <c r="FI775" s="742" t="str">
        <f t="shared" si="320"/>
        <v/>
      </c>
      <c r="FJ775" s="742" t="str">
        <f t="shared" si="321"/>
        <v/>
      </c>
      <c r="FK775" s="742" t="str">
        <f t="shared" si="322"/>
        <v/>
      </c>
      <c r="FL775" s="742" t="str">
        <f t="shared" si="137"/>
        <v/>
      </c>
      <c r="FM775" s="742" t="str">
        <f t="shared" si="138"/>
        <v/>
      </c>
      <c r="FN775" s="742" t="str">
        <f t="shared" si="139"/>
        <v/>
      </c>
      <c r="FO775" s="742" t="str">
        <f t="shared" si="140"/>
        <v/>
      </c>
      <c r="FP775" s="742" t="str">
        <f t="shared" si="141"/>
        <v/>
      </c>
      <c r="FQ775" s="742" t="str">
        <f t="shared" si="142"/>
        <v/>
      </c>
      <c r="FR775" s="742" t="str">
        <f t="shared" si="143"/>
        <v/>
      </c>
      <c r="FS775" s="742" t="str">
        <f t="shared" si="144"/>
        <v/>
      </c>
      <c r="FT775" s="742" t="str">
        <f t="shared" si="145"/>
        <v/>
      </c>
      <c r="FU775" s="742" t="str">
        <f t="shared" si="146"/>
        <v/>
      </c>
      <c r="FV775" s="742" t="str">
        <f t="shared" si="147"/>
        <v/>
      </c>
      <c r="FW775" s="742" t="str">
        <f t="shared" si="148"/>
        <v/>
      </c>
      <c r="FX775" s="742" t="str">
        <f t="shared" si="149"/>
        <v/>
      </c>
      <c r="FY775" s="742" t="str">
        <f t="shared" si="150"/>
        <v/>
      </c>
      <c r="FZ775" s="742" t="str">
        <f t="shared" si="151"/>
        <v/>
      </c>
      <c r="GA775" s="742" t="str">
        <f t="shared" si="152"/>
        <v/>
      </c>
      <c r="GB775" s="742" t="str">
        <f t="shared" si="153"/>
        <v/>
      </c>
      <c r="GC775" s="742" t="str">
        <f t="shared" si="154"/>
        <v/>
      </c>
      <c r="GD775" s="742" t="str">
        <f t="shared" si="155"/>
        <v/>
      </c>
      <c r="GE775" s="742" t="str">
        <f t="shared" si="156"/>
        <v/>
      </c>
      <c r="GF775" s="742" t="str">
        <f t="shared" si="157"/>
        <v/>
      </c>
      <c r="GG775" s="742" t="str">
        <f t="shared" si="158"/>
        <v/>
      </c>
      <c r="GH775" s="742" t="str">
        <f t="shared" si="159"/>
        <v/>
      </c>
      <c r="GI775" s="742" t="str">
        <f t="shared" si="160"/>
        <v/>
      </c>
      <c r="GJ775" s="742" t="str">
        <f t="shared" si="161"/>
        <v/>
      </c>
      <c r="GK775" s="742" t="str">
        <f t="shared" si="162"/>
        <v/>
      </c>
      <c r="GL775" s="742" t="str">
        <f t="shared" si="163"/>
        <v/>
      </c>
      <c r="GM775" s="742" t="str">
        <f t="shared" si="164"/>
        <v/>
      </c>
      <c r="GN775" s="742" t="str">
        <f t="shared" si="165"/>
        <v/>
      </c>
      <c r="GO775" s="742" t="str">
        <f t="shared" si="166"/>
        <v/>
      </c>
      <c r="GP775" s="742" t="str">
        <f t="shared" si="167"/>
        <v/>
      </c>
      <c r="GQ775" s="742" t="str">
        <f t="shared" si="168"/>
        <v/>
      </c>
      <c r="GR775" s="742" t="str">
        <f t="shared" si="169"/>
        <v/>
      </c>
      <c r="GS775" s="742" t="str">
        <f t="shared" si="170"/>
        <v/>
      </c>
      <c r="GT775" s="742" t="str">
        <f t="shared" si="171"/>
        <v/>
      </c>
      <c r="GU775" s="742" t="str">
        <f t="shared" si="172"/>
        <v/>
      </c>
      <c r="GV775" s="742" t="str">
        <f t="shared" si="173"/>
        <v/>
      </c>
      <c r="GW775" s="742" t="str">
        <f t="shared" si="174"/>
        <v/>
      </c>
      <c r="GX775" s="742" t="str">
        <f t="shared" si="175"/>
        <v/>
      </c>
      <c r="GY775" s="742" t="str">
        <f t="shared" si="176"/>
        <v/>
      </c>
      <c r="GZ775" s="742" t="str">
        <f t="shared" si="177"/>
        <v/>
      </c>
      <c r="HA775" s="742" t="str">
        <f t="shared" si="178"/>
        <v/>
      </c>
      <c r="HB775" s="742" t="str">
        <f t="shared" si="179"/>
        <v/>
      </c>
      <c r="HC775" s="742" t="str">
        <f t="shared" si="180"/>
        <v/>
      </c>
      <c r="HD775" s="742" t="str">
        <f t="shared" si="181"/>
        <v/>
      </c>
      <c r="HE775" s="742" t="str">
        <f t="shared" si="182"/>
        <v/>
      </c>
      <c r="HF775" s="742" t="str">
        <f t="shared" si="183"/>
        <v/>
      </c>
      <c r="HG775" s="742" t="str">
        <f t="shared" si="184"/>
        <v/>
      </c>
      <c r="HH775" s="742" t="str">
        <f t="shared" si="185"/>
        <v/>
      </c>
      <c r="HI775" s="742" t="str">
        <f t="shared" si="186"/>
        <v/>
      </c>
      <c r="HJ775" s="742" t="str">
        <f t="shared" si="187"/>
        <v/>
      </c>
      <c r="HK775" s="742" t="str">
        <f t="shared" si="188"/>
        <v/>
      </c>
      <c r="HL775" s="742" t="str">
        <f t="shared" si="189"/>
        <v/>
      </c>
      <c r="HM775" s="742" t="str">
        <f t="shared" si="190"/>
        <v/>
      </c>
      <c r="HN775" s="742" t="str">
        <f t="shared" si="191"/>
        <v/>
      </c>
      <c r="HO775" s="742" t="str">
        <f t="shared" si="192"/>
        <v/>
      </c>
      <c r="HP775" s="742" t="str">
        <f t="shared" si="193"/>
        <v/>
      </c>
      <c r="HQ775" s="742" t="str">
        <f t="shared" si="194"/>
        <v/>
      </c>
      <c r="HR775" s="742" t="str">
        <f t="shared" si="195"/>
        <v/>
      </c>
      <c r="HS775" s="742" t="str">
        <f t="shared" si="196"/>
        <v/>
      </c>
      <c r="HT775" s="742" t="str">
        <f t="shared" si="197"/>
        <v/>
      </c>
      <c r="HU775" s="742" t="str">
        <f t="shared" si="198"/>
        <v/>
      </c>
      <c r="HV775" s="742" t="str">
        <f t="shared" si="199"/>
        <v/>
      </c>
      <c r="HW775" s="742" t="str">
        <f t="shared" si="200"/>
        <v/>
      </c>
      <c r="HX775" s="742" t="str">
        <f t="shared" si="201"/>
        <v/>
      </c>
      <c r="HY775" s="1638" t="str">
        <f t="shared" si="202"/>
        <v/>
      </c>
      <c r="HZ775" s="1638" t="str">
        <f t="shared" si="203"/>
        <v/>
      </c>
      <c r="IA775" s="1638" t="str">
        <f t="shared" si="204"/>
        <v/>
      </c>
      <c r="IB775" s="1638" t="str">
        <f t="shared" si="205"/>
        <v/>
      </c>
      <c r="IC775" s="1638" t="str">
        <f t="shared" si="206"/>
        <v/>
      </c>
      <c r="ID775" s="1638" t="str">
        <f t="shared" si="207"/>
        <v/>
      </c>
      <c r="IE775" s="1638" t="str">
        <f t="shared" si="208"/>
        <v/>
      </c>
      <c r="IF775" s="1638" t="str">
        <f t="shared" si="209"/>
        <v/>
      </c>
      <c r="IG775" s="1638" t="str">
        <f t="shared" si="210"/>
        <v/>
      </c>
      <c r="IH775" s="1638" t="str">
        <f t="shared" si="211"/>
        <v/>
      </c>
      <c r="II775" s="1638" t="str">
        <f t="shared" si="212"/>
        <v/>
      </c>
      <c r="IJ775" s="1638" t="str">
        <f t="shared" si="213"/>
        <v/>
      </c>
      <c r="IK775" s="1638" t="str">
        <f t="shared" si="214"/>
        <v/>
      </c>
      <c r="IL775" s="1638" t="str">
        <f t="shared" si="215"/>
        <v/>
      </c>
      <c r="IM775" s="1638" t="str">
        <f t="shared" si="216"/>
        <v/>
      </c>
      <c r="IN775" s="1638" t="str">
        <f t="shared" si="217"/>
        <v/>
      </c>
      <c r="IO775" s="1638" t="str">
        <f t="shared" si="218"/>
        <v/>
      </c>
      <c r="IP775" s="1638" t="str">
        <f t="shared" si="219"/>
        <v/>
      </c>
      <c r="IQ775" s="1638" t="str">
        <f t="shared" si="220"/>
        <v/>
      </c>
      <c r="IR775" s="1638" t="str">
        <f t="shared" si="221"/>
        <v/>
      </c>
      <c r="IS775" s="1638" t="str">
        <f t="shared" si="222"/>
        <v/>
      </c>
      <c r="IT775" s="1638" t="str">
        <f t="shared" si="223"/>
        <v/>
      </c>
      <c r="IU775" s="1638" t="str">
        <f t="shared" si="224"/>
        <v/>
      </c>
      <c r="IV775" s="1638" t="str">
        <f t="shared" si="225"/>
        <v/>
      </c>
      <c r="IW775" s="1638" t="str">
        <f t="shared" si="226"/>
        <v/>
      </c>
      <c r="IX775" s="1638" t="str">
        <f t="shared" si="227"/>
        <v/>
      </c>
      <c r="IY775" s="1638" t="str">
        <f t="shared" si="228"/>
        <v/>
      </c>
      <c r="IZ775" s="1638" t="str">
        <f t="shared" si="229"/>
        <v/>
      </c>
      <c r="JA775" s="1638" t="str">
        <f t="shared" si="230"/>
        <v/>
      </c>
      <c r="JB775" s="1638" t="str">
        <f t="shared" si="231"/>
        <v/>
      </c>
      <c r="JC775" s="1638" t="str">
        <f t="shared" si="232"/>
        <v/>
      </c>
      <c r="JD775" s="1638" t="str">
        <f t="shared" si="233"/>
        <v/>
      </c>
      <c r="JE775" s="1638" t="str">
        <f t="shared" si="234"/>
        <v/>
      </c>
      <c r="JF775" s="1638" t="str">
        <f t="shared" si="235"/>
        <v/>
      </c>
      <c r="JG775" s="1638" t="str">
        <f t="shared" si="236"/>
        <v/>
      </c>
      <c r="JH775" s="1638" t="str">
        <f t="shared" si="237"/>
        <v/>
      </c>
      <c r="JI775" s="1638" t="str">
        <f t="shared" si="238"/>
        <v/>
      </c>
      <c r="JJ775" s="1638" t="str">
        <f t="shared" si="239"/>
        <v/>
      </c>
      <c r="JK775" s="1638" t="str">
        <f t="shared" si="240"/>
        <v/>
      </c>
      <c r="JL775" s="1638" t="str">
        <f t="shared" si="241"/>
        <v/>
      </c>
      <c r="JM775" s="1638" t="str">
        <f t="shared" si="242"/>
        <v/>
      </c>
      <c r="JN775" s="1638" t="str">
        <f t="shared" si="243"/>
        <v/>
      </c>
      <c r="JO775" s="1638" t="str">
        <f t="shared" si="244"/>
        <v/>
      </c>
      <c r="JP775" s="1638" t="str">
        <f t="shared" si="245"/>
        <v/>
      </c>
      <c r="JQ775" s="1638" t="str">
        <f t="shared" si="246"/>
        <v/>
      </c>
      <c r="JR775" s="1638" t="str">
        <f t="shared" si="247"/>
        <v/>
      </c>
      <c r="JS775" s="1638" t="str">
        <f t="shared" si="248"/>
        <v/>
      </c>
      <c r="JT775" s="1638" t="str">
        <f t="shared" si="249"/>
        <v/>
      </c>
      <c r="JU775" s="1638" t="str">
        <f t="shared" si="250"/>
        <v/>
      </c>
      <c r="JV775" s="1638" t="str">
        <f t="shared" si="251"/>
        <v/>
      </c>
      <c r="JW775" s="1638" t="str">
        <f t="shared" si="252"/>
        <v/>
      </c>
      <c r="JX775" s="1638" t="str">
        <f t="shared" si="253"/>
        <v/>
      </c>
      <c r="JY775" s="1638" t="str">
        <f t="shared" si="254"/>
        <v/>
      </c>
      <c r="JZ775" s="1638" t="str">
        <f t="shared" si="255"/>
        <v/>
      </c>
      <c r="KA775" s="1638" t="str">
        <f t="shared" si="256"/>
        <v/>
      </c>
      <c r="KB775" s="1638" t="str">
        <f t="shared" si="257"/>
        <v/>
      </c>
      <c r="KC775" s="1638" t="str">
        <f t="shared" si="258"/>
        <v/>
      </c>
      <c r="KD775" s="1638" t="str">
        <f t="shared" si="259"/>
        <v/>
      </c>
      <c r="KE775" s="1638" t="str">
        <f t="shared" si="260"/>
        <v/>
      </c>
      <c r="KF775" s="1638" t="str">
        <f t="shared" si="261"/>
        <v/>
      </c>
      <c r="KG775" s="1638" t="str">
        <f t="shared" si="262"/>
        <v/>
      </c>
      <c r="KH775" s="1638" t="str">
        <f t="shared" si="263"/>
        <v/>
      </c>
      <c r="KI775" s="1638" t="str">
        <f t="shared" si="264"/>
        <v/>
      </c>
      <c r="KJ775" s="1638" t="str">
        <f t="shared" si="265"/>
        <v/>
      </c>
      <c r="KK775" s="1638" t="str">
        <f t="shared" si="266"/>
        <v/>
      </c>
      <c r="KL775" s="1638" t="str">
        <f t="shared" si="267"/>
        <v/>
      </c>
      <c r="KM775" s="1638" t="str">
        <f t="shared" si="268"/>
        <v/>
      </c>
      <c r="KN775" s="1638" t="str">
        <f t="shared" si="269"/>
        <v/>
      </c>
      <c r="KO775" s="1638" t="str">
        <f t="shared" si="270"/>
        <v/>
      </c>
      <c r="KP775" s="1638" t="str">
        <f t="shared" si="271"/>
        <v/>
      </c>
      <c r="KQ775" s="1638" t="str">
        <f t="shared" si="272"/>
        <v/>
      </c>
      <c r="KR775" s="1638" t="str">
        <f t="shared" si="273"/>
        <v/>
      </c>
      <c r="KS775" s="1638" t="str">
        <f t="shared" si="274"/>
        <v/>
      </c>
      <c r="KT775" s="1638" t="str">
        <f t="shared" si="275"/>
        <v/>
      </c>
      <c r="KU775" s="1638" t="str">
        <f t="shared" si="276"/>
        <v/>
      </c>
      <c r="KV775" s="1638" t="str">
        <f t="shared" si="277"/>
        <v/>
      </c>
      <c r="KW775" s="1638" t="str">
        <f t="shared" si="278"/>
        <v/>
      </c>
      <c r="KX775" s="1638" t="str">
        <f t="shared" si="279"/>
        <v/>
      </c>
      <c r="KY775" s="1638" t="str">
        <f t="shared" si="280"/>
        <v/>
      </c>
      <c r="KZ775" s="1638" t="str">
        <f t="shared" si="281"/>
        <v/>
      </c>
      <c r="LA775" s="1638" t="str">
        <f t="shared" si="282"/>
        <v/>
      </c>
      <c r="LB775" s="1638" t="str">
        <f t="shared" si="283"/>
        <v/>
      </c>
      <c r="LC775" s="1638" t="str">
        <f t="shared" si="284"/>
        <v/>
      </c>
      <c r="LD775" s="1638" t="str">
        <f t="shared" si="285"/>
        <v/>
      </c>
      <c r="LE775" s="1638" t="str">
        <f t="shared" si="286"/>
        <v/>
      </c>
      <c r="LF775" s="1637" t="str">
        <f t="shared" si="287"/>
        <v/>
      </c>
      <c r="LG775" s="1637" t="str">
        <f t="shared" si="288"/>
        <v/>
      </c>
      <c r="LH775" s="1637" t="str">
        <f t="shared" si="289"/>
        <v/>
      </c>
      <c r="LI775" s="1637" t="str">
        <f t="shared" si="290"/>
        <v/>
      </c>
      <c r="LJ775" s="1637" t="str">
        <f t="shared" si="291"/>
        <v/>
      </c>
      <c r="LK775" s="742" t="str">
        <f t="shared" si="292"/>
        <v/>
      </c>
      <c r="LL775" s="742" t="str">
        <f t="shared" si="293"/>
        <v/>
      </c>
      <c r="LM775" s="742" t="str">
        <f t="shared" si="294"/>
        <v/>
      </c>
      <c r="LN775" s="742" t="str">
        <f t="shared" si="295"/>
        <v/>
      </c>
      <c r="LO775" s="742" t="str">
        <f t="shared" si="296"/>
        <v/>
      </c>
      <c r="LP775" s="742" t="str">
        <f t="shared" si="297"/>
        <v/>
      </c>
      <c r="LQ775" s="742" t="str">
        <f t="shared" si="298"/>
        <v/>
      </c>
      <c r="LR775" s="742" t="str">
        <f t="shared" si="299"/>
        <v/>
      </c>
      <c r="LS775" s="742" t="str">
        <f t="shared" si="300"/>
        <v/>
      </c>
      <c r="LT775" s="742" t="str">
        <f t="shared" si="301"/>
        <v/>
      </c>
      <c r="LU775" s="742" t="str">
        <f t="shared" si="302"/>
        <v/>
      </c>
      <c r="LV775" s="742" t="str">
        <f t="shared" si="303"/>
        <v/>
      </c>
      <c r="LW775" s="742" t="str">
        <f t="shared" si="304"/>
        <v/>
      </c>
      <c r="LX775" s="742" t="str">
        <f t="shared" si="305"/>
        <v/>
      </c>
      <c r="LY775" s="742" t="str">
        <f t="shared" si="306"/>
        <v/>
      </c>
      <c r="LZ775" s="742" t="str">
        <f t="shared" si="307"/>
        <v/>
      </c>
      <c r="MA775" s="742" t="str">
        <f t="shared" si="308"/>
        <v/>
      </c>
      <c r="MB775" s="742" t="str">
        <f t="shared" si="309"/>
        <v/>
      </c>
      <c r="MC775" s="742" t="str">
        <f t="shared" si="310"/>
        <v/>
      </c>
      <c r="MD775" s="742" t="str">
        <f t="shared" si="311"/>
        <v/>
      </c>
      <c r="ME775" s="1637">
        <f t="shared" si="323"/>
        <v>0</v>
      </c>
      <c r="MF775" s="1637">
        <f t="shared" si="324"/>
        <v>0</v>
      </c>
      <c r="MG775" s="1637">
        <f t="shared" si="325"/>
        <v>0</v>
      </c>
      <c r="MH775" s="1637">
        <f t="shared" si="326"/>
        <v>0</v>
      </c>
      <c r="MI775" s="1637">
        <f t="shared" si="327"/>
        <v>0</v>
      </c>
      <c r="MJ775" s="1637">
        <f t="shared" si="328"/>
        <v>0</v>
      </c>
      <c r="MK775" s="1637">
        <f t="shared" si="329"/>
        <v>0</v>
      </c>
      <c r="ML775" s="1637">
        <f t="shared" si="330"/>
        <v>0</v>
      </c>
      <c r="MM775" s="1637">
        <f t="shared" si="331"/>
        <v>0</v>
      </c>
      <c r="MN775" s="1637">
        <f t="shared" si="332"/>
        <v>0</v>
      </c>
      <c r="MO775" s="1637">
        <f t="shared" si="333"/>
        <v>0</v>
      </c>
      <c r="MP775" s="1637">
        <f t="shared" si="334"/>
        <v>0</v>
      </c>
      <c r="MQ775" s="1637">
        <f t="shared" si="335"/>
        <v>0</v>
      </c>
      <c r="MR775" s="1637">
        <f t="shared" si="336"/>
        <v>0</v>
      </c>
      <c r="MS775" s="1637">
        <f t="shared" si="337"/>
        <v>0</v>
      </c>
    </row>
    <row r="776" spans="1:357" ht="13.5">
      <c r="A776" s="1630" t="str">
        <f t="shared" si="0"/>
        <v/>
      </c>
      <c r="B776" s="2757" t="str">
        <f>'Part VI-Revenues &amp; Expenses'!B14</f>
        <v>Unrestricted</v>
      </c>
      <c r="C776" s="2146">
        <f>'Part VI-Revenues &amp; Expenses'!C14</f>
        <v>0</v>
      </c>
      <c r="D776" s="2147">
        <f>'Part VI-Revenues &amp; Expenses'!D14</f>
        <v>0</v>
      </c>
      <c r="E776" s="2148">
        <f>'Part VI-Revenues &amp; Expenses'!E14</f>
        <v>0</v>
      </c>
      <c r="F776" s="2148">
        <f>'Part VI-Revenues &amp; Expenses'!F14</f>
        <v>0</v>
      </c>
      <c r="G776" s="2148">
        <f>'Part VI-Revenues &amp; Expenses'!G14</f>
        <v>0</v>
      </c>
      <c r="H776" s="2148">
        <f>'Part VI-Revenues &amp; Expenses'!H14</f>
        <v>0</v>
      </c>
      <c r="I776" s="2148">
        <f>'Part VI-Revenues &amp; Expenses'!I14</f>
        <v>0</v>
      </c>
      <c r="J776" s="2149">
        <f>'Part VI-Revenues &amp; Expenses'!J14</f>
        <v>0</v>
      </c>
      <c r="K776" s="1822">
        <f t="shared" si="1"/>
        <v>0</v>
      </c>
      <c r="L776" s="1822">
        <f t="shared" si="2"/>
        <v>0</v>
      </c>
      <c r="M776" s="2133">
        <f>'Part VI-Revenues &amp; Expenses'!M14</f>
        <v>0</v>
      </c>
      <c r="N776" s="2133">
        <f>'Part VI-Revenues &amp; Expenses'!N14</f>
        <v>0</v>
      </c>
      <c r="O776" s="2133">
        <f>'Part VI-Revenues &amp; Expenses'!O14</f>
        <v>0</v>
      </c>
      <c r="P776" s="1633">
        <f>'Part VI-Revenues &amp; Expenses'!P14</f>
        <v>0</v>
      </c>
      <c r="Q776" s="1823" t="str">
        <f>'Part VI-Revenues &amp; Expenses'!Q14</f>
        <v/>
      </c>
      <c r="R776" s="1824" t="str">
        <f>'Part VI-Revenues &amp; Expenses'!R14</f>
        <v/>
      </c>
      <c r="S776" s="1823">
        <f>'Part VI-Revenues &amp; Expenses'!S14</f>
        <v>0</v>
      </c>
      <c r="T776" s="1824">
        <f>'Part VI-Revenues &amp; Expenses'!T14</f>
        <v>0</v>
      </c>
      <c r="U776" s="1838">
        <f>'Part VI-Revenues &amp; Expenses'!U14:V14</f>
        <v>0</v>
      </c>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312"/>
        <v/>
      </c>
      <c r="EH776" s="742" t="str">
        <f t="shared" si="117"/>
        <v/>
      </c>
      <c r="EI776" s="742" t="str">
        <f t="shared" si="118"/>
        <v/>
      </c>
      <c r="EJ776" s="742" t="str">
        <f t="shared" si="119"/>
        <v/>
      </c>
      <c r="EK776" s="742" t="str">
        <f t="shared" si="120"/>
        <v/>
      </c>
      <c r="EL776" s="742" t="str">
        <f t="shared" si="121"/>
        <v/>
      </c>
      <c r="EM776" s="742" t="str">
        <f t="shared" si="122"/>
        <v/>
      </c>
      <c r="EN776" s="742" t="str">
        <f t="shared" si="123"/>
        <v/>
      </c>
      <c r="EO776" s="742" t="str">
        <f t="shared" si="124"/>
        <v/>
      </c>
      <c r="EP776" s="742" t="str">
        <f t="shared" si="125"/>
        <v/>
      </c>
      <c r="EQ776" s="742" t="str">
        <f t="shared" si="126"/>
        <v/>
      </c>
      <c r="ER776" s="742" t="str">
        <f t="shared" si="127"/>
        <v/>
      </c>
      <c r="ES776" s="742" t="str">
        <f t="shared" si="128"/>
        <v/>
      </c>
      <c r="ET776" s="742" t="str">
        <f t="shared" si="129"/>
        <v/>
      </c>
      <c r="EU776" s="742" t="str">
        <f t="shared" si="130"/>
        <v/>
      </c>
      <c r="EV776" s="742" t="str">
        <f t="shared" si="131"/>
        <v/>
      </c>
      <c r="EW776" s="742" t="str">
        <f t="shared" si="313"/>
        <v/>
      </c>
      <c r="EX776" s="742" t="str">
        <f t="shared" si="314"/>
        <v/>
      </c>
      <c r="EY776" s="742" t="str">
        <f t="shared" si="315"/>
        <v/>
      </c>
      <c r="EZ776" s="742" t="str">
        <f t="shared" si="316"/>
        <v/>
      </c>
      <c r="FA776" s="742" t="str">
        <f t="shared" si="317"/>
        <v/>
      </c>
      <c r="FB776" s="742" t="str">
        <f t="shared" si="132"/>
        <v/>
      </c>
      <c r="FC776" s="742" t="str">
        <f t="shared" si="133"/>
        <v/>
      </c>
      <c r="FD776" s="742" t="str">
        <f t="shared" si="134"/>
        <v/>
      </c>
      <c r="FE776" s="742" t="str">
        <f t="shared" si="135"/>
        <v/>
      </c>
      <c r="FF776" s="742" t="str">
        <f t="shared" si="136"/>
        <v/>
      </c>
      <c r="FG776" s="742" t="str">
        <f t="shared" si="318"/>
        <v/>
      </c>
      <c r="FH776" s="742" t="str">
        <f t="shared" si="319"/>
        <v/>
      </c>
      <c r="FI776" s="742" t="str">
        <f t="shared" si="320"/>
        <v/>
      </c>
      <c r="FJ776" s="742" t="str">
        <f t="shared" si="321"/>
        <v/>
      </c>
      <c r="FK776" s="742" t="str">
        <f t="shared" si="322"/>
        <v/>
      </c>
      <c r="FL776" s="742" t="str">
        <f t="shared" si="137"/>
        <v/>
      </c>
      <c r="FM776" s="742" t="str">
        <f t="shared" si="138"/>
        <v/>
      </c>
      <c r="FN776" s="742" t="str">
        <f t="shared" si="139"/>
        <v/>
      </c>
      <c r="FO776" s="742" t="str">
        <f t="shared" si="140"/>
        <v/>
      </c>
      <c r="FP776" s="742" t="str">
        <f t="shared" si="141"/>
        <v/>
      </c>
      <c r="FQ776" s="742" t="str">
        <f t="shared" si="142"/>
        <v/>
      </c>
      <c r="FR776" s="742" t="str">
        <f t="shared" si="143"/>
        <v/>
      </c>
      <c r="FS776" s="742" t="str">
        <f t="shared" si="144"/>
        <v/>
      </c>
      <c r="FT776" s="742" t="str">
        <f t="shared" si="145"/>
        <v/>
      </c>
      <c r="FU776" s="742" t="str">
        <f t="shared" si="146"/>
        <v/>
      </c>
      <c r="FV776" s="742" t="str">
        <f t="shared" si="147"/>
        <v/>
      </c>
      <c r="FW776" s="742" t="str">
        <f t="shared" si="148"/>
        <v/>
      </c>
      <c r="FX776" s="742" t="str">
        <f t="shared" si="149"/>
        <v/>
      </c>
      <c r="FY776" s="742" t="str">
        <f t="shared" si="150"/>
        <v/>
      </c>
      <c r="FZ776" s="742" t="str">
        <f t="shared" si="151"/>
        <v/>
      </c>
      <c r="GA776" s="742" t="str">
        <f t="shared" si="152"/>
        <v/>
      </c>
      <c r="GB776" s="742" t="str">
        <f t="shared" si="153"/>
        <v/>
      </c>
      <c r="GC776" s="742" t="str">
        <f t="shared" si="154"/>
        <v/>
      </c>
      <c r="GD776" s="742" t="str">
        <f t="shared" si="155"/>
        <v/>
      </c>
      <c r="GE776" s="742" t="str">
        <f t="shared" si="156"/>
        <v/>
      </c>
      <c r="GF776" s="742" t="str">
        <f t="shared" si="157"/>
        <v/>
      </c>
      <c r="GG776" s="742" t="str">
        <f t="shared" si="158"/>
        <v/>
      </c>
      <c r="GH776" s="742" t="str">
        <f t="shared" si="159"/>
        <v/>
      </c>
      <c r="GI776" s="742" t="str">
        <f t="shared" si="160"/>
        <v/>
      </c>
      <c r="GJ776" s="742" t="str">
        <f t="shared" si="161"/>
        <v/>
      </c>
      <c r="GK776" s="742" t="str">
        <f t="shared" si="162"/>
        <v/>
      </c>
      <c r="GL776" s="742" t="str">
        <f t="shared" si="163"/>
        <v/>
      </c>
      <c r="GM776" s="742" t="str">
        <f t="shared" si="164"/>
        <v/>
      </c>
      <c r="GN776" s="742" t="str">
        <f t="shared" si="165"/>
        <v/>
      </c>
      <c r="GO776" s="742" t="str">
        <f t="shared" si="166"/>
        <v/>
      </c>
      <c r="GP776" s="742" t="str">
        <f t="shared" si="167"/>
        <v/>
      </c>
      <c r="GQ776" s="742" t="str">
        <f t="shared" si="168"/>
        <v/>
      </c>
      <c r="GR776" s="742" t="str">
        <f t="shared" si="169"/>
        <v/>
      </c>
      <c r="GS776" s="742" t="str">
        <f t="shared" si="170"/>
        <v/>
      </c>
      <c r="GT776" s="742" t="str">
        <f t="shared" si="171"/>
        <v/>
      </c>
      <c r="GU776" s="742" t="str">
        <f t="shared" si="172"/>
        <v/>
      </c>
      <c r="GV776" s="742" t="str">
        <f t="shared" si="173"/>
        <v/>
      </c>
      <c r="GW776" s="742" t="str">
        <f t="shared" si="174"/>
        <v/>
      </c>
      <c r="GX776" s="742" t="str">
        <f t="shared" si="175"/>
        <v/>
      </c>
      <c r="GY776" s="742" t="str">
        <f t="shared" si="176"/>
        <v/>
      </c>
      <c r="GZ776" s="742" t="str">
        <f t="shared" si="177"/>
        <v/>
      </c>
      <c r="HA776" s="742" t="str">
        <f t="shared" si="178"/>
        <v/>
      </c>
      <c r="HB776" s="742" t="str">
        <f t="shared" si="179"/>
        <v/>
      </c>
      <c r="HC776" s="742" t="str">
        <f t="shared" si="180"/>
        <v/>
      </c>
      <c r="HD776" s="742" t="str">
        <f t="shared" si="181"/>
        <v/>
      </c>
      <c r="HE776" s="742" t="str">
        <f t="shared" si="182"/>
        <v/>
      </c>
      <c r="HF776" s="742" t="str">
        <f t="shared" si="183"/>
        <v/>
      </c>
      <c r="HG776" s="742" t="str">
        <f t="shared" si="184"/>
        <v/>
      </c>
      <c r="HH776" s="742" t="str">
        <f t="shared" si="185"/>
        <v/>
      </c>
      <c r="HI776" s="742" t="str">
        <f t="shared" si="186"/>
        <v/>
      </c>
      <c r="HJ776" s="742" t="str">
        <f t="shared" si="187"/>
        <v/>
      </c>
      <c r="HK776" s="742" t="str">
        <f t="shared" si="188"/>
        <v/>
      </c>
      <c r="HL776" s="742" t="str">
        <f t="shared" si="189"/>
        <v/>
      </c>
      <c r="HM776" s="742" t="str">
        <f t="shared" si="190"/>
        <v/>
      </c>
      <c r="HN776" s="742" t="str">
        <f t="shared" si="191"/>
        <v/>
      </c>
      <c r="HO776" s="742" t="str">
        <f t="shared" si="192"/>
        <v/>
      </c>
      <c r="HP776" s="742" t="str">
        <f t="shared" si="193"/>
        <v/>
      </c>
      <c r="HQ776" s="742" t="str">
        <f t="shared" si="194"/>
        <v/>
      </c>
      <c r="HR776" s="742" t="str">
        <f t="shared" si="195"/>
        <v/>
      </c>
      <c r="HS776" s="742" t="str">
        <f t="shared" si="196"/>
        <v/>
      </c>
      <c r="HT776" s="742" t="str">
        <f t="shared" si="197"/>
        <v/>
      </c>
      <c r="HU776" s="742" t="str">
        <f t="shared" si="198"/>
        <v/>
      </c>
      <c r="HV776" s="742" t="str">
        <f t="shared" si="199"/>
        <v/>
      </c>
      <c r="HW776" s="742" t="str">
        <f t="shared" si="200"/>
        <v/>
      </c>
      <c r="HX776" s="742" t="str">
        <f t="shared" si="201"/>
        <v/>
      </c>
      <c r="HY776" s="1638" t="str">
        <f t="shared" si="202"/>
        <v/>
      </c>
      <c r="HZ776" s="1638" t="str">
        <f t="shared" si="203"/>
        <v/>
      </c>
      <c r="IA776" s="1638" t="str">
        <f t="shared" si="204"/>
        <v/>
      </c>
      <c r="IB776" s="1638" t="str">
        <f t="shared" si="205"/>
        <v/>
      </c>
      <c r="IC776" s="1638" t="str">
        <f t="shared" si="206"/>
        <v/>
      </c>
      <c r="ID776" s="1638" t="str">
        <f t="shared" si="207"/>
        <v/>
      </c>
      <c r="IE776" s="1638" t="str">
        <f t="shared" si="208"/>
        <v/>
      </c>
      <c r="IF776" s="1638" t="str">
        <f t="shared" si="209"/>
        <v/>
      </c>
      <c r="IG776" s="1638" t="str">
        <f t="shared" si="210"/>
        <v/>
      </c>
      <c r="IH776" s="1638" t="str">
        <f t="shared" si="211"/>
        <v/>
      </c>
      <c r="II776" s="1638" t="str">
        <f t="shared" si="212"/>
        <v/>
      </c>
      <c r="IJ776" s="1638" t="str">
        <f t="shared" si="213"/>
        <v/>
      </c>
      <c r="IK776" s="1638" t="str">
        <f t="shared" si="214"/>
        <v/>
      </c>
      <c r="IL776" s="1638" t="str">
        <f t="shared" si="215"/>
        <v/>
      </c>
      <c r="IM776" s="1638" t="str">
        <f t="shared" si="216"/>
        <v/>
      </c>
      <c r="IN776" s="1638" t="str">
        <f t="shared" si="217"/>
        <v/>
      </c>
      <c r="IO776" s="1638" t="str">
        <f t="shared" si="218"/>
        <v/>
      </c>
      <c r="IP776" s="1638" t="str">
        <f t="shared" si="219"/>
        <v/>
      </c>
      <c r="IQ776" s="1638" t="str">
        <f t="shared" si="220"/>
        <v/>
      </c>
      <c r="IR776" s="1638" t="str">
        <f t="shared" si="221"/>
        <v/>
      </c>
      <c r="IS776" s="1638" t="str">
        <f t="shared" si="222"/>
        <v/>
      </c>
      <c r="IT776" s="1638" t="str">
        <f t="shared" si="223"/>
        <v/>
      </c>
      <c r="IU776" s="1638" t="str">
        <f t="shared" si="224"/>
        <v/>
      </c>
      <c r="IV776" s="1638" t="str">
        <f t="shared" si="225"/>
        <v/>
      </c>
      <c r="IW776" s="1638" t="str">
        <f t="shared" si="226"/>
        <v/>
      </c>
      <c r="IX776" s="1638" t="str">
        <f t="shared" si="227"/>
        <v/>
      </c>
      <c r="IY776" s="1638" t="str">
        <f t="shared" si="228"/>
        <v/>
      </c>
      <c r="IZ776" s="1638" t="str">
        <f t="shared" si="229"/>
        <v/>
      </c>
      <c r="JA776" s="1638" t="str">
        <f t="shared" si="230"/>
        <v/>
      </c>
      <c r="JB776" s="1638" t="str">
        <f t="shared" si="231"/>
        <v/>
      </c>
      <c r="JC776" s="1638" t="str">
        <f t="shared" si="232"/>
        <v/>
      </c>
      <c r="JD776" s="1638" t="str">
        <f t="shared" si="233"/>
        <v/>
      </c>
      <c r="JE776" s="1638" t="str">
        <f t="shared" si="234"/>
        <v/>
      </c>
      <c r="JF776" s="1638" t="str">
        <f t="shared" si="235"/>
        <v/>
      </c>
      <c r="JG776" s="1638" t="str">
        <f t="shared" si="236"/>
        <v/>
      </c>
      <c r="JH776" s="1638" t="str">
        <f t="shared" si="237"/>
        <v/>
      </c>
      <c r="JI776" s="1638" t="str">
        <f t="shared" si="238"/>
        <v/>
      </c>
      <c r="JJ776" s="1638" t="str">
        <f t="shared" si="239"/>
        <v/>
      </c>
      <c r="JK776" s="1638" t="str">
        <f t="shared" si="240"/>
        <v/>
      </c>
      <c r="JL776" s="1638" t="str">
        <f t="shared" si="241"/>
        <v/>
      </c>
      <c r="JM776" s="1638" t="str">
        <f t="shared" si="242"/>
        <v/>
      </c>
      <c r="JN776" s="1638" t="str">
        <f t="shared" si="243"/>
        <v/>
      </c>
      <c r="JO776" s="1638" t="str">
        <f t="shared" si="244"/>
        <v/>
      </c>
      <c r="JP776" s="1638" t="str">
        <f t="shared" si="245"/>
        <v/>
      </c>
      <c r="JQ776" s="1638" t="str">
        <f t="shared" si="246"/>
        <v/>
      </c>
      <c r="JR776" s="1638" t="str">
        <f t="shared" si="247"/>
        <v/>
      </c>
      <c r="JS776" s="1638" t="str">
        <f t="shared" si="248"/>
        <v/>
      </c>
      <c r="JT776" s="1638" t="str">
        <f t="shared" si="249"/>
        <v/>
      </c>
      <c r="JU776" s="1638" t="str">
        <f t="shared" si="250"/>
        <v/>
      </c>
      <c r="JV776" s="1638" t="str">
        <f t="shared" si="251"/>
        <v/>
      </c>
      <c r="JW776" s="1638" t="str">
        <f t="shared" si="252"/>
        <v/>
      </c>
      <c r="JX776" s="1638" t="str">
        <f t="shared" si="253"/>
        <v/>
      </c>
      <c r="JY776" s="1638" t="str">
        <f t="shared" si="254"/>
        <v/>
      </c>
      <c r="JZ776" s="1638" t="str">
        <f t="shared" si="255"/>
        <v/>
      </c>
      <c r="KA776" s="1638" t="str">
        <f t="shared" si="256"/>
        <v/>
      </c>
      <c r="KB776" s="1638" t="str">
        <f t="shared" si="257"/>
        <v/>
      </c>
      <c r="KC776" s="1638" t="str">
        <f t="shared" si="258"/>
        <v/>
      </c>
      <c r="KD776" s="1638" t="str">
        <f t="shared" si="259"/>
        <v/>
      </c>
      <c r="KE776" s="1638" t="str">
        <f t="shared" si="260"/>
        <v/>
      </c>
      <c r="KF776" s="1638" t="str">
        <f t="shared" si="261"/>
        <v/>
      </c>
      <c r="KG776" s="1638" t="str">
        <f t="shared" si="262"/>
        <v/>
      </c>
      <c r="KH776" s="1638" t="str">
        <f t="shared" si="263"/>
        <v/>
      </c>
      <c r="KI776" s="1638" t="str">
        <f t="shared" si="264"/>
        <v/>
      </c>
      <c r="KJ776" s="1638" t="str">
        <f t="shared" si="265"/>
        <v/>
      </c>
      <c r="KK776" s="1638" t="str">
        <f t="shared" si="266"/>
        <v/>
      </c>
      <c r="KL776" s="1638" t="str">
        <f t="shared" si="267"/>
        <v/>
      </c>
      <c r="KM776" s="1638" t="str">
        <f t="shared" si="268"/>
        <v/>
      </c>
      <c r="KN776" s="1638" t="str">
        <f t="shared" si="269"/>
        <v/>
      </c>
      <c r="KO776" s="1638" t="str">
        <f t="shared" si="270"/>
        <v/>
      </c>
      <c r="KP776" s="1638" t="str">
        <f t="shared" si="271"/>
        <v/>
      </c>
      <c r="KQ776" s="1638" t="str">
        <f t="shared" si="272"/>
        <v/>
      </c>
      <c r="KR776" s="1638" t="str">
        <f t="shared" si="273"/>
        <v/>
      </c>
      <c r="KS776" s="1638" t="str">
        <f t="shared" si="274"/>
        <v/>
      </c>
      <c r="KT776" s="1638" t="str">
        <f t="shared" si="275"/>
        <v/>
      </c>
      <c r="KU776" s="1638" t="str">
        <f t="shared" si="276"/>
        <v/>
      </c>
      <c r="KV776" s="1638" t="str">
        <f t="shared" si="277"/>
        <v/>
      </c>
      <c r="KW776" s="1638" t="str">
        <f t="shared" si="278"/>
        <v/>
      </c>
      <c r="KX776" s="1638" t="str">
        <f t="shared" si="279"/>
        <v/>
      </c>
      <c r="KY776" s="1638" t="str">
        <f t="shared" si="280"/>
        <v/>
      </c>
      <c r="KZ776" s="1638" t="str">
        <f t="shared" si="281"/>
        <v/>
      </c>
      <c r="LA776" s="1638" t="str">
        <f t="shared" si="282"/>
        <v/>
      </c>
      <c r="LB776" s="1638" t="str">
        <f t="shared" si="283"/>
        <v/>
      </c>
      <c r="LC776" s="1638" t="str">
        <f t="shared" si="284"/>
        <v/>
      </c>
      <c r="LD776" s="1638" t="str">
        <f t="shared" si="285"/>
        <v/>
      </c>
      <c r="LE776" s="1638" t="str">
        <f t="shared" si="286"/>
        <v/>
      </c>
      <c r="LF776" s="1637" t="str">
        <f t="shared" si="287"/>
        <v/>
      </c>
      <c r="LG776" s="1637" t="str">
        <f t="shared" si="288"/>
        <v/>
      </c>
      <c r="LH776" s="1637" t="str">
        <f t="shared" si="289"/>
        <v/>
      </c>
      <c r="LI776" s="1637" t="str">
        <f t="shared" si="290"/>
        <v/>
      </c>
      <c r="LJ776" s="1637" t="str">
        <f t="shared" si="291"/>
        <v/>
      </c>
      <c r="LK776" s="742" t="str">
        <f t="shared" si="292"/>
        <v/>
      </c>
      <c r="LL776" s="742" t="str">
        <f t="shared" si="293"/>
        <v/>
      </c>
      <c r="LM776" s="742" t="str">
        <f t="shared" si="294"/>
        <v/>
      </c>
      <c r="LN776" s="742" t="str">
        <f t="shared" si="295"/>
        <v/>
      </c>
      <c r="LO776" s="742" t="str">
        <f t="shared" si="296"/>
        <v/>
      </c>
      <c r="LP776" s="742" t="str">
        <f t="shared" si="297"/>
        <v/>
      </c>
      <c r="LQ776" s="742" t="str">
        <f t="shared" si="298"/>
        <v/>
      </c>
      <c r="LR776" s="742" t="str">
        <f t="shared" si="299"/>
        <v/>
      </c>
      <c r="LS776" s="742" t="str">
        <f t="shared" si="300"/>
        <v/>
      </c>
      <c r="LT776" s="742" t="str">
        <f t="shared" si="301"/>
        <v/>
      </c>
      <c r="LU776" s="742" t="str">
        <f t="shared" si="302"/>
        <v/>
      </c>
      <c r="LV776" s="742" t="str">
        <f t="shared" si="303"/>
        <v/>
      </c>
      <c r="LW776" s="742" t="str">
        <f t="shared" si="304"/>
        <v/>
      </c>
      <c r="LX776" s="742" t="str">
        <f t="shared" si="305"/>
        <v/>
      </c>
      <c r="LY776" s="742" t="str">
        <f t="shared" si="306"/>
        <v/>
      </c>
      <c r="LZ776" s="742" t="str">
        <f t="shared" si="307"/>
        <v/>
      </c>
      <c r="MA776" s="742" t="str">
        <f t="shared" si="308"/>
        <v/>
      </c>
      <c r="MB776" s="742" t="str">
        <f t="shared" si="309"/>
        <v/>
      </c>
      <c r="MC776" s="742" t="str">
        <f t="shared" si="310"/>
        <v/>
      </c>
      <c r="MD776" s="742" t="str">
        <f t="shared" si="311"/>
        <v/>
      </c>
      <c r="ME776" s="1637">
        <f t="shared" si="323"/>
        <v>0</v>
      </c>
      <c r="MF776" s="1637">
        <f t="shared" si="324"/>
        <v>0</v>
      </c>
      <c r="MG776" s="1637">
        <f t="shared" si="325"/>
        <v>0</v>
      </c>
      <c r="MH776" s="1637">
        <f t="shared" si="326"/>
        <v>0</v>
      </c>
      <c r="MI776" s="1637">
        <f t="shared" si="327"/>
        <v>0</v>
      </c>
      <c r="MJ776" s="1637">
        <f t="shared" si="328"/>
        <v>0</v>
      </c>
      <c r="MK776" s="1637">
        <f t="shared" si="329"/>
        <v>0</v>
      </c>
      <c r="ML776" s="1637">
        <f t="shared" si="330"/>
        <v>0</v>
      </c>
      <c r="MM776" s="1637">
        <f t="shared" si="331"/>
        <v>0</v>
      </c>
      <c r="MN776" s="1637">
        <f t="shared" si="332"/>
        <v>0</v>
      </c>
      <c r="MO776" s="1637">
        <f t="shared" si="333"/>
        <v>0</v>
      </c>
      <c r="MP776" s="1637">
        <f t="shared" si="334"/>
        <v>0</v>
      </c>
      <c r="MQ776" s="1637">
        <f t="shared" si="335"/>
        <v>0</v>
      </c>
      <c r="MR776" s="1637">
        <f t="shared" si="336"/>
        <v>0</v>
      </c>
      <c r="MS776" s="1637">
        <f t="shared" si="337"/>
        <v>0</v>
      </c>
    </row>
    <row r="777" spans="1:357" ht="13.5">
      <c r="A777" s="1630" t="str">
        <f t="shared" si="0"/>
        <v/>
      </c>
      <c r="B777" s="2757" t="str">
        <f>'Part VI-Revenues &amp; Expenses'!B15</f>
        <v>Unrestricted</v>
      </c>
      <c r="C777" s="2146">
        <f>'Part VI-Revenues &amp; Expenses'!C15</f>
        <v>0</v>
      </c>
      <c r="D777" s="2147">
        <f>'Part VI-Revenues &amp; Expenses'!D15</f>
        <v>0</v>
      </c>
      <c r="E777" s="2148">
        <f>'Part VI-Revenues &amp; Expenses'!E15</f>
        <v>0</v>
      </c>
      <c r="F777" s="2148">
        <f>'Part VI-Revenues &amp; Expenses'!F15</f>
        <v>0</v>
      </c>
      <c r="G777" s="2148">
        <f>'Part VI-Revenues &amp; Expenses'!G15</f>
        <v>0</v>
      </c>
      <c r="H777" s="2148">
        <f>'Part VI-Revenues &amp; Expenses'!H15</f>
        <v>0</v>
      </c>
      <c r="I777" s="2148">
        <f>'Part VI-Revenues &amp; Expenses'!I15</f>
        <v>0</v>
      </c>
      <c r="J777" s="2149">
        <f>'Part VI-Revenues &amp; Expenses'!J15</f>
        <v>0</v>
      </c>
      <c r="K777" s="1822">
        <f t="shared" si="1"/>
        <v>0</v>
      </c>
      <c r="L777" s="1822">
        <f t="shared" si="2"/>
        <v>0</v>
      </c>
      <c r="M777" s="2133">
        <f>'Part VI-Revenues &amp; Expenses'!M15</f>
        <v>0</v>
      </c>
      <c r="N777" s="2133">
        <f>'Part VI-Revenues &amp; Expenses'!N15</f>
        <v>0</v>
      </c>
      <c r="O777" s="2133">
        <f>'Part VI-Revenues &amp; Expenses'!O15</f>
        <v>0</v>
      </c>
      <c r="P777" s="1633">
        <f>'Part VI-Revenues &amp; Expenses'!P15</f>
        <v>0</v>
      </c>
      <c r="Q777" s="1823" t="str">
        <f>'Part VI-Revenues &amp; Expenses'!Q15</f>
        <v/>
      </c>
      <c r="R777" s="1824" t="str">
        <f>'Part VI-Revenues &amp; Expenses'!R15</f>
        <v/>
      </c>
      <c r="S777" s="1823">
        <f>'Part VI-Revenues &amp; Expenses'!S15</f>
        <v>0</v>
      </c>
      <c r="T777" s="1824">
        <f>'Part VI-Revenues &amp; Expenses'!T15</f>
        <v>0</v>
      </c>
      <c r="U777" s="1838">
        <f>'Part VI-Revenues &amp; Expenses'!U15:V15</f>
        <v>0</v>
      </c>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312"/>
        <v/>
      </c>
      <c r="EH777" s="742" t="str">
        <f t="shared" si="117"/>
        <v/>
      </c>
      <c r="EI777" s="742" t="str">
        <f t="shared" si="118"/>
        <v/>
      </c>
      <c r="EJ777" s="742" t="str">
        <f t="shared" si="119"/>
        <v/>
      </c>
      <c r="EK777" s="742" t="str">
        <f t="shared" si="120"/>
        <v/>
      </c>
      <c r="EL777" s="742" t="str">
        <f t="shared" si="121"/>
        <v/>
      </c>
      <c r="EM777" s="742" t="str">
        <f t="shared" si="122"/>
        <v/>
      </c>
      <c r="EN777" s="742" t="str">
        <f t="shared" si="123"/>
        <v/>
      </c>
      <c r="EO777" s="742" t="str">
        <f t="shared" si="124"/>
        <v/>
      </c>
      <c r="EP777" s="742" t="str">
        <f t="shared" si="125"/>
        <v/>
      </c>
      <c r="EQ777" s="742" t="str">
        <f t="shared" si="126"/>
        <v/>
      </c>
      <c r="ER777" s="742" t="str">
        <f t="shared" si="127"/>
        <v/>
      </c>
      <c r="ES777" s="742" t="str">
        <f t="shared" si="128"/>
        <v/>
      </c>
      <c r="ET777" s="742" t="str">
        <f t="shared" si="129"/>
        <v/>
      </c>
      <c r="EU777" s="742" t="str">
        <f t="shared" si="130"/>
        <v/>
      </c>
      <c r="EV777" s="742" t="str">
        <f t="shared" si="131"/>
        <v/>
      </c>
      <c r="EW777" s="742" t="str">
        <f t="shared" si="313"/>
        <v/>
      </c>
      <c r="EX777" s="742" t="str">
        <f t="shared" si="314"/>
        <v/>
      </c>
      <c r="EY777" s="742" t="str">
        <f t="shared" si="315"/>
        <v/>
      </c>
      <c r="EZ777" s="742" t="str">
        <f t="shared" si="316"/>
        <v/>
      </c>
      <c r="FA777" s="742" t="str">
        <f t="shared" si="317"/>
        <v/>
      </c>
      <c r="FB777" s="742" t="str">
        <f t="shared" si="132"/>
        <v/>
      </c>
      <c r="FC777" s="742" t="str">
        <f t="shared" si="133"/>
        <v/>
      </c>
      <c r="FD777" s="742" t="str">
        <f t="shared" si="134"/>
        <v/>
      </c>
      <c r="FE777" s="742" t="str">
        <f t="shared" si="135"/>
        <v/>
      </c>
      <c r="FF777" s="742" t="str">
        <f t="shared" si="136"/>
        <v/>
      </c>
      <c r="FG777" s="742" t="str">
        <f t="shared" si="318"/>
        <v/>
      </c>
      <c r="FH777" s="742" t="str">
        <f t="shared" si="319"/>
        <v/>
      </c>
      <c r="FI777" s="742" t="str">
        <f t="shared" si="320"/>
        <v/>
      </c>
      <c r="FJ777" s="742" t="str">
        <f t="shared" si="321"/>
        <v/>
      </c>
      <c r="FK777" s="742" t="str">
        <f t="shared" si="322"/>
        <v/>
      </c>
      <c r="FL777" s="742" t="str">
        <f t="shared" si="137"/>
        <v/>
      </c>
      <c r="FM777" s="742" t="str">
        <f t="shared" si="138"/>
        <v/>
      </c>
      <c r="FN777" s="742" t="str">
        <f t="shared" si="139"/>
        <v/>
      </c>
      <c r="FO777" s="742" t="str">
        <f t="shared" si="140"/>
        <v/>
      </c>
      <c r="FP777" s="742" t="str">
        <f t="shared" si="141"/>
        <v/>
      </c>
      <c r="FQ777" s="742" t="str">
        <f t="shared" si="142"/>
        <v/>
      </c>
      <c r="FR777" s="742" t="str">
        <f t="shared" si="143"/>
        <v/>
      </c>
      <c r="FS777" s="742" t="str">
        <f t="shared" si="144"/>
        <v/>
      </c>
      <c r="FT777" s="742" t="str">
        <f t="shared" si="145"/>
        <v/>
      </c>
      <c r="FU777" s="742" t="str">
        <f t="shared" si="146"/>
        <v/>
      </c>
      <c r="FV777" s="742" t="str">
        <f t="shared" si="147"/>
        <v/>
      </c>
      <c r="FW777" s="742" t="str">
        <f t="shared" si="148"/>
        <v/>
      </c>
      <c r="FX777" s="742" t="str">
        <f t="shared" si="149"/>
        <v/>
      </c>
      <c r="FY777" s="742" t="str">
        <f t="shared" si="150"/>
        <v/>
      </c>
      <c r="FZ777" s="742" t="str">
        <f t="shared" si="151"/>
        <v/>
      </c>
      <c r="GA777" s="742" t="str">
        <f t="shared" si="152"/>
        <v/>
      </c>
      <c r="GB777" s="742" t="str">
        <f t="shared" si="153"/>
        <v/>
      </c>
      <c r="GC777" s="742" t="str">
        <f t="shared" si="154"/>
        <v/>
      </c>
      <c r="GD777" s="742" t="str">
        <f t="shared" si="155"/>
        <v/>
      </c>
      <c r="GE777" s="742" t="str">
        <f t="shared" si="156"/>
        <v/>
      </c>
      <c r="GF777" s="742" t="str">
        <f t="shared" si="157"/>
        <v/>
      </c>
      <c r="GG777" s="742" t="str">
        <f t="shared" si="158"/>
        <v/>
      </c>
      <c r="GH777" s="742" t="str">
        <f t="shared" si="159"/>
        <v/>
      </c>
      <c r="GI777" s="742" t="str">
        <f t="shared" si="160"/>
        <v/>
      </c>
      <c r="GJ777" s="742" t="str">
        <f t="shared" si="161"/>
        <v/>
      </c>
      <c r="GK777" s="742" t="str">
        <f t="shared" si="162"/>
        <v/>
      </c>
      <c r="GL777" s="742" t="str">
        <f t="shared" si="163"/>
        <v/>
      </c>
      <c r="GM777" s="742" t="str">
        <f t="shared" si="164"/>
        <v/>
      </c>
      <c r="GN777" s="742" t="str">
        <f t="shared" si="165"/>
        <v/>
      </c>
      <c r="GO777" s="742" t="str">
        <f t="shared" si="166"/>
        <v/>
      </c>
      <c r="GP777" s="742" t="str">
        <f t="shared" si="167"/>
        <v/>
      </c>
      <c r="GQ777" s="742" t="str">
        <f t="shared" si="168"/>
        <v/>
      </c>
      <c r="GR777" s="742" t="str">
        <f t="shared" si="169"/>
        <v/>
      </c>
      <c r="GS777" s="742" t="str">
        <f t="shared" si="170"/>
        <v/>
      </c>
      <c r="GT777" s="742" t="str">
        <f t="shared" si="171"/>
        <v/>
      </c>
      <c r="GU777" s="742" t="str">
        <f t="shared" si="172"/>
        <v/>
      </c>
      <c r="GV777" s="742" t="str">
        <f t="shared" si="173"/>
        <v/>
      </c>
      <c r="GW777" s="742" t="str">
        <f t="shared" si="174"/>
        <v/>
      </c>
      <c r="GX777" s="742" t="str">
        <f t="shared" si="175"/>
        <v/>
      </c>
      <c r="GY777" s="742" t="str">
        <f t="shared" si="176"/>
        <v/>
      </c>
      <c r="GZ777" s="742" t="str">
        <f t="shared" si="177"/>
        <v/>
      </c>
      <c r="HA777" s="742" t="str">
        <f t="shared" si="178"/>
        <v/>
      </c>
      <c r="HB777" s="742" t="str">
        <f t="shared" si="179"/>
        <v/>
      </c>
      <c r="HC777" s="742" t="str">
        <f t="shared" si="180"/>
        <v/>
      </c>
      <c r="HD777" s="742" t="str">
        <f t="shared" si="181"/>
        <v/>
      </c>
      <c r="HE777" s="742" t="str">
        <f t="shared" si="182"/>
        <v/>
      </c>
      <c r="HF777" s="742" t="str">
        <f t="shared" si="183"/>
        <v/>
      </c>
      <c r="HG777" s="742" t="str">
        <f t="shared" si="184"/>
        <v/>
      </c>
      <c r="HH777" s="742" t="str">
        <f t="shared" si="185"/>
        <v/>
      </c>
      <c r="HI777" s="742" t="str">
        <f t="shared" si="186"/>
        <v/>
      </c>
      <c r="HJ777" s="742" t="str">
        <f t="shared" si="187"/>
        <v/>
      </c>
      <c r="HK777" s="742" t="str">
        <f t="shared" si="188"/>
        <v/>
      </c>
      <c r="HL777" s="742" t="str">
        <f t="shared" si="189"/>
        <v/>
      </c>
      <c r="HM777" s="742" t="str">
        <f t="shared" si="190"/>
        <v/>
      </c>
      <c r="HN777" s="742" t="str">
        <f t="shared" si="191"/>
        <v/>
      </c>
      <c r="HO777" s="742" t="str">
        <f t="shared" si="192"/>
        <v/>
      </c>
      <c r="HP777" s="742" t="str">
        <f t="shared" si="193"/>
        <v/>
      </c>
      <c r="HQ777" s="742" t="str">
        <f t="shared" si="194"/>
        <v/>
      </c>
      <c r="HR777" s="742" t="str">
        <f t="shared" si="195"/>
        <v/>
      </c>
      <c r="HS777" s="742" t="str">
        <f t="shared" si="196"/>
        <v/>
      </c>
      <c r="HT777" s="742" t="str">
        <f t="shared" si="197"/>
        <v/>
      </c>
      <c r="HU777" s="742" t="str">
        <f t="shared" si="198"/>
        <v/>
      </c>
      <c r="HV777" s="742" t="str">
        <f t="shared" si="199"/>
        <v/>
      </c>
      <c r="HW777" s="742" t="str">
        <f t="shared" si="200"/>
        <v/>
      </c>
      <c r="HX777" s="742" t="str">
        <f t="shared" si="201"/>
        <v/>
      </c>
      <c r="HY777" s="1638" t="str">
        <f t="shared" si="202"/>
        <v/>
      </c>
      <c r="HZ777" s="1638" t="str">
        <f t="shared" si="203"/>
        <v/>
      </c>
      <c r="IA777" s="1638" t="str">
        <f t="shared" si="204"/>
        <v/>
      </c>
      <c r="IB777" s="1638" t="str">
        <f t="shared" si="205"/>
        <v/>
      </c>
      <c r="IC777" s="1638" t="str">
        <f t="shared" si="206"/>
        <v/>
      </c>
      <c r="ID777" s="1638" t="str">
        <f t="shared" si="207"/>
        <v/>
      </c>
      <c r="IE777" s="1638" t="str">
        <f t="shared" si="208"/>
        <v/>
      </c>
      <c r="IF777" s="1638" t="str">
        <f t="shared" si="209"/>
        <v/>
      </c>
      <c r="IG777" s="1638" t="str">
        <f t="shared" si="210"/>
        <v/>
      </c>
      <c r="IH777" s="1638" t="str">
        <f t="shared" si="211"/>
        <v/>
      </c>
      <c r="II777" s="1638" t="str">
        <f t="shared" si="212"/>
        <v/>
      </c>
      <c r="IJ777" s="1638" t="str">
        <f t="shared" si="213"/>
        <v/>
      </c>
      <c r="IK777" s="1638" t="str">
        <f t="shared" si="214"/>
        <v/>
      </c>
      <c r="IL777" s="1638" t="str">
        <f t="shared" si="215"/>
        <v/>
      </c>
      <c r="IM777" s="1638" t="str">
        <f t="shared" si="216"/>
        <v/>
      </c>
      <c r="IN777" s="1638" t="str">
        <f t="shared" si="217"/>
        <v/>
      </c>
      <c r="IO777" s="1638" t="str">
        <f t="shared" si="218"/>
        <v/>
      </c>
      <c r="IP777" s="1638" t="str">
        <f t="shared" si="219"/>
        <v/>
      </c>
      <c r="IQ777" s="1638" t="str">
        <f t="shared" si="220"/>
        <v/>
      </c>
      <c r="IR777" s="1638" t="str">
        <f t="shared" si="221"/>
        <v/>
      </c>
      <c r="IS777" s="1638" t="str">
        <f t="shared" si="222"/>
        <v/>
      </c>
      <c r="IT777" s="1638" t="str">
        <f t="shared" si="223"/>
        <v/>
      </c>
      <c r="IU777" s="1638" t="str">
        <f t="shared" si="224"/>
        <v/>
      </c>
      <c r="IV777" s="1638" t="str">
        <f t="shared" si="225"/>
        <v/>
      </c>
      <c r="IW777" s="1638" t="str">
        <f t="shared" si="226"/>
        <v/>
      </c>
      <c r="IX777" s="1638" t="str">
        <f t="shared" si="227"/>
        <v/>
      </c>
      <c r="IY777" s="1638" t="str">
        <f t="shared" si="228"/>
        <v/>
      </c>
      <c r="IZ777" s="1638" t="str">
        <f t="shared" si="229"/>
        <v/>
      </c>
      <c r="JA777" s="1638" t="str">
        <f t="shared" si="230"/>
        <v/>
      </c>
      <c r="JB777" s="1638" t="str">
        <f t="shared" si="231"/>
        <v/>
      </c>
      <c r="JC777" s="1638" t="str">
        <f t="shared" si="232"/>
        <v/>
      </c>
      <c r="JD777" s="1638" t="str">
        <f t="shared" si="233"/>
        <v/>
      </c>
      <c r="JE777" s="1638" t="str">
        <f t="shared" si="234"/>
        <v/>
      </c>
      <c r="JF777" s="1638" t="str">
        <f t="shared" si="235"/>
        <v/>
      </c>
      <c r="JG777" s="1638" t="str">
        <f t="shared" si="236"/>
        <v/>
      </c>
      <c r="JH777" s="1638" t="str">
        <f t="shared" si="237"/>
        <v/>
      </c>
      <c r="JI777" s="1638" t="str">
        <f t="shared" si="238"/>
        <v/>
      </c>
      <c r="JJ777" s="1638" t="str">
        <f t="shared" si="239"/>
        <v/>
      </c>
      <c r="JK777" s="1638" t="str">
        <f t="shared" si="240"/>
        <v/>
      </c>
      <c r="JL777" s="1638" t="str">
        <f t="shared" si="241"/>
        <v/>
      </c>
      <c r="JM777" s="1638" t="str">
        <f t="shared" si="242"/>
        <v/>
      </c>
      <c r="JN777" s="1638" t="str">
        <f t="shared" si="243"/>
        <v/>
      </c>
      <c r="JO777" s="1638" t="str">
        <f t="shared" si="244"/>
        <v/>
      </c>
      <c r="JP777" s="1638" t="str">
        <f t="shared" si="245"/>
        <v/>
      </c>
      <c r="JQ777" s="1638" t="str">
        <f t="shared" si="246"/>
        <v/>
      </c>
      <c r="JR777" s="1638" t="str">
        <f t="shared" si="247"/>
        <v/>
      </c>
      <c r="JS777" s="1638" t="str">
        <f t="shared" si="248"/>
        <v/>
      </c>
      <c r="JT777" s="1638" t="str">
        <f t="shared" si="249"/>
        <v/>
      </c>
      <c r="JU777" s="1638" t="str">
        <f t="shared" si="250"/>
        <v/>
      </c>
      <c r="JV777" s="1638" t="str">
        <f t="shared" si="251"/>
        <v/>
      </c>
      <c r="JW777" s="1638" t="str">
        <f t="shared" si="252"/>
        <v/>
      </c>
      <c r="JX777" s="1638" t="str">
        <f t="shared" si="253"/>
        <v/>
      </c>
      <c r="JY777" s="1638" t="str">
        <f t="shared" si="254"/>
        <v/>
      </c>
      <c r="JZ777" s="1638" t="str">
        <f t="shared" si="255"/>
        <v/>
      </c>
      <c r="KA777" s="1638" t="str">
        <f t="shared" si="256"/>
        <v/>
      </c>
      <c r="KB777" s="1638" t="str">
        <f t="shared" si="257"/>
        <v/>
      </c>
      <c r="KC777" s="1638" t="str">
        <f t="shared" si="258"/>
        <v/>
      </c>
      <c r="KD777" s="1638" t="str">
        <f t="shared" si="259"/>
        <v/>
      </c>
      <c r="KE777" s="1638" t="str">
        <f t="shared" si="260"/>
        <v/>
      </c>
      <c r="KF777" s="1638" t="str">
        <f t="shared" si="261"/>
        <v/>
      </c>
      <c r="KG777" s="1638" t="str">
        <f t="shared" si="262"/>
        <v/>
      </c>
      <c r="KH777" s="1638" t="str">
        <f t="shared" si="263"/>
        <v/>
      </c>
      <c r="KI777" s="1638" t="str">
        <f t="shared" si="264"/>
        <v/>
      </c>
      <c r="KJ777" s="1638" t="str">
        <f t="shared" si="265"/>
        <v/>
      </c>
      <c r="KK777" s="1638" t="str">
        <f t="shared" si="266"/>
        <v/>
      </c>
      <c r="KL777" s="1638" t="str">
        <f t="shared" si="267"/>
        <v/>
      </c>
      <c r="KM777" s="1638" t="str">
        <f t="shared" si="268"/>
        <v/>
      </c>
      <c r="KN777" s="1638" t="str">
        <f t="shared" si="269"/>
        <v/>
      </c>
      <c r="KO777" s="1638" t="str">
        <f t="shared" si="270"/>
        <v/>
      </c>
      <c r="KP777" s="1638" t="str">
        <f t="shared" si="271"/>
        <v/>
      </c>
      <c r="KQ777" s="1638" t="str">
        <f t="shared" si="272"/>
        <v/>
      </c>
      <c r="KR777" s="1638" t="str">
        <f t="shared" si="273"/>
        <v/>
      </c>
      <c r="KS777" s="1638" t="str">
        <f t="shared" si="274"/>
        <v/>
      </c>
      <c r="KT777" s="1638" t="str">
        <f t="shared" si="275"/>
        <v/>
      </c>
      <c r="KU777" s="1638" t="str">
        <f t="shared" si="276"/>
        <v/>
      </c>
      <c r="KV777" s="1638" t="str">
        <f t="shared" si="277"/>
        <v/>
      </c>
      <c r="KW777" s="1638" t="str">
        <f t="shared" si="278"/>
        <v/>
      </c>
      <c r="KX777" s="1638" t="str">
        <f t="shared" si="279"/>
        <v/>
      </c>
      <c r="KY777" s="1638" t="str">
        <f t="shared" si="280"/>
        <v/>
      </c>
      <c r="KZ777" s="1638" t="str">
        <f t="shared" si="281"/>
        <v/>
      </c>
      <c r="LA777" s="1638" t="str">
        <f t="shared" si="282"/>
        <v/>
      </c>
      <c r="LB777" s="1638" t="str">
        <f t="shared" si="283"/>
        <v/>
      </c>
      <c r="LC777" s="1638" t="str">
        <f t="shared" si="284"/>
        <v/>
      </c>
      <c r="LD777" s="1638" t="str">
        <f t="shared" si="285"/>
        <v/>
      </c>
      <c r="LE777" s="1638" t="str">
        <f t="shared" si="286"/>
        <v/>
      </c>
      <c r="LF777" s="1637" t="str">
        <f t="shared" si="287"/>
        <v/>
      </c>
      <c r="LG777" s="1637" t="str">
        <f t="shared" si="288"/>
        <v/>
      </c>
      <c r="LH777" s="1637" t="str">
        <f t="shared" si="289"/>
        <v/>
      </c>
      <c r="LI777" s="1637" t="str">
        <f t="shared" si="290"/>
        <v/>
      </c>
      <c r="LJ777" s="1637" t="str">
        <f t="shared" si="291"/>
        <v/>
      </c>
      <c r="LK777" s="742" t="str">
        <f t="shared" si="292"/>
        <v/>
      </c>
      <c r="LL777" s="742" t="str">
        <f t="shared" si="293"/>
        <v/>
      </c>
      <c r="LM777" s="742" t="str">
        <f t="shared" si="294"/>
        <v/>
      </c>
      <c r="LN777" s="742" t="str">
        <f t="shared" si="295"/>
        <v/>
      </c>
      <c r="LO777" s="742" t="str">
        <f t="shared" si="296"/>
        <v/>
      </c>
      <c r="LP777" s="742" t="str">
        <f t="shared" si="297"/>
        <v/>
      </c>
      <c r="LQ777" s="742" t="str">
        <f t="shared" si="298"/>
        <v/>
      </c>
      <c r="LR777" s="742" t="str">
        <f t="shared" si="299"/>
        <v/>
      </c>
      <c r="LS777" s="742" t="str">
        <f t="shared" si="300"/>
        <v/>
      </c>
      <c r="LT777" s="742" t="str">
        <f t="shared" si="301"/>
        <v/>
      </c>
      <c r="LU777" s="742" t="str">
        <f t="shared" si="302"/>
        <v/>
      </c>
      <c r="LV777" s="742" t="str">
        <f t="shared" si="303"/>
        <v/>
      </c>
      <c r="LW777" s="742" t="str">
        <f t="shared" si="304"/>
        <v/>
      </c>
      <c r="LX777" s="742" t="str">
        <f t="shared" si="305"/>
        <v/>
      </c>
      <c r="LY777" s="742" t="str">
        <f t="shared" si="306"/>
        <v/>
      </c>
      <c r="LZ777" s="742" t="str">
        <f t="shared" si="307"/>
        <v/>
      </c>
      <c r="MA777" s="742" t="str">
        <f t="shared" si="308"/>
        <v/>
      </c>
      <c r="MB777" s="742" t="str">
        <f t="shared" si="309"/>
        <v/>
      </c>
      <c r="MC777" s="742" t="str">
        <f t="shared" si="310"/>
        <v/>
      </c>
      <c r="MD777" s="742" t="str">
        <f t="shared" si="311"/>
        <v/>
      </c>
      <c r="ME777" s="1637">
        <f t="shared" si="323"/>
        <v>0</v>
      </c>
      <c r="MF777" s="1637">
        <f t="shared" si="324"/>
        <v>0</v>
      </c>
      <c r="MG777" s="1637">
        <f t="shared" si="325"/>
        <v>0</v>
      </c>
      <c r="MH777" s="1637">
        <f t="shared" si="326"/>
        <v>0</v>
      </c>
      <c r="MI777" s="1637">
        <f t="shared" si="327"/>
        <v>0</v>
      </c>
      <c r="MJ777" s="1637">
        <f t="shared" si="328"/>
        <v>0</v>
      </c>
      <c r="MK777" s="1637">
        <f t="shared" si="329"/>
        <v>0</v>
      </c>
      <c r="ML777" s="1637">
        <f t="shared" si="330"/>
        <v>0</v>
      </c>
      <c r="MM777" s="1637">
        <f t="shared" si="331"/>
        <v>0</v>
      </c>
      <c r="MN777" s="1637">
        <f t="shared" si="332"/>
        <v>0</v>
      </c>
      <c r="MO777" s="1637">
        <f t="shared" si="333"/>
        <v>0</v>
      </c>
      <c r="MP777" s="1637">
        <f t="shared" si="334"/>
        <v>0</v>
      </c>
      <c r="MQ777" s="1637">
        <f t="shared" si="335"/>
        <v>0</v>
      </c>
      <c r="MR777" s="1637">
        <f t="shared" si="336"/>
        <v>0</v>
      </c>
      <c r="MS777" s="1637">
        <f t="shared" si="337"/>
        <v>0</v>
      </c>
    </row>
    <row r="778" spans="1:357" ht="13.5">
      <c r="A778" s="1630" t="str">
        <f t="shared" si="0"/>
        <v/>
      </c>
      <c r="B778" s="2757" t="str">
        <f>'Part VI-Revenues &amp; Expenses'!B16</f>
        <v>Unrestricted</v>
      </c>
      <c r="C778" s="2146">
        <f>'Part VI-Revenues &amp; Expenses'!C16</f>
        <v>0</v>
      </c>
      <c r="D778" s="2147">
        <f>'Part VI-Revenues &amp; Expenses'!D16</f>
        <v>0</v>
      </c>
      <c r="E778" s="2148">
        <f>'Part VI-Revenues &amp; Expenses'!E16</f>
        <v>0</v>
      </c>
      <c r="F778" s="2148">
        <f>'Part VI-Revenues &amp; Expenses'!F16</f>
        <v>0</v>
      </c>
      <c r="G778" s="2148">
        <f>'Part VI-Revenues &amp; Expenses'!G16</f>
        <v>0</v>
      </c>
      <c r="H778" s="2148">
        <f>'Part VI-Revenues &amp; Expenses'!H16</f>
        <v>0</v>
      </c>
      <c r="I778" s="2148">
        <f>'Part VI-Revenues &amp; Expenses'!I16</f>
        <v>0</v>
      </c>
      <c r="J778" s="2149">
        <f>'Part VI-Revenues &amp; Expenses'!J16</f>
        <v>0</v>
      </c>
      <c r="K778" s="1822">
        <f t="shared" si="1"/>
        <v>0</v>
      </c>
      <c r="L778" s="1822">
        <f t="shared" si="2"/>
        <v>0</v>
      </c>
      <c r="M778" s="2133">
        <f>'Part VI-Revenues &amp; Expenses'!M16</f>
        <v>0</v>
      </c>
      <c r="N778" s="2133">
        <f>'Part VI-Revenues &amp; Expenses'!N16</f>
        <v>0</v>
      </c>
      <c r="O778" s="2133">
        <f>'Part VI-Revenues &amp; Expenses'!O16</f>
        <v>0</v>
      </c>
      <c r="P778" s="1633">
        <f>'Part VI-Revenues &amp; Expenses'!P16</f>
        <v>0</v>
      </c>
      <c r="Q778" s="1823" t="str">
        <f>'Part VI-Revenues &amp; Expenses'!Q16</f>
        <v/>
      </c>
      <c r="R778" s="1824" t="str">
        <f>'Part VI-Revenues &amp; Expenses'!R16</f>
        <v/>
      </c>
      <c r="S778" s="1823">
        <f>'Part VI-Revenues &amp; Expenses'!S16</f>
        <v>0</v>
      </c>
      <c r="T778" s="1824">
        <f>'Part VI-Revenues &amp; Expenses'!T16</f>
        <v>0</v>
      </c>
      <c r="U778" s="1838">
        <f>'Part VI-Revenues &amp; Expenses'!U16:V16</f>
        <v>0</v>
      </c>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312"/>
        <v/>
      </c>
      <c r="EH778" s="742" t="str">
        <f t="shared" si="117"/>
        <v/>
      </c>
      <c r="EI778" s="742" t="str">
        <f t="shared" si="118"/>
        <v/>
      </c>
      <c r="EJ778" s="742" t="str">
        <f t="shared" si="119"/>
        <v/>
      </c>
      <c r="EK778" s="742" t="str">
        <f t="shared" si="120"/>
        <v/>
      </c>
      <c r="EL778" s="742" t="str">
        <f t="shared" si="121"/>
        <v/>
      </c>
      <c r="EM778" s="742" t="str">
        <f t="shared" si="122"/>
        <v/>
      </c>
      <c r="EN778" s="742" t="str">
        <f t="shared" si="123"/>
        <v/>
      </c>
      <c r="EO778" s="742" t="str">
        <f t="shared" si="124"/>
        <v/>
      </c>
      <c r="EP778" s="742" t="str">
        <f t="shared" si="125"/>
        <v/>
      </c>
      <c r="EQ778" s="742" t="str">
        <f t="shared" si="126"/>
        <v/>
      </c>
      <c r="ER778" s="742" t="str">
        <f t="shared" si="127"/>
        <v/>
      </c>
      <c r="ES778" s="742" t="str">
        <f t="shared" si="128"/>
        <v/>
      </c>
      <c r="ET778" s="742" t="str">
        <f t="shared" si="129"/>
        <v/>
      </c>
      <c r="EU778" s="742" t="str">
        <f t="shared" si="130"/>
        <v/>
      </c>
      <c r="EV778" s="742" t="str">
        <f t="shared" si="131"/>
        <v/>
      </c>
      <c r="EW778" s="742" t="str">
        <f t="shared" si="313"/>
        <v/>
      </c>
      <c r="EX778" s="742" t="str">
        <f t="shared" si="314"/>
        <v/>
      </c>
      <c r="EY778" s="742" t="str">
        <f t="shared" si="315"/>
        <v/>
      </c>
      <c r="EZ778" s="742" t="str">
        <f t="shared" si="316"/>
        <v/>
      </c>
      <c r="FA778" s="742" t="str">
        <f t="shared" si="317"/>
        <v/>
      </c>
      <c r="FB778" s="742" t="str">
        <f t="shared" si="132"/>
        <v/>
      </c>
      <c r="FC778" s="742" t="str">
        <f t="shared" si="133"/>
        <v/>
      </c>
      <c r="FD778" s="742" t="str">
        <f t="shared" si="134"/>
        <v/>
      </c>
      <c r="FE778" s="742" t="str">
        <f t="shared" si="135"/>
        <v/>
      </c>
      <c r="FF778" s="742" t="str">
        <f t="shared" si="136"/>
        <v/>
      </c>
      <c r="FG778" s="742" t="str">
        <f t="shared" si="318"/>
        <v/>
      </c>
      <c r="FH778" s="742" t="str">
        <f t="shared" si="319"/>
        <v/>
      </c>
      <c r="FI778" s="742" t="str">
        <f t="shared" si="320"/>
        <v/>
      </c>
      <c r="FJ778" s="742" t="str">
        <f t="shared" si="321"/>
        <v/>
      </c>
      <c r="FK778" s="742" t="str">
        <f t="shared" si="322"/>
        <v/>
      </c>
      <c r="FL778" s="742" t="str">
        <f t="shared" si="137"/>
        <v/>
      </c>
      <c r="FM778" s="742" t="str">
        <f t="shared" si="138"/>
        <v/>
      </c>
      <c r="FN778" s="742" t="str">
        <f t="shared" si="139"/>
        <v/>
      </c>
      <c r="FO778" s="742" t="str">
        <f t="shared" si="140"/>
        <v/>
      </c>
      <c r="FP778" s="742" t="str">
        <f t="shared" si="141"/>
        <v/>
      </c>
      <c r="FQ778" s="742" t="str">
        <f t="shared" si="142"/>
        <v/>
      </c>
      <c r="FR778" s="742" t="str">
        <f t="shared" si="143"/>
        <v/>
      </c>
      <c r="FS778" s="742" t="str">
        <f t="shared" si="144"/>
        <v/>
      </c>
      <c r="FT778" s="742" t="str">
        <f t="shared" si="145"/>
        <v/>
      </c>
      <c r="FU778" s="742" t="str">
        <f t="shared" si="146"/>
        <v/>
      </c>
      <c r="FV778" s="742" t="str">
        <f t="shared" si="147"/>
        <v/>
      </c>
      <c r="FW778" s="742" t="str">
        <f t="shared" si="148"/>
        <v/>
      </c>
      <c r="FX778" s="742" t="str">
        <f t="shared" si="149"/>
        <v/>
      </c>
      <c r="FY778" s="742" t="str">
        <f t="shared" si="150"/>
        <v/>
      </c>
      <c r="FZ778" s="742" t="str">
        <f t="shared" si="151"/>
        <v/>
      </c>
      <c r="GA778" s="742" t="str">
        <f t="shared" si="152"/>
        <v/>
      </c>
      <c r="GB778" s="742" t="str">
        <f t="shared" si="153"/>
        <v/>
      </c>
      <c r="GC778" s="742" t="str">
        <f t="shared" si="154"/>
        <v/>
      </c>
      <c r="GD778" s="742" t="str">
        <f t="shared" si="155"/>
        <v/>
      </c>
      <c r="GE778" s="742" t="str">
        <f t="shared" si="156"/>
        <v/>
      </c>
      <c r="GF778" s="742" t="str">
        <f t="shared" si="157"/>
        <v/>
      </c>
      <c r="GG778" s="742" t="str">
        <f t="shared" si="158"/>
        <v/>
      </c>
      <c r="GH778" s="742" t="str">
        <f t="shared" si="159"/>
        <v/>
      </c>
      <c r="GI778" s="742" t="str">
        <f t="shared" si="160"/>
        <v/>
      </c>
      <c r="GJ778" s="742" t="str">
        <f t="shared" si="161"/>
        <v/>
      </c>
      <c r="GK778" s="742" t="str">
        <f t="shared" si="162"/>
        <v/>
      </c>
      <c r="GL778" s="742" t="str">
        <f t="shared" si="163"/>
        <v/>
      </c>
      <c r="GM778" s="742" t="str">
        <f t="shared" si="164"/>
        <v/>
      </c>
      <c r="GN778" s="742" t="str">
        <f t="shared" si="165"/>
        <v/>
      </c>
      <c r="GO778" s="742" t="str">
        <f t="shared" si="166"/>
        <v/>
      </c>
      <c r="GP778" s="742" t="str">
        <f t="shared" si="167"/>
        <v/>
      </c>
      <c r="GQ778" s="742" t="str">
        <f t="shared" si="168"/>
        <v/>
      </c>
      <c r="GR778" s="742" t="str">
        <f t="shared" si="169"/>
        <v/>
      </c>
      <c r="GS778" s="742" t="str">
        <f t="shared" si="170"/>
        <v/>
      </c>
      <c r="GT778" s="742" t="str">
        <f t="shared" si="171"/>
        <v/>
      </c>
      <c r="GU778" s="742" t="str">
        <f t="shared" si="172"/>
        <v/>
      </c>
      <c r="GV778" s="742" t="str">
        <f t="shared" si="173"/>
        <v/>
      </c>
      <c r="GW778" s="742" t="str">
        <f t="shared" si="174"/>
        <v/>
      </c>
      <c r="GX778" s="742" t="str">
        <f t="shared" si="175"/>
        <v/>
      </c>
      <c r="GY778" s="742" t="str">
        <f t="shared" si="176"/>
        <v/>
      </c>
      <c r="GZ778" s="742" t="str">
        <f t="shared" si="177"/>
        <v/>
      </c>
      <c r="HA778" s="742" t="str">
        <f t="shared" si="178"/>
        <v/>
      </c>
      <c r="HB778" s="742" t="str">
        <f t="shared" si="179"/>
        <v/>
      </c>
      <c r="HC778" s="742" t="str">
        <f t="shared" si="180"/>
        <v/>
      </c>
      <c r="HD778" s="742" t="str">
        <f t="shared" si="181"/>
        <v/>
      </c>
      <c r="HE778" s="742" t="str">
        <f t="shared" si="182"/>
        <v/>
      </c>
      <c r="HF778" s="742" t="str">
        <f t="shared" si="183"/>
        <v/>
      </c>
      <c r="HG778" s="742" t="str">
        <f t="shared" si="184"/>
        <v/>
      </c>
      <c r="HH778" s="742" t="str">
        <f t="shared" si="185"/>
        <v/>
      </c>
      <c r="HI778" s="742" t="str">
        <f t="shared" si="186"/>
        <v/>
      </c>
      <c r="HJ778" s="742" t="str">
        <f t="shared" si="187"/>
        <v/>
      </c>
      <c r="HK778" s="742" t="str">
        <f t="shared" si="188"/>
        <v/>
      </c>
      <c r="HL778" s="742" t="str">
        <f t="shared" si="189"/>
        <v/>
      </c>
      <c r="HM778" s="742" t="str">
        <f t="shared" si="190"/>
        <v/>
      </c>
      <c r="HN778" s="742" t="str">
        <f t="shared" si="191"/>
        <v/>
      </c>
      <c r="HO778" s="742" t="str">
        <f t="shared" si="192"/>
        <v/>
      </c>
      <c r="HP778" s="742" t="str">
        <f t="shared" si="193"/>
        <v/>
      </c>
      <c r="HQ778" s="742" t="str">
        <f t="shared" si="194"/>
        <v/>
      </c>
      <c r="HR778" s="742" t="str">
        <f t="shared" si="195"/>
        <v/>
      </c>
      <c r="HS778" s="742" t="str">
        <f t="shared" si="196"/>
        <v/>
      </c>
      <c r="HT778" s="742" t="str">
        <f t="shared" si="197"/>
        <v/>
      </c>
      <c r="HU778" s="742" t="str">
        <f t="shared" si="198"/>
        <v/>
      </c>
      <c r="HV778" s="742" t="str">
        <f t="shared" si="199"/>
        <v/>
      </c>
      <c r="HW778" s="742" t="str">
        <f t="shared" si="200"/>
        <v/>
      </c>
      <c r="HX778" s="742" t="str">
        <f t="shared" si="201"/>
        <v/>
      </c>
      <c r="HY778" s="1638" t="str">
        <f t="shared" si="202"/>
        <v/>
      </c>
      <c r="HZ778" s="1638" t="str">
        <f t="shared" si="203"/>
        <v/>
      </c>
      <c r="IA778" s="1638" t="str">
        <f t="shared" si="204"/>
        <v/>
      </c>
      <c r="IB778" s="1638" t="str">
        <f t="shared" si="205"/>
        <v/>
      </c>
      <c r="IC778" s="1638" t="str">
        <f t="shared" si="206"/>
        <v/>
      </c>
      <c r="ID778" s="1638" t="str">
        <f t="shared" si="207"/>
        <v/>
      </c>
      <c r="IE778" s="1638" t="str">
        <f t="shared" si="208"/>
        <v/>
      </c>
      <c r="IF778" s="1638" t="str">
        <f t="shared" si="209"/>
        <v/>
      </c>
      <c r="IG778" s="1638" t="str">
        <f t="shared" si="210"/>
        <v/>
      </c>
      <c r="IH778" s="1638" t="str">
        <f t="shared" si="211"/>
        <v/>
      </c>
      <c r="II778" s="1638" t="str">
        <f t="shared" si="212"/>
        <v/>
      </c>
      <c r="IJ778" s="1638" t="str">
        <f t="shared" si="213"/>
        <v/>
      </c>
      <c r="IK778" s="1638" t="str">
        <f t="shared" si="214"/>
        <v/>
      </c>
      <c r="IL778" s="1638" t="str">
        <f t="shared" si="215"/>
        <v/>
      </c>
      <c r="IM778" s="1638" t="str">
        <f t="shared" si="216"/>
        <v/>
      </c>
      <c r="IN778" s="1638" t="str">
        <f t="shared" si="217"/>
        <v/>
      </c>
      <c r="IO778" s="1638" t="str">
        <f t="shared" si="218"/>
        <v/>
      </c>
      <c r="IP778" s="1638" t="str">
        <f t="shared" si="219"/>
        <v/>
      </c>
      <c r="IQ778" s="1638" t="str">
        <f t="shared" si="220"/>
        <v/>
      </c>
      <c r="IR778" s="1638" t="str">
        <f t="shared" si="221"/>
        <v/>
      </c>
      <c r="IS778" s="1638" t="str">
        <f t="shared" si="222"/>
        <v/>
      </c>
      <c r="IT778" s="1638" t="str">
        <f t="shared" si="223"/>
        <v/>
      </c>
      <c r="IU778" s="1638" t="str">
        <f t="shared" si="224"/>
        <v/>
      </c>
      <c r="IV778" s="1638" t="str">
        <f t="shared" si="225"/>
        <v/>
      </c>
      <c r="IW778" s="1638" t="str">
        <f t="shared" si="226"/>
        <v/>
      </c>
      <c r="IX778" s="1638" t="str">
        <f t="shared" si="227"/>
        <v/>
      </c>
      <c r="IY778" s="1638" t="str">
        <f t="shared" si="228"/>
        <v/>
      </c>
      <c r="IZ778" s="1638" t="str">
        <f t="shared" si="229"/>
        <v/>
      </c>
      <c r="JA778" s="1638" t="str">
        <f t="shared" si="230"/>
        <v/>
      </c>
      <c r="JB778" s="1638" t="str">
        <f t="shared" si="231"/>
        <v/>
      </c>
      <c r="JC778" s="1638" t="str">
        <f t="shared" si="232"/>
        <v/>
      </c>
      <c r="JD778" s="1638" t="str">
        <f t="shared" si="233"/>
        <v/>
      </c>
      <c r="JE778" s="1638" t="str">
        <f t="shared" si="234"/>
        <v/>
      </c>
      <c r="JF778" s="1638" t="str">
        <f t="shared" si="235"/>
        <v/>
      </c>
      <c r="JG778" s="1638" t="str">
        <f t="shared" si="236"/>
        <v/>
      </c>
      <c r="JH778" s="1638" t="str">
        <f t="shared" si="237"/>
        <v/>
      </c>
      <c r="JI778" s="1638" t="str">
        <f t="shared" si="238"/>
        <v/>
      </c>
      <c r="JJ778" s="1638" t="str">
        <f t="shared" si="239"/>
        <v/>
      </c>
      <c r="JK778" s="1638" t="str">
        <f t="shared" si="240"/>
        <v/>
      </c>
      <c r="JL778" s="1638" t="str">
        <f t="shared" si="241"/>
        <v/>
      </c>
      <c r="JM778" s="1638" t="str">
        <f t="shared" si="242"/>
        <v/>
      </c>
      <c r="JN778" s="1638" t="str">
        <f t="shared" si="243"/>
        <v/>
      </c>
      <c r="JO778" s="1638" t="str">
        <f t="shared" si="244"/>
        <v/>
      </c>
      <c r="JP778" s="1638" t="str">
        <f t="shared" si="245"/>
        <v/>
      </c>
      <c r="JQ778" s="1638" t="str">
        <f t="shared" si="246"/>
        <v/>
      </c>
      <c r="JR778" s="1638" t="str">
        <f t="shared" si="247"/>
        <v/>
      </c>
      <c r="JS778" s="1638" t="str">
        <f t="shared" si="248"/>
        <v/>
      </c>
      <c r="JT778" s="1638" t="str">
        <f t="shared" si="249"/>
        <v/>
      </c>
      <c r="JU778" s="1638" t="str">
        <f t="shared" si="250"/>
        <v/>
      </c>
      <c r="JV778" s="1638" t="str">
        <f t="shared" si="251"/>
        <v/>
      </c>
      <c r="JW778" s="1638" t="str">
        <f t="shared" si="252"/>
        <v/>
      </c>
      <c r="JX778" s="1638" t="str">
        <f t="shared" si="253"/>
        <v/>
      </c>
      <c r="JY778" s="1638" t="str">
        <f t="shared" si="254"/>
        <v/>
      </c>
      <c r="JZ778" s="1638" t="str">
        <f t="shared" si="255"/>
        <v/>
      </c>
      <c r="KA778" s="1638" t="str">
        <f t="shared" si="256"/>
        <v/>
      </c>
      <c r="KB778" s="1638" t="str">
        <f t="shared" si="257"/>
        <v/>
      </c>
      <c r="KC778" s="1638" t="str">
        <f t="shared" si="258"/>
        <v/>
      </c>
      <c r="KD778" s="1638" t="str">
        <f t="shared" si="259"/>
        <v/>
      </c>
      <c r="KE778" s="1638" t="str">
        <f t="shared" si="260"/>
        <v/>
      </c>
      <c r="KF778" s="1638" t="str">
        <f t="shared" si="261"/>
        <v/>
      </c>
      <c r="KG778" s="1638" t="str">
        <f t="shared" si="262"/>
        <v/>
      </c>
      <c r="KH778" s="1638" t="str">
        <f t="shared" si="263"/>
        <v/>
      </c>
      <c r="KI778" s="1638" t="str">
        <f t="shared" si="264"/>
        <v/>
      </c>
      <c r="KJ778" s="1638" t="str">
        <f t="shared" si="265"/>
        <v/>
      </c>
      <c r="KK778" s="1638" t="str">
        <f t="shared" si="266"/>
        <v/>
      </c>
      <c r="KL778" s="1638" t="str">
        <f t="shared" si="267"/>
        <v/>
      </c>
      <c r="KM778" s="1638" t="str">
        <f t="shared" si="268"/>
        <v/>
      </c>
      <c r="KN778" s="1638" t="str">
        <f t="shared" si="269"/>
        <v/>
      </c>
      <c r="KO778" s="1638" t="str">
        <f t="shared" si="270"/>
        <v/>
      </c>
      <c r="KP778" s="1638" t="str">
        <f t="shared" si="271"/>
        <v/>
      </c>
      <c r="KQ778" s="1638" t="str">
        <f t="shared" si="272"/>
        <v/>
      </c>
      <c r="KR778" s="1638" t="str">
        <f t="shared" si="273"/>
        <v/>
      </c>
      <c r="KS778" s="1638" t="str">
        <f t="shared" si="274"/>
        <v/>
      </c>
      <c r="KT778" s="1638" t="str">
        <f t="shared" si="275"/>
        <v/>
      </c>
      <c r="KU778" s="1638" t="str">
        <f t="shared" si="276"/>
        <v/>
      </c>
      <c r="KV778" s="1638" t="str">
        <f t="shared" si="277"/>
        <v/>
      </c>
      <c r="KW778" s="1638" t="str">
        <f t="shared" si="278"/>
        <v/>
      </c>
      <c r="KX778" s="1638" t="str">
        <f t="shared" si="279"/>
        <v/>
      </c>
      <c r="KY778" s="1638" t="str">
        <f t="shared" si="280"/>
        <v/>
      </c>
      <c r="KZ778" s="1638" t="str">
        <f t="shared" si="281"/>
        <v/>
      </c>
      <c r="LA778" s="1638" t="str">
        <f t="shared" si="282"/>
        <v/>
      </c>
      <c r="LB778" s="1638" t="str">
        <f t="shared" si="283"/>
        <v/>
      </c>
      <c r="LC778" s="1638" t="str">
        <f t="shared" si="284"/>
        <v/>
      </c>
      <c r="LD778" s="1638" t="str">
        <f t="shared" si="285"/>
        <v/>
      </c>
      <c r="LE778" s="1638" t="str">
        <f t="shared" si="286"/>
        <v/>
      </c>
      <c r="LF778" s="1637" t="str">
        <f t="shared" si="287"/>
        <v/>
      </c>
      <c r="LG778" s="1637" t="str">
        <f t="shared" si="288"/>
        <v/>
      </c>
      <c r="LH778" s="1637" t="str">
        <f t="shared" si="289"/>
        <v/>
      </c>
      <c r="LI778" s="1637" t="str">
        <f t="shared" si="290"/>
        <v/>
      </c>
      <c r="LJ778" s="1637" t="str">
        <f t="shared" si="291"/>
        <v/>
      </c>
      <c r="LK778" s="742" t="str">
        <f t="shared" si="292"/>
        <v/>
      </c>
      <c r="LL778" s="742" t="str">
        <f t="shared" si="293"/>
        <v/>
      </c>
      <c r="LM778" s="742" t="str">
        <f t="shared" si="294"/>
        <v/>
      </c>
      <c r="LN778" s="742" t="str">
        <f t="shared" si="295"/>
        <v/>
      </c>
      <c r="LO778" s="742" t="str">
        <f t="shared" si="296"/>
        <v/>
      </c>
      <c r="LP778" s="742" t="str">
        <f t="shared" si="297"/>
        <v/>
      </c>
      <c r="LQ778" s="742" t="str">
        <f t="shared" si="298"/>
        <v/>
      </c>
      <c r="LR778" s="742" t="str">
        <f t="shared" si="299"/>
        <v/>
      </c>
      <c r="LS778" s="742" t="str">
        <f t="shared" si="300"/>
        <v/>
      </c>
      <c r="LT778" s="742" t="str">
        <f t="shared" si="301"/>
        <v/>
      </c>
      <c r="LU778" s="742" t="str">
        <f t="shared" si="302"/>
        <v/>
      </c>
      <c r="LV778" s="742" t="str">
        <f t="shared" si="303"/>
        <v/>
      </c>
      <c r="LW778" s="742" t="str">
        <f t="shared" si="304"/>
        <v/>
      </c>
      <c r="LX778" s="742" t="str">
        <f t="shared" si="305"/>
        <v/>
      </c>
      <c r="LY778" s="742" t="str">
        <f t="shared" si="306"/>
        <v/>
      </c>
      <c r="LZ778" s="742" t="str">
        <f t="shared" si="307"/>
        <v/>
      </c>
      <c r="MA778" s="742" t="str">
        <f t="shared" si="308"/>
        <v/>
      </c>
      <c r="MB778" s="742" t="str">
        <f t="shared" si="309"/>
        <v/>
      </c>
      <c r="MC778" s="742" t="str">
        <f t="shared" si="310"/>
        <v/>
      </c>
      <c r="MD778" s="742" t="str">
        <f t="shared" si="311"/>
        <v/>
      </c>
      <c r="ME778" s="1637">
        <f t="shared" si="323"/>
        <v>0</v>
      </c>
      <c r="MF778" s="1637">
        <f t="shared" si="324"/>
        <v>0</v>
      </c>
      <c r="MG778" s="1637">
        <f t="shared" si="325"/>
        <v>0</v>
      </c>
      <c r="MH778" s="1637">
        <f t="shared" si="326"/>
        <v>0</v>
      </c>
      <c r="MI778" s="1637">
        <f t="shared" si="327"/>
        <v>0</v>
      </c>
      <c r="MJ778" s="1637">
        <f t="shared" si="328"/>
        <v>0</v>
      </c>
      <c r="MK778" s="1637">
        <f t="shared" si="329"/>
        <v>0</v>
      </c>
      <c r="ML778" s="1637">
        <f t="shared" si="330"/>
        <v>0</v>
      </c>
      <c r="MM778" s="1637">
        <f t="shared" si="331"/>
        <v>0</v>
      </c>
      <c r="MN778" s="1637">
        <f t="shared" si="332"/>
        <v>0</v>
      </c>
      <c r="MO778" s="1637">
        <f t="shared" si="333"/>
        <v>0</v>
      </c>
      <c r="MP778" s="1637">
        <f t="shared" si="334"/>
        <v>0</v>
      </c>
      <c r="MQ778" s="1637">
        <f t="shared" si="335"/>
        <v>0</v>
      </c>
      <c r="MR778" s="1637">
        <f t="shared" si="336"/>
        <v>0</v>
      </c>
      <c r="MS778" s="1637">
        <f t="shared" si="337"/>
        <v>0</v>
      </c>
    </row>
    <row r="779" spans="1:357" ht="13.5">
      <c r="A779" s="1630" t="str">
        <f t="shared" si="0"/>
        <v/>
      </c>
      <c r="B779" s="2757">
        <f>'Part VI-Revenues &amp; Expenses'!B17</f>
        <v>60</v>
      </c>
      <c r="C779" s="2146">
        <f>'Part VI-Revenues &amp; Expenses'!C17</f>
        <v>1</v>
      </c>
      <c r="D779" s="2147">
        <f>'Part VI-Revenues &amp; Expenses'!D17</f>
        <v>1</v>
      </c>
      <c r="E779" s="2148">
        <f>'Part VI-Revenues &amp; Expenses'!E17</f>
        <v>8</v>
      </c>
      <c r="F779" s="2148">
        <f>'Part VI-Revenues &amp; Expenses'!F17</f>
        <v>745</v>
      </c>
      <c r="G779" s="2148">
        <f>'Part VI-Revenues &amp; Expenses'!G17</f>
        <v>897</v>
      </c>
      <c r="H779" s="2148">
        <f>'Part VI-Revenues &amp; Expenses'!H17</f>
        <v>801</v>
      </c>
      <c r="I779" s="2148">
        <f>'Part VI-Revenues &amp; Expenses'!I17</f>
        <v>61</v>
      </c>
      <c r="J779" s="2149">
        <f>'Part VI-Revenues &amp; Expenses'!J17</f>
        <v>0</v>
      </c>
      <c r="K779" s="1822">
        <f t="shared" si="1"/>
        <v>740</v>
      </c>
      <c r="L779" s="1822">
        <f t="shared" si="2"/>
        <v>5920</v>
      </c>
      <c r="M779" s="2133" t="str">
        <f>'Part VI-Revenues &amp; Expenses'!M17</f>
        <v>No</v>
      </c>
      <c r="N779" s="2133" t="str">
        <f>'Part VI-Revenues &amp; Expenses'!N17</f>
        <v>3+ Story</v>
      </c>
      <c r="O779" s="2133" t="str">
        <f>'Part VI-Revenues &amp; Expenses'!O17</f>
        <v>New Construction</v>
      </c>
      <c r="P779" s="1633" t="str">
        <f>'Part VI-Revenues &amp; Expenses'!P17</f>
        <v>No</v>
      </c>
      <c r="Q779" s="1823">
        <f>'Part VI-Revenues &amp; Expenses'!Q17</f>
        <v>32040</v>
      </c>
      <c r="R779" s="1824">
        <f>'Part VI-Revenues &amp; Expenses'!R17</f>
        <v>0.57112299465240646</v>
      </c>
      <c r="S779" s="1823">
        <f>'Part VI-Revenues &amp; Expenses'!S17</f>
        <v>0</v>
      </c>
      <c r="T779" s="1824">
        <f>'Part VI-Revenues &amp; Expenses'!T17</f>
        <v>0</v>
      </c>
      <c r="U779" s="1838">
        <f>'Part VI-Revenues &amp; Expenses'!U17:V17</f>
        <v>0</v>
      </c>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f t="shared" si="14"/>
        <v>8</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312"/>
        <v/>
      </c>
      <c r="EH779" s="742" t="str">
        <f t="shared" si="117"/>
        <v/>
      </c>
      <c r="EI779" s="742" t="str">
        <f t="shared" si="118"/>
        <v/>
      </c>
      <c r="EJ779" s="742" t="str">
        <f t="shared" si="119"/>
        <v/>
      </c>
      <c r="EK779" s="742" t="str">
        <f t="shared" si="120"/>
        <v/>
      </c>
      <c r="EL779" s="742" t="str">
        <f t="shared" si="121"/>
        <v/>
      </c>
      <c r="EM779" s="742" t="str">
        <f t="shared" si="122"/>
        <v/>
      </c>
      <c r="EN779" s="742" t="str">
        <f t="shared" si="123"/>
        <v/>
      </c>
      <c r="EO779" s="742" t="str">
        <f t="shared" si="124"/>
        <v/>
      </c>
      <c r="EP779" s="742" t="str">
        <f t="shared" si="125"/>
        <v/>
      </c>
      <c r="EQ779" s="742" t="str">
        <f t="shared" si="126"/>
        <v/>
      </c>
      <c r="ER779" s="742" t="str">
        <f t="shared" si="127"/>
        <v/>
      </c>
      <c r="ES779" s="742">
        <f t="shared" si="128"/>
        <v>5960</v>
      </c>
      <c r="ET779" s="742" t="str">
        <f t="shared" si="129"/>
        <v/>
      </c>
      <c r="EU779" s="742" t="str">
        <f t="shared" si="130"/>
        <v/>
      </c>
      <c r="EV779" s="742" t="str">
        <f t="shared" si="131"/>
        <v/>
      </c>
      <c r="EW779" s="742" t="str">
        <f t="shared" si="313"/>
        <v/>
      </c>
      <c r="EX779" s="742" t="str">
        <f t="shared" si="314"/>
        <v/>
      </c>
      <c r="EY779" s="742" t="str">
        <f t="shared" si="315"/>
        <v/>
      </c>
      <c r="EZ779" s="742" t="str">
        <f t="shared" si="316"/>
        <v/>
      </c>
      <c r="FA779" s="742" t="str">
        <f t="shared" si="317"/>
        <v/>
      </c>
      <c r="FB779" s="742" t="str">
        <f t="shared" si="132"/>
        <v/>
      </c>
      <c r="FC779" s="742" t="str">
        <f t="shared" si="133"/>
        <v/>
      </c>
      <c r="FD779" s="742" t="str">
        <f t="shared" si="134"/>
        <v/>
      </c>
      <c r="FE779" s="742" t="str">
        <f t="shared" si="135"/>
        <v/>
      </c>
      <c r="FF779" s="742" t="str">
        <f t="shared" si="136"/>
        <v/>
      </c>
      <c r="FG779" s="742" t="str">
        <f t="shared" si="318"/>
        <v/>
      </c>
      <c r="FH779" s="742" t="str">
        <f t="shared" si="319"/>
        <v/>
      </c>
      <c r="FI779" s="742" t="str">
        <f t="shared" si="320"/>
        <v/>
      </c>
      <c r="FJ779" s="742" t="str">
        <f t="shared" si="321"/>
        <v/>
      </c>
      <c r="FK779" s="742" t="str">
        <f t="shared" si="322"/>
        <v/>
      </c>
      <c r="FL779" s="742" t="str">
        <f t="shared" si="137"/>
        <v/>
      </c>
      <c r="FM779" s="742" t="str">
        <f t="shared" si="138"/>
        <v/>
      </c>
      <c r="FN779" s="742" t="str">
        <f t="shared" si="139"/>
        <v/>
      </c>
      <c r="FO779" s="742" t="str">
        <f t="shared" si="140"/>
        <v/>
      </c>
      <c r="FP779" s="742" t="str">
        <f t="shared" si="141"/>
        <v/>
      </c>
      <c r="FQ779" s="742" t="str">
        <f t="shared" si="142"/>
        <v/>
      </c>
      <c r="FR779" s="742" t="str">
        <f t="shared" si="143"/>
        <v/>
      </c>
      <c r="FS779" s="742" t="str">
        <f t="shared" si="144"/>
        <v/>
      </c>
      <c r="FT779" s="742" t="str">
        <f t="shared" si="145"/>
        <v/>
      </c>
      <c r="FU779" s="742" t="str">
        <f t="shared" si="146"/>
        <v/>
      </c>
      <c r="FV779" s="742" t="str">
        <f t="shared" si="147"/>
        <v/>
      </c>
      <c r="FW779" s="742" t="str">
        <f t="shared" si="148"/>
        <v/>
      </c>
      <c r="FX779" s="742" t="str">
        <f t="shared" si="149"/>
        <v/>
      </c>
      <c r="FY779" s="742" t="str">
        <f t="shared" si="150"/>
        <v/>
      </c>
      <c r="FZ779" s="742" t="str">
        <f t="shared" si="151"/>
        <v/>
      </c>
      <c r="GA779" s="742" t="str">
        <f t="shared" si="152"/>
        <v/>
      </c>
      <c r="GB779" s="742" t="str">
        <f t="shared" si="153"/>
        <v/>
      </c>
      <c r="GC779" s="742" t="str">
        <f t="shared" si="154"/>
        <v/>
      </c>
      <c r="GD779" s="742" t="str">
        <f t="shared" si="155"/>
        <v/>
      </c>
      <c r="GE779" s="742" t="str">
        <f t="shared" si="156"/>
        <v/>
      </c>
      <c r="GF779" s="742" t="str">
        <f t="shared" si="157"/>
        <v/>
      </c>
      <c r="GG779" s="742">
        <f t="shared" si="158"/>
        <v>8</v>
      </c>
      <c r="GH779" s="742" t="str">
        <f t="shared" si="159"/>
        <v/>
      </c>
      <c r="GI779" s="742" t="str">
        <f t="shared" si="160"/>
        <v/>
      </c>
      <c r="GJ779" s="742" t="str">
        <f t="shared" si="161"/>
        <v/>
      </c>
      <c r="GK779" s="742" t="str">
        <f t="shared" si="162"/>
        <v/>
      </c>
      <c r="GL779" s="742" t="str">
        <f t="shared" si="163"/>
        <v/>
      </c>
      <c r="GM779" s="742" t="str">
        <f t="shared" si="164"/>
        <v/>
      </c>
      <c r="GN779" s="742" t="str">
        <f t="shared" si="165"/>
        <v/>
      </c>
      <c r="GO779" s="742" t="str">
        <f t="shared" si="166"/>
        <v/>
      </c>
      <c r="GP779" s="742" t="str">
        <f t="shared" si="167"/>
        <v/>
      </c>
      <c r="GQ779" s="742" t="str">
        <f t="shared" si="168"/>
        <v/>
      </c>
      <c r="GR779" s="742" t="str">
        <f t="shared" si="169"/>
        <v/>
      </c>
      <c r="GS779" s="742" t="str">
        <f t="shared" si="170"/>
        <v/>
      </c>
      <c r="GT779" s="742" t="str">
        <f t="shared" si="171"/>
        <v/>
      </c>
      <c r="GU779" s="742" t="str">
        <f t="shared" si="172"/>
        <v/>
      </c>
      <c r="GV779" s="742" t="str">
        <f t="shared" si="173"/>
        <v/>
      </c>
      <c r="GW779" s="742" t="str">
        <f t="shared" si="174"/>
        <v/>
      </c>
      <c r="GX779" s="742" t="str">
        <f t="shared" si="175"/>
        <v/>
      </c>
      <c r="GY779" s="742" t="str">
        <f t="shared" si="176"/>
        <v/>
      </c>
      <c r="GZ779" s="742" t="str">
        <f t="shared" si="177"/>
        <v/>
      </c>
      <c r="HA779" s="742" t="str">
        <f t="shared" si="178"/>
        <v/>
      </c>
      <c r="HB779" s="742" t="str">
        <f t="shared" si="179"/>
        <v/>
      </c>
      <c r="HC779" s="742" t="str">
        <f t="shared" si="180"/>
        <v/>
      </c>
      <c r="HD779" s="742" t="str">
        <f t="shared" si="181"/>
        <v/>
      </c>
      <c r="HE779" s="742" t="str">
        <f t="shared" si="182"/>
        <v/>
      </c>
      <c r="HF779" s="742" t="str">
        <f t="shared" si="183"/>
        <v/>
      </c>
      <c r="HG779" s="742" t="str">
        <f t="shared" si="184"/>
        <v/>
      </c>
      <c r="HH779" s="742" t="str">
        <f t="shared" si="185"/>
        <v/>
      </c>
      <c r="HI779" s="742" t="str">
        <f t="shared" si="186"/>
        <v/>
      </c>
      <c r="HJ779" s="742" t="str">
        <f t="shared" si="187"/>
        <v/>
      </c>
      <c r="HK779" s="742" t="str">
        <f t="shared" si="188"/>
        <v/>
      </c>
      <c r="HL779" s="742" t="str">
        <f t="shared" si="189"/>
        <v/>
      </c>
      <c r="HM779" s="742" t="str">
        <f t="shared" si="190"/>
        <v/>
      </c>
      <c r="HN779" s="742" t="str">
        <f t="shared" si="191"/>
        <v/>
      </c>
      <c r="HO779" s="742" t="str">
        <f t="shared" si="192"/>
        <v/>
      </c>
      <c r="HP779" s="742" t="str">
        <f t="shared" si="193"/>
        <v/>
      </c>
      <c r="HQ779" s="742" t="str">
        <f t="shared" si="194"/>
        <v/>
      </c>
      <c r="HR779" s="742" t="str">
        <f t="shared" si="195"/>
        <v/>
      </c>
      <c r="HS779" s="742" t="str">
        <f t="shared" si="196"/>
        <v/>
      </c>
      <c r="HT779" s="742" t="str">
        <f t="shared" si="197"/>
        <v/>
      </c>
      <c r="HU779" s="742" t="str">
        <f t="shared" si="198"/>
        <v/>
      </c>
      <c r="HV779" s="742" t="str">
        <f t="shared" si="199"/>
        <v/>
      </c>
      <c r="HW779" s="742" t="str">
        <f t="shared" si="200"/>
        <v/>
      </c>
      <c r="HX779" s="742" t="str">
        <f t="shared" si="201"/>
        <v/>
      </c>
      <c r="HY779" s="1638" t="str">
        <f t="shared" si="202"/>
        <v/>
      </c>
      <c r="HZ779" s="1638">
        <f t="shared" si="203"/>
        <v>8</v>
      </c>
      <c r="IA779" s="1638" t="str">
        <f t="shared" si="204"/>
        <v/>
      </c>
      <c r="IB779" s="1638" t="str">
        <f t="shared" si="205"/>
        <v/>
      </c>
      <c r="IC779" s="1638" t="str">
        <f t="shared" si="206"/>
        <v/>
      </c>
      <c r="ID779" s="1638" t="str">
        <f t="shared" si="207"/>
        <v/>
      </c>
      <c r="IE779" s="1638" t="str">
        <f t="shared" si="208"/>
        <v/>
      </c>
      <c r="IF779" s="1638" t="str">
        <f t="shared" si="209"/>
        <v/>
      </c>
      <c r="IG779" s="1638" t="str">
        <f t="shared" si="210"/>
        <v/>
      </c>
      <c r="IH779" s="1638" t="str">
        <f t="shared" si="211"/>
        <v/>
      </c>
      <c r="II779" s="1638" t="str">
        <f t="shared" si="212"/>
        <v/>
      </c>
      <c r="IJ779" s="1638" t="str">
        <f t="shared" si="213"/>
        <v/>
      </c>
      <c r="IK779" s="1638" t="str">
        <f t="shared" si="214"/>
        <v/>
      </c>
      <c r="IL779" s="1638" t="str">
        <f t="shared" si="215"/>
        <v/>
      </c>
      <c r="IM779" s="1638" t="str">
        <f t="shared" si="216"/>
        <v/>
      </c>
      <c r="IN779" s="1638" t="str">
        <f t="shared" si="217"/>
        <v/>
      </c>
      <c r="IO779" s="1638" t="str">
        <f t="shared" si="218"/>
        <v/>
      </c>
      <c r="IP779" s="1638" t="str">
        <f t="shared" si="219"/>
        <v/>
      </c>
      <c r="IQ779" s="1638" t="str">
        <f t="shared" si="220"/>
        <v/>
      </c>
      <c r="IR779" s="1638" t="str">
        <f t="shared" si="221"/>
        <v/>
      </c>
      <c r="IS779" s="1638" t="str">
        <f t="shared" si="222"/>
        <v/>
      </c>
      <c r="IT779" s="1638" t="str">
        <f t="shared" si="223"/>
        <v/>
      </c>
      <c r="IU779" s="1638" t="str">
        <f t="shared" si="224"/>
        <v/>
      </c>
      <c r="IV779" s="1638" t="str">
        <f t="shared" si="225"/>
        <v/>
      </c>
      <c r="IW779" s="1638" t="str">
        <f t="shared" si="226"/>
        <v/>
      </c>
      <c r="IX779" s="1638" t="str">
        <f t="shared" si="227"/>
        <v/>
      </c>
      <c r="IY779" s="1638" t="str">
        <f t="shared" si="228"/>
        <v/>
      </c>
      <c r="IZ779" s="1638" t="str">
        <f t="shared" si="229"/>
        <v/>
      </c>
      <c r="JA779" s="1638" t="str">
        <f t="shared" si="230"/>
        <v/>
      </c>
      <c r="JB779" s="1638" t="str">
        <f t="shared" si="231"/>
        <v/>
      </c>
      <c r="JC779" s="1638" t="str">
        <f t="shared" si="232"/>
        <v/>
      </c>
      <c r="JD779" s="1638" t="str">
        <f t="shared" si="233"/>
        <v/>
      </c>
      <c r="JE779" s="1638" t="str">
        <f t="shared" si="234"/>
        <v/>
      </c>
      <c r="JF779" s="1638" t="str">
        <f t="shared" si="235"/>
        <v/>
      </c>
      <c r="JG779" s="1638" t="str">
        <f t="shared" si="236"/>
        <v/>
      </c>
      <c r="JH779" s="1638" t="str">
        <f t="shared" si="237"/>
        <v/>
      </c>
      <c r="JI779" s="1638" t="str">
        <f t="shared" si="238"/>
        <v/>
      </c>
      <c r="JJ779" s="1638" t="str">
        <f t="shared" si="239"/>
        <v/>
      </c>
      <c r="JK779" s="1638" t="str">
        <f t="shared" si="240"/>
        <v/>
      </c>
      <c r="JL779" s="1638" t="str">
        <f t="shared" si="241"/>
        <v/>
      </c>
      <c r="JM779" s="1638" t="str">
        <f t="shared" si="242"/>
        <v/>
      </c>
      <c r="JN779" s="1638" t="str">
        <f t="shared" si="243"/>
        <v/>
      </c>
      <c r="JO779" s="1638" t="str">
        <f t="shared" si="244"/>
        <v/>
      </c>
      <c r="JP779" s="1638" t="str">
        <f t="shared" si="245"/>
        <v/>
      </c>
      <c r="JQ779" s="1638" t="str">
        <f t="shared" si="246"/>
        <v/>
      </c>
      <c r="JR779" s="1638" t="str">
        <f t="shared" si="247"/>
        <v/>
      </c>
      <c r="JS779" s="1638" t="str">
        <f t="shared" si="248"/>
        <v/>
      </c>
      <c r="JT779" s="1638" t="str">
        <f t="shared" si="249"/>
        <v/>
      </c>
      <c r="JU779" s="1638" t="str">
        <f t="shared" si="250"/>
        <v/>
      </c>
      <c r="JV779" s="1638" t="str">
        <f t="shared" si="251"/>
        <v/>
      </c>
      <c r="JW779" s="1638" t="str">
        <f t="shared" si="252"/>
        <v/>
      </c>
      <c r="JX779" s="1638" t="str">
        <f t="shared" si="253"/>
        <v/>
      </c>
      <c r="JY779" s="1638" t="str">
        <f t="shared" si="254"/>
        <v/>
      </c>
      <c r="JZ779" s="1638" t="str">
        <f t="shared" si="255"/>
        <v/>
      </c>
      <c r="KA779" s="1638" t="str">
        <f t="shared" si="256"/>
        <v/>
      </c>
      <c r="KB779" s="1638" t="str">
        <f t="shared" si="257"/>
        <v/>
      </c>
      <c r="KC779" s="1638" t="str">
        <f t="shared" si="258"/>
        <v/>
      </c>
      <c r="KD779" s="1638" t="str">
        <f t="shared" si="259"/>
        <v/>
      </c>
      <c r="KE779" s="1638" t="str">
        <f t="shared" si="260"/>
        <v/>
      </c>
      <c r="KF779" s="1638" t="str">
        <f t="shared" si="261"/>
        <v/>
      </c>
      <c r="KG779" s="1638" t="str">
        <f t="shared" si="262"/>
        <v/>
      </c>
      <c r="KH779" s="1638" t="str">
        <f t="shared" si="263"/>
        <v/>
      </c>
      <c r="KI779" s="1638" t="str">
        <f t="shared" si="264"/>
        <v/>
      </c>
      <c r="KJ779" s="1638" t="str">
        <f t="shared" si="265"/>
        <v/>
      </c>
      <c r="KK779" s="1638" t="str">
        <f t="shared" si="266"/>
        <v/>
      </c>
      <c r="KL779" s="1638" t="str">
        <f t="shared" si="267"/>
        <v/>
      </c>
      <c r="KM779" s="1638" t="str">
        <f t="shared" si="268"/>
        <v/>
      </c>
      <c r="KN779" s="1638" t="str">
        <f t="shared" si="269"/>
        <v/>
      </c>
      <c r="KO779" s="1638" t="str">
        <f t="shared" si="270"/>
        <v/>
      </c>
      <c r="KP779" s="1638" t="str">
        <f t="shared" si="271"/>
        <v/>
      </c>
      <c r="KQ779" s="1638" t="str">
        <f t="shared" si="272"/>
        <v/>
      </c>
      <c r="KR779" s="1638" t="str">
        <f t="shared" si="273"/>
        <v/>
      </c>
      <c r="KS779" s="1638" t="str">
        <f t="shared" si="274"/>
        <v/>
      </c>
      <c r="KT779" s="1638" t="str">
        <f t="shared" si="275"/>
        <v/>
      </c>
      <c r="KU779" s="1638" t="str">
        <f t="shared" si="276"/>
        <v/>
      </c>
      <c r="KV779" s="1638" t="str">
        <f t="shared" si="277"/>
        <v/>
      </c>
      <c r="KW779" s="1638">
        <f t="shared" si="278"/>
        <v>8</v>
      </c>
      <c r="KX779" s="1638" t="str">
        <f t="shared" si="279"/>
        <v/>
      </c>
      <c r="KY779" s="1638" t="str">
        <f t="shared" si="280"/>
        <v/>
      </c>
      <c r="KZ779" s="1638" t="str">
        <f t="shared" si="281"/>
        <v/>
      </c>
      <c r="LA779" s="1638" t="str">
        <f t="shared" si="282"/>
        <v/>
      </c>
      <c r="LB779" s="1638" t="str">
        <f t="shared" si="283"/>
        <v/>
      </c>
      <c r="LC779" s="1638" t="str">
        <f t="shared" si="284"/>
        <v/>
      </c>
      <c r="LD779" s="1638" t="str">
        <f t="shared" si="285"/>
        <v/>
      </c>
      <c r="LE779" s="1638" t="str">
        <f t="shared" si="286"/>
        <v/>
      </c>
      <c r="LF779" s="1637" t="str">
        <f t="shared" si="287"/>
        <v/>
      </c>
      <c r="LG779" s="1637" t="str">
        <f t="shared" si="288"/>
        <v/>
      </c>
      <c r="LH779" s="1637" t="str">
        <f t="shared" si="289"/>
        <v/>
      </c>
      <c r="LI779" s="1637" t="str">
        <f t="shared" si="290"/>
        <v/>
      </c>
      <c r="LJ779" s="1637" t="str">
        <f t="shared" si="291"/>
        <v/>
      </c>
      <c r="LK779" s="742" t="str">
        <f t="shared" si="292"/>
        <v/>
      </c>
      <c r="LL779" s="742" t="str">
        <f t="shared" si="293"/>
        <v/>
      </c>
      <c r="LM779" s="742" t="str">
        <f t="shared" si="294"/>
        <v/>
      </c>
      <c r="LN779" s="742" t="str">
        <f t="shared" si="295"/>
        <v/>
      </c>
      <c r="LO779" s="742" t="str">
        <f t="shared" si="296"/>
        <v/>
      </c>
      <c r="LP779" s="742" t="str">
        <f t="shared" si="297"/>
        <v/>
      </c>
      <c r="LQ779" s="742" t="str">
        <f t="shared" si="298"/>
        <v/>
      </c>
      <c r="LR779" s="742" t="str">
        <f t="shared" si="299"/>
        <v/>
      </c>
      <c r="LS779" s="742" t="str">
        <f t="shared" si="300"/>
        <v/>
      </c>
      <c r="LT779" s="742" t="str">
        <f t="shared" si="301"/>
        <v/>
      </c>
      <c r="LU779" s="742" t="str">
        <f t="shared" si="302"/>
        <v/>
      </c>
      <c r="LV779" s="742" t="str">
        <f t="shared" si="303"/>
        <v/>
      </c>
      <c r="LW779" s="742" t="str">
        <f t="shared" si="304"/>
        <v/>
      </c>
      <c r="LX779" s="742" t="str">
        <f t="shared" si="305"/>
        <v/>
      </c>
      <c r="LY779" s="742" t="str">
        <f t="shared" si="306"/>
        <v/>
      </c>
      <c r="LZ779" s="742" t="str">
        <f t="shared" si="307"/>
        <v/>
      </c>
      <c r="MA779" s="742" t="str">
        <f t="shared" si="308"/>
        <v/>
      </c>
      <c r="MB779" s="742" t="str">
        <f t="shared" si="309"/>
        <v/>
      </c>
      <c r="MC779" s="742" t="str">
        <f t="shared" si="310"/>
        <v/>
      </c>
      <c r="MD779" s="742" t="str">
        <f t="shared" si="311"/>
        <v/>
      </c>
      <c r="ME779" s="1637">
        <f t="shared" si="323"/>
        <v>0</v>
      </c>
      <c r="MF779" s="1637">
        <f t="shared" si="324"/>
        <v>0</v>
      </c>
      <c r="MG779" s="1637">
        <f t="shared" si="325"/>
        <v>0</v>
      </c>
      <c r="MH779" s="1637">
        <f t="shared" si="326"/>
        <v>0</v>
      </c>
      <c r="MI779" s="1637">
        <f t="shared" si="327"/>
        <v>0</v>
      </c>
      <c r="MJ779" s="1637">
        <f t="shared" si="328"/>
        <v>0</v>
      </c>
      <c r="MK779" s="1637">
        <f t="shared" si="329"/>
        <v>8</v>
      </c>
      <c r="ML779" s="1637">
        <f t="shared" si="330"/>
        <v>0</v>
      </c>
      <c r="MM779" s="1637">
        <f t="shared" si="331"/>
        <v>0</v>
      </c>
      <c r="MN779" s="1637">
        <f t="shared" si="332"/>
        <v>0</v>
      </c>
      <c r="MO779" s="1637">
        <f t="shared" si="333"/>
        <v>0</v>
      </c>
      <c r="MP779" s="1637">
        <f t="shared" si="334"/>
        <v>0</v>
      </c>
      <c r="MQ779" s="1637">
        <f t="shared" si="335"/>
        <v>0</v>
      </c>
      <c r="MR779" s="1637">
        <f t="shared" si="336"/>
        <v>0</v>
      </c>
      <c r="MS779" s="1637">
        <f t="shared" si="337"/>
        <v>0</v>
      </c>
    </row>
    <row r="780" spans="1:357" ht="13.5">
      <c r="A780" s="1630" t="str">
        <f t="shared" si="0"/>
        <v/>
      </c>
      <c r="B780" s="2757">
        <f>'Part VI-Revenues &amp; Expenses'!B18</f>
        <v>60</v>
      </c>
      <c r="C780" s="2146">
        <f>'Part VI-Revenues &amp; Expenses'!C18</f>
        <v>1</v>
      </c>
      <c r="D780" s="2147">
        <f>'Part VI-Revenues &amp; Expenses'!D18</f>
        <v>1</v>
      </c>
      <c r="E780" s="2148">
        <f>'Part VI-Revenues &amp; Expenses'!E18</f>
        <v>2</v>
      </c>
      <c r="F780" s="2148">
        <f>'Part VI-Revenues &amp; Expenses'!F18</f>
        <v>814</v>
      </c>
      <c r="G780" s="2148">
        <f>'Part VI-Revenues &amp; Expenses'!G18</f>
        <v>897</v>
      </c>
      <c r="H780" s="2148">
        <f>'Part VI-Revenues &amp; Expenses'!H18</f>
        <v>801</v>
      </c>
      <c r="I780" s="2148">
        <f>'Part VI-Revenues &amp; Expenses'!I18</f>
        <v>61</v>
      </c>
      <c r="J780" s="2149">
        <f>'Part VI-Revenues &amp; Expenses'!J18</f>
        <v>0</v>
      </c>
      <c r="K780" s="1822">
        <f t="shared" si="1"/>
        <v>740</v>
      </c>
      <c r="L780" s="1822">
        <f t="shared" si="2"/>
        <v>1480</v>
      </c>
      <c r="M780" s="2133" t="str">
        <f>'Part VI-Revenues &amp; Expenses'!M18</f>
        <v>No</v>
      </c>
      <c r="N780" s="2133" t="str">
        <f>'Part VI-Revenues &amp; Expenses'!N18</f>
        <v>3+ Story</v>
      </c>
      <c r="O780" s="2133" t="str">
        <f>'Part VI-Revenues &amp; Expenses'!O18</f>
        <v>New Construction</v>
      </c>
      <c r="P780" s="1633" t="str">
        <f>'Part VI-Revenues &amp; Expenses'!P18</f>
        <v>No</v>
      </c>
      <c r="Q780" s="1823">
        <f>'Part VI-Revenues &amp; Expenses'!Q18</f>
        <v>32040</v>
      </c>
      <c r="R780" s="1824">
        <f>'Part VI-Revenues &amp; Expenses'!R18</f>
        <v>0.57112299465240646</v>
      </c>
      <c r="S780" s="1823">
        <f>'Part VI-Revenues &amp; Expenses'!S18</f>
        <v>0</v>
      </c>
      <c r="T780" s="1824">
        <f>'Part VI-Revenues &amp; Expenses'!T18</f>
        <v>0</v>
      </c>
      <c r="U780" s="1838">
        <f>'Part VI-Revenues &amp; Expenses'!U18:V18</f>
        <v>0</v>
      </c>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f t="shared" si="14"/>
        <v>2</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312"/>
        <v/>
      </c>
      <c r="EH780" s="742" t="str">
        <f t="shared" si="117"/>
        <v/>
      </c>
      <c r="EI780" s="742" t="str">
        <f t="shared" si="118"/>
        <v/>
      </c>
      <c r="EJ780" s="742" t="str">
        <f t="shared" si="119"/>
        <v/>
      </c>
      <c r="EK780" s="742" t="str">
        <f t="shared" si="120"/>
        <v/>
      </c>
      <c r="EL780" s="742" t="str">
        <f t="shared" si="121"/>
        <v/>
      </c>
      <c r="EM780" s="742" t="str">
        <f t="shared" si="122"/>
        <v/>
      </c>
      <c r="EN780" s="742" t="str">
        <f t="shared" si="123"/>
        <v/>
      </c>
      <c r="EO780" s="742" t="str">
        <f t="shared" si="124"/>
        <v/>
      </c>
      <c r="EP780" s="742" t="str">
        <f t="shared" si="125"/>
        <v/>
      </c>
      <c r="EQ780" s="742" t="str">
        <f t="shared" si="126"/>
        <v/>
      </c>
      <c r="ER780" s="742" t="str">
        <f t="shared" si="127"/>
        <v/>
      </c>
      <c r="ES780" s="742">
        <f t="shared" si="128"/>
        <v>1628</v>
      </c>
      <c r="ET780" s="742" t="str">
        <f t="shared" si="129"/>
        <v/>
      </c>
      <c r="EU780" s="742" t="str">
        <f t="shared" si="130"/>
        <v/>
      </c>
      <c r="EV780" s="742" t="str">
        <f t="shared" si="131"/>
        <v/>
      </c>
      <c r="EW780" s="742" t="str">
        <f t="shared" si="313"/>
        <v/>
      </c>
      <c r="EX780" s="742" t="str">
        <f t="shared" si="314"/>
        <v/>
      </c>
      <c r="EY780" s="742" t="str">
        <f t="shared" si="315"/>
        <v/>
      </c>
      <c r="EZ780" s="742" t="str">
        <f t="shared" si="316"/>
        <v/>
      </c>
      <c r="FA780" s="742" t="str">
        <f t="shared" si="317"/>
        <v/>
      </c>
      <c r="FB780" s="742" t="str">
        <f t="shared" si="132"/>
        <v/>
      </c>
      <c r="FC780" s="742" t="str">
        <f t="shared" si="133"/>
        <v/>
      </c>
      <c r="FD780" s="742" t="str">
        <f t="shared" si="134"/>
        <v/>
      </c>
      <c r="FE780" s="742" t="str">
        <f t="shared" si="135"/>
        <v/>
      </c>
      <c r="FF780" s="742" t="str">
        <f t="shared" si="136"/>
        <v/>
      </c>
      <c r="FG780" s="742" t="str">
        <f t="shared" si="318"/>
        <v/>
      </c>
      <c r="FH780" s="742" t="str">
        <f t="shared" si="319"/>
        <v/>
      </c>
      <c r="FI780" s="742" t="str">
        <f t="shared" si="320"/>
        <v/>
      </c>
      <c r="FJ780" s="742" t="str">
        <f t="shared" si="321"/>
        <v/>
      </c>
      <c r="FK780" s="742" t="str">
        <f t="shared" si="322"/>
        <v/>
      </c>
      <c r="FL780" s="742" t="str">
        <f t="shared" si="137"/>
        <v/>
      </c>
      <c r="FM780" s="742" t="str">
        <f t="shared" si="138"/>
        <v/>
      </c>
      <c r="FN780" s="742" t="str">
        <f t="shared" si="139"/>
        <v/>
      </c>
      <c r="FO780" s="742" t="str">
        <f t="shared" si="140"/>
        <v/>
      </c>
      <c r="FP780" s="742" t="str">
        <f t="shared" si="141"/>
        <v/>
      </c>
      <c r="FQ780" s="742" t="str">
        <f t="shared" si="142"/>
        <v/>
      </c>
      <c r="FR780" s="742" t="str">
        <f t="shared" si="143"/>
        <v/>
      </c>
      <c r="FS780" s="742" t="str">
        <f t="shared" si="144"/>
        <v/>
      </c>
      <c r="FT780" s="742" t="str">
        <f t="shared" si="145"/>
        <v/>
      </c>
      <c r="FU780" s="742" t="str">
        <f t="shared" si="146"/>
        <v/>
      </c>
      <c r="FV780" s="742" t="str">
        <f t="shared" si="147"/>
        <v/>
      </c>
      <c r="FW780" s="742" t="str">
        <f t="shared" si="148"/>
        <v/>
      </c>
      <c r="FX780" s="742" t="str">
        <f t="shared" si="149"/>
        <v/>
      </c>
      <c r="FY780" s="742" t="str">
        <f t="shared" si="150"/>
        <v/>
      </c>
      <c r="FZ780" s="742" t="str">
        <f t="shared" si="151"/>
        <v/>
      </c>
      <c r="GA780" s="742" t="str">
        <f t="shared" si="152"/>
        <v/>
      </c>
      <c r="GB780" s="742" t="str">
        <f t="shared" si="153"/>
        <v/>
      </c>
      <c r="GC780" s="742" t="str">
        <f t="shared" si="154"/>
        <v/>
      </c>
      <c r="GD780" s="742" t="str">
        <f t="shared" si="155"/>
        <v/>
      </c>
      <c r="GE780" s="742" t="str">
        <f t="shared" si="156"/>
        <v/>
      </c>
      <c r="GF780" s="742" t="str">
        <f t="shared" si="157"/>
        <v/>
      </c>
      <c r="GG780" s="742">
        <f t="shared" si="158"/>
        <v>2</v>
      </c>
      <c r="GH780" s="742" t="str">
        <f t="shared" si="159"/>
        <v/>
      </c>
      <c r="GI780" s="742" t="str">
        <f t="shared" si="160"/>
        <v/>
      </c>
      <c r="GJ780" s="742" t="str">
        <f t="shared" si="161"/>
        <v/>
      </c>
      <c r="GK780" s="742" t="str">
        <f t="shared" si="162"/>
        <v/>
      </c>
      <c r="GL780" s="742" t="str">
        <f t="shared" si="163"/>
        <v/>
      </c>
      <c r="GM780" s="742" t="str">
        <f t="shared" si="164"/>
        <v/>
      </c>
      <c r="GN780" s="742" t="str">
        <f t="shared" si="165"/>
        <v/>
      </c>
      <c r="GO780" s="742" t="str">
        <f t="shared" si="166"/>
        <v/>
      </c>
      <c r="GP780" s="742" t="str">
        <f t="shared" si="167"/>
        <v/>
      </c>
      <c r="GQ780" s="742" t="str">
        <f t="shared" si="168"/>
        <v/>
      </c>
      <c r="GR780" s="742" t="str">
        <f t="shared" si="169"/>
        <v/>
      </c>
      <c r="GS780" s="742" t="str">
        <f t="shared" si="170"/>
        <v/>
      </c>
      <c r="GT780" s="742" t="str">
        <f t="shared" si="171"/>
        <v/>
      </c>
      <c r="GU780" s="742" t="str">
        <f t="shared" si="172"/>
        <v/>
      </c>
      <c r="GV780" s="742" t="str">
        <f t="shared" si="173"/>
        <v/>
      </c>
      <c r="GW780" s="742" t="str">
        <f t="shared" si="174"/>
        <v/>
      </c>
      <c r="GX780" s="742" t="str">
        <f t="shared" si="175"/>
        <v/>
      </c>
      <c r="GY780" s="742" t="str">
        <f t="shared" si="176"/>
        <v/>
      </c>
      <c r="GZ780" s="742" t="str">
        <f t="shared" si="177"/>
        <v/>
      </c>
      <c r="HA780" s="742" t="str">
        <f t="shared" si="178"/>
        <v/>
      </c>
      <c r="HB780" s="742" t="str">
        <f t="shared" si="179"/>
        <v/>
      </c>
      <c r="HC780" s="742" t="str">
        <f t="shared" si="180"/>
        <v/>
      </c>
      <c r="HD780" s="742" t="str">
        <f t="shared" si="181"/>
        <v/>
      </c>
      <c r="HE780" s="742" t="str">
        <f t="shared" si="182"/>
        <v/>
      </c>
      <c r="HF780" s="742" t="str">
        <f t="shared" si="183"/>
        <v/>
      </c>
      <c r="HG780" s="742" t="str">
        <f t="shared" si="184"/>
        <v/>
      </c>
      <c r="HH780" s="742" t="str">
        <f t="shared" si="185"/>
        <v/>
      </c>
      <c r="HI780" s="742" t="str">
        <f t="shared" si="186"/>
        <v/>
      </c>
      <c r="HJ780" s="742" t="str">
        <f t="shared" si="187"/>
        <v/>
      </c>
      <c r="HK780" s="742" t="str">
        <f t="shared" si="188"/>
        <v/>
      </c>
      <c r="HL780" s="742" t="str">
        <f t="shared" si="189"/>
        <v/>
      </c>
      <c r="HM780" s="742" t="str">
        <f t="shared" si="190"/>
        <v/>
      </c>
      <c r="HN780" s="742" t="str">
        <f t="shared" si="191"/>
        <v/>
      </c>
      <c r="HO780" s="742" t="str">
        <f t="shared" si="192"/>
        <v/>
      </c>
      <c r="HP780" s="742" t="str">
        <f t="shared" si="193"/>
        <v/>
      </c>
      <c r="HQ780" s="742" t="str">
        <f t="shared" si="194"/>
        <v/>
      </c>
      <c r="HR780" s="742" t="str">
        <f t="shared" si="195"/>
        <v/>
      </c>
      <c r="HS780" s="742" t="str">
        <f t="shared" si="196"/>
        <v/>
      </c>
      <c r="HT780" s="742" t="str">
        <f t="shared" si="197"/>
        <v/>
      </c>
      <c r="HU780" s="742" t="str">
        <f t="shared" si="198"/>
        <v/>
      </c>
      <c r="HV780" s="742" t="str">
        <f t="shared" si="199"/>
        <v/>
      </c>
      <c r="HW780" s="742" t="str">
        <f t="shared" si="200"/>
        <v/>
      </c>
      <c r="HX780" s="742" t="str">
        <f t="shared" si="201"/>
        <v/>
      </c>
      <c r="HY780" s="1638" t="str">
        <f t="shared" si="202"/>
        <v/>
      </c>
      <c r="HZ780" s="1638">
        <f t="shared" si="203"/>
        <v>2</v>
      </c>
      <c r="IA780" s="1638" t="str">
        <f t="shared" si="204"/>
        <v/>
      </c>
      <c r="IB780" s="1638" t="str">
        <f t="shared" si="205"/>
        <v/>
      </c>
      <c r="IC780" s="1638" t="str">
        <f t="shared" si="206"/>
        <v/>
      </c>
      <c r="ID780" s="1638" t="str">
        <f t="shared" si="207"/>
        <v/>
      </c>
      <c r="IE780" s="1638" t="str">
        <f t="shared" si="208"/>
        <v/>
      </c>
      <c r="IF780" s="1638" t="str">
        <f t="shared" si="209"/>
        <v/>
      </c>
      <c r="IG780" s="1638" t="str">
        <f t="shared" si="210"/>
        <v/>
      </c>
      <c r="IH780" s="1638" t="str">
        <f t="shared" si="211"/>
        <v/>
      </c>
      <c r="II780" s="1638" t="str">
        <f t="shared" si="212"/>
        <v/>
      </c>
      <c r="IJ780" s="1638" t="str">
        <f t="shared" si="213"/>
        <v/>
      </c>
      <c r="IK780" s="1638" t="str">
        <f t="shared" si="214"/>
        <v/>
      </c>
      <c r="IL780" s="1638" t="str">
        <f t="shared" si="215"/>
        <v/>
      </c>
      <c r="IM780" s="1638" t="str">
        <f t="shared" si="216"/>
        <v/>
      </c>
      <c r="IN780" s="1638" t="str">
        <f t="shared" si="217"/>
        <v/>
      </c>
      <c r="IO780" s="1638" t="str">
        <f t="shared" si="218"/>
        <v/>
      </c>
      <c r="IP780" s="1638" t="str">
        <f t="shared" si="219"/>
        <v/>
      </c>
      <c r="IQ780" s="1638" t="str">
        <f t="shared" si="220"/>
        <v/>
      </c>
      <c r="IR780" s="1638" t="str">
        <f t="shared" si="221"/>
        <v/>
      </c>
      <c r="IS780" s="1638" t="str">
        <f t="shared" si="222"/>
        <v/>
      </c>
      <c r="IT780" s="1638" t="str">
        <f t="shared" si="223"/>
        <v/>
      </c>
      <c r="IU780" s="1638" t="str">
        <f t="shared" si="224"/>
        <v/>
      </c>
      <c r="IV780" s="1638" t="str">
        <f t="shared" si="225"/>
        <v/>
      </c>
      <c r="IW780" s="1638" t="str">
        <f t="shared" si="226"/>
        <v/>
      </c>
      <c r="IX780" s="1638" t="str">
        <f t="shared" si="227"/>
        <v/>
      </c>
      <c r="IY780" s="1638" t="str">
        <f t="shared" si="228"/>
        <v/>
      </c>
      <c r="IZ780" s="1638" t="str">
        <f t="shared" si="229"/>
        <v/>
      </c>
      <c r="JA780" s="1638" t="str">
        <f t="shared" si="230"/>
        <v/>
      </c>
      <c r="JB780" s="1638" t="str">
        <f t="shared" si="231"/>
        <v/>
      </c>
      <c r="JC780" s="1638" t="str">
        <f t="shared" si="232"/>
        <v/>
      </c>
      <c r="JD780" s="1638" t="str">
        <f t="shared" si="233"/>
        <v/>
      </c>
      <c r="JE780" s="1638" t="str">
        <f t="shared" si="234"/>
        <v/>
      </c>
      <c r="JF780" s="1638" t="str">
        <f t="shared" si="235"/>
        <v/>
      </c>
      <c r="JG780" s="1638" t="str">
        <f t="shared" si="236"/>
        <v/>
      </c>
      <c r="JH780" s="1638" t="str">
        <f t="shared" si="237"/>
        <v/>
      </c>
      <c r="JI780" s="1638" t="str">
        <f t="shared" si="238"/>
        <v/>
      </c>
      <c r="JJ780" s="1638" t="str">
        <f t="shared" si="239"/>
        <v/>
      </c>
      <c r="JK780" s="1638" t="str">
        <f t="shared" si="240"/>
        <v/>
      </c>
      <c r="JL780" s="1638" t="str">
        <f t="shared" si="241"/>
        <v/>
      </c>
      <c r="JM780" s="1638" t="str">
        <f t="shared" si="242"/>
        <v/>
      </c>
      <c r="JN780" s="1638" t="str">
        <f t="shared" si="243"/>
        <v/>
      </c>
      <c r="JO780" s="1638" t="str">
        <f t="shared" si="244"/>
        <v/>
      </c>
      <c r="JP780" s="1638" t="str">
        <f t="shared" si="245"/>
        <v/>
      </c>
      <c r="JQ780" s="1638" t="str">
        <f t="shared" si="246"/>
        <v/>
      </c>
      <c r="JR780" s="1638" t="str">
        <f t="shared" si="247"/>
        <v/>
      </c>
      <c r="JS780" s="1638" t="str">
        <f t="shared" si="248"/>
        <v/>
      </c>
      <c r="JT780" s="1638" t="str">
        <f t="shared" si="249"/>
        <v/>
      </c>
      <c r="JU780" s="1638" t="str">
        <f t="shared" si="250"/>
        <v/>
      </c>
      <c r="JV780" s="1638" t="str">
        <f t="shared" si="251"/>
        <v/>
      </c>
      <c r="JW780" s="1638" t="str">
        <f t="shared" si="252"/>
        <v/>
      </c>
      <c r="JX780" s="1638" t="str">
        <f t="shared" si="253"/>
        <v/>
      </c>
      <c r="JY780" s="1638" t="str">
        <f t="shared" si="254"/>
        <v/>
      </c>
      <c r="JZ780" s="1638" t="str">
        <f t="shared" si="255"/>
        <v/>
      </c>
      <c r="KA780" s="1638" t="str">
        <f t="shared" si="256"/>
        <v/>
      </c>
      <c r="KB780" s="1638" t="str">
        <f t="shared" si="257"/>
        <v/>
      </c>
      <c r="KC780" s="1638" t="str">
        <f t="shared" si="258"/>
        <v/>
      </c>
      <c r="KD780" s="1638" t="str">
        <f t="shared" si="259"/>
        <v/>
      </c>
      <c r="KE780" s="1638" t="str">
        <f t="shared" si="260"/>
        <v/>
      </c>
      <c r="KF780" s="1638" t="str">
        <f t="shared" si="261"/>
        <v/>
      </c>
      <c r="KG780" s="1638" t="str">
        <f t="shared" si="262"/>
        <v/>
      </c>
      <c r="KH780" s="1638" t="str">
        <f t="shared" si="263"/>
        <v/>
      </c>
      <c r="KI780" s="1638" t="str">
        <f t="shared" si="264"/>
        <v/>
      </c>
      <c r="KJ780" s="1638" t="str">
        <f t="shared" si="265"/>
        <v/>
      </c>
      <c r="KK780" s="1638" t="str">
        <f t="shared" si="266"/>
        <v/>
      </c>
      <c r="KL780" s="1638" t="str">
        <f t="shared" si="267"/>
        <v/>
      </c>
      <c r="KM780" s="1638" t="str">
        <f t="shared" si="268"/>
        <v/>
      </c>
      <c r="KN780" s="1638" t="str">
        <f t="shared" si="269"/>
        <v/>
      </c>
      <c r="KO780" s="1638" t="str">
        <f t="shared" si="270"/>
        <v/>
      </c>
      <c r="KP780" s="1638" t="str">
        <f t="shared" si="271"/>
        <v/>
      </c>
      <c r="KQ780" s="1638" t="str">
        <f t="shared" si="272"/>
        <v/>
      </c>
      <c r="KR780" s="1638" t="str">
        <f t="shared" si="273"/>
        <v/>
      </c>
      <c r="KS780" s="1638" t="str">
        <f t="shared" si="274"/>
        <v/>
      </c>
      <c r="KT780" s="1638" t="str">
        <f t="shared" si="275"/>
        <v/>
      </c>
      <c r="KU780" s="1638" t="str">
        <f t="shared" si="276"/>
        <v/>
      </c>
      <c r="KV780" s="1638" t="str">
        <f t="shared" si="277"/>
        <v/>
      </c>
      <c r="KW780" s="1638">
        <f t="shared" si="278"/>
        <v>2</v>
      </c>
      <c r="KX780" s="1638" t="str">
        <f t="shared" si="279"/>
        <v/>
      </c>
      <c r="KY780" s="1638" t="str">
        <f t="shared" si="280"/>
        <v/>
      </c>
      <c r="KZ780" s="1638" t="str">
        <f t="shared" si="281"/>
        <v/>
      </c>
      <c r="LA780" s="1638" t="str">
        <f t="shared" si="282"/>
        <v/>
      </c>
      <c r="LB780" s="1638" t="str">
        <f t="shared" si="283"/>
        <v/>
      </c>
      <c r="LC780" s="1638" t="str">
        <f t="shared" si="284"/>
        <v/>
      </c>
      <c r="LD780" s="1638" t="str">
        <f t="shared" si="285"/>
        <v/>
      </c>
      <c r="LE780" s="1638" t="str">
        <f t="shared" si="286"/>
        <v/>
      </c>
      <c r="LF780" s="1637" t="str">
        <f t="shared" si="287"/>
        <v/>
      </c>
      <c r="LG780" s="1637" t="str">
        <f t="shared" si="288"/>
        <v/>
      </c>
      <c r="LH780" s="1637" t="str">
        <f t="shared" si="289"/>
        <v/>
      </c>
      <c r="LI780" s="1637" t="str">
        <f t="shared" si="290"/>
        <v/>
      </c>
      <c r="LJ780" s="1637" t="str">
        <f t="shared" si="291"/>
        <v/>
      </c>
      <c r="LK780" s="742" t="str">
        <f t="shared" si="292"/>
        <v/>
      </c>
      <c r="LL780" s="742" t="str">
        <f t="shared" si="293"/>
        <v/>
      </c>
      <c r="LM780" s="742" t="str">
        <f t="shared" si="294"/>
        <v/>
      </c>
      <c r="LN780" s="742" t="str">
        <f t="shared" si="295"/>
        <v/>
      </c>
      <c r="LO780" s="742" t="str">
        <f t="shared" si="296"/>
        <v/>
      </c>
      <c r="LP780" s="742" t="str">
        <f t="shared" si="297"/>
        <v/>
      </c>
      <c r="LQ780" s="742" t="str">
        <f t="shared" si="298"/>
        <v/>
      </c>
      <c r="LR780" s="742" t="str">
        <f t="shared" si="299"/>
        <v/>
      </c>
      <c r="LS780" s="742" t="str">
        <f t="shared" si="300"/>
        <v/>
      </c>
      <c r="LT780" s="742" t="str">
        <f t="shared" si="301"/>
        <v/>
      </c>
      <c r="LU780" s="742" t="str">
        <f t="shared" si="302"/>
        <v/>
      </c>
      <c r="LV780" s="742" t="str">
        <f t="shared" si="303"/>
        <v/>
      </c>
      <c r="LW780" s="742" t="str">
        <f t="shared" si="304"/>
        <v/>
      </c>
      <c r="LX780" s="742" t="str">
        <f t="shared" si="305"/>
        <v/>
      </c>
      <c r="LY780" s="742" t="str">
        <f t="shared" si="306"/>
        <v/>
      </c>
      <c r="LZ780" s="742" t="str">
        <f t="shared" si="307"/>
        <v/>
      </c>
      <c r="MA780" s="742" t="str">
        <f t="shared" si="308"/>
        <v/>
      </c>
      <c r="MB780" s="742" t="str">
        <f t="shared" si="309"/>
        <v/>
      </c>
      <c r="MC780" s="742" t="str">
        <f t="shared" si="310"/>
        <v/>
      </c>
      <c r="MD780" s="742" t="str">
        <f t="shared" si="311"/>
        <v/>
      </c>
      <c r="ME780" s="1637">
        <f t="shared" si="323"/>
        <v>0</v>
      </c>
      <c r="MF780" s="1637">
        <f t="shared" si="324"/>
        <v>0</v>
      </c>
      <c r="MG780" s="1637">
        <f t="shared" si="325"/>
        <v>0</v>
      </c>
      <c r="MH780" s="1637">
        <f t="shared" si="326"/>
        <v>0</v>
      </c>
      <c r="MI780" s="1637">
        <f t="shared" si="327"/>
        <v>0</v>
      </c>
      <c r="MJ780" s="1637">
        <f t="shared" si="328"/>
        <v>0</v>
      </c>
      <c r="MK780" s="1637">
        <f t="shared" si="329"/>
        <v>2</v>
      </c>
      <c r="ML780" s="1637">
        <f t="shared" si="330"/>
        <v>0</v>
      </c>
      <c r="MM780" s="1637">
        <f t="shared" si="331"/>
        <v>0</v>
      </c>
      <c r="MN780" s="1637">
        <f t="shared" si="332"/>
        <v>0</v>
      </c>
      <c r="MO780" s="1637">
        <f t="shared" si="333"/>
        <v>0</v>
      </c>
      <c r="MP780" s="1637">
        <f t="shared" si="334"/>
        <v>0</v>
      </c>
      <c r="MQ780" s="1637">
        <f t="shared" si="335"/>
        <v>0</v>
      </c>
      <c r="MR780" s="1637">
        <f t="shared" si="336"/>
        <v>0</v>
      </c>
      <c r="MS780" s="1637">
        <f t="shared" si="337"/>
        <v>0</v>
      </c>
    </row>
    <row r="781" spans="1:357" ht="13.5">
      <c r="A781" s="1630" t="str">
        <f t="shared" si="0"/>
        <v/>
      </c>
      <c r="B781" s="2757">
        <f>'Part VI-Revenues &amp; Expenses'!B19</f>
        <v>60</v>
      </c>
      <c r="C781" s="2146">
        <f>'Part VI-Revenues &amp; Expenses'!C19</f>
        <v>1</v>
      </c>
      <c r="D781" s="2147">
        <f>'Part VI-Revenues &amp; Expenses'!D19</f>
        <v>1</v>
      </c>
      <c r="E781" s="2148">
        <f>'Part VI-Revenues &amp; Expenses'!E19</f>
        <v>2</v>
      </c>
      <c r="F781" s="2148">
        <f>'Part VI-Revenues &amp; Expenses'!F19</f>
        <v>926</v>
      </c>
      <c r="G781" s="2148">
        <f>'Part VI-Revenues &amp; Expenses'!G19</f>
        <v>897</v>
      </c>
      <c r="H781" s="2148">
        <f>'Part VI-Revenues &amp; Expenses'!H19</f>
        <v>801</v>
      </c>
      <c r="I781" s="2148">
        <f>'Part VI-Revenues &amp; Expenses'!I19</f>
        <v>61</v>
      </c>
      <c r="J781" s="2149">
        <f>'Part VI-Revenues &amp; Expenses'!J19</f>
        <v>0</v>
      </c>
      <c r="K781" s="1822">
        <f t="shared" si="1"/>
        <v>740</v>
      </c>
      <c r="L781" s="1822">
        <f t="shared" si="2"/>
        <v>1480</v>
      </c>
      <c r="M781" s="2133" t="str">
        <f>'Part VI-Revenues &amp; Expenses'!M19</f>
        <v>No</v>
      </c>
      <c r="N781" s="2133" t="str">
        <f>'Part VI-Revenues &amp; Expenses'!N19</f>
        <v>3+ Story</v>
      </c>
      <c r="O781" s="2133" t="str">
        <f>'Part VI-Revenues &amp; Expenses'!O19</f>
        <v>New Construction</v>
      </c>
      <c r="P781" s="1633" t="str">
        <f>'Part VI-Revenues &amp; Expenses'!P19</f>
        <v>No</v>
      </c>
      <c r="Q781" s="1823">
        <f>'Part VI-Revenues &amp; Expenses'!Q19</f>
        <v>32040</v>
      </c>
      <c r="R781" s="1824">
        <f>'Part VI-Revenues &amp; Expenses'!R19</f>
        <v>0.57112299465240646</v>
      </c>
      <c r="S781" s="1823">
        <f>'Part VI-Revenues &amp; Expenses'!S19</f>
        <v>0</v>
      </c>
      <c r="T781" s="1824">
        <f>'Part VI-Revenues &amp; Expenses'!T19</f>
        <v>0</v>
      </c>
      <c r="U781" s="1838">
        <f>'Part VI-Revenues &amp; Expenses'!U19:V19</f>
        <v>0</v>
      </c>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f t="shared" si="14"/>
        <v>2</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312"/>
        <v/>
      </c>
      <c r="EH781" s="742" t="str">
        <f t="shared" si="117"/>
        <v/>
      </c>
      <c r="EI781" s="742" t="str">
        <f t="shared" si="118"/>
        <v/>
      </c>
      <c r="EJ781" s="742" t="str">
        <f t="shared" si="119"/>
        <v/>
      </c>
      <c r="EK781" s="742" t="str">
        <f t="shared" si="120"/>
        <v/>
      </c>
      <c r="EL781" s="742" t="str">
        <f t="shared" si="121"/>
        <v/>
      </c>
      <c r="EM781" s="742" t="str">
        <f t="shared" si="122"/>
        <v/>
      </c>
      <c r="EN781" s="742" t="str">
        <f t="shared" si="123"/>
        <v/>
      </c>
      <c r="EO781" s="742" t="str">
        <f t="shared" si="124"/>
        <v/>
      </c>
      <c r="EP781" s="742" t="str">
        <f t="shared" si="125"/>
        <v/>
      </c>
      <c r="EQ781" s="742" t="str">
        <f t="shared" si="126"/>
        <v/>
      </c>
      <c r="ER781" s="742" t="str">
        <f t="shared" si="127"/>
        <v/>
      </c>
      <c r="ES781" s="742">
        <f t="shared" si="128"/>
        <v>1852</v>
      </c>
      <c r="ET781" s="742" t="str">
        <f t="shared" si="129"/>
        <v/>
      </c>
      <c r="EU781" s="742" t="str">
        <f t="shared" si="130"/>
        <v/>
      </c>
      <c r="EV781" s="742" t="str">
        <f t="shared" si="131"/>
        <v/>
      </c>
      <c r="EW781" s="742" t="str">
        <f t="shared" si="313"/>
        <v/>
      </c>
      <c r="EX781" s="742" t="str">
        <f t="shared" si="314"/>
        <v/>
      </c>
      <c r="EY781" s="742" t="str">
        <f t="shared" si="315"/>
        <v/>
      </c>
      <c r="EZ781" s="742" t="str">
        <f t="shared" si="316"/>
        <v/>
      </c>
      <c r="FA781" s="742" t="str">
        <f t="shared" si="317"/>
        <v/>
      </c>
      <c r="FB781" s="742" t="str">
        <f t="shared" si="132"/>
        <v/>
      </c>
      <c r="FC781" s="742" t="str">
        <f t="shared" si="133"/>
        <v/>
      </c>
      <c r="FD781" s="742" t="str">
        <f t="shared" si="134"/>
        <v/>
      </c>
      <c r="FE781" s="742" t="str">
        <f t="shared" si="135"/>
        <v/>
      </c>
      <c r="FF781" s="742" t="str">
        <f t="shared" si="136"/>
        <v/>
      </c>
      <c r="FG781" s="742" t="str">
        <f t="shared" si="318"/>
        <v/>
      </c>
      <c r="FH781" s="742" t="str">
        <f t="shared" si="319"/>
        <v/>
      </c>
      <c r="FI781" s="742" t="str">
        <f t="shared" si="320"/>
        <v/>
      </c>
      <c r="FJ781" s="742" t="str">
        <f t="shared" si="321"/>
        <v/>
      </c>
      <c r="FK781" s="742" t="str">
        <f t="shared" si="322"/>
        <v/>
      </c>
      <c r="FL781" s="742" t="str">
        <f t="shared" si="137"/>
        <v/>
      </c>
      <c r="FM781" s="742" t="str">
        <f t="shared" si="138"/>
        <v/>
      </c>
      <c r="FN781" s="742" t="str">
        <f t="shared" si="139"/>
        <v/>
      </c>
      <c r="FO781" s="742" t="str">
        <f t="shared" si="140"/>
        <v/>
      </c>
      <c r="FP781" s="742" t="str">
        <f t="shared" si="141"/>
        <v/>
      </c>
      <c r="FQ781" s="742" t="str">
        <f t="shared" si="142"/>
        <v/>
      </c>
      <c r="FR781" s="742" t="str">
        <f t="shared" si="143"/>
        <v/>
      </c>
      <c r="FS781" s="742" t="str">
        <f t="shared" si="144"/>
        <v/>
      </c>
      <c r="FT781" s="742" t="str">
        <f t="shared" si="145"/>
        <v/>
      </c>
      <c r="FU781" s="742" t="str">
        <f t="shared" si="146"/>
        <v/>
      </c>
      <c r="FV781" s="742" t="str">
        <f t="shared" si="147"/>
        <v/>
      </c>
      <c r="FW781" s="742" t="str">
        <f t="shared" si="148"/>
        <v/>
      </c>
      <c r="FX781" s="742" t="str">
        <f t="shared" si="149"/>
        <v/>
      </c>
      <c r="FY781" s="742" t="str">
        <f t="shared" si="150"/>
        <v/>
      </c>
      <c r="FZ781" s="742" t="str">
        <f t="shared" si="151"/>
        <v/>
      </c>
      <c r="GA781" s="742" t="str">
        <f t="shared" si="152"/>
        <v/>
      </c>
      <c r="GB781" s="742" t="str">
        <f t="shared" si="153"/>
        <v/>
      </c>
      <c r="GC781" s="742" t="str">
        <f t="shared" si="154"/>
        <v/>
      </c>
      <c r="GD781" s="742" t="str">
        <f t="shared" si="155"/>
        <v/>
      </c>
      <c r="GE781" s="742" t="str">
        <f t="shared" si="156"/>
        <v/>
      </c>
      <c r="GF781" s="742" t="str">
        <f t="shared" si="157"/>
        <v/>
      </c>
      <c r="GG781" s="742">
        <f t="shared" si="158"/>
        <v>2</v>
      </c>
      <c r="GH781" s="742" t="str">
        <f t="shared" si="159"/>
        <v/>
      </c>
      <c r="GI781" s="742" t="str">
        <f t="shared" si="160"/>
        <v/>
      </c>
      <c r="GJ781" s="742" t="str">
        <f t="shared" si="161"/>
        <v/>
      </c>
      <c r="GK781" s="742" t="str">
        <f t="shared" si="162"/>
        <v/>
      </c>
      <c r="GL781" s="742" t="str">
        <f t="shared" si="163"/>
        <v/>
      </c>
      <c r="GM781" s="742" t="str">
        <f t="shared" si="164"/>
        <v/>
      </c>
      <c r="GN781" s="742" t="str">
        <f t="shared" si="165"/>
        <v/>
      </c>
      <c r="GO781" s="742" t="str">
        <f t="shared" si="166"/>
        <v/>
      </c>
      <c r="GP781" s="742" t="str">
        <f t="shared" si="167"/>
        <v/>
      </c>
      <c r="GQ781" s="742" t="str">
        <f t="shared" si="168"/>
        <v/>
      </c>
      <c r="GR781" s="742" t="str">
        <f t="shared" si="169"/>
        <v/>
      </c>
      <c r="GS781" s="742" t="str">
        <f t="shared" si="170"/>
        <v/>
      </c>
      <c r="GT781" s="742" t="str">
        <f t="shared" si="171"/>
        <v/>
      </c>
      <c r="GU781" s="742" t="str">
        <f t="shared" si="172"/>
        <v/>
      </c>
      <c r="GV781" s="742" t="str">
        <f t="shared" si="173"/>
        <v/>
      </c>
      <c r="GW781" s="742" t="str">
        <f t="shared" si="174"/>
        <v/>
      </c>
      <c r="GX781" s="742" t="str">
        <f t="shared" si="175"/>
        <v/>
      </c>
      <c r="GY781" s="742" t="str">
        <f t="shared" si="176"/>
        <v/>
      </c>
      <c r="GZ781" s="742" t="str">
        <f t="shared" si="177"/>
        <v/>
      </c>
      <c r="HA781" s="742" t="str">
        <f t="shared" si="178"/>
        <v/>
      </c>
      <c r="HB781" s="742" t="str">
        <f t="shared" si="179"/>
        <v/>
      </c>
      <c r="HC781" s="742" t="str">
        <f t="shared" si="180"/>
        <v/>
      </c>
      <c r="HD781" s="742" t="str">
        <f t="shared" si="181"/>
        <v/>
      </c>
      <c r="HE781" s="742" t="str">
        <f t="shared" si="182"/>
        <v/>
      </c>
      <c r="HF781" s="742" t="str">
        <f t="shared" si="183"/>
        <v/>
      </c>
      <c r="HG781" s="742" t="str">
        <f t="shared" si="184"/>
        <v/>
      </c>
      <c r="HH781" s="742" t="str">
        <f t="shared" si="185"/>
        <v/>
      </c>
      <c r="HI781" s="742" t="str">
        <f t="shared" si="186"/>
        <v/>
      </c>
      <c r="HJ781" s="742" t="str">
        <f t="shared" si="187"/>
        <v/>
      </c>
      <c r="HK781" s="742" t="str">
        <f t="shared" si="188"/>
        <v/>
      </c>
      <c r="HL781" s="742" t="str">
        <f t="shared" si="189"/>
        <v/>
      </c>
      <c r="HM781" s="742" t="str">
        <f t="shared" si="190"/>
        <v/>
      </c>
      <c r="HN781" s="742" t="str">
        <f t="shared" si="191"/>
        <v/>
      </c>
      <c r="HO781" s="742" t="str">
        <f t="shared" si="192"/>
        <v/>
      </c>
      <c r="HP781" s="742" t="str">
        <f t="shared" si="193"/>
        <v/>
      </c>
      <c r="HQ781" s="742" t="str">
        <f t="shared" si="194"/>
        <v/>
      </c>
      <c r="HR781" s="742" t="str">
        <f t="shared" si="195"/>
        <v/>
      </c>
      <c r="HS781" s="742" t="str">
        <f t="shared" si="196"/>
        <v/>
      </c>
      <c r="HT781" s="742" t="str">
        <f t="shared" si="197"/>
        <v/>
      </c>
      <c r="HU781" s="742" t="str">
        <f t="shared" si="198"/>
        <v/>
      </c>
      <c r="HV781" s="742" t="str">
        <f t="shared" si="199"/>
        <v/>
      </c>
      <c r="HW781" s="742" t="str">
        <f t="shared" si="200"/>
        <v/>
      </c>
      <c r="HX781" s="742" t="str">
        <f t="shared" si="201"/>
        <v/>
      </c>
      <c r="HY781" s="1638" t="str">
        <f t="shared" si="202"/>
        <v/>
      </c>
      <c r="HZ781" s="1638">
        <f t="shared" si="203"/>
        <v>2</v>
      </c>
      <c r="IA781" s="1638" t="str">
        <f t="shared" si="204"/>
        <v/>
      </c>
      <c r="IB781" s="1638" t="str">
        <f t="shared" si="205"/>
        <v/>
      </c>
      <c r="IC781" s="1638" t="str">
        <f t="shared" si="206"/>
        <v/>
      </c>
      <c r="ID781" s="1638" t="str">
        <f t="shared" si="207"/>
        <v/>
      </c>
      <c r="IE781" s="1638" t="str">
        <f t="shared" si="208"/>
        <v/>
      </c>
      <c r="IF781" s="1638" t="str">
        <f t="shared" si="209"/>
        <v/>
      </c>
      <c r="IG781" s="1638" t="str">
        <f t="shared" si="210"/>
        <v/>
      </c>
      <c r="IH781" s="1638" t="str">
        <f t="shared" si="211"/>
        <v/>
      </c>
      <c r="II781" s="1638" t="str">
        <f t="shared" si="212"/>
        <v/>
      </c>
      <c r="IJ781" s="1638" t="str">
        <f t="shared" si="213"/>
        <v/>
      </c>
      <c r="IK781" s="1638" t="str">
        <f t="shared" si="214"/>
        <v/>
      </c>
      <c r="IL781" s="1638" t="str">
        <f t="shared" si="215"/>
        <v/>
      </c>
      <c r="IM781" s="1638" t="str">
        <f t="shared" si="216"/>
        <v/>
      </c>
      <c r="IN781" s="1638" t="str">
        <f t="shared" si="217"/>
        <v/>
      </c>
      <c r="IO781" s="1638" t="str">
        <f t="shared" si="218"/>
        <v/>
      </c>
      <c r="IP781" s="1638" t="str">
        <f t="shared" si="219"/>
        <v/>
      </c>
      <c r="IQ781" s="1638" t="str">
        <f t="shared" si="220"/>
        <v/>
      </c>
      <c r="IR781" s="1638" t="str">
        <f t="shared" si="221"/>
        <v/>
      </c>
      <c r="IS781" s="1638" t="str">
        <f t="shared" si="222"/>
        <v/>
      </c>
      <c r="IT781" s="1638" t="str">
        <f t="shared" si="223"/>
        <v/>
      </c>
      <c r="IU781" s="1638" t="str">
        <f t="shared" si="224"/>
        <v/>
      </c>
      <c r="IV781" s="1638" t="str">
        <f t="shared" si="225"/>
        <v/>
      </c>
      <c r="IW781" s="1638" t="str">
        <f t="shared" si="226"/>
        <v/>
      </c>
      <c r="IX781" s="1638" t="str">
        <f t="shared" si="227"/>
        <v/>
      </c>
      <c r="IY781" s="1638" t="str">
        <f t="shared" si="228"/>
        <v/>
      </c>
      <c r="IZ781" s="1638" t="str">
        <f t="shared" si="229"/>
        <v/>
      </c>
      <c r="JA781" s="1638" t="str">
        <f t="shared" si="230"/>
        <v/>
      </c>
      <c r="JB781" s="1638" t="str">
        <f t="shared" si="231"/>
        <v/>
      </c>
      <c r="JC781" s="1638" t="str">
        <f t="shared" si="232"/>
        <v/>
      </c>
      <c r="JD781" s="1638" t="str">
        <f t="shared" si="233"/>
        <v/>
      </c>
      <c r="JE781" s="1638" t="str">
        <f t="shared" si="234"/>
        <v/>
      </c>
      <c r="JF781" s="1638" t="str">
        <f t="shared" si="235"/>
        <v/>
      </c>
      <c r="JG781" s="1638" t="str">
        <f t="shared" si="236"/>
        <v/>
      </c>
      <c r="JH781" s="1638" t="str">
        <f t="shared" si="237"/>
        <v/>
      </c>
      <c r="JI781" s="1638" t="str">
        <f t="shared" si="238"/>
        <v/>
      </c>
      <c r="JJ781" s="1638" t="str">
        <f t="shared" si="239"/>
        <v/>
      </c>
      <c r="JK781" s="1638" t="str">
        <f t="shared" si="240"/>
        <v/>
      </c>
      <c r="JL781" s="1638" t="str">
        <f t="shared" si="241"/>
        <v/>
      </c>
      <c r="JM781" s="1638" t="str">
        <f t="shared" si="242"/>
        <v/>
      </c>
      <c r="JN781" s="1638" t="str">
        <f t="shared" si="243"/>
        <v/>
      </c>
      <c r="JO781" s="1638" t="str">
        <f t="shared" si="244"/>
        <v/>
      </c>
      <c r="JP781" s="1638" t="str">
        <f t="shared" si="245"/>
        <v/>
      </c>
      <c r="JQ781" s="1638" t="str">
        <f t="shared" si="246"/>
        <v/>
      </c>
      <c r="JR781" s="1638" t="str">
        <f t="shared" si="247"/>
        <v/>
      </c>
      <c r="JS781" s="1638" t="str">
        <f t="shared" si="248"/>
        <v/>
      </c>
      <c r="JT781" s="1638" t="str">
        <f t="shared" si="249"/>
        <v/>
      </c>
      <c r="JU781" s="1638" t="str">
        <f t="shared" si="250"/>
        <v/>
      </c>
      <c r="JV781" s="1638" t="str">
        <f t="shared" si="251"/>
        <v/>
      </c>
      <c r="JW781" s="1638" t="str">
        <f t="shared" si="252"/>
        <v/>
      </c>
      <c r="JX781" s="1638" t="str">
        <f t="shared" si="253"/>
        <v/>
      </c>
      <c r="JY781" s="1638" t="str">
        <f t="shared" si="254"/>
        <v/>
      </c>
      <c r="JZ781" s="1638" t="str">
        <f t="shared" si="255"/>
        <v/>
      </c>
      <c r="KA781" s="1638" t="str">
        <f t="shared" si="256"/>
        <v/>
      </c>
      <c r="KB781" s="1638" t="str">
        <f t="shared" si="257"/>
        <v/>
      </c>
      <c r="KC781" s="1638" t="str">
        <f t="shared" si="258"/>
        <v/>
      </c>
      <c r="KD781" s="1638" t="str">
        <f t="shared" si="259"/>
        <v/>
      </c>
      <c r="KE781" s="1638" t="str">
        <f t="shared" si="260"/>
        <v/>
      </c>
      <c r="KF781" s="1638" t="str">
        <f t="shared" si="261"/>
        <v/>
      </c>
      <c r="KG781" s="1638" t="str">
        <f t="shared" si="262"/>
        <v/>
      </c>
      <c r="KH781" s="1638" t="str">
        <f t="shared" si="263"/>
        <v/>
      </c>
      <c r="KI781" s="1638" t="str">
        <f t="shared" si="264"/>
        <v/>
      </c>
      <c r="KJ781" s="1638" t="str">
        <f t="shared" si="265"/>
        <v/>
      </c>
      <c r="KK781" s="1638" t="str">
        <f t="shared" si="266"/>
        <v/>
      </c>
      <c r="KL781" s="1638" t="str">
        <f t="shared" si="267"/>
        <v/>
      </c>
      <c r="KM781" s="1638" t="str">
        <f t="shared" si="268"/>
        <v/>
      </c>
      <c r="KN781" s="1638" t="str">
        <f t="shared" si="269"/>
        <v/>
      </c>
      <c r="KO781" s="1638" t="str">
        <f t="shared" si="270"/>
        <v/>
      </c>
      <c r="KP781" s="1638" t="str">
        <f t="shared" si="271"/>
        <v/>
      </c>
      <c r="KQ781" s="1638" t="str">
        <f t="shared" si="272"/>
        <v/>
      </c>
      <c r="KR781" s="1638" t="str">
        <f t="shared" si="273"/>
        <v/>
      </c>
      <c r="KS781" s="1638" t="str">
        <f t="shared" si="274"/>
        <v/>
      </c>
      <c r="KT781" s="1638" t="str">
        <f t="shared" si="275"/>
        <v/>
      </c>
      <c r="KU781" s="1638" t="str">
        <f t="shared" si="276"/>
        <v/>
      </c>
      <c r="KV781" s="1638" t="str">
        <f t="shared" si="277"/>
        <v/>
      </c>
      <c r="KW781" s="1638">
        <f t="shared" si="278"/>
        <v>2</v>
      </c>
      <c r="KX781" s="1638" t="str">
        <f t="shared" si="279"/>
        <v/>
      </c>
      <c r="KY781" s="1638" t="str">
        <f t="shared" si="280"/>
        <v/>
      </c>
      <c r="KZ781" s="1638" t="str">
        <f t="shared" si="281"/>
        <v/>
      </c>
      <c r="LA781" s="1638" t="str">
        <f t="shared" si="282"/>
        <v/>
      </c>
      <c r="LB781" s="1638" t="str">
        <f t="shared" si="283"/>
        <v/>
      </c>
      <c r="LC781" s="1638" t="str">
        <f t="shared" si="284"/>
        <v/>
      </c>
      <c r="LD781" s="1638" t="str">
        <f t="shared" si="285"/>
        <v/>
      </c>
      <c r="LE781" s="1638" t="str">
        <f t="shared" si="286"/>
        <v/>
      </c>
      <c r="LF781" s="1637" t="str">
        <f t="shared" si="287"/>
        <v/>
      </c>
      <c r="LG781" s="1637" t="str">
        <f t="shared" si="288"/>
        <v/>
      </c>
      <c r="LH781" s="1637" t="str">
        <f t="shared" si="289"/>
        <v/>
      </c>
      <c r="LI781" s="1637" t="str">
        <f t="shared" si="290"/>
        <v/>
      </c>
      <c r="LJ781" s="1637" t="str">
        <f t="shared" si="291"/>
        <v/>
      </c>
      <c r="LK781" s="742" t="str">
        <f t="shared" si="292"/>
        <v/>
      </c>
      <c r="LL781" s="742" t="str">
        <f t="shared" si="293"/>
        <v/>
      </c>
      <c r="LM781" s="742" t="str">
        <f t="shared" si="294"/>
        <v/>
      </c>
      <c r="LN781" s="742" t="str">
        <f t="shared" si="295"/>
        <v/>
      </c>
      <c r="LO781" s="742" t="str">
        <f t="shared" si="296"/>
        <v/>
      </c>
      <c r="LP781" s="742" t="str">
        <f t="shared" si="297"/>
        <v/>
      </c>
      <c r="LQ781" s="742" t="str">
        <f t="shared" si="298"/>
        <v/>
      </c>
      <c r="LR781" s="742" t="str">
        <f t="shared" si="299"/>
        <v/>
      </c>
      <c r="LS781" s="742" t="str">
        <f t="shared" si="300"/>
        <v/>
      </c>
      <c r="LT781" s="742" t="str">
        <f t="shared" si="301"/>
        <v/>
      </c>
      <c r="LU781" s="742" t="str">
        <f t="shared" si="302"/>
        <v/>
      </c>
      <c r="LV781" s="742" t="str">
        <f t="shared" si="303"/>
        <v/>
      </c>
      <c r="LW781" s="742" t="str">
        <f t="shared" si="304"/>
        <v/>
      </c>
      <c r="LX781" s="742" t="str">
        <f t="shared" si="305"/>
        <v/>
      </c>
      <c r="LY781" s="742" t="str">
        <f t="shared" si="306"/>
        <v/>
      </c>
      <c r="LZ781" s="742" t="str">
        <f t="shared" si="307"/>
        <v/>
      </c>
      <c r="MA781" s="742" t="str">
        <f t="shared" si="308"/>
        <v/>
      </c>
      <c r="MB781" s="742" t="str">
        <f t="shared" si="309"/>
        <v/>
      </c>
      <c r="MC781" s="742" t="str">
        <f t="shared" si="310"/>
        <v/>
      </c>
      <c r="MD781" s="742" t="str">
        <f t="shared" si="311"/>
        <v/>
      </c>
      <c r="ME781" s="1637">
        <f t="shared" si="323"/>
        <v>0</v>
      </c>
      <c r="MF781" s="1637">
        <f t="shared" si="324"/>
        <v>0</v>
      </c>
      <c r="MG781" s="1637">
        <f t="shared" si="325"/>
        <v>0</v>
      </c>
      <c r="MH781" s="1637">
        <f t="shared" si="326"/>
        <v>0</v>
      </c>
      <c r="MI781" s="1637">
        <f t="shared" si="327"/>
        <v>0</v>
      </c>
      <c r="MJ781" s="1637">
        <f t="shared" si="328"/>
        <v>0</v>
      </c>
      <c r="MK781" s="1637">
        <f t="shared" si="329"/>
        <v>2</v>
      </c>
      <c r="ML781" s="1637">
        <f t="shared" si="330"/>
        <v>0</v>
      </c>
      <c r="MM781" s="1637">
        <f t="shared" si="331"/>
        <v>0</v>
      </c>
      <c r="MN781" s="1637">
        <f t="shared" si="332"/>
        <v>0</v>
      </c>
      <c r="MO781" s="1637">
        <f t="shared" si="333"/>
        <v>0</v>
      </c>
      <c r="MP781" s="1637">
        <f t="shared" si="334"/>
        <v>0</v>
      </c>
      <c r="MQ781" s="1637">
        <f t="shared" si="335"/>
        <v>0</v>
      </c>
      <c r="MR781" s="1637">
        <f t="shared" si="336"/>
        <v>0</v>
      </c>
      <c r="MS781" s="1637">
        <f t="shared" si="337"/>
        <v>0</v>
      </c>
    </row>
    <row r="782" spans="1:357" ht="13.5">
      <c r="A782" s="1630" t="str">
        <f t="shared" si="0"/>
        <v/>
      </c>
      <c r="B782" s="2757">
        <f>'Part VI-Revenues &amp; Expenses'!B20</f>
        <v>60</v>
      </c>
      <c r="C782" s="2146">
        <f>'Part VI-Revenues &amp; Expenses'!C20</f>
        <v>2</v>
      </c>
      <c r="D782" s="2147">
        <f>'Part VI-Revenues &amp; Expenses'!D20</f>
        <v>2</v>
      </c>
      <c r="E782" s="2148">
        <f>'Part VI-Revenues &amp; Expenses'!E20</f>
        <v>56</v>
      </c>
      <c r="F782" s="2148">
        <f>'Part VI-Revenues &amp; Expenses'!F20</f>
        <v>981</v>
      </c>
      <c r="G782" s="2148">
        <f>'Part VI-Revenues &amp; Expenses'!G20</f>
        <v>1077</v>
      </c>
      <c r="H782" s="2148">
        <f>'Part VI-Revenues &amp; Expenses'!H20</f>
        <v>993</v>
      </c>
      <c r="I782" s="2148">
        <f>'Part VI-Revenues &amp; Expenses'!I20</f>
        <v>78</v>
      </c>
      <c r="J782" s="2149">
        <f>'Part VI-Revenues &amp; Expenses'!J20</f>
        <v>0</v>
      </c>
      <c r="K782" s="1822">
        <f t="shared" si="1"/>
        <v>915</v>
      </c>
      <c r="L782" s="1822">
        <f t="shared" si="2"/>
        <v>51240</v>
      </c>
      <c r="M782" s="2133" t="str">
        <f>'Part VI-Revenues &amp; Expenses'!M20</f>
        <v>No</v>
      </c>
      <c r="N782" s="2133" t="str">
        <f>'Part VI-Revenues &amp; Expenses'!N20</f>
        <v>3+ Story</v>
      </c>
      <c r="O782" s="2133" t="str">
        <f>'Part VI-Revenues &amp; Expenses'!O20</f>
        <v>New Construction</v>
      </c>
      <c r="P782" s="1633" t="str">
        <f>'Part VI-Revenues &amp; Expenses'!P20</f>
        <v>No</v>
      </c>
      <c r="Q782" s="1823">
        <f>'Part VI-Revenues &amp; Expenses'!Q20</f>
        <v>39720</v>
      </c>
      <c r="R782" s="1824">
        <f>'Part VI-Revenues &amp; Expenses'!R20</f>
        <v>0.59001782531194291</v>
      </c>
      <c r="S782" s="1823">
        <f>'Part VI-Revenues &amp; Expenses'!S20</f>
        <v>0</v>
      </c>
      <c r="T782" s="1824">
        <f>'Part VI-Revenues &amp; Expenses'!T20</f>
        <v>0</v>
      </c>
      <c r="U782" s="1838">
        <f>'Part VI-Revenues &amp; Expenses'!U20:V20</f>
        <v>0</v>
      </c>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f t="shared" si="15"/>
        <v>56</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312"/>
        <v/>
      </c>
      <c r="EH782" s="742" t="str">
        <f t="shared" si="117"/>
        <v/>
      </c>
      <c r="EI782" s="742" t="str">
        <f t="shared" si="118"/>
        <v/>
      </c>
      <c r="EJ782" s="742" t="str">
        <f t="shared" si="119"/>
        <v/>
      </c>
      <c r="EK782" s="742" t="str">
        <f t="shared" si="120"/>
        <v/>
      </c>
      <c r="EL782" s="742" t="str">
        <f t="shared" si="121"/>
        <v/>
      </c>
      <c r="EM782" s="742" t="str">
        <f t="shared" si="122"/>
        <v/>
      </c>
      <c r="EN782" s="742" t="str">
        <f t="shared" si="123"/>
        <v/>
      </c>
      <c r="EO782" s="742" t="str">
        <f t="shared" si="124"/>
        <v/>
      </c>
      <c r="EP782" s="742" t="str">
        <f t="shared" si="125"/>
        <v/>
      </c>
      <c r="EQ782" s="742" t="str">
        <f t="shared" si="126"/>
        <v/>
      </c>
      <c r="ER782" s="742" t="str">
        <f t="shared" si="127"/>
        <v/>
      </c>
      <c r="ES782" s="742" t="str">
        <f t="shared" si="128"/>
        <v/>
      </c>
      <c r="ET782" s="742">
        <f t="shared" si="129"/>
        <v>54936</v>
      </c>
      <c r="EU782" s="742" t="str">
        <f t="shared" si="130"/>
        <v/>
      </c>
      <c r="EV782" s="742" t="str">
        <f t="shared" si="131"/>
        <v/>
      </c>
      <c r="EW782" s="742" t="str">
        <f t="shared" si="313"/>
        <v/>
      </c>
      <c r="EX782" s="742" t="str">
        <f t="shared" si="314"/>
        <v/>
      </c>
      <c r="EY782" s="742" t="str">
        <f t="shared" si="315"/>
        <v/>
      </c>
      <c r="EZ782" s="742" t="str">
        <f t="shared" si="316"/>
        <v/>
      </c>
      <c r="FA782" s="742" t="str">
        <f t="shared" si="317"/>
        <v/>
      </c>
      <c r="FB782" s="742" t="str">
        <f t="shared" si="132"/>
        <v/>
      </c>
      <c r="FC782" s="742" t="str">
        <f t="shared" si="133"/>
        <v/>
      </c>
      <c r="FD782" s="742" t="str">
        <f t="shared" si="134"/>
        <v/>
      </c>
      <c r="FE782" s="742" t="str">
        <f t="shared" si="135"/>
        <v/>
      </c>
      <c r="FF782" s="742" t="str">
        <f t="shared" si="136"/>
        <v/>
      </c>
      <c r="FG782" s="742" t="str">
        <f t="shared" si="318"/>
        <v/>
      </c>
      <c r="FH782" s="742" t="str">
        <f t="shared" si="319"/>
        <v/>
      </c>
      <c r="FI782" s="742" t="str">
        <f t="shared" si="320"/>
        <v/>
      </c>
      <c r="FJ782" s="742" t="str">
        <f t="shared" si="321"/>
        <v/>
      </c>
      <c r="FK782" s="742" t="str">
        <f t="shared" si="322"/>
        <v/>
      </c>
      <c r="FL782" s="742" t="str">
        <f t="shared" si="137"/>
        <v/>
      </c>
      <c r="FM782" s="742" t="str">
        <f t="shared" si="138"/>
        <v/>
      </c>
      <c r="FN782" s="742" t="str">
        <f t="shared" si="139"/>
        <v/>
      </c>
      <c r="FO782" s="742" t="str">
        <f t="shared" si="140"/>
        <v/>
      </c>
      <c r="FP782" s="742" t="str">
        <f t="shared" si="141"/>
        <v/>
      </c>
      <c r="FQ782" s="742" t="str">
        <f t="shared" si="142"/>
        <v/>
      </c>
      <c r="FR782" s="742" t="str">
        <f t="shared" si="143"/>
        <v/>
      </c>
      <c r="FS782" s="742" t="str">
        <f t="shared" si="144"/>
        <v/>
      </c>
      <c r="FT782" s="742" t="str">
        <f t="shared" si="145"/>
        <v/>
      </c>
      <c r="FU782" s="742" t="str">
        <f t="shared" si="146"/>
        <v/>
      </c>
      <c r="FV782" s="742" t="str">
        <f t="shared" si="147"/>
        <v/>
      </c>
      <c r="FW782" s="742" t="str">
        <f t="shared" si="148"/>
        <v/>
      </c>
      <c r="FX782" s="742" t="str">
        <f t="shared" si="149"/>
        <v/>
      </c>
      <c r="FY782" s="742" t="str">
        <f t="shared" si="150"/>
        <v/>
      </c>
      <c r="FZ782" s="742" t="str">
        <f t="shared" si="151"/>
        <v/>
      </c>
      <c r="GA782" s="742" t="str">
        <f t="shared" si="152"/>
        <v/>
      </c>
      <c r="GB782" s="742" t="str">
        <f t="shared" si="153"/>
        <v/>
      </c>
      <c r="GC782" s="742" t="str">
        <f t="shared" si="154"/>
        <v/>
      </c>
      <c r="GD782" s="742" t="str">
        <f t="shared" si="155"/>
        <v/>
      </c>
      <c r="GE782" s="742" t="str">
        <f t="shared" si="156"/>
        <v/>
      </c>
      <c r="GF782" s="742" t="str">
        <f t="shared" si="157"/>
        <v/>
      </c>
      <c r="GG782" s="742" t="str">
        <f t="shared" si="158"/>
        <v/>
      </c>
      <c r="GH782" s="742">
        <f t="shared" si="159"/>
        <v>56</v>
      </c>
      <c r="GI782" s="742" t="str">
        <f t="shared" si="160"/>
        <v/>
      </c>
      <c r="GJ782" s="742" t="str">
        <f t="shared" si="161"/>
        <v/>
      </c>
      <c r="GK782" s="742" t="str">
        <f t="shared" si="162"/>
        <v/>
      </c>
      <c r="GL782" s="742" t="str">
        <f t="shared" si="163"/>
        <v/>
      </c>
      <c r="GM782" s="742" t="str">
        <f t="shared" si="164"/>
        <v/>
      </c>
      <c r="GN782" s="742" t="str">
        <f t="shared" si="165"/>
        <v/>
      </c>
      <c r="GO782" s="742" t="str">
        <f t="shared" si="166"/>
        <v/>
      </c>
      <c r="GP782" s="742" t="str">
        <f t="shared" si="167"/>
        <v/>
      </c>
      <c r="GQ782" s="742" t="str">
        <f t="shared" si="168"/>
        <v/>
      </c>
      <c r="GR782" s="742" t="str">
        <f t="shared" si="169"/>
        <v/>
      </c>
      <c r="GS782" s="742" t="str">
        <f t="shared" si="170"/>
        <v/>
      </c>
      <c r="GT782" s="742" t="str">
        <f t="shared" si="171"/>
        <v/>
      </c>
      <c r="GU782" s="742" t="str">
        <f t="shared" si="172"/>
        <v/>
      </c>
      <c r="GV782" s="742" t="str">
        <f t="shared" si="173"/>
        <v/>
      </c>
      <c r="GW782" s="742" t="str">
        <f t="shared" si="174"/>
        <v/>
      </c>
      <c r="GX782" s="742" t="str">
        <f t="shared" si="175"/>
        <v/>
      </c>
      <c r="GY782" s="742" t="str">
        <f t="shared" si="176"/>
        <v/>
      </c>
      <c r="GZ782" s="742" t="str">
        <f t="shared" si="177"/>
        <v/>
      </c>
      <c r="HA782" s="742" t="str">
        <f t="shared" si="178"/>
        <v/>
      </c>
      <c r="HB782" s="742" t="str">
        <f t="shared" si="179"/>
        <v/>
      </c>
      <c r="HC782" s="742" t="str">
        <f t="shared" si="180"/>
        <v/>
      </c>
      <c r="HD782" s="742" t="str">
        <f t="shared" si="181"/>
        <v/>
      </c>
      <c r="HE782" s="742" t="str">
        <f t="shared" si="182"/>
        <v/>
      </c>
      <c r="HF782" s="742" t="str">
        <f t="shared" si="183"/>
        <v/>
      </c>
      <c r="HG782" s="742" t="str">
        <f t="shared" si="184"/>
        <v/>
      </c>
      <c r="HH782" s="742" t="str">
        <f t="shared" si="185"/>
        <v/>
      </c>
      <c r="HI782" s="742" t="str">
        <f t="shared" si="186"/>
        <v/>
      </c>
      <c r="HJ782" s="742" t="str">
        <f t="shared" si="187"/>
        <v/>
      </c>
      <c r="HK782" s="742" t="str">
        <f t="shared" si="188"/>
        <v/>
      </c>
      <c r="HL782" s="742" t="str">
        <f t="shared" si="189"/>
        <v/>
      </c>
      <c r="HM782" s="742" t="str">
        <f t="shared" si="190"/>
        <v/>
      </c>
      <c r="HN782" s="742" t="str">
        <f t="shared" si="191"/>
        <v/>
      </c>
      <c r="HO782" s="742" t="str">
        <f t="shared" si="192"/>
        <v/>
      </c>
      <c r="HP782" s="742" t="str">
        <f t="shared" si="193"/>
        <v/>
      </c>
      <c r="HQ782" s="742" t="str">
        <f t="shared" si="194"/>
        <v/>
      </c>
      <c r="HR782" s="742" t="str">
        <f t="shared" si="195"/>
        <v/>
      </c>
      <c r="HS782" s="742" t="str">
        <f t="shared" si="196"/>
        <v/>
      </c>
      <c r="HT782" s="742" t="str">
        <f t="shared" si="197"/>
        <v/>
      </c>
      <c r="HU782" s="742" t="str">
        <f t="shared" si="198"/>
        <v/>
      </c>
      <c r="HV782" s="742" t="str">
        <f t="shared" si="199"/>
        <v/>
      </c>
      <c r="HW782" s="742" t="str">
        <f t="shared" si="200"/>
        <v/>
      </c>
      <c r="HX782" s="742" t="str">
        <f t="shared" si="201"/>
        <v/>
      </c>
      <c r="HY782" s="1638" t="str">
        <f t="shared" si="202"/>
        <v/>
      </c>
      <c r="HZ782" s="1638" t="str">
        <f t="shared" si="203"/>
        <v/>
      </c>
      <c r="IA782" s="1638">
        <f t="shared" si="204"/>
        <v>56</v>
      </c>
      <c r="IB782" s="1638" t="str">
        <f t="shared" si="205"/>
        <v/>
      </c>
      <c r="IC782" s="1638" t="str">
        <f t="shared" si="206"/>
        <v/>
      </c>
      <c r="ID782" s="1638" t="str">
        <f t="shared" si="207"/>
        <v/>
      </c>
      <c r="IE782" s="1638" t="str">
        <f t="shared" si="208"/>
        <v/>
      </c>
      <c r="IF782" s="1638" t="str">
        <f t="shared" si="209"/>
        <v/>
      </c>
      <c r="IG782" s="1638" t="str">
        <f t="shared" si="210"/>
        <v/>
      </c>
      <c r="IH782" s="1638" t="str">
        <f t="shared" si="211"/>
        <v/>
      </c>
      <c r="II782" s="1638" t="str">
        <f t="shared" si="212"/>
        <v/>
      </c>
      <c r="IJ782" s="1638" t="str">
        <f t="shared" si="213"/>
        <v/>
      </c>
      <c r="IK782" s="1638" t="str">
        <f t="shared" si="214"/>
        <v/>
      </c>
      <c r="IL782" s="1638" t="str">
        <f t="shared" si="215"/>
        <v/>
      </c>
      <c r="IM782" s="1638" t="str">
        <f t="shared" si="216"/>
        <v/>
      </c>
      <c r="IN782" s="1638" t="str">
        <f t="shared" si="217"/>
        <v/>
      </c>
      <c r="IO782" s="1638" t="str">
        <f t="shared" si="218"/>
        <v/>
      </c>
      <c r="IP782" s="1638" t="str">
        <f t="shared" si="219"/>
        <v/>
      </c>
      <c r="IQ782" s="1638" t="str">
        <f t="shared" si="220"/>
        <v/>
      </c>
      <c r="IR782" s="1638" t="str">
        <f t="shared" si="221"/>
        <v/>
      </c>
      <c r="IS782" s="1638" t="str">
        <f t="shared" si="222"/>
        <v/>
      </c>
      <c r="IT782" s="1638" t="str">
        <f t="shared" si="223"/>
        <v/>
      </c>
      <c r="IU782" s="1638" t="str">
        <f t="shared" si="224"/>
        <v/>
      </c>
      <c r="IV782" s="1638" t="str">
        <f t="shared" si="225"/>
        <v/>
      </c>
      <c r="IW782" s="1638" t="str">
        <f t="shared" si="226"/>
        <v/>
      </c>
      <c r="IX782" s="1638" t="str">
        <f t="shared" si="227"/>
        <v/>
      </c>
      <c r="IY782" s="1638" t="str">
        <f t="shared" si="228"/>
        <v/>
      </c>
      <c r="IZ782" s="1638" t="str">
        <f t="shared" si="229"/>
        <v/>
      </c>
      <c r="JA782" s="1638" t="str">
        <f t="shared" si="230"/>
        <v/>
      </c>
      <c r="JB782" s="1638" t="str">
        <f t="shared" si="231"/>
        <v/>
      </c>
      <c r="JC782" s="1638" t="str">
        <f t="shared" si="232"/>
        <v/>
      </c>
      <c r="JD782" s="1638" t="str">
        <f t="shared" si="233"/>
        <v/>
      </c>
      <c r="JE782" s="1638" t="str">
        <f t="shared" si="234"/>
        <v/>
      </c>
      <c r="JF782" s="1638" t="str">
        <f t="shared" si="235"/>
        <v/>
      </c>
      <c r="JG782" s="1638" t="str">
        <f t="shared" si="236"/>
        <v/>
      </c>
      <c r="JH782" s="1638" t="str">
        <f t="shared" si="237"/>
        <v/>
      </c>
      <c r="JI782" s="1638" t="str">
        <f t="shared" si="238"/>
        <v/>
      </c>
      <c r="JJ782" s="1638" t="str">
        <f t="shared" si="239"/>
        <v/>
      </c>
      <c r="JK782" s="1638" t="str">
        <f t="shared" si="240"/>
        <v/>
      </c>
      <c r="JL782" s="1638" t="str">
        <f t="shared" si="241"/>
        <v/>
      </c>
      <c r="JM782" s="1638" t="str">
        <f t="shared" si="242"/>
        <v/>
      </c>
      <c r="JN782" s="1638" t="str">
        <f t="shared" si="243"/>
        <v/>
      </c>
      <c r="JO782" s="1638" t="str">
        <f t="shared" si="244"/>
        <v/>
      </c>
      <c r="JP782" s="1638" t="str">
        <f t="shared" si="245"/>
        <v/>
      </c>
      <c r="JQ782" s="1638" t="str">
        <f t="shared" si="246"/>
        <v/>
      </c>
      <c r="JR782" s="1638" t="str">
        <f t="shared" si="247"/>
        <v/>
      </c>
      <c r="JS782" s="1638" t="str">
        <f t="shared" si="248"/>
        <v/>
      </c>
      <c r="JT782" s="1638" t="str">
        <f t="shared" si="249"/>
        <v/>
      </c>
      <c r="JU782" s="1638" t="str">
        <f t="shared" si="250"/>
        <v/>
      </c>
      <c r="JV782" s="1638" t="str">
        <f t="shared" si="251"/>
        <v/>
      </c>
      <c r="JW782" s="1638" t="str">
        <f t="shared" si="252"/>
        <v/>
      </c>
      <c r="JX782" s="1638" t="str">
        <f t="shared" si="253"/>
        <v/>
      </c>
      <c r="JY782" s="1638" t="str">
        <f t="shared" si="254"/>
        <v/>
      </c>
      <c r="JZ782" s="1638" t="str">
        <f t="shared" si="255"/>
        <v/>
      </c>
      <c r="KA782" s="1638" t="str">
        <f t="shared" si="256"/>
        <v/>
      </c>
      <c r="KB782" s="1638" t="str">
        <f t="shared" si="257"/>
        <v/>
      </c>
      <c r="KC782" s="1638" t="str">
        <f t="shared" si="258"/>
        <v/>
      </c>
      <c r="KD782" s="1638" t="str">
        <f t="shared" si="259"/>
        <v/>
      </c>
      <c r="KE782" s="1638" t="str">
        <f t="shared" si="260"/>
        <v/>
      </c>
      <c r="KF782" s="1638" t="str">
        <f t="shared" si="261"/>
        <v/>
      </c>
      <c r="KG782" s="1638" t="str">
        <f t="shared" si="262"/>
        <v/>
      </c>
      <c r="KH782" s="1638" t="str">
        <f t="shared" si="263"/>
        <v/>
      </c>
      <c r="KI782" s="1638" t="str">
        <f t="shared" si="264"/>
        <v/>
      </c>
      <c r="KJ782" s="1638" t="str">
        <f t="shared" si="265"/>
        <v/>
      </c>
      <c r="KK782" s="1638" t="str">
        <f t="shared" si="266"/>
        <v/>
      </c>
      <c r="KL782" s="1638" t="str">
        <f t="shared" si="267"/>
        <v/>
      </c>
      <c r="KM782" s="1638" t="str">
        <f t="shared" si="268"/>
        <v/>
      </c>
      <c r="KN782" s="1638" t="str">
        <f t="shared" si="269"/>
        <v/>
      </c>
      <c r="KO782" s="1638" t="str">
        <f t="shared" si="270"/>
        <v/>
      </c>
      <c r="KP782" s="1638" t="str">
        <f t="shared" si="271"/>
        <v/>
      </c>
      <c r="KQ782" s="1638" t="str">
        <f t="shared" si="272"/>
        <v/>
      </c>
      <c r="KR782" s="1638" t="str">
        <f t="shared" si="273"/>
        <v/>
      </c>
      <c r="KS782" s="1638" t="str">
        <f t="shared" si="274"/>
        <v/>
      </c>
      <c r="KT782" s="1638" t="str">
        <f t="shared" si="275"/>
        <v/>
      </c>
      <c r="KU782" s="1638" t="str">
        <f t="shared" si="276"/>
        <v/>
      </c>
      <c r="KV782" s="1638" t="str">
        <f t="shared" si="277"/>
        <v/>
      </c>
      <c r="KW782" s="1638" t="str">
        <f t="shared" si="278"/>
        <v/>
      </c>
      <c r="KX782" s="1638">
        <f t="shared" si="279"/>
        <v>56</v>
      </c>
      <c r="KY782" s="1638" t="str">
        <f t="shared" si="280"/>
        <v/>
      </c>
      <c r="KZ782" s="1638" t="str">
        <f t="shared" si="281"/>
        <v/>
      </c>
      <c r="LA782" s="1638" t="str">
        <f t="shared" si="282"/>
        <v/>
      </c>
      <c r="LB782" s="1638" t="str">
        <f t="shared" si="283"/>
        <v/>
      </c>
      <c r="LC782" s="1638" t="str">
        <f t="shared" si="284"/>
        <v/>
      </c>
      <c r="LD782" s="1638" t="str">
        <f t="shared" si="285"/>
        <v/>
      </c>
      <c r="LE782" s="1638" t="str">
        <f t="shared" si="286"/>
        <v/>
      </c>
      <c r="LF782" s="1637" t="str">
        <f t="shared" si="287"/>
        <v/>
      </c>
      <c r="LG782" s="1637" t="str">
        <f t="shared" si="288"/>
        <v/>
      </c>
      <c r="LH782" s="1637" t="str">
        <f t="shared" si="289"/>
        <v/>
      </c>
      <c r="LI782" s="1637" t="str">
        <f t="shared" si="290"/>
        <v/>
      </c>
      <c r="LJ782" s="1637" t="str">
        <f t="shared" si="291"/>
        <v/>
      </c>
      <c r="LK782" s="742" t="str">
        <f t="shared" si="292"/>
        <v/>
      </c>
      <c r="LL782" s="742" t="str">
        <f t="shared" si="293"/>
        <v/>
      </c>
      <c r="LM782" s="742" t="str">
        <f t="shared" si="294"/>
        <v/>
      </c>
      <c r="LN782" s="742" t="str">
        <f t="shared" si="295"/>
        <v/>
      </c>
      <c r="LO782" s="742" t="str">
        <f t="shared" si="296"/>
        <v/>
      </c>
      <c r="LP782" s="742" t="str">
        <f t="shared" si="297"/>
        <v/>
      </c>
      <c r="LQ782" s="742" t="str">
        <f t="shared" si="298"/>
        <v/>
      </c>
      <c r="LR782" s="742" t="str">
        <f t="shared" si="299"/>
        <v/>
      </c>
      <c r="LS782" s="742" t="str">
        <f t="shared" si="300"/>
        <v/>
      </c>
      <c r="LT782" s="742" t="str">
        <f t="shared" si="301"/>
        <v/>
      </c>
      <c r="LU782" s="742" t="str">
        <f t="shared" si="302"/>
        <v/>
      </c>
      <c r="LV782" s="742" t="str">
        <f t="shared" si="303"/>
        <v/>
      </c>
      <c r="LW782" s="742" t="str">
        <f t="shared" si="304"/>
        <v/>
      </c>
      <c r="LX782" s="742" t="str">
        <f t="shared" si="305"/>
        <v/>
      </c>
      <c r="LY782" s="742" t="str">
        <f t="shared" si="306"/>
        <v/>
      </c>
      <c r="LZ782" s="742" t="str">
        <f t="shared" si="307"/>
        <v/>
      </c>
      <c r="MA782" s="742" t="str">
        <f t="shared" si="308"/>
        <v/>
      </c>
      <c r="MB782" s="742" t="str">
        <f t="shared" si="309"/>
        <v/>
      </c>
      <c r="MC782" s="742" t="str">
        <f t="shared" si="310"/>
        <v/>
      </c>
      <c r="MD782" s="742" t="str">
        <f t="shared" si="311"/>
        <v/>
      </c>
      <c r="ME782" s="1637">
        <f t="shared" si="323"/>
        <v>0</v>
      </c>
      <c r="MF782" s="1637">
        <f t="shared" si="324"/>
        <v>0</v>
      </c>
      <c r="MG782" s="1637">
        <f t="shared" si="325"/>
        <v>0</v>
      </c>
      <c r="MH782" s="1637">
        <f t="shared" si="326"/>
        <v>0</v>
      </c>
      <c r="MI782" s="1637">
        <f t="shared" si="327"/>
        <v>0</v>
      </c>
      <c r="MJ782" s="1637">
        <f t="shared" si="328"/>
        <v>0</v>
      </c>
      <c r="MK782" s="1637">
        <f t="shared" si="329"/>
        <v>0</v>
      </c>
      <c r="ML782" s="1637">
        <f t="shared" si="330"/>
        <v>56</v>
      </c>
      <c r="MM782" s="1637">
        <f t="shared" si="331"/>
        <v>0</v>
      </c>
      <c r="MN782" s="1637">
        <f t="shared" si="332"/>
        <v>0</v>
      </c>
      <c r="MO782" s="1637">
        <f t="shared" si="333"/>
        <v>0</v>
      </c>
      <c r="MP782" s="1637">
        <f t="shared" si="334"/>
        <v>0</v>
      </c>
      <c r="MQ782" s="1637">
        <f t="shared" si="335"/>
        <v>0</v>
      </c>
      <c r="MR782" s="1637">
        <f t="shared" si="336"/>
        <v>0</v>
      </c>
      <c r="MS782" s="1637">
        <f t="shared" si="337"/>
        <v>0</v>
      </c>
    </row>
    <row r="783" spans="1:357" ht="13.5">
      <c r="A783" s="1630" t="str">
        <f t="shared" si="0"/>
        <v/>
      </c>
      <c r="B783" s="2757">
        <f>'Part VI-Revenues &amp; Expenses'!B21</f>
        <v>60</v>
      </c>
      <c r="C783" s="2146">
        <f>'Part VI-Revenues &amp; Expenses'!C21</f>
        <v>3</v>
      </c>
      <c r="D783" s="2147">
        <f>'Part VI-Revenues &amp; Expenses'!D21</f>
        <v>2</v>
      </c>
      <c r="E783" s="2148">
        <f>'Part VI-Revenues &amp; Expenses'!E21</f>
        <v>8</v>
      </c>
      <c r="F783" s="2148">
        <f>'Part VI-Revenues &amp; Expenses'!F21</f>
        <v>1231</v>
      </c>
      <c r="G783" s="2148">
        <f>'Part VI-Revenues &amp; Expenses'!G21</f>
        <v>1243</v>
      </c>
      <c r="H783" s="2148">
        <f>'Part VI-Revenues &amp; Expenses'!H21</f>
        <v>1133</v>
      </c>
      <c r="I783" s="2148">
        <f>'Part VI-Revenues &amp; Expenses'!I21</f>
        <v>93</v>
      </c>
      <c r="J783" s="2149">
        <f>'Part VI-Revenues &amp; Expenses'!J21</f>
        <v>0</v>
      </c>
      <c r="K783" s="1822">
        <f t="shared" si="1"/>
        <v>1040</v>
      </c>
      <c r="L783" s="1822">
        <f t="shared" si="2"/>
        <v>8320</v>
      </c>
      <c r="M783" s="2133" t="str">
        <f>'Part VI-Revenues &amp; Expenses'!M21</f>
        <v>No</v>
      </c>
      <c r="N783" s="2133" t="str">
        <f>'Part VI-Revenues &amp; Expenses'!N21</f>
        <v>3+ Story</v>
      </c>
      <c r="O783" s="2133" t="str">
        <f>'Part VI-Revenues &amp; Expenses'!O21</f>
        <v>New Construction</v>
      </c>
      <c r="P783" s="1633" t="str">
        <f>'Part VI-Revenues &amp; Expenses'!P21</f>
        <v>No</v>
      </c>
      <c r="Q783" s="1823">
        <f>'Part VI-Revenues &amp; Expenses'!Q21</f>
        <v>45320</v>
      </c>
      <c r="R783" s="1824">
        <f>'Part VI-Revenues &amp; Expenses'!R21</f>
        <v>0.58257918552036203</v>
      </c>
      <c r="S783" s="1823">
        <f>'Part VI-Revenues &amp; Expenses'!S21</f>
        <v>0</v>
      </c>
      <c r="T783" s="1824">
        <f>'Part VI-Revenues &amp; Expenses'!T21</f>
        <v>0</v>
      </c>
      <c r="U783" s="1838">
        <f>'Part VI-Revenues &amp; Expenses'!U21:V21</f>
        <v>0</v>
      </c>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f t="shared" si="16"/>
        <v>8</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312"/>
        <v/>
      </c>
      <c r="EH783" s="742" t="str">
        <f t="shared" si="117"/>
        <v/>
      </c>
      <c r="EI783" s="742" t="str">
        <f t="shared" si="118"/>
        <v/>
      </c>
      <c r="EJ783" s="742" t="str">
        <f t="shared" si="119"/>
        <v/>
      </c>
      <c r="EK783" s="742" t="str">
        <f t="shared" si="120"/>
        <v/>
      </c>
      <c r="EL783" s="742" t="str">
        <f t="shared" si="121"/>
        <v/>
      </c>
      <c r="EM783" s="742" t="str">
        <f t="shared" si="122"/>
        <v/>
      </c>
      <c r="EN783" s="742" t="str">
        <f t="shared" si="123"/>
        <v/>
      </c>
      <c r="EO783" s="742" t="str">
        <f t="shared" si="124"/>
        <v/>
      </c>
      <c r="EP783" s="742" t="str">
        <f t="shared" si="125"/>
        <v/>
      </c>
      <c r="EQ783" s="742" t="str">
        <f t="shared" si="126"/>
        <v/>
      </c>
      <c r="ER783" s="742" t="str">
        <f t="shared" si="127"/>
        <v/>
      </c>
      <c r="ES783" s="742" t="str">
        <f t="shared" si="128"/>
        <v/>
      </c>
      <c r="ET783" s="742" t="str">
        <f t="shared" si="129"/>
        <v/>
      </c>
      <c r="EU783" s="742">
        <f t="shared" si="130"/>
        <v>9848</v>
      </c>
      <c r="EV783" s="742" t="str">
        <f t="shared" si="131"/>
        <v/>
      </c>
      <c r="EW783" s="742" t="str">
        <f t="shared" si="313"/>
        <v/>
      </c>
      <c r="EX783" s="742" t="str">
        <f t="shared" si="314"/>
        <v/>
      </c>
      <c r="EY783" s="742" t="str">
        <f t="shared" si="315"/>
        <v/>
      </c>
      <c r="EZ783" s="742" t="str">
        <f t="shared" si="316"/>
        <v/>
      </c>
      <c r="FA783" s="742" t="str">
        <f t="shared" si="317"/>
        <v/>
      </c>
      <c r="FB783" s="742" t="str">
        <f t="shared" si="132"/>
        <v/>
      </c>
      <c r="FC783" s="742" t="str">
        <f t="shared" si="133"/>
        <v/>
      </c>
      <c r="FD783" s="742" t="str">
        <f t="shared" si="134"/>
        <v/>
      </c>
      <c r="FE783" s="742" t="str">
        <f t="shared" si="135"/>
        <v/>
      </c>
      <c r="FF783" s="742" t="str">
        <f t="shared" si="136"/>
        <v/>
      </c>
      <c r="FG783" s="742" t="str">
        <f t="shared" si="318"/>
        <v/>
      </c>
      <c r="FH783" s="742" t="str">
        <f t="shared" si="319"/>
        <v/>
      </c>
      <c r="FI783" s="742" t="str">
        <f t="shared" si="320"/>
        <v/>
      </c>
      <c r="FJ783" s="742" t="str">
        <f t="shared" si="321"/>
        <v/>
      </c>
      <c r="FK783" s="742" t="str">
        <f t="shared" si="322"/>
        <v/>
      </c>
      <c r="FL783" s="742" t="str">
        <f t="shared" si="137"/>
        <v/>
      </c>
      <c r="FM783" s="742" t="str">
        <f t="shared" si="138"/>
        <v/>
      </c>
      <c r="FN783" s="742" t="str">
        <f t="shared" si="139"/>
        <v/>
      </c>
      <c r="FO783" s="742" t="str">
        <f t="shared" si="140"/>
        <v/>
      </c>
      <c r="FP783" s="742" t="str">
        <f t="shared" si="141"/>
        <v/>
      </c>
      <c r="FQ783" s="742" t="str">
        <f t="shared" si="142"/>
        <v/>
      </c>
      <c r="FR783" s="742" t="str">
        <f t="shared" si="143"/>
        <v/>
      </c>
      <c r="FS783" s="742" t="str">
        <f t="shared" si="144"/>
        <v/>
      </c>
      <c r="FT783" s="742" t="str">
        <f t="shared" si="145"/>
        <v/>
      </c>
      <c r="FU783" s="742" t="str">
        <f t="shared" si="146"/>
        <v/>
      </c>
      <c r="FV783" s="742" t="str">
        <f t="shared" si="147"/>
        <v/>
      </c>
      <c r="FW783" s="742" t="str">
        <f t="shared" si="148"/>
        <v/>
      </c>
      <c r="FX783" s="742" t="str">
        <f t="shared" si="149"/>
        <v/>
      </c>
      <c r="FY783" s="742" t="str">
        <f t="shared" si="150"/>
        <v/>
      </c>
      <c r="FZ783" s="742" t="str">
        <f t="shared" si="151"/>
        <v/>
      </c>
      <c r="GA783" s="742" t="str">
        <f t="shared" si="152"/>
        <v/>
      </c>
      <c r="GB783" s="742" t="str">
        <f t="shared" si="153"/>
        <v/>
      </c>
      <c r="GC783" s="742" t="str">
        <f t="shared" si="154"/>
        <v/>
      </c>
      <c r="GD783" s="742" t="str">
        <f t="shared" si="155"/>
        <v/>
      </c>
      <c r="GE783" s="742" t="str">
        <f t="shared" si="156"/>
        <v/>
      </c>
      <c r="GF783" s="742" t="str">
        <f t="shared" si="157"/>
        <v/>
      </c>
      <c r="GG783" s="742" t="str">
        <f t="shared" si="158"/>
        <v/>
      </c>
      <c r="GH783" s="742" t="str">
        <f t="shared" si="159"/>
        <v/>
      </c>
      <c r="GI783" s="742">
        <f t="shared" si="160"/>
        <v>8</v>
      </c>
      <c r="GJ783" s="742" t="str">
        <f t="shared" si="161"/>
        <v/>
      </c>
      <c r="GK783" s="742" t="str">
        <f t="shared" si="162"/>
        <v/>
      </c>
      <c r="GL783" s="742" t="str">
        <f t="shared" si="163"/>
        <v/>
      </c>
      <c r="GM783" s="742" t="str">
        <f t="shared" si="164"/>
        <v/>
      </c>
      <c r="GN783" s="742" t="str">
        <f t="shared" si="165"/>
        <v/>
      </c>
      <c r="GO783" s="742" t="str">
        <f t="shared" si="166"/>
        <v/>
      </c>
      <c r="GP783" s="742" t="str">
        <f t="shared" si="167"/>
        <v/>
      </c>
      <c r="GQ783" s="742" t="str">
        <f t="shared" si="168"/>
        <v/>
      </c>
      <c r="GR783" s="742" t="str">
        <f t="shared" si="169"/>
        <v/>
      </c>
      <c r="GS783" s="742" t="str">
        <f t="shared" si="170"/>
        <v/>
      </c>
      <c r="GT783" s="742" t="str">
        <f t="shared" si="171"/>
        <v/>
      </c>
      <c r="GU783" s="742" t="str">
        <f t="shared" si="172"/>
        <v/>
      </c>
      <c r="GV783" s="742" t="str">
        <f t="shared" si="173"/>
        <v/>
      </c>
      <c r="GW783" s="742" t="str">
        <f t="shared" si="174"/>
        <v/>
      </c>
      <c r="GX783" s="742" t="str">
        <f t="shared" si="175"/>
        <v/>
      </c>
      <c r="GY783" s="742" t="str">
        <f t="shared" si="176"/>
        <v/>
      </c>
      <c r="GZ783" s="742" t="str">
        <f t="shared" si="177"/>
        <v/>
      </c>
      <c r="HA783" s="742" t="str">
        <f t="shared" si="178"/>
        <v/>
      </c>
      <c r="HB783" s="742" t="str">
        <f t="shared" si="179"/>
        <v/>
      </c>
      <c r="HC783" s="742" t="str">
        <f t="shared" si="180"/>
        <v/>
      </c>
      <c r="HD783" s="742" t="str">
        <f t="shared" si="181"/>
        <v/>
      </c>
      <c r="HE783" s="742" t="str">
        <f t="shared" si="182"/>
        <v/>
      </c>
      <c r="HF783" s="742" t="str">
        <f t="shared" si="183"/>
        <v/>
      </c>
      <c r="HG783" s="742" t="str">
        <f t="shared" si="184"/>
        <v/>
      </c>
      <c r="HH783" s="742" t="str">
        <f t="shared" si="185"/>
        <v/>
      </c>
      <c r="HI783" s="742" t="str">
        <f t="shared" si="186"/>
        <v/>
      </c>
      <c r="HJ783" s="742" t="str">
        <f t="shared" si="187"/>
        <v/>
      </c>
      <c r="HK783" s="742" t="str">
        <f t="shared" si="188"/>
        <v/>
      </c>
      <c r="HL783" s="742" t="str">
        <f t="shared" si="189"/>
        <v/>
      </c>
      <c r="HM783" s="742" t="str">
        <f t="shared" si="190"/>
        <v/>
      </c>
      <c r="HN783" s="742" t="str">
        <f t="shared" si="191"/>
        <v/>
      </c>
      <c r="HO783" s="742" t="str">
        <f t="shared" si="192"/>
        <v/>
      </c>
      <c r="HP783" s="742" t="str">
        <f t="shared" si="193"/>
        <v/>
      </c>
      <c r="HQ783" s="742" t="str">
        <f t="shared" si="194"/>
        <v/>
      </c>
      <c r="HR783" s="742" t="str">
        <f t="shared" si="195"/>
        <v/>
      </c>
      <c r="HS783" s="742" t="str">
        <f t="shared" si="196"/>
        <v/>
      </c>
      <c r="HT783" s="742" t="str">
        <f t="shared" si="197"/>
        <v/>
      </c>
      <c r="HU783" s="742" t="str">
        <f t="shared" si="198"/>
        <v/>
      </c>
      <c r="HV783" s="742" t="str">
        <f t="shared" si="199"/>
        <v/>
      </c>
      <c r="HW783" s="742" t="str">
        <f t="shared" si="200"/>
        <v/>
      </c>
      <c r="HX783" s="742" t="str">
        <f t="shared" si="201"/>
        <v/>
      </c>
      <c r="HY783" s="1638" t="str">
        <f t="shared" si="202"/>
        <v/>
      </c>
      <c r="HZ783" s="1638" t="str">
        <f t="shared" si="203"/>
        <v/>
      </c>
      <c r="IA783" s="1638" t="str">
        <f t="shared" si="204"/>
        <v/>
      </c>
      <c r="IB783" s="1638">
        <f t="shared" si="205"/>
        <v>8</v>
      </c>
      <c r="IC783" s="1638" t="str">
        <f t="shared" si="206"/>
        <v/>
      </c>
      <c r="ID783" s="1638" t="str">
        <f t="shared" si="207"/>
        <v/>
      </c>
      <c r="IE783" s="1638" t="str">
        <f t="shared" si="208"/>
        <v/>
      </c>
      <c r="IF783" s="1638" t="str">
        <f t="shared" si="209"/>
        <v/>
      </c>
      <c r="IG783" s="1638" t="str">
        <f t="shared" si="210"/>
        <v/>
      </c>
      <c r="IH783" s="1638" t="str">
        <f t="shared" si="211"/>
        <v/>
      </c>
      <c r="II783" s="1638" t="str">
        <f t="shared" si="212"/>
        <v/>
      </c>
      <c r="IJ783" s="1638" t="str">
        <f t="shared" si="213"/>
        <v/>
      </c>
      <c r="IK783" s="1638" t="str">
        <f t="shared" si="214"/>
        <v/>
      </c>
      <c r="IL783" s="1638" t="str">
        <f t="shared" si="215"/>
        <v/>
      </c>
      <c r="IM783" s="1638" t="str">
        <f t="shared" si="216"/>
        <v/>
      </c>
      <c r="IN783" s="1638" t="str">
        <f t="shared" si="217"/>
        <v/>
      </c>
      <c r="IO783" s="1638" t="str">
        <f t="shared" si="218"/>
        <v/>
      </c>
      <c r="IP783" s="1638" t="str">
        <f t="shared" si="219"/>
        <v/>
      </c>
      <c r="IQ783" s="1638" t="str">
        <f t="shared" si="220"/>
        <v/>
      </c>
      <c r="IR783" s="1638" t="str">
        <f t="shared" si="221"/>
        <v/>
      </c>
      <c r="IS783" s="1638" t="str">
        <f t="shared" si="222"/>
        <v/>
      </c>
      <c r="IT783" s="1638" t="str">
        <f t="shared" si="223"/>
        <v/>
      </c>
      <c r="IU783" s="1638" t="str">
        <f t="shared" si="224"/>
        <v/>
      </c>
      <c r="IV783" s="1638" t="str">
        <f t="shared" si="225"/>
        <v/>
      </c>
      <c r="IW783" s="1638" t="str">
        <f t="shared" si="226"/>
        <v/>
      </c>
      <c r="IX783" s="1638" t="str">
        <f t="shared" si="227"/>
        <v/>
      </c>
      <c r="IY783" s="1638" t="str">
        <f t="shared" si="228"/>
        <v/>
      </c>
      <c r="IZ783" s="1638" t="str">
        <f t="shared" si="229"/>
        <v/>
      </c>
      <c r="JA783" s="1638" t="str">
        <f t="shared" si="230"/>
        <v/>
      </c>
      <c r="JB783" s="1638" t="str">
        <f t="shared" si="231"/>
        <v/>
      </c>
      <c r="JC783" s="1638" t="str">
        <f t="shared" si="232"/>
        <v/>
      </c>
      <c r="JD783" s="1638" t="str">
        <f t="shared" si="233"/>
        <v/>
      </c>
      <c r="JE783" s="1638" t="str">
        <f t="shared" si="234"/>
        <v/>
      </c>
      <c r="JF783" s="1638" t="str">
        <f t="shared" si="235"/>
        <v/>
      </c>
      <c r="JG783" s="1638" t="str">
        <f t="shared" si="236"/>
        <v/>
      </c>
      <c r="JH783" s="1638" t="str">
        <f t="shared" si="237"/>
        <v/>
      </c>
      <c r="JI783" s="1638" t="str">
        <f t="shared" si="238"/>
        <v/>
      </c>
      <c r="JJ783" s="1638" t="str">
        <f t="shared" si="239"/>
        <v/>
      </c>
      <c r="JK783" s="1638" t="str">
        <f t="shared" si="240"/>
        <v/>
      </c>
      <c r="JL783" s="1638" t="str">
        <f t="shared" si="241"/>
        <v/>
      </c>
      <c r="JM783" s="1638" t="str">
        <f t="shared" si="242"/>
        <v/>
      </c>
      <c r="JN783" s="1638" t="str">
        <f t="shared" si="243"/>
        <v/>
      </c>
      <c r="JO783" s="1638" t="str">
        <f t="shared" si="244"/>
        <v/>
      </c>
      <c r="JP783" s="1638" t="str">
        <f t="shared" si="245"/>
        <v/>
      </c>
      <c r="JQ783" s="1638" t="str">
        <f t="shared" si="246"/>
        <v/>
      </c>
      <c r="JR783" s="1638" t="str">
        <f t="shared" si="247"/>
        <v/>
      </c>
      <c r="JS783" s="1638" t="str">
        <f t="shared" si="248"/>
        <v/>
      </c>
      <c r="JT783" s="1638" t="str">
        <f t="shared" si="249"/>
        <v/>
      </c>
      <c r="JU783" s="1638" t="str">
        <f t="shared" si="250"/>
        <v/>
      </c>
      <c r="JV783" s="1638" t="str">
        <f t="shared" si="251"/>
        <v/>
      </c>
      <c r="JW783" s="1638" t="str">
        <f t="shared" si="252"/>
        <v/>
      </c>
      <c r="JX783" s="1638" t="str">
        <f t="shared" si="253"/>
        <v/>
      </c>
      <c r="JY783" s="1638" t="str">
        <f t="shared" si="254"/>
        <v/>
      </c>
      <c r="JZ783" s="1638" t="str">
        <f t="shared" si="255"/>
        <v/>
      </c>
      <c r="KA783" s="1638" t="str">
        <f t="shared" si="256"/>
        <v/>
      </c>
      <c r="KB783" s="1638" t="str">
        <f t="shared" si="257"/>
        <v/>
      </c>
      <c r="KC783" s="1638" t="str">
        <f t="shared" si="258"/>
        <v/>
      </c>
      <c r="KD783" s="1638" t="str">
        <f t="shared" si="259"/>
        <v/>
      </c>
      <c r="KE783" s="1638" t="str">
        <f t="shared" si="260"/>
        <v/>
      </c>
      <c r="KF783" s="1638" t="str">
        <f t="shared" si="261"/>
        <v/>
      </c>
      <c r="KG783" s="1638" t="str">
        <f t="shared" si="262"/>
        <v/>
      </c>
      <c r="KH783" s="1638" t="str">
        <f t="shared" si="263"/>
        <v/>
      </c>
      <c r="KI783" s="1638" t="str">
        <f t="shared" si="264"/>
        <v/>
      </c>
      <c r="KJ783" s="1638" t="str">
        <f t="shared" si="265"/>
        <v/>
      </c>
      <c r="KK783" s="1638" t="str">
        <f t="shared" si="266"/>
        <v/>
      </c>
      <c r="KL783" s="1638" t="str">
        <f t="shared" si="267"/>
        <v/>
      </c>
      <c r="KM783" s="1638" t="str">
        <f t="shared" si="268"/>
        <v/>
      </c>
      <c r="KN783" s="1638" t="str">
        <f t="shared" si="269"/>
        <v/>
      </c>
      <c r="KO783" s="1638" t="str">
        <f t="shared" si="270"/>
        <v/>
      </c>
      <c r="KP783" s="1638" t="str">
        <f t="shared" si="271"/>
        <v/>
      </c>
      <c r="KQ783" s="1638" t="str">
        <f t="shared" si="272"/>
        <v/>
      </c>
      <c r="KR783" s="1638" t="str">
        <f t="shared" si="273"/>
        <v/>
      </c>
      <c r="KS783" s="1638" t="str">
        <f t="shared" si="274"/>
        <v/>
      </c>
      <c r="KT783" s="1638" t="str">
        <f t="shared" si="275"/>
        <v/>
      </c>
      <c r="KU783" s="1638" t="str">
        <f t="shared" si="276"/>
        <v/>
      </c>
      <c r="KV783" s="1638" t="str">
        <f t="shared" si="277"/>
        <v/>
      </c>
      <c r="KW783" s="1638" t="str">
        <f t="shared" si="278"/>
        <v/>
      </c>
      <c r="KX783" s="1638" t="str">
        <f t="shared" si="279"/>
        <v/>
      </c>
      <c r="KY783" s="1638">
        <f t="shared" si="280"/>
        <v>8</v>
      </c>
      <c r="KZ783" s="1638" t="str">
        <f t="shared" si="281"/>
        <v/>
      </c>
      <c r="LA783" s="1638" t="str">
        <f t="shared" si="282"/>
        <v/>
      </c>
      <c r="LB783" s="1638" t="str">
        <f t="shared" si="283"/>
        <v/>
      </c>
      <c r="LC783" s="1638" t="str">
        <f t="shared" si="284"/>
        <v/>
      </c>
      <c r="LD783" s="1638" t="str">
        <f t="shared" si="285"/>
        <v/>
      </c>
      <c r="LE783" s="1638" t="str">
        <f t="shared" si="286"/>
        <v/>
      </c>
      <c r="LF783" s="1637" t="str">
        <f t="shared" si="287"/>
        <v/>
      </c>
      <c r="LG783" s="1637" t="str">
        <f t="shared" si="288"/>
        <v/>
      </c>
      <c r="LH783" s="1637" t="str">
        <f t="shared" si="289"/>
        <v/>
      </c>
      <c r="LI783" s="1637" t="str">
        <f t="shared" si="290"/>
        <v/>
      </c>
      <c r="LJ783" s="1637" t="str">
        <f t="shared" si="291"/>
        <v/>
      </c>
      <c r="LK783" s="742" t="str">
        <f t="shared" si="292"/>
        <v/>
      </c>
      <c r="LL783" s="742" t="str">
        <f t="shared" si="293"/>
        <v/>
      </c>
      <c r="LM783" s="742" t="str">
        <f t="shared" si="294"/>
        <v/>
      </c>
      <c r="LN783" s="742" t="str">
        <f t="shared" si="295"/>
        <v/>
      </c>
      <c r="LO783" s="742" t="str">
        <f t="shared" si="296"/>
        <v/>
      </c>
      <c r="LP783" s="742" t="str">
        <f t="shared" si="297"/>
        <v/>
      </c>
      <c r="LQ783" s="742" t="str">
        <f t="shared" si="298"/>
        <v/>
      </c>
      <c r="LR783" s="742" t="str">
        <f t="shared" si="299"/>
        <v/>
      </c>
      <c r="LS783" s="742" t="str">
        <f t="shared" si="300"/>
        <v/>
      </c>
      <c r="LT783" s="742" t="str">
        <f t="shared" si="301"/>
        <v/>
      </c>
      <c r="LU783" s="742" t="str">
        <f t="shared" si="302"/>
        <v/>
      </c>
      <c r="LV783" s="742" t="str">
        <f t="shared" si="303"/>
        <v/>
      </c>
      <c r="LW783" s="742" t="str">
        <f t="shared" si="304"/>
        <v/>
      </c>
      <c r="LX783" s="742" t="str">
        <f t="shared" si="305"/>
        <v/>
      </c>
      <c r="LY783" s="742" t="str">
        <f t="shared" si="306"/>
        <v/>
      </c>
      <c r="LZ783" s="742" t="str">
        <f t="shared" si="307"/>
        <v/>
      </c>
      <c r="MA783" s="742" t="str">
        <f t="shared" si="308"/>
        <v/>
      </c>
      <c r="MB783" s="742" t="str">
        <f t="shared" si="309"/>
        <v/>
      </c>
      <c r="MC783" s="742" t="str">
        <f t="shared" si="310"/>
        <v/>
      </c>
      <c r="MD783" s="742" t="str">
        <f t="shared" si="311"/>
        <v/>
      </c>
      <c r="ME783" s="1637">
        <f t="shared" si="323"/>
        <v>0</v>
      </c>
      <c r="MF783" s="1637">
        <f t="shared" si="324"/>
        <v>0</v>
      </c>
      <c r="MG783" s="1637">
        <f t="shared" si="325"/>
        <v>0</v>
      </c>
      <c r="MH783" s="1637">
        <f t="shared" si="326"/>
        <v>0</v>
      </c>
      <c r="MI783" s="1637">
        <f t="shared" si="327"/>
        <v>0</v>
      </c>
      <c r="MJ783" s="1637">
        <f t="shared" si="328"/>
        <v>0</v>
      </c>
      <c r="MK783" s="1637">
        <f t="shared" si="329"/>
        <v>0</v>
      </c>
      <c r="ML783" s="1637">
        <f t="shared" si="330"/>
        <v>0</v>
      </c>
      <c r="MM783" s="1637">
        <f t="shared" si="331"/>
        <v>8</v>
      </c>
      <c r="MN783" s="1637">
        <f t="shared" si="332"/>
        <v>0</v>
      </c>
      <c r="MO783" s="1637">
        <f t="shared" si="333"/>
        <v>0</v>
      </c>
      <c r="MP783" s="1637">
        <f t="shared" si="334"/>
        <v>0</v>
      </c>
      <c r="MQ783" s="1637">
        <f t="shared" si="335"/>
        <v>0</v>
      </c>
      <c r="MR783" s="1637">
        <f t="shared" si="336"/>
        <v>0</v>
      </c>
      <c r="MS783" s="1637">
        <f t="shared" si="337"/>
        <v>0</v>
      </c>
    </row>
    <row r="784" spans="1:357" ht="13.5">
      <c r="A784" s="1630" t="str">
        <f t="shared" si="0"/>
        <v/>
      </c>
      <c r="B784" s="2757">
        <f>'Part VI-Revenues &amp; Expenses'!B22</f>
        <v>60</v>
      </c>
      <c r="C784" s="2146">
        <f>'Part VI-Revenues &amp; Expenses'!C22</f>
        <v>4</v>
      </c>
      <c r="D784" s="2147">
        <f>'Part VI-Revenues &amp; Expenses'!D22</f>
        <v>2</v>
      </c>
      <c r="E784" s="2148">
        <f>'Part VI-Revenues &amp; Expenses'!E22</f>
        <v>8</v>
      </c>
      <c r="F784" s="2148">
        <f>'Part VI-Revenues &amp; Expenses'!F22</f>
        <v>1435</v>
      </c>
      <c r="G784" s="2148">
        <f>'Part VI-Revenues &amp; Expenses'!G22</f>
        <v>1387</v>
      </c>
      <c r="H784" s="2148">
        <f>'Part VI-Revenues &amp; Expenses'!H22</f>
        <v>1284</v>
      </c>
      <c r="I784" s="2148">
        <f>'Part VI-Revenues &amp; Expenses'!I22</f>
        <v>109</v>
      </c>
      <c r="J784" s="2149">
        <f>'Part VI-Revenues &amp; Expenses'!J22</f>
        <v>0</v>
      </c>
      <c r="K784" s="1822">
        <f t="shared" si="1"/>
        <v>1175</v>
      </c>
      <c r="L784" s="1822">
        <f t="shared" si="2"/>
        <v>9400</v>
      </c>
      <c r="M784" s="2133" t="str">
        <f>'Part VI-Revenues &amp; Expenses'!M22</f>
        <v>No</v>
      </c>
      <c r="N784" s="2133" t="str">
        <f>'Part VI-Revenues &amp; Expenses'!N22</f>
        <v>3+ Story</v>
      </c>
      <c r="O784" s="2133" t="str">
        <f>'Part VI-Revenues &amp; Expenses'!O22</f>
        <v>New Construction</v>
      </c>
      <c r="P784" s="1633" t="str">
        <f>'Part VI-Revenues &amp; Expenses'!P22</f>
        <v>No</v>
      </c>
      <c r="Q784" s="1823">
        <f>'Part VI-Revenues &amp; Expenses'!Q22</f>
        <v>51360</v>
      </c>
      <c r="R784" s="1824">
        <f>'Part VI-Revenues &amp; Expenses'!R22</f>
        <v>0.59192328969205232</v>
      </c>
      <c r="S784" s="1823">
        <f>'Part VI-Revenues &amp; Expenses'!S22</f>
        <v>0</v>
      </c>
      <c r="T784" s="1824">
        <f>'Part VI-Revenues &amp; Expenses'!T22</f>
        <v>0</v>
      </c>
      <c r="U784" s="1838">
        <f>'Part VI-Revenues &amp; Expenses'!U22:V22</f>
        <v>0</v>
      </c>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f t="shared" si="17"/>
        <v>8</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312"/>
        <v/>
      </c>
      <c r="EH784" s="742" t="str">
        <f t="shared" si="117"/>
        <v/>
      </c>
      <c r="EI784" s="742" t="str">
        <f t="shared" si="118"/>
        <v/>
      </c>
      <c r="EJ784" s="742" t="str">
        <f t="shared" si="119"/>
        <v/>
      </c>
      <c r="EK784" s="742" t="str">
        <f t="shared" si="120"/>
        <v/>
      </c>
      <c r="EL784" s="742" t="str">
        <f t="shared" si="121"/>
        <v/>
      </c>
      <c r="EM784" s="742" t="str">
        <f t="shared" si="122"/>
        <v/>
      </c>
      <c r="EN784" s="742" t="str">
        <f t="shared" si="123"/>
        <v/>
      </c>
      <c r="EO784" s="742" t="str">
        <f t="shared" si="124"/>
        <v/>
      </c>
      <c r="EP784" s="742" t="str">
        <f t="shared" si="125"/>
        <v/>
      </c>
      <c r="EQ784" s="742" t="str">
        <f t="shared" si="126"/>
        <v/>
      </c>
      <c r="ER784" s="742" t="str">
        <f t="shared" si="127"/>
        <v/>
      </c>
      <c r="ES784" s="742" t="str">
        <f t="shared" si="128"/>
        <v/>
      </c>
      <c r="ET784" s="742" t="str">
        <f t="shared" si="129"/>
        <v/>
      </c>
      <c r="EU784" s="742" t="str">
        <f t="shared" si="130"/>
        <v/>
      </c>
      <c r="EV784" s="742">
        <f t="shared" si="131"/>
        <v>11480</v>
      </c>
      <c r="EW784" s="742" t="str">
        <f t="shared" si="313"/>
        <v/>
      </c>
      <c r="EX784" s="742" t="str">
        <f t="shared" si="314"/>
        <v/>
      </c>
      <c r="EY784" s="742" t="str">
        <f t="shared" si="315"/>
        <v/>
      </c>
      <c r="EZ784" s="742" t="str">
        <f t="shared" si="316"/>
        <v/>
      </c>
      <c r="FA784" s="742" t="str">
        <f t="shared" si="317"/>
        <v/>
      </c>
      <c r="FB784" s="742" t="str">
        <f t="shared" si="132"/>
        <v/>
      </c>
      <c r="FC784" s="742" t="str">
        <f t="shared" si="133"/>
        <v/>
      </c>
      <c r="FD784" s="742" t="str">
        <f t="shared" si="134"/>
        <v/>
      </c>
      <c r="FE784" s="742" t="str">
        <f t="shared" si="135"/>
        <v/>
      </c>
      <c r="FF784" s="742" t="str">
        <f t="shared" si="136"/>
        <v/>
      </c>
      <c r="FG784" s="742" t="str">
        <f t="shared" si="318"/>
        <v/>
      </c>
      <c r="FH784" s="742" t="str">
        <f t="shared" si="319"/>
        <v/>
      </c>
      <c r="FI784" s="742" t="str">
        <f t="shared" si="320"/>
        <v/>
      </c>
      <c r="FJ784" s="742" t="str">
        <f t="shared" si="321"/>
        <v/>
      </c>
      <c r="FK784" s="742" t="str">
        <f t="shared" si="322"/>
        <v/>
      </c>
      <c r="FL784" s="742" t="str">
        <f t="shared" si="137"/>
        <v/>
      </c>
      <c r="FM784" s="742" t="str">
        <f t="shared" si="138"/>
        <v/>
      </c>
      <c r="FN784" s="742" t="str">
        <f t="shared" si="139"/>
        <v/>
      </c>
      <c r="FO784" s="742" t="str">
        <f t="shared" si="140"/>
        <v/>
      </c>
      <c r="FP784" s="742" t="str">
        <f t="shared" si="141"/>
        <v/>
      </c>
      <c r="FQ784" s="742" t="str">
        <f t="shared" si="142"/>
        <v/>
      </c>
      <c r="FR784" s="742" t="str">
        <f t="shared" si="143"/>
        <v/>
      </c>
      <c r="FS784" s="742" t="str">
        <f t="shared" si="144"/>
        <v/>
      </c>
      <c r="FT784" s="742" t="str">
        <f t="shared" si="145"/>
        <v/>
      </c>
      <c r="FU784" s="742" t="str">
        <f t="shared" si="146"/>
        <v/>
      </c>
      <c r="FV784" s="742" t="str">
        <f t="shared" si="147"/>
        <v/>
      </c>
      <c r="FW784" s="742" t="str">
        <f t="shared" si="148"/>
        <v/>
      </c>
      <c r="FX784" s="742" t="str">
        <f t="shared" si="149"/>
        <v/>
      </c>
      <c r="FY784" s="742" t="str">
        <f t="shared" si="150"/>
        <v/>
      </c>
      <c r="FZ784" s="742" t="str">
        <f t="shared" si="151"/>
        <v/>
      </c>
      <c r="GA784" s="742" t="str">
        <f t="shared" si="152"/>
        <v/>
      </c>
      <c r="GB784" s="742" t="str">
        <f t="shared" si="153"/>
        <v/>
      </c>
      <c r="GC784" s="742" t="str">
        <f t="shared" si="154"/>
        <v/>
      </c>
      <c r="GD784" s="742" t="str">
        <f t="shared" si="155"/>
        <v/>
      </c>
      <c r="GE784" s="742" t="str">
        <f t="shared" si="156"/>
        <v/>
      </c>
      <c r="GF784" s="742" t="str">
        <f t="shared" si="157"/>
        <v/>
      </c>
      <c r="GG784" s="742" t="str">
        <f t="shared" si="158"/>
        <v/>
      </c>
      <c r="GH784" s="742" t="str">
        <f t="shared" si="159"/>
        <v/>
      </c>
      <c r="GI784" s="742" t="str">
        <f t="shared" si="160"/>
        <v/>
      </c>
      <c r="GJ784" s="742">
        <f t="shared" si="161"/>
        <v>8</v>
      </c>
      <c r="GK784" s="742" t="str">
        <f t="shared" si="162"/>
        <v/>
      </c>
      <c r="GL784" s="742" t="str">
        <f t="shared" si="163"/>
        <v/>
      </c>
      <c r="GM784" s="742" t="str">
        <f t="shared" si="164"/>
        <v/>
      </c>
      <c r="GN784" s="742" t="str">
        <f t="shared" si="165"/>
        <v/>
      </c>
      <c r="GO784" s="742" t="str">
        <f t="shared" si="166"/>
        <v/>
      </c>
      <c r="GP784" s="742" t="str">
        <f t="shared" si="167"/>
        <v/>
      </c>
      <c r="GQ784" s="742" t="str">
        <f t="shared" si="168"/>
        <v/>
      </c>
      <c r="GR784" s="742" t="str">
        <f t="shared" si="169"/>
        <v/>
      </c>
      <c r="GS784" s="742" t="str">
        <f t="shared" si="170"/>
        <v/>
      </c>
      <c r="GT784" s="742" t="str">
        <f t="shared" si="171"/>
        <v/>
      </c>
      <c r="GU784" s="742" t="str">
        <f t="shared" si="172"/>
        <v/>
      </c>
      <c r="GV784" s="742" t="str">
        <f t="shared" si="173"/>
        <v/>
      </c>
      <c r="GW784" s="742" t="str">
        <f t="shared" si="174"/>
        <v/>
      </c>
      <c r="GX784" s="742" t="str">
        <f t="shared" si="175"/>
        <v/>
      </c>
      <c r="GY784" s="742" t="str">
        <f t="shared" si="176"/>
        <v/>
      </c>
      <c r="GZ784" s="742" t="str">
        <f t="shared" si="177"/>
        <v/>
      </c>
      <c r="HA784" s="742" t="str">
        <f t="shared" si="178"/>
        <v/>
      </c>
      <c r="HB784" s="742" t="str">
        <f t="shared" si="179"/>
        <v/>
      </c>
      <c r="HC784" s="742" t="str">
        <f t="shared" si="180"/>
        <v/>
      </c>
      <c r="HD784" s="742" t="str">
        <f t="shared" si="181"/>
        <v/>
      </c>
      <c r="HE784" s="742" t="str">
        <f t="shared" si="182"/>
        <v/>
      </c>
      <c r="HF784" s="742" t="str">
        <f t="shared" si="183"/>
        <v/>
      </c>
      <c r="HG784" s="742" t="str">
        <f t="shared" si="184"/>
        <v/>
      </c>
      <c r="HH784" s="742" t="str">
        <f t="shared" si="185"/>
        <v/>
      </c>
      <c r="HI784" s="742" t="str">
        <f t="shared" si="186"/>
        <v/>
      </c>
      <c r="HJ784" s="742" t="str">
        <f t="shared" si="187"/>
        <v/>
      </c>
      <c r="HK784" s="742" t="str">
        <f t="shared" si="188"/>
        <v/>
      </c>
      <c r="HL784" s="742" t="str">
        <f t="shared" si="189"/>
        <v/>
      </c>
      <c r="HM784" s="742" t="str">
        <f t="shared" si="190"/>
        <v/>
      </c>
      <c r="HN784" s="742" t="str">
        <f t="shared" si="191"/>
        <v/>
      </c>
      <c r="HO784" s="742" t="str">
        <f t="shared" si="192"/>
        <v/>
      </c>
      <c r="HP784" s="742" t="str">
        <f t="shared" si="193"/>
        <v/>
      </c>
      <c r="HQ784" s="742" t="str">
        <f t="shared" si="194"/>
        <v/>
      </c>
      <c r="HR784" s="742" t="str">
        <f t="shared" si="195"/>
        <v/>
      </c>
      <c r="HS784" s="742" t="str">
        <f t="shared" si="196"/>
        <v/>
      </c>
      <c r="HT784" s="742" t="str">
        <f t="shared" si="197"/>
        <v/>
      </c>
      <c r="HU784" s="742" t="str">
        <f t="shared" si="198"/>
        <v/>
      </c>
      <c r="HV784" s="742" t="str">
        <f t="shared" si="199"/>
        <v/>
      </c>
      <c r="HW784" s="742" t="str">
        <f t="shared" si="200"/>
        <v/>
      </c>
      <c r="HX784" s="742" t="str">
        <f t="shared" si="201"/>
        <v/>
      </c>
      <c r="HY784" s="1638" t="str">
        <f t="shared" si="202"/>
        <v/>
      </c>
      <c r="HZ784" s="1638" t="str">
        <f t="shared" si="203"/>
        <v/>
      </c>
      <c r="IA784" s="1638" t="str">
        <f t="shared" si="204"/>
        <v/>
      </c>
      <c r="IB784" s="1638" t="str">
        <f t="shared" si="205"/>
        <v/>
      </c>
      <c r="IC784" s="1638">
        <f t="shared" si="206"/>
        <v>8</v>
      </c>
      <c r="ID784" s="1638" t="str">
        <f t="shared" si="207"/>
        <v/>
      </c>
      <c r="IE784" s="1638" t="str">
        <f t="shared" si="208"/>
        <v/>
      </c>
      <c r="IF784" s="1638" t="str">
        <f t="shared" si="209"/>
        <v/>
      </c>
      <c r="IG784" s="1638" t="str">
        <f t="shared" si="210"/>
        <v/>
      </c>
      <c r="IH784" s="1638" t="str">
        <f t="shared" si="211"/>
        <v/>
      </c>
      <c r="II784" s="1638" t="str">
        <f t="shared" si="212"/>
        <v/>
      </c>
      <c r="IJ784" s="1638" t="str">
        <f t="shared" si="213"/>
        <v/>
      </c>
      <c r="IK784" s="1638" t="str">
        <f t="shared" si="214"/>
        <v/>
      </c>
      <c r="IL784" s="1638" t="str">
        <f t="shared" si="215"/>
        <v/>
      </c>
      <c r="IM784" s="1638" t="str">
        <f t="shared" si="216"/>
        <v/>
      </c>
      <c r="IN784" s="1638" t="str">
        <f t="shared" si="217"/>
        <v/>
      </c>
      <c r="IO784" s="1638" t="str">
        <f t="shared" si="218"/>
        <v/>
      </c>
      <c r="IP784" s="1638" t="str">
        <f t="shared" si="219"/>
        <v/>
      </c>
      <c r="IQ784" s="1638" t="str">
        <f t="shared" si="220"/>
        <v/>
      </c>
      <c r="IR784" s="1638" t="str">
        <f t="shared" si="221"/>
        <v/>
      </c>
      <c r="IS784" s="1638" t="str">
        <f t="shared" si="222"/>
        <v/>
      </c>
      <c r="IT784" s="1638" t="str">
        <f t="shared" si="223"/>
        <v/>
      </c>
      <c r="IU784" s="1638" t="str">
        <f t="shared" si="224"/>
        <v/>
      </c>
      <c r="IV784" s="1638" t="str">
        <f t="shared" si="225"/>
        <v/>
      </c>
      <c r="IW784" s="1638" t="str">
        <f t="shared" si="226"/>
        <v/>
      </c>
      <c r="IX784" s="1638" t="str">
        <f t="shared" si="227"/>
        <v/>
      </c>
      <c r="IY784" s="1638" t="str">
        <f t="shared" si="228"/>
        <v/>
      </c>
      <c r="IZ784" s="1638" t="str">
        <f t="shared" si="229"/>
        <v/>
      </c>
      <c r="JA784" s="1638" t="str">
        <f t="shared" si="230"/>
        <v/>
      </c>
      <c r="JB784" s="1638" t="str">
        <f t="shared" si="231"/>
        <v/>
      </c>
      <c r="JC784" s="1638" t="str">
        <f t="shared" si="232"/>
        <v/>
      </c>
      <c r="JD784" s="1638" t="str">
        <f t="shared" si="233"/>
        <v/>
      </c>
      <c r="JE784" s="1638" t="str">
        <f t="shared" si="234"/>
        <v/>
      </c>
      <c r="JF784" s="1638" t="str">
        <f t="shared" si="235"/>
        <v/>
      </c>
      <c r="JG784" s="1638" t="str">
        <f t="shared" si="236"/>
        <v/>
      </c>
      <c r="JH784" s="1638" t="str">
        <f t="shared" si="237"/>
        <v/>
      </c>
      <c r="JI784" s="1638" t="str">
        <f t="shared" si="238"/>
        <v/>
      </c>
      <c r="JJ784" s="1638" t="str">
        <f t="shared" si="239"/>
        <v/>
      </c>
      <c r="JK784" s="1638" t="str">
        <f t="shared" si="240"/>
        <v/>
      </c>
      <c r="JL784" s="1638" t="str">
        <f t="shared" si="241"/>
        <v/>
      </c>
      <c r="JM784" s="1638" t="str">
        <f t="shared" si="242"/>
        <v/>
      </c>
      <c r="JN784" s="1638" t="str">
        <f t="shared" si="243"/>
        <v/>
      </c>
      <c r="JO784" s="1638" t="str">
        <f t="shared" si="244"/>
        <v/>
      </c>
      <c r="JP784" s="1638" t="str">
        <f t="shared" si="245"/>
        <v/>
      </c>
      <c r="JQ784" s="1638" t="str">
        <f t="shared" si="246"/>
        <v/>
      </c>
      <c r="JR784" s="1638" t="str">
        <f t="shared" si="247"/>
        <v/>
      </c>
      <c r="JS784" s="1638" t="str">
        <f t="shared" si="248"/>
        <v/>
      </c>
      <c r="JT784" s="1638" t="str">
        <f t="shared" si="249"/>
        <v/>
      </c>
      <c r="JU784" s="1638" t="str">
        <f t="shared" si="250"/>
        <v/>
      </c>
      <c r="JV784" s="1638" t="str">
        <f t="shared" si="251"/>
        <v/>
      </c>
      <c r="JW784" s="1638" t="str">
        <f t="shared" si="252"/>
        <v/>
      </c>
      <c r="JX784" s="1638" t="str">
        <f t="shared" si="253"/>
        <v/>
      </c>
      <c r="JY784" s="1638" t="str">
        <f t="shared" si="254"/>
        <v/>
      </c>
      <c r="JZ784" s="1638" t="str">
        <f t="shared" si="255"/>
        <v/>
      </c>
      <c r="KA784" s="1638" t="str">
        <f t="shared" si="256"/>
        <v/>
      </c>
      <c r="KB784" s="1638" t="str">
        <f t="shared" si="257"/>
        <v/>
      </c>
      <c r="KC784" s="1638" t="str">
        <f t="shared" si="258"/>
        <v/>
      </c>
      <c r="KD784" s="1638" t="str">
        <f t="shared" si="259"/>
        <v/>
      </c>
      <c r="KE784" s="1638" t="str">
        <f t="shared" si="260"/>
        <v/>
      </c>
      <c r="KF784" s="1638" t="str">
        <f t="shared" si="261"/>
        <v/>
      </c>
      <c r="KG784" s="1638" t="str">
        <f t="shared" si="262"/>
        <v/>
      </c>
      <c r="KH784" s="1638" t="str">
        <f t="shared" si="263"/>
        <v/>
      </c>
      <c r="KI784" s="1638" t="str">
        <f t="shared" si="264"/>
        <v/>
      </c>
      <c r="KJ784" s="1638" t="str">
        <f t="shared" si="265"/>
        <v/>
      </c>
      <c r="KK784" s="1638" t="str">
        <f t="shared" si="266"/>
        <v/>
      </c>
      <c r="KL784" s="1638" t="str">
        <f t="shared" si="267"/>
        <v/>
      </c>
      <c r="KM784" s="1638" t="str">
        <f t="shared" si="268"/>
        <v/>
      </c>
      <c r="KN784" s="1638" t="str">
        <f t="shared" si="269"/>
        <v/>
      </c>
      <c r="KO784" s="1638" t="str">
        <f t="shared" si="270"/>
        <v/>
      </c>
      <c r="KP784" s="1638" t="str">
        <f t="shared" si="271"/>
        <v/>
      </c>
      <c r="KQ784" s="1638" t="str">
        <f t="shared" si="272"/>
        <v/>
      </c>
      <c r="KR784" s="1638" t="str">
        <f t="shared" si="273"/>
        <v/>
      </c>
      <c r="KS784" s="1638" t="str">
        <f t="shared" si="274"/>
        <v/>
      </c>
      <c r="KT784" s="1638" t="str">
        <f t="shared" si="275"/>
        <v/>
      </c>
      <c r="KU784" s="1638" t="str">
        <f t="shared" si="276"/>
        <v/>
      </c>
      <c r="KV784" s="1638" t="str">
        <f t="shared" si="277"/>
        <v/>
      </c>
      <c r="KW784" s="1638" t="str">
        <f t="shared" si="278"/>
        <v/>
      </c>
      <c r="KX784" s="1638" t="str">
        <f t="shared" si="279"/>
        <v/>
      </c>
      <c r="KY784" s="1638" t="str">
        <f t="shared" si="280"/>
        <v/>
      </c>
      <c r="KZ784" s="1638">
        <f t="shared" si="281"/>
        <v>8</v>
      </c>
      <c r="LA784" s="1638" t="str">
        <f t="shared" si="282"/>
        <v/>
      </c>
      <c r="LB784" s="1638" t="str">
        <f t="shared" si="283"/>
        <v/>
      </c>
      <c r="LC784" s="1638" t="str">
        <f t="shared" si="284"/>
        <v/>
      </c>
      <c r="LD784" s="1638" t="str">
        <f t="shared" si="285"/>
        <v/>
      </c>
      <c r="LE784" s="1638" t="str">
        <f t="shared" si="286"/>
        <v/>
      </c>
      <c r="LF784" s="1637" t="str">
        <f t="shared" si="287"/>
        <v/>
      </c>
      <c r="LG784" s="1637" t="str">
        <f t="shared" si="288"/>
        <v/>
      </c>
      <c r="LH784" s="1637" t="str">
        <f t="shared" si="289"/>
        <v/>
      </c>
      <c r="LI784" s="1637" t="str">
        <f t="shared" si="290"/>
        <v/>
      </c>
      <c r="LJ784" s="1637" t="str">
        <f t="shared" si="291"/>
        <v/>
      </c>
      <c r="LK784" s="742" t="str">
        <f t="shared" si="292"/>
        <v/>
      </c>
      <c r="LL784" s="742" t="str">
        <f t="shared" si="293"/>
        <v/>
      </c>
      <c r="LM784" s="742" t="str">
        <f t="shared" si="294"/>
        <v/>
      </c>
      <c r="LN784" s="742" t="str">
        <f t="shared" si="295"/>
        <v/>
      </c>
      <c r="LO784" s="742" t="str">
        <f t="shared" si="296"/>
        <v/>
      </c>
      <c r="LP784" s="742" t="str">
        <f t="shared" si="297"/>
        <v/>
      </c>
      <c r="LQ784" s="742" t="str">
        <f t="shared" si="298"/>
        <v/>
      </c>
      <c r="LR784" s="742" t="str">
        <f t="shared" si="299"/>
        <v/>
      </c>
      <c r="LS784" s="742" t="str">
        <f t="shared" si="300"/>
        <v/>
      </c>
      <c r="LT784" s="742" t="str">
        <f t="shared" si="301"/>
        <v/>
      </c>
      <c r="LU784" s="742" t="str">
        <f t="shared" si="302"/>
        <v/>
      </c>
      <c r="LV784" s="742" t="str">
        <f t="shared" si="303"/>
        <v/>
      </c>
      <c r="LW784" s="742" t="str">
        <f t="shared" si="304"/>
        <v/>
      </c>
      <c r="LX784" s="742" t="str">
        <f t="shared" si="305"/>
        <v/>
      </c>
      <c r="LY784" s="742" t="str">
        <f t="shared" si="306"/>
        <v/>
      </c>
      <c r="LZ784" s="742" t="str">
        <f t="shared" si="307"/>
        <v/>
      </c>
      <c r="MA784" s="742" t="str">
        <f t="shared" si="308"/>
        <v/>
      </c>
      <c r="MB784" s="742" t="str">
        <f t="shared" si="309"/>
        <v/>
      </c>
      <c r="MC784" s="742" t="str">
        <f t="shared" si="310"/>
        <v/>
      </c>
      <c r="MD784" s="742" t="str">
        <f t="shared" si="311"/>
        <v/>
      </c>
      <c r="ME784" s="1637">
        <f t="shared" si="323"/>
        <v>0</v>
      </c>
      <c r="MF784" s="1637">
        <f t="shared" si="324"/>
        <v>0</v>
      </c>
      <c r="MG784" s="1637">
        <f t="shared" si="325"/>
        <v>0</v>
      </c>
      <c r="MH784" s="1637">
        <f t="shared" si="326"/>
        <v>0</v>
      </c>
      <c r="MI784" s="1637">
        <f t="shared" si="327"/>
        <v>0</v>
      </c>
      <c r="MJ784" s="1637">
        <f t="shared" si="328"/>
        <v>0</v>
      </c>
      <c r="MK784" s="1637">
        <f t="shared" si="329"/>
        <v>0</v>
      </c>
      <c r="ML784" s="1637">
        <f t="shared" si="330"/>
        <v>0</v>
      </c>
      <c r="MM784" s="1637">
        <f t="shared" si="331"/>
        <v>0</v>
      </c>
      <c r="MN784" s="1637">
        <f t="shared" si="332"/>
        <v>8</v>
      </c>
      <c r="MO784" s="1637">
        <f t="shared" si="333"/>
        <v>0</v>
      </c>
      <c r="MP784" s="1637">
        <f t="shared" si="334"/>
        <v>0</v>
      </c>
      <c r="MQ784" s="1637">
        <f t="shared" si="335"/>
        <v>0</v>
      </c>
      <c r="MR784" s="1637">
        <f t="shared" si="336"/>
        <v>0</v>
      </c>
      <c r="MS784" s="1637">
        <f t="shared" si="337"/>
        <v>0</v>
      </c>
    </row>
    <row r="785" spans="1:357" ht="13.5">
      <c r="A785" s="1630" t="str">
        <f t="shared" si="0"/>
        <v/>
      </c>
      <c r="B785" s="2757">
        <f>'Part VI-Revenues &amp; Expenses'!B23</f>
        <v>0</v>
      </c>
      <c r="C785" s="2146">
        <f>'Part VI-Revenues &amp; Expenses'!C23</f>
        <v>0</v>
      </c>
      <c r="D785" s="2147">
        <f>'Part VI-Revenues &amp; Expenses'!D23</f>
        <v>0</v>
      </c>
      <c r="E785" s="2148">
        <f>'Part VI-Revenues &amp; Expenses'!E23</f>
        <v>0</v>
      </c>
      <c r="F785" s="2148">
        <f>'Part VI-Revenues &amp; Expenses'!F23</f>
        <v>0</v>
      </c>
      <c r="G785" s="2148">
        <f>'Part VI-Revenues &amp; Expenses'!G23</f>
        <v>0</v>
      </c>
      <c r="H785" s="2148">
        <f>'Part VI-Revenues &amp; Expenses'!H23</f>
        <v>0</v>
      </c>
      <c r="I785" s="2148">
        <f>'Part VI-Revenues &amp; Expenses'!I23</f>
        <v>0</v>
      </c>
      <c r="J785" s="2149">
        <f>'Part VI-Revenues &amp; Expenses'!J23</f>
        <v>0</v>
      </c>
      <c r="K785" s="1822">
        <f t="shared" si="1"/>
        <v>0</v>
      </c>
      <c r="L785" s="1822">
        <f t="shared" si="2"/>
        <v>0</v>
      </c>
      <c r="M785" s="2133">
        <f>'Part VI-Revenues &amp; Expenses'!M23</f>
        <v>0</v>
      </c>
      <c r="N785" s="2133">
        <f>'Part VI-Revenues &amp; Expenses'!N23</f>
        <v>0</v>
      </c>
      <c r="O785" s="2133">
        <f>'Part VI-Revenues &amp; Expenses'!O23</f>
        <v>0</v>
      </c>
      <c r="P785" s="1633">
        <f>'Part VI-Revenues &amp; Expenses'!P23</f>
        <v>0</v>
      </c>
      <c r="Q785" s="1823" t="str">
        <f>'Part VI-Revenues &amp; Expenses'!Q23</f>
        <v/>
      </c>
      <c r="R785" s="1824" t="str">
        <f>'Part VI-Revenues &amp; Expenses'!R23</f>
        <v/>
      </c>
      <c r="S785" s="1823">
        <f>'Part VI-Revenues &amp; Expenses'!S23</f>
        <v>0</v>
      </c>
      <c r="T785" s="1824">
        <f>'Part VI-Revenues &amp; Expenses'!T23</f>
        <v>0</v>
      </c>
      <c r="U785" s="1838">
        <f>'Part VI-Revenues &amp; Expenses'!U23:V23</f>
        <v>0</v>
      </c>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312"/>
        <v/>
      </c>
      <c r="EH785" s="742" t="str">
        <f t="shared" si="117"/>
        <v/>
      </c>
      <c r="EI785" s="742" t="str">
        <f t="shared" si="118"/>
        <v/>
      </c>
      <c r="EJ785" s="742" t="str">
        <f t="shared" si="119"/>
        <v/>
      </c>
      <c r="EK785" s="742" t="str">
        <f t="shared" si="120"/>
        <v/>
      </c>
      <c r="EL785" s="742" t="str">
        <f t="shared" si="121"/>
        <v/>
      </c>
      <c r="EM785" s="742" t="str">
        <f t="shared" si="122"/>
        <v/>
      </c>
      <c r="EN785" s="742" t="str">
        <f t="shared" si="123"/>
        <v/>
      </c>
      <c r="EO785" s="742" t="str">
        <f t="shared" si="124"/>
        <v/>
      </c>
      <c r="EP785" s="742" t="str">
        <f t="shared" si="125"/>
        <v/>
      </c>
      <c r="EQ785" s="742" t="str">
        <f t="shared" si="126"/>
        <v/>
      </c>
      <c r="ER785" s="742" t="str">
        <f t="shared" si="127"/>
        <v/>
      </c>
      <c r="ES785" s="742" t="str">
        <f t="shared" si="128"/>
        <v/>
      </c>
      <c r="ET785" s="742" t="str">
        <f t="shared" si="129"/>
        <v/>
      </c>
      <c r="EU785" s="742" t="str">
        <f t="shared" si="130"/>
        <v/>
      </c>
      <c r="EV785" s="742" t="str">
        <f t="shared" si="131"/>
        <v/>
      </c>
      <c r="EW785" s="742" t="str">
        <f t="shared" si="313"/>
        <v/>
      </c>
      <c r="EX785" s="742" t="str">
        <f t="shared" si="314"/>
        <v/>
      </c>
      <c r="EY785" s="742" t="str">
        <f t="shared" si="315"/>
        <v/>
      </c>
      <c r="EZ785" s="742" t="str">
        <f t="shared" si="316"/>
        <v/>
      </c>
      <c r="FA785" s="742" t="str">
        <f t="shared" si="317"/>
        <v/>
      </c>
      <c r="FB785" s="742" t="str">
        <f t="shared" si="132"/>
        <v/>
      </c>
      <c r="FC785" s="742" t="str">
        <f t="shared" si="133"/>
        <v/>
      </c>
      <c r="FD785" s="742" t="str">
        <f t="shared" si="134"/>
        <v/>
      </c>
      <c r="FE785" s="742" t="str">
        <f t="shared" si="135"/>
        <v/>
      </c>
      <c r="FF785" s="742" t="str">
        <f t="shared" si="136"/>
        <v/>
      </c>
      <c r="FG785" s="742" t="str">
        <f t="shared" si="318"/>
        <v/>
      </c>
      <c r="FH785" s="742" t="str">
        <f t="shared" si="319"/>
        <v/>
      </c>
      <c r="FI785" s="742" t="str">
        <f t="shared" si="320"/>
        <v/>
      </c>
      <c r="FJ785" s="742" t="str">
        <f t="shared" si="321"/>
        <v/>
      </c>
      <c r="FK785" s="742" t="str">
        <f t="shared" si="322"/>
        <v/>
      </c>
      <c r="FL785" s="742" t="str">
        <f t="shared" si="137"/>
        <v/>
      </c>
      <c r="FM785" s="742" t="str">
        <f t="shared" si="138"/>
        <v/>
      </c>
      <c r="FN785" s="742" t="str">
        <f t="shared" si="139"/>
        <v/>
      </c>
      <c r="FO785" s="742" t="str">
        <f t="shared" si="140"/>
        <v/>
      </c>
      <c r="FP785" s="742" t="str">
        <f t="shared" si="141"/>
        <v/>
      </c>
      <c r="FQ785" s="742" t="str">
        <f t="shared" si="142"/>
        <v/>
      </c>
      <c r="FR785" s="742" t="str">
        <f t="shared" si="143"/>
        <v/>
      </c>
      <c r="FS785" s="742" t="str">
        <f t="shared" si="144"/>
        <v/>
      </c>
      <c r="FT785" s="742" t="str">
        <f t="shared" si="145"/>
        <v/>
      </c>
      <c r="FU785" s="742" t="str">
        <f t="shared" si="146"/>
        <v/>
      </c>
      <c r="FV785" s="742" t="str">
        <f t="shared" si="147"/>
        <v/>
      </c>
      <c r="FW785" s="742" t="str">
        <f t="shared" si="148"/>
        <v/>
      </c>
      <c r="FX785" s="742" t="str">
        <f t="shared" si="149"/>
        <v/>
      </c>
      <c r="FY785" s="742" t="str">
        <f t="shared" si="150"/>
        <v/>
      </c>
      <c r="FZ785" s="742" t="str">
        <f t="shared" si="151"/>
        <v/>
      </c>
      <c r="GA785" s="742" t="str">
        <f t="shared" si="152"/>
        <v/>
      </c>
      <c r="GB785" s="742" t="str">
        <f t="shared" si="153"/>
        <v/>
      </c>
      <c r="GC785" s="742" t="str">
        <f t="shared" si="154"/>
        <v/>
      </c>
      <c r="GD785" s="742" t="str">
        <f t="shared" si="155"/>
        <v/>
      </c>
      <c r="GE785" s="742" t="str">
        <f t="shared" si="156"/>
        <v/>
      </c>
      <c r="GF785" s="742" t="str">
        <f t="shared" si="157"/>
        <v/>
      </c>
      <c r="GG785" s="742" t="str">
        <f t="shared" si="158"/>
        <v/>
      </c>
      <c r="GH785" s="742" t="str">
        <f t="shared" si="159"/>
        <v/>
      </c>
      <c r="GI785" s="742" t="str">
        <f t="shared" si="160"/>
        <v/>
      </c>
      <c r="GJ785" s="742" t="str">
        <f t="shared" si="161"/>
        <v/>
      </c>
      <c r="GK785" s="742" t="str">
        <f t="shared" si="162"/>
        <v/>
      </c>
      <c r="GL785" s="742" t="str">
        <f t="shared" si="163"/>
        <v/>
      </c>
      <c r="GM785" s="742" t="str">
        <f t="shared" si="164"/>
        <v/>
      </c>
      <c r="GN785" s="742" t="str">
        <f t="shared" si="165"/>
        <v/>
      </c>
      <c r="GO785" s="742" t="str">
        <f t="shared" si="166"/>
        <v/>
      </c>
      <c r="GP785" s="742" t="str">
        <f t="shared" si="167"/>
        <v/>
      </c>
      <c r="GQ785" s="742" t="str">
        <f t="shared" si="168"/>
        <v/>
      </c>
      <c r="GR785" s="742" t="str">
        <f t="shared" si="169"/>
        <v/>
      </c>
      <c r="GS785" s="742" t="str">
        <f t="shared" si="170"/>
        <v/>
      </c>
      <c r="GT785" s="742" t="str">
        <f t="shared" si="171"/>
        <v/>
      </c>
      <c r="GU785" s="742" t="str">
        <f t="shared" si="172"/>
        <v/>
      </c>
      <c r="GV785" s="742" t="str">
        <f t="shared" si="173"/>
        <v/>
      </c>
      <c r="GW785" s="742" t="str">
        <f t="shared" si="174"/>
        <v/>
      </c>
      <c r="GX785" s="742" t="str">
        <f t="shared" si="175"/>
        <v/>
      </c>
      <c r="GY785" s="742" t="str">
        <f t="shared" si="176"/>
        <v/>
      </c>
      <c r="GZ785" s="742" t="str">
        <f t="shared" si="177"/>
        <v/>
      </c>
      <c r="HA785" s="742" t="str">
        <f t="shared" si="178"/>
        <v/>
      </c>
      <c r="HB785" s="742" t="str">
        <f t="shared" si="179"/>
        <v/>
      </c>
      <c r="HC785" s="742" t="str">
        <f t="shared" si="180"/>
        <v/>
      </c>
      <c r="HD785" s="742" t="str">
        <f t="shared" si="181"/>
        <v/>
      </c>
      <c r="HE785" s="742" t="str">
        <f t="shared" si="182"/>
        <v/>
      </c>
      <c r="HF785" s="742" t="str">
        <f t="shared" si="183"/>
        <v/>
      </c>
      <c r="HG785" s="742" t="str">
        <f t="shared" si="184"/>
        <v/>
      </c>
      <c r="HH785" s="742" t="str">
        <f t="shared" si="185"/>
        <v/>
      </c>
      <c r="HI785" s="742" t="str">
        <f t="shared" si="186"/>
        <v/>
      </c>
      <c r="HJ785" s="742" t="str">
        <f t="shared" si="187"/>
        <v/>
      </c>
      <c r="HK785" s="742" t="str">
        <f t="shared" si="188"/>
        <v/>
      </c>
      <c r="HL785" s="742" t="str">
        <f t="shared" si="189"/>
        <v/>
      </c>
      <c r="HM785" s="742" t="str">
        <f t="shared" si="190"/>
        <v/>
      </c>
      <c r="HN785" s="742" t="str">
        <f t="shared" si="191"/>
        <v/>
      </c>
      <c r="HO785" s="742" t="str">
        <f t="shared" si="192"/>
        <v/>
      </c>
      <c r="HP785" s="742" t="str">
        <f t="shared" si="193"/>
        <v/>
      </c>
      <c r="HQ785" s="742" t="str">
        <f t="shared" si="194"/>
        <v/>
      </c>
      <c r="HR785" s="742" t="str">
        <f t="shared" si="195"/>
        <v/>
      </c>
      <c r="HS785" s="742" t="str">
        <f t="shared" si="196"/>
        <v/>
      </c>
      <c r="HT785" s="742" t="str">
        <f t="shared" si="197"/>
        <v/>
      </c>
      <c r="HU785" s="742" t="str">
        <f t="shared" si="198"/>
        <v/>
      </c>
      <c r="HV785" s="742" t="str">
        <f t="shared" si="199"/>
        <v/>
      </c>
      <c r="HW785" s="742" t="str">
        <f t="shared" si="200"/>
        <v/>
      </c>
      <c r="HX785" s="742" t="str">
        <f t="shared" si="201"/>
        <v/>
      </c>
      <c r="HY785" s="1638" t="str">
        <f t="shared" si="202"/>
        <v/>
      </c>
      <c r="HZ785" s="1638" t="str">
        <f t="shared" si="203"/>
        <v/>
      </c>
      <c r="IA785" s="1638" t="str">
        <f t="shared" si="204"/>
        <v/>
      </c>
      <c r="IB785" s="1638" t="str">
        <f t="shared" si="205"/>
        <v/>
      </c>
      <c r="IC785" s="1638" t="str">
        <f t="shared" si="206"/>
        <v/>
      </c>
      <c r="ID785" s="1638" t="str">
        <f t="shared" si="207"/>
        <v/>
      </c>
      <c r="IE785" s="1638" t="str">
        <f t="shared" si="208"/>
        <v/>
      </c>
      <c r="IF785" s="1638" t="str">
        <f t="shared" si="209"/>
        <v/>
      </c>
      <c r="IG785" s="1638" t="str">
        <f t="shared" si="210"/>
        <v/>
      </c>
      <c r="IH785" s="1638" t="str">
        <f t="shared" si="211"/>
        <v/>
      </c>
      <c r="II785" s="1638" t="str">
        <f t="shared" si="212"/>
        <v/>
      </c>
      <c r="IJ785" s="1638" t="str">
        <f t="shared" si="213"/>
        <v/>
      </c>
      <c r="IK785" s="1638" t="str">
        <f t="shared" si="214"/>
        <v/>
      </c>
      <c r="IL785" s="1638" t="str">
        <f t="shared" si="215"/>
        <v/>
      </c>
      <c r="IM785" s="1638" t="str">
        <f t="shared" si="216"/>
        <v/>
      </c>
      <c r="IN785" s="1638" t="str">
        <f t="shared" si="217"/>
        <v/>
      </c>
      <c r="IO785" s="1638" t="str">
        <f t="shared" si="218"/>
        <v/>
      </c>
      <c r="IP785" s="1638" t="str">
        <f t="shared" si="219"/>
        <v/>
      </c>
      <c r="IQ785" s="1638" t="str">
        <f t="shared" si="220"/>
        <v/>
      </c>
      <c r="IR785" s="1638" t="str">
        <f t="shared" si="221"/>
        <v/>
      </c>
      <c r="IS785" s="1638" t="str">
        <f t="shared" si="222"/>
        <v/>
      </c>
      <c r="IT785" s="1638" t="str">
        <f t="shared" si="223"/>
        <v/>
      </c>
      <c r="IU785" s="1638" t="str">
        <f t="shared" si="224"/>
        <v/>
      </c>
      <c r="IV785" s="1638" t="str">
        <f t="shared" si="225"/>
        <v/>
      </c>
      <c r="IW785" s="1638" t="str">
        <f t="shared" si="226"/>
        <v/>
      </c>
      <c r="IX785" s="1638" t="str">
        <f t="shared" si="227"/>
        <v/>
      </c>
      <c r="IY785" s="1638" t="str">
        <f t="shared" si="228"/>
        <v/>
      </c>
      <c r="IZ785" s="1638" t="str">
        <f t="shared" si="229"/>
        <v/>
      </c>
      <c r="JA785" s="1638" t="str">
        <f t="shared" si="230"/>
        <v/>
      </c>
      <c r="JB785" s="1638" t="str">
        <f t="shared" si="231"/>
        <v/>
      </c>
      <c r="JC785" s="1638" t="str">
        <f t="shared" si="232"/>
        <v/>
      </c>
      <c r="JD785" s="1638" t="str">
        <f t="shared" si="233"/>
        <v/>
      </c>
      <c r="JE785" s="1638" t="str">
        <f t="shared" si="234"/>
        <v/>
      </c>
      <c r="JF785" s="1638" t="str">
        <f t="shared" si="235"/>
        <v/>
      </c>
      <c r="JG785" s="1638" t="str">
        <f t="shared" si="236"/>
        <v/>
      </c>
      <c r="JH785" s="1638" t="str">
        <f t="shared" si="237"/>
        <v/>
      </c>
      <c r="JI785" s="1638" t="str">
        <f t="shared" si="238"/>
        <v/>
      </c>
      <c r="JJ785" s="1638" t="str">
        <f t="shared" si="239"/>
        <v/>
      </c>
      <c r="JK785" s="1638" t="str">
        <f t="shared" si="240"/>
        <v/>
      </c>
      <c r="JL785" s="1638" t="str">
        <f t="shared" si="241"/>
        <v/>
      </c>
      <c r="JM785" s="1638" t="str">
        <f t="shared" si="242"/>
        <v/>
      </c>
      <c r="JN785" s="1638" t="str">
        <f t="shared" si="243"/>
        <v/>
      </c>
      <c r="JO785" s="1638" t="str">
        <f t="shared" si="244"/>
        <v/>
      </c>
      <c r="JP785" s="1638" t="str">
        <f t="shared" si="245"/>
        <v/>
      </c>
      <c r="JQ785" s="1638" t="str">
        <f t="shared" si="246"/>
        <v/>
      </c>
      <c r="JR785" s="1638" t="str">
        <f t="shared" si="247"/>
        <v/>
      </c>
      <c r="JS785" s="1638" t="str">
        <f t="shared" si="248"/>
        <v/>
      </c>
      <c r="JT785" s="1638" t="str">
        <f t="shared" si="249"/>
        <v/>
      </c>
      <c r="JU785" s="1638" t="str">
        <f t="shared" si="250"/>
        <v/>
      </c>
      <c r="JV785" s="1638" t="str">
        <f t="shared" si="251"/>
        <v/>
      </c>
      <c r="JW785" s="1638" t="str">
        <f t="shared" si="252"/>
        <v/>
      </c>
      <c r="JX785" s="1638" t="str">
        <f t="shared" si="253"/>
        <v/>
      </c>
      <c r="JY785" s="1638" t="str">
        <f t="shared" si="254"/>
        <v/>
      </c>
      <c r="JZ785" s="1638" t="str">
        <f t="shared" si="255"/>
        <v/>
      </c>
      <c r="KA785" s="1638" t="str">
        <f t="shared" si="256"/>
        <v/>
      </c>
      <c r="KB785" s="1638" t="str">
        <f t="shared" si="257"/>
        <v/>
      </c>
      <c r="KC785" s="1638" t="str">
        <f t="shared" si="258"/>
        <v/>
      </c>
      <c r="KD785" s="1638" t="str">
        <f t="shared" si="259"/>
        <v/>
      </c>
      <c r="KE785" s="1638" t="str">
        <f t="shared" si="260"/>
        <v/>
      </c>
      <c r="KF785" s="1638" t="str">
        <f t="shared" si="261"/>
        <v/>
      </c>
      <c r="KG785" s="1638" t="str">
        <f t="shared" si="262"/>
        <v/>
      </c>
      <c r="KH785" s="1638" t="str">
        <f t="shared" si="263"/>
        <v/>
      </c>
      <c r="KI785" s="1638" t="str">
        <f t="shared" si="264"/>
        <v/>
      </c>
      <c r="KJ785" s="1638" t="str">
        <f t="shared" si="265"/>
        <v/>
      </c>
      <c r="KK785" s="1638" t="str">
        <f t="shared" si="266"/>
        <v/>
      </c>
      <c r="KL785" s="1638" t="str">
        <f t="shared" si="267"/>
        <v/>
      </c>
      <c r="KM785" s="1638" t="str">
        <f t="shared" si="268"/>
        <v/>
      </c>
      <c r="KN785" s="1638" t="str">
        <f t="shared" si="269"/>
        <v/>
      </c>
      <c r="KO785" s="1638" t="str">
        <f t="shared" si="270"/>
        <v/>
      </c>
      <c r="KP785" s="1638" t="str">
        <f t="shared" si="271"/>
        <v/>
      </c>
      <c r="KQ785" s="1638" t="str">
        <f t="shared" si="272"/>
        <v/>
      </c>
      <c r="KR785" s="1638" t="str">
        <f t="shared" si="273"/>
        <v/>
      </c>
      <c r="KS785" s="1638" t="str">
        <f t="shared" si="274"/>
        <v/>
      </c>
      <c r="KT785" s="1638" t="str">
        <f t="shared" si="275"/>
        <v/>
      </c>
      <c r="KU785" s="1638" t="str">
        <f t="shared" si="276"/>
        <v/>
      </c>
      <c r="KV785" s="1638" t="str">
        <f t="shared" si="277"/>
        <v/>
      </c>
      <c r="KW785" s="1638" t="str">
        <f t="shared" si="278"/>
        <v/>
      </c>
      <c r="KX785" s="1638" t="str">
        <f t="shared" si="279"/>
        <v/>
      </c>
      <c r="KY785" s="1638" t="str">
        <f t="shared" si="280"/>
        <v/>
      </c>
      <c r="KZ785" s="1638" t="str">
        <f t="shared" si="281"/>
        <v/>
      </c>
      <c r="LA785" s="1638" t="str">
        <f t="shared" si="282"/>
        <v/>
      </c>
      <c r="LB785" s="1638" t="str">
        <f t="shared" si="283"/>
        <v/>
      </c>
      <c r="LC785" s="1638" t="str">
        <f t="shared" si="284"/>
        <v/>
      </c>
      <c r="LD785" s="1638" t="str">
        <f t="shared" si="285"/>
        <v/>
      </c>
      <c r="LE785" s="1638" t="str">
        <f t="shared" si="286"/>
        <v/>
      </c>
      <c r="LF785" s="1637" t="str">
        <f t="shared" si="287"/>
        <v/>
      </c>
      <c r="LG785" s="1637" t="str">
        <f t="shared" si="288"/>
        <v/>
      </c>
      <c r="LH785" s="1637" t="str">
        <f t="shared" si="289"/>
        <v/>
      </c>
      <c r="LI785" s="1637" t="str">
        <f t="shared" si="290"/>
        <v/>
      </c>
      <c r="LJ785" s="1637" t="str">
        <f t="shared" si="291"/>
        <v/>
      </c>
      <c r="LK785" s="742" t="str">
        <f t="shared" si="292"/>
        <v/>
      </c>
      <c r="LL785" s="742" t="str">
        <f t="shared" si="293"/>
        <v/>
      </c>
      <c r="LM785" s="742" t="str">
        <f t="shared" si="294"/>
        <v/>
      </c>
      <c r="LN785" s="742" t="str">
        <f t="shared" si="295"/>
        <v/>
      </c>
      <c r="LO785" s="742" t="str">
        <f t="shared" si="296"/>
        <v/>
      </c>
      <c r="LP785" s="742" t="str">
        <f t="shared" si="297"/>
        <v/>
      </c>
      <c r="LQ785" s="742" t="str">
        <f t="shared" si="298"/>
        <v/>
      </c>
      <c r="LR785" s="742" t="str">
        <f t="shared" si="299"/>
        <v/>
      </c>
      <c r="LS785" s="742" t="str">
        <f t="shared" si="300"/>
        <v/>
      </c>
      <c r="LT785" s="742" t="str">
        <f t="shared" si="301"/>
        <v/>
      </c>
      <c r="LU785" s="742" t="str">
        <f t="shared" si="302"/>
        <v/>
      </c>
      <c r="LV785" s="742" t="str">
        <f t="shared" si="303"/>
        <v/>
      </c>
      <c r="LW785" s="742" t="str">
        <f t="shared" si="304"/>
        <v/>
      </c>
      <c r="LX785" s="742" t="str">
        <f t="shared" si="305"/>
        <v/>
      </c>
      <c r="LY785" s="742" t="str">
        <f t="shared" si="306"/>
        <v/>
      </c>
      <c r="LZ785" s="742" t="str">
        <f t="shared" si="307"/>
        <v/>
      </c>
      <c r="MA785" s="742" t="str">
        <f t="shared" si="308"/>
        <v/>
      </c>
      <c r="MB785" s="742" t="str">
        <f t="shared" si="309"/>
        <v/>
      </c>
      <c r="MC785" s="742" t="str">
        <f t="shared" si="310"/>
        <v/>
      </c>
      <c r="MD785" s="742" t="str">
        <f t="shared" si="311"/>
        <v/>
      </c>
      <c r="ME785" s="1637">
        <f t="shared" si="323"/>
        <v>0</v>
      </c>
      <c r="MF785" s="1637">
        <f t="shared" si="324"/>
        <v>0</v>
      </c>
      <c r="MG785" s="1637">
        <f t="shared" si="325"/>
        <v>0</v>
      </c>
      <c r="MH785" s="1637">
        <f t="shared" si="326"/>
        <v>0</v>
      </c>
      <c r="MI785" s="1637">
        <f t="shared" si="327"/>
        <v>0</v>
      </c>
      <c r="MJ785" s="1637">
        <f t="shared" si="328"/>
        <v>0</v>
      </c>
      <c r="MK785" s="1637">
        <f t="shared" si="329"/>
        <v>0</v>
      </c>
      <c r="ML785" s="1637">
        <f t="shared" si="330"/>
        <v>0</v>
      </c>
      <c r="MM785" s="1637">
        <f t="shared" si="331"/>
        <v>0</v>
      </c>
      <c r="MN785" s="1637">
        <f t="shared" si="332"/>
        <v>0</v>
      </c>
      <c r="MO785" s="1637">
        <f t="shared" si="333"/>
        <v>0</v>
      </c>
      <c r="MP785" s="1637">
        <f t="shared" si="334"/>
        <v>0</v>
      </c>
      <c r="MQ785" s="1637">
        <f t="shared" si="335"/>
        <v>0</v>
      </c>
      <c r="MR785" s="1637">
        <f t="shared" si="336"/>
        <v>0</v>
      </c>
      <c r="MS785" s="1637">
        <f t="shared" si="337"/>
        <v>0</v>
      </c>
    </row>
    <row r="786" spans="1:357" ht="13.5">
      <c r="A786" s="1630" t="str">
        <f t="shared" si="0"/>
        <v/>
      </c>
      <c r="B786" s="2757">
        <f>'Part VI-Revenues &amp; Expenses'!B24</f>
        <v>0</v>
      </c>
      <c r="C786" s="2146">
        <f>'Part VI-Revenues &amp; Expenses'!C24</f>
        <v>0</v>
      </c>
      <c r="D786" s="2147">
        <f>'Part VI-Revenues &amp; Expenses'!D24</f>
        <v>0</v>
      </c>
      <c r="E786" s="2148">
        <f>'Part VI-Revenues &amp; Expenses'!E24</f>
        <v>0</v>
      </c>
      <c r="F786" s="2148">
        <f>'Part VI-Revenues &amp; Expenses'!F24</f>
        <v>0</v>
      </c>
      <c r="G786" s="2148">
        <f>'Part VI-Revenues &amp; Expenses'!G24</f>
        <v>0</v>
      </c>
      <c r="H786" s="2148">
        <f>'Part VI-Revenues &amp; Expenses'!H24</f>
        <v>0</v>
      </c>
      <c r="I786" s="2148">
        <f>'Part VI-Revenues &amp; Expenses'!I24</f>
        <v>0</v>
      </c>
      <c r="J786" s="2149">
        <f>'Part VI-Revenues &amp; Expenses'!J24</f>
        <v>0</v>
      </c>
      <c r="K786" s="1822">
        <f t="shared" si="1"/>
        <v>0</v>
      </c>
      <c r="L786" s="1822">
        <f t="shared" si="2"/>
        <v>0</v>
      </c>
      <c r="M786" s="2133">
        <f>'Part VI-Revenues &amp; Expenses'!M24</f>
        <v>0</v>
      </c>
      <c r="N786" s="2133">
        <f>'Part VI-Revenues &amp; Expenses'!N24</f>
        <v>0</v>
      </c>
      <c r="O786" s="2133">
        <f>'Part VI-Revenues &amp; Expenses'!O24</f>
        <v>0</v>
      </c>
      <c r="P786" s="1633">
        <f>'Part VI-Revenues &amp; Expenses'!P24</f>
        <v>0</v>
      </c>
      <c r="Q786" s="1823" t="str">
        <f>'Part VI-Revenues &amp; Expenses'!Q24</f>
        <v/>
      </c>
      <c r="R786" s="1824" t="str">
        <f>'Part VI-Revenues &amp; Expenses'!R24</f>
        <v/>
      </c>
      <c r="S786" s="1823">
        <f>'Part VI-Revenues &amp; Expenses'!S24</f>
        <v>0</v>
      </c>
      <c r="T786" s="1824">
        <f>'Part VI-Revenues &amp; Expenses'!T24</f>
        <v>0</v>
      </c>
      <c r="U786" s="1838">
        <f>'Part VI-Revenues &amp; Expenses'!U24:V24</f>
        <v>0</v>
      </c>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312"/>
        <v/>
      </c>
      <c r="EH786" s="742" t="str">
        <f t="shared" si="117"/>
        <v/>
      </c>
      <c r="EI786" s="742" t="str">
        <f t="shared" si="118"/>
        <v/>
      </c>
      <c r="EJ786" s="742" t="str">
        <f t="shared" si="119"/>
        <v/>
      </c>
      <c r="EK786" s="742" t="str">
        <f t="shared" si="120"/>
        <v/>
      </c>
      <c r="EL786" s="742" t="str">
        <f t="shared" si="121"/>
        <v/>
      </c>
      <c r="EM786" s="742" t="str">
        <f t="shared" si="122"/>
        <v/>
      </c>
      <c r="EN786" s="742" t="str">
        <f t="shared" si="123"/>
        <v/>
      </c>
      <c r="EO786" s="742" t="str">
        <f t="shared" si="124"/>
        <v/>
      </c>
      <c r="EP786" s="742" t="str">
        <f t="shared" si="125"/>
        <v/>
      </c>
      <c r="EQ786" s="742" t="str">
        <f t="shared" si="126"/>
        <v/>
      </c>
      <c r="ER786" s="742" t="str">
        <f t="shared" si="127"/>
        <v/>
      </c>
      <c r="ES786" s="742" t="str">
        <f t="shared" si="128"/>
        <v/>
      </c>
      <c r="ET786" s="742" t="str">
        <f t="shared" si="129"/>
        <v/>
      </c>
      <c r="EU786" s="742" t="str">
        <f t="shared" si="130"/>
        <v/>
      </c>
      <c r="EV786" s="742" t="str">
        <f t="shared" si="131"/>
        <v/>
      </c>
      <c r="EW786" s="742" t="str">
        <f t="shared" si="313"/>
        <v/>
      </c>
      <c r="EX786" s="742" t="str">
        <f t="shared" si="314"/>
        <v/>
      </c>
      <c r="EY786" s="742" t="str">
        <f t="shared" si="315"/>
        <v/>
      </c>
      <c r="EZ786" s="742" t="str">
        <f t="shared" si="316"/>
        <v/>
      </c>
      <c r="FA786" s="742" t="str">
        <f t="shared" si="317"/>
        <v/>
      </c>
      <c r="FB786" s="742" t="str">
        <f t="shared" si="132"/>
        <v/>
      </c>
      <c r="FC786" s="742" t="str">
        <f t="shared" si="133"/>
        <v/>
      </c>
      <c r="FD786" s="742" t="str">
        <f t="shared" si="134"/>
        <v/>
      </c>
      <c r="FE786" s="742" t="str">
        <f t="shared" si="135"/>
        <v/>
      </c>
      <c r="FF786" s="742" t="str">
        <f t="shared" si="136"/>
        <v/>
      </c>
      <c r="FG786" s="742" t="str">
        <f t="shared" si="318"/>
        <v/>
      </c>
      <c r="FH786" s="742" t="str">
        <f t="shared" si="319"/>
        <v/>
      </c>
      <c r="FI786" s="742" t="str">
        <f t="shared" si="320"/>
        <v/>
      </c>
      <c r="FJ786" s="742" t="str">
        <f t="shared" si="321"/>
        <v/>
      </c>
      <c r="FK786" s="742" t="str">
        <f t="shared" si="322"/>
        <v/>
      </c>
      <c r="FL786" s="742" t="str">
        <f t="shared" si="137"/>
        <v/>
      </c>
      <c r="FM786" s="742" t="str">
        <f t="shared" si="138"/>
        <v/>
      </c>
      <c r="FN786" s="742" t="str">
        <f t="shared" si="139"/>
        <v/>
      </c>
      <c r="FO786" s="742" t="str">
        <f t="shared" si="140"/>
        <v/>
      </c>
      <c r="FP786" s="742" t="str">
        <f t="shared" si="141"/>
        <v/>
      </c>
      <c r="FQ786" s="742" t="str">
        <f t="shared" si="142"/>
        <v/>
      </c>
      <c r="FR786" s="742" t="str">
        <f t="shared" si="143"/>
        <v/>
      </c>
      <c r="FS786" s="742" t="str">
        <f t="shared" si="144"/>
        <v/>
      </c>
      <c r="FT786" s="742" t="str">
        <f t="shared" si="145"/>
        <v/>
      </c>
      <c r="FU786" s="742" t="str">
        <f t="shared" si="146"/>
        <v/>
      </c>
      <c r="FV786" s="742" t="str">
        <f t="shared" si="147"/>
        <v/>
      </c>
      <c r="FW786" s="742" t="str">
        <f t="shared" si="148"/>
        <v/>
      </c>
      <c r="FX786" s="742" t="str">
        <f t="shared" si="149"/>
        <v/>
      </c>
      <c r="FY786" s="742" t="str">
        <f t="shared" si="150"/>
        <v/>
      </c>
      <c r="FZ786" s="742" t="str">
        <f t="shared" si="151"/>
        <v/>
      </c>
      <c r="GA786" s="742" t="str">
        <f t="shared" si="152"/>
        <v/>
      </c>
      <c r="GB786" s="742" t="str">
        <f t="shared" si="153"/>
        <v/>
      </c>
      <c r="GC786" s="742" t="str">
        <f t="shared" si="154"/>
        <v/>
      </c>
      <c r="GD786" s="742" t="str">
        <f t="shared" si="155"/>
        <v/>
      </c>
      <c r="GE786" s="742" t="str">
        <f t="shared" si="156"/>
        <v/>
      </c>
      <c r="GF786" s="742" t="str">
        <f t="shared" si="157"/>
        <v/>
      </c>
      <c r="GG786" s="742" t="str">
        <f t="shared" si="158"/>
        <v/>
      </c>
      <c r="GH786" s="742" t="str">
        <f t="shared" si="159"/>
        <v/>
      </c>
      <c r="GI786" s="742" t="str">
        <f t="shared" si="160"/>
        <v/>
      </c>
      <c r="GJ786" s="742" t="str">
        <f t="shared" si="161"/>
        <v/>
      </c>
      <c r="GK786" s="742" t="str">
        <f t="shared" si="162"/>
        <v/>
      </c>
      <c r="GL786" s="742" t="str">
        <f t="shared" si="163"/>
        <v/>
      </c>
      <c r="GM786" s="742" t="str">
        <f t="shared" si="164"/>
        <v/>
      </c>
      <c r="GN786" s="742" t="str">
        <f t="shared" si="165"/>
        <v/>
      </c>
      <c r="GO786" s="742" t="str">
        <f t="shared" si="166"/>
        <v/>
      </c>
      <c r="GP786" s="742" t="str">
        <f t="shared" si="167"/>
        <v/>
      </c>
      <c r="GQ786" s="742" t="str">
        <f t="shared" si="168"/>
        <v/>
      </c>
      <c r="GR786" s="742" t="str">
        <f t="shared" si="169"/>
        <v/>
      </c>
      <c r="GS786" s="742" t="str">
        <f t="shared" si="170"/>
        <v/>
      </c>
      <c r="GT786" s="742" t="str">
        <f t="shared" si="171"/>
        <v/>
      </c>
      <c r="GU786" s="742" t="str">
        <f t="shared" si="172"/>
        <v/>
      </c>
      <c r="GV786" s="742" t="str">
        <f t="shared" si="173"/>
        <v/>
      </c>
      <c r="GW786" s="742" t="str">
        <f t="shared" si="174"/>
        <v/>
      </c>
      <c r="GX786" s="742" t="str">
        <f t="shared" si="175"/>
        <v/>
      </c>
      <c r="GY786" s="742" t="str">
        <f t="shared" si="176"/>
        <v/>
      </c>
      <c r="GZ786" s="742" t="str">
        <f t="shared" si="177"/>
        <v/>
      </c>
      <c r="HA786" s="742" t="str">
        <f t="shared" si="178"/>
        <v/>
      </c>
      <c r="HB786" s="742" t="str">
        <f t="shared" si="179"/>
        <v/>
      </c>
      <c r="HC786" s="742" t="str">
        <f t="shared" si="180"/>
        <v/>
      </c>
      <c r="HD786" s="742" t="str">
        <f t="shared" si="181"/>
        <v/>
      </c>
      <c r="HE786" s="742" t="str">
        <f t="shared" si="182"/>
        <v/>
      </c>
      <c r="HF786" s="742" t="str">
        <f t="shared" si="183"/>
        <v/>
      </c>
      <c r="HG786" s="742" t="str">
        <f t="shared" si="184"/>
        <v/>
      </c>
      <c r="HH786" s="742" t="str">
        <f t="shared" si="185"/>
        <v/>
      </c>
      <c r="HI786" s="742" t="str">
        <f t="shared" si="186"/>
        <v/>
      </c>
      <c r="HJ786" s="742" t="str">
        <f t="shared" si="187"/>
        <v/>
      </c>
      <c r="HK786" s="742" t="str">
        <f t="shared" si="188"/>
        <v/>
      </c>
      <c r="HL786" s="742" t="str">
        <f t="shared" si="189"/>
        <v/>
      </c>
      <c r="HM786" s="742" t="str">
        <f t="shared" si="190"/>
        <v/>
      </c>
      <c r="HN786" s="742" t="str">
        <f t="shared" si="191"/>
        <v/>
      </c>
      <c r="HO786" s="742" t="str">
        <f t="shared" si="192"/>
        <v/>
      </c>
      <c r="HP786" s="742" t="str">
        <f t="shared" si="193"/>
        <v/>
      </c>
      <c r="HQ786" s="742" t="str">
        <f t="shared" si="194"/>
        <v/>
      </c>
      <c r="HR786" s="742" t="str">
        <f t="shared" si="195"/>
        <v/>
      </c>
      <c r="HS786" s="742" t="str">
        <f t="shared" si="196"/>
        <v/>
      </c>
      <c r="HT786" s="742" t="str">
        <f t="shared" si="197"/>
        <v/>
      </c>
      <c r="HU786" s="742" t="str">
        <f t="shared" si="198"/>
        <v/>
      </c>
      <c r="HV786" s="742" t="str">
        <f t="shared" si="199"/>
        <v/>
      </c>
      <c r="HW786" s="742" t="str">
        <f t="shared" si="200"/>
        <v/>
      </c>
      <c r="HX786" s="742" t="str">
        <f t="shared" si="201"/>
        <v/>
      </c>
      <c r="HY786" s="1638" t="str">
        <f t="shared" si="202"/>
        <v/>
      </c>
      <c r="HZ786" s="1638" t="str">
        <f t="shared" si="203"/>
        <v/>
      </c>
      <c r="IA786" s="1638" t="str">
        <f t="shared" si="204"/>
        <v/>
      </c>
      <c r="IB786" s="1638" t="str">
        <f t="shared" si="205"/>
        <v/>
      </c>
      <c r="IC786" s="1638" t="str">
        <f t="shared" si="206"/>
        <v/>
      </c>
      <c r="ID786" s="1638" t="str">
        <f t="shared" si="207"/>
        <v/>
      </c>
      <c r="IE786" s="1638" t="str">
        <f t="shared" si="208"/>
        <v/>
      </c>
      <c r="IF786" s="1638" t="str">
        <f t="shared" si="209"/>
        <v/>
      </c>
      <c r="IG786" s="1638" t="str">
        <f t="shared" si="210"/>
        <v/>
      </c>
      <c r="IH786" s="1638" t="str">
        <f t="shared" si="211"/>
        <v/>
      </c>
      <c r="II786" s="1638" t="str">
        <f t="shared" si="212"/>
        <v/>
      </c>
      <c r="IJ786" s="1638" t="str">
        <f t="shared" si="213"/>
        <v/>
      </c>
      <c r="IK786" s="1638" t="str">
        <f t="shared" si="214"/>
        <v/>
      </c>
      <c r="IL786" s="1638" t="str">
        <f t="shared" si="215"/>
        <v/>
      </c>
      <c r="IM786" s="1638" t="str">
        <f t="shared" si="216"/>
        <v/>
      </c>
      <c r="IN786" s="1638" t="str">
        <f t="shared" si="217"/>
        <v/>
      </c>
      <c r="IO786" s="1638" t="str">
        <f t="shared" si="218"/>
        <v/>
      </c>
      <c r="IP786" s="1638" t="str">
        <f t="shared" si="219"/>
        <v/>
      </c>
      <c r="IQ786" s="1638" t="str">
        <f t="shared" si="220"/>
        <v/>
      </c>
      <c r="IR786" s="1638" t="str">
        <f t="shared" si="221"/>
        <v/>
      </c>
      <c r="IS786" s="1638" t="str">
        <f t="shared" si="222"/>
        <v/>
      </c>
      <c r="IT786" s="1638" t="str">
        <f t="shared" si="223"/>
        <v/>
      </c>
      <c r="IU786" s="1638" t="str">
        <f t="shared" si="224"/>
        <v/>
      </c>
      <c r="IV786" s="1638" t="str">
        <f t="shared" si="225"/>
        <v/>
      </c>
      <c r="IW786" s="1638" t="str">
        <f t="shared" si="226"/>
        <v/>
      </c>
      <c r="IX786" s="1638" t="str">
        <f t="shared" si="227"/>
        <v/>
      </c>
      <c r="IY786" s="1638" t="str">
        <f t="shared" si="228"/>
        <v/>
      </c>
      <c r="IZ786" s="1638" t="str">
        <f t="shared" si="229"/>
        <v/>
      </c>
      <c r="JA786" s="1638" t="str">
        <f t="shared" si="230"/>
        <v/>
      </c>
      <c r="JB786" s="1638" t="str">
        <f t="shared" si="231"/>
        <v/>
      </c>
      <c r="JC786" s="1638" t="str">
        <f t="shared" si="232"/>
        <v/>
      </c>
      <c r="JD786" s="1638" t="str">
        <f t="shared" si="233"/>
        <v/>
      </c>
      <c r="JE786" s="1638" t="str">
        <f t="shared" si="234"/>
        <v/>
      </c>
      <c r="JF786" s="1638" t="str">
        <f t="shared" si="235"/>
        <v/>
      </c>
      <c r="JG786" s="1638" t="str">
        <f t="shared" si="236"/>
        <v/>
      </c>
      <c r="JH786" s="1638" t="str">
        <f t="shared" si="237"/>
        <v/>
      </c>
      <c r="JI786" s="1638" t="str">
        <f t="shared" si="238"/>
        <v/>
      </c>
      <c r="JJ786" s="1638" t="str">
        <f t="shared" si="239"/>
        <v/>
      </c>
      <c r="JK786" s="1638" t="str">
        <f t="shared" si="240"/>
        <v/>
      </c>
      <c r="JL786" s="1638" t="str">
        <f t="shared" si="241"/>
        <v/>
      </c>
      <c r="JM786" s="1638" t="str">
        <f t="shared" si="242"/>
        <v/>
      </c>
      <c r="JN786" s="1638" t="str">
        <f t="shared" si="243"/>
        <v/>
      </c>
      <c r="JO786" s="1638" t="str">
        <f t="shared" si="244"/>
        <v/>
      </c>
      <c r="JP786" s="1638" t="str">
        <f t="shared" si="245"/>
        <v/>
      </c>
      <c r="JQ786" s="1638" t="str">
        <f t="shared" si="246"/>
        <v/>
      </c>
      <c r="JR786" s="1638" t="str">
        <f t="shared" si="247"/>
        <v/>
      </c>
      <c r="JS786" s="1638" t="str">
        <f t="shared" si="248"/>
        <v/>
      </c>
      <c r="JT786" s="1638" t="str">
        <f t="shared" si="249"/>
        <v/>
      </c>
      <c r="JU786" s="1638" t="str">
        <f t="shared" si="250"/>
        <v/>
      </c>
      <c r="JV786" s="1638" t="str">
        <f t="shared" si="251"/>
        <v/>
      </c>
      <c r="JW786" s="1638" t="str">
        <f t="shared" si="252"/>
        <v/>
      </c>
      <c r="JX786" s="1638" t="str">
        <f t="shared" si="253"/>
        <v/>
      </c>
      <c r="JY786" s="1638" t="str">
        <f t="shared" si="254"/>
        <v/>
      </c>
      <c r="JZ786" s="1638" t="str">
        <f t="shared" si="255"/>
        <v/>
      </c>
      <c r="KA786" s="1638" t="str">
        <f t="shared" si="256"/>
        <v/>
      </c>
      <c r="KB786" s="1638" t="str">
        <f t="shared" si="257"/>
        <v/>
      </c>
      <c r="KC786" s="1638" t="str">
        <f t="shared" si="258"/>
        <v/>
      </c>
      <c r="KD786" s="1638" t="str">
        <f t="shared" si="259"/>
        <v/>
      </c>
      <c r="KE786" s="1638" t="str">
        <f t="shared" si="260"/>
        <v/>
      </c>
      <c r="KF786" s="1638" t="str">
        <f t="shared" si="261"/>
        <v/>
      </c>
      <c r="KG786" s="1638" t="str">
        <f t="shared" si="262"/>
        <v/>
      </c>
      <c r="KH786" s="1638" t="str">
        <f t="shared" si="263"/>
        <v/>
      </c>
      <c r="KI786" s="1638" t="str">
        <f t="shared" si="264"/>
        <v/>
      </c>
      <c r="KJ786" s="1638" t="str">
        <f t="shared" si="265"/>
        <v/>
      </c>
      <c r="KK786" s="1638" t="str">
        <f t="shared" si="266"/>
        <v/>
      </c>
      <c r="KL786" s="1638" t="str">
        <f t="shared" si="267"/>
        <v/>
      </c>
      <c r="KM786" s="1638" t="str">
        <f t="shared" si="268"/>
        <v/>
      </c>
      <c r="KN786" s="1638" t="str">
        <f t="shared" si="269"/>
        <v/>
      </c>
      <c r="KO786" s="1638" t="str">
        <f t="shared" si="270"/>
        <v/>
      </c>
      <c r="KP786" s="1638" t="str">
        <f t="shared" si="271"/>
        <v/>
      </c>
      <c r="KQ786" s="1638" t="str">
        <f t="shared" si="272"/>
        <v/>
      </c>
      <c r="KR786" s="1638" t="str">
        <f t="shared" si="273"/>
        <v/>
      </c>
      <c r="KS786" s="1638" t="str">
        <f t="shared" si="274"/>
        <v/>
      </c>
      <c r="KT786" s="1638" t="str">
        <f t="shared" si="275"/>
        <v/>
      </c>
      <c r="KU786" s="1638" t="str">
        <f t="shared" si="276"/>
        <v/>
      </c>
      <c r="KV786" s="1638" t="str">
        <f t="shared" si="277"/>
        <v/>
      </c>
      <c r="KW786" s="1638" t="str">
        <f t="shared" si="278"/>
        <v/>
      </c>
      <c r="KX786" s="1638" t="str">
        <f t="shared" si="279"/>
        <v/>
      </c>
      <c r="KY786" s="1638" t="str">
        <f t="shared" si="280"/>
        <v/>
      </c>
      <c r="KZ786" s="1638" t="str">
        <f t="shared" si="281"/>
        <v/>
      </c>
      <c r="LA786" s="1638" t="str">
        <f t="shared" si="282"/>
        <v/>
      </c>
      <c r="LB786" s="1638" t="str">
        <f t="shared" si="283"/>
        <v/>
      </c>
      <c r="LC786" s="1638" t="str">
        <f t="shared" si="284"/>
        <v/>
      </c>
      <c r="LD786" s="1638" t="str">
        <f t="shared" si="285"/>
        <v/>
      </c>
      <c r="LE786" s="1638" t="str">
        <f t="shared" si="286"/>
        <v/>
      </c>
      <c r="LF786" s="1637" t="str">
        <f t="shared" si="287"/>
        <v/>
      </c>
      <c r="LG786" s="1637" t="str">
        <f t="shared" si="288"/>
        <v/>
      </c>
      <c r="LH786" s="1637" t="str">
        <f t="shared" si="289"/>
        <v/>
      </c>
      <c r="LI786" s="1637" t="str">
        <f t="shared" si="290"/>
        <v/>
      </c>
      <c r="LJ786" s="1637" t="str">
        <f t="shared" si="291"/>
        <v/>
      </c>
      <c r="LK786" s="742" t="str">
        <f t="shared" si="292"/>
        <v/>
      </c>
      <c r="LL786" s="742" t="str">
        <f t="shared" si="293"/>
        <v/>
      </c>
      <c r="LM786" s="742" t="str">
        <f t="shared" si="294"/>
        <v/>
      </c>
      <c r="LN786" s="742" t="str">
        <f t="shared" si="295"/>
        <v/>
      </c>
      <c r="LO786" s="742" t="str">
        <f t="shared" si="296"/>
        <v/>
      </c>
      <c r="LP786" s="742" t="str">
        <f t="shared" si="297"/>
        <v/>
      </c>
      <c r="LQ786" s="742" t="str">
        <f t="shared" si="298"/>
        <v/>
      </c>
      <c r="LR786" s="742" t="str">
        <f t="shared" si="299"/>
        <v/>
      </c>
      <c r="LS786" s="742" t="str">
        <f t="shared" si="300"/>
        <v/>
      </c>
      <c r="LT786" s="742" t="str">
        <f t="shared" si="301"/>
        <v/>
      </c>
      <c r="LU786" s="742" t="str">
        <f t="shared" si="302"/>
        <v/>
      </c>
      <c r="LV786" s="742" t="str">
        <f t="shared" si="303"/>
        <v/>
      </c>
      <c r="LW786" s="742" t="str">
        <f t="shared" si="304"/>
        <v/>
      </c>
      <c r="LX786" s="742" t="str">
        <f t="shared" si="305"/>
        <v/>
      </c>
      <c r="LY786" s="742" t="str">
        <f t="shared" si="306"/>
        <v/>
      </c>
      <c r="LZ786" s="742" t="str">
        <f t="shared" si="307"/>
        <v/>
      </c>
      <c r="MA786" s="742" t="str">
        <f t="shared" si="308"/>
        <v/>
      </c>
      <c r="MB786" s="742" t="str">
        <f t="shared" si="309"/>
        <v/>
      </c>
      <c r="MC786" s="742" t="str">
        <f t="shared" si="310"/>
        <v/>
      </c>
      <c r="MD786" s="742" t="str">
        <f t="shared" si="311"/>
        <v/>
      </c>
      <c r="ME786" s="1637">
        <f t="shared" si="323"/>
        <v>0</v>
      </c>
      <c r="MF786" s="1637">
        <f t="shared" si="324"/>
        <v>0</v>
      </c>
      <c r="MG786" s="1637">
        <f t="shared" si="325"/>
        <v>0</v>
      </c>
      <c r="MH786" s="1637">
        <f t="shared" si="326"/>
        <v>0</v>
      </c>
      <c r="MI786" s="1637">
        <f t="shared" si="327"/>
        <v>0</v>
      </c>
      <c r="MJ786" s="1637">
        <f t="shared" si="328"/>
        <v>0</v>
      </c>
      <c r="MK786" s="1637">
        <f t="shared" si="329"/>
        <v>0</v>
      </c>
      <c r="ML786" s="1637">
        <f t="shared" si="330"/>
        <v>0</v>
      </c>
      <c r="MM786" s="1637">
        <f t="shared" si="331"/>
        <v>0</v>
      </c>
      <c r="MN786" s="1637">
        <f t="shared" si="332"/>
        <v>0</v>
      </c>
      <c r="MO786" s="1637">
        <f t="shared" si="333"/>
        <v>0</v>
      </c>
      <c r="MP786" s="1637">
        <f t="shared" si="334"/>
        <v>0</v>
      </c>
      <c r="MQ786" s="1637">
        <f t="shared" si="335"/>
        <v>0</v>
      </c>
      <c r="MR786" s="1637">
        <f t="shared" si="336"/>
        <v>0</v>
      </c>
      <c r="MS786" s="1637">
        <f t="shared" si="337"/>
        <v>0</v>
      </c>
    </row>
    <row r="787" spans="1:357" ht="13.5">
      <c r="A787" s="1630" t="str">
        <f t="shared" si="0"/>
        <v/>
      </c>
      <c r="B787" s="2757">
        <f>'Part VI-Revenues &amp; Expenses'!B25</f>
        <v>0</v>
      </c>
      <c r="C787" s="2146">
        <f>'Part VI-Revenues &amp; Expenses'!C25</f>
        <v>0</v>
      </c>
      <c r="D787" s="2147">
        <f>'Part VI-Revenues &amp; Expenses'!D25</f>
        <v>0</v>
      </c>
      <c r="E787" s="2148">
        <f>'Part VI-Revenues &amp; Expenses'!E25</f>
        <v>0</v>
      </c>
      <c r="F787" s="2148">
        <f>'Part VI-Revenues &amp; Expenses'!F25</f>
        <v>0</v>
      </c>
      <c r="G787" s="2148">
        <f>'Part VI-Revenues &amp; Expenses'!G25</f>
        <v>0</v>
      </c>
      <c r="H787" s="2148">
        <f>'Part VI-Revenues &amp; Expenses'!H25</f>
        <v>0</v>
      </c>
      <c r="I787" s="2148">
        <f>'Part VI-Revenues &amp; Expenses'!I25</f>
        <v>0</v>
      </c>
      <c r="J787" s="2149">
        <f>'Part VI-Revenues &amp; Expenses'!J25</f>
        <v>0</v>
      </c>
      <c r="K787" s="1822">
        <f t="shared" si="1"/>
        <v>0</v>
      </c>
      <c r="L787" s="1822">
        <f t="shared" si="2"/>
        <v>0</v>
      </c>
      <c r="M787" s="2133">
        <f>'Part VI-Revenues &amp; Expenses'!M25</f>
        <v>0</v>
      </c>
      <c r="N787" s="2133">
        <f>'Part VI-Revenues &amp; Expenses'!N25</f>
        <v>0</v>
      </c>
      <c r="O787" s="2133">
        <f>'Part VI-Revenues &amp; Expenses'!O25</f>
        <v>0</v>
      </c>
      <c r="P787" s="1633">
        <f>'Part VI-Revenues &amp; Expenses'!P25</f>
        <v>0</v>
      </c>
      <c r="Q787" s="1823" t="str">
        <f>'Part VI-Revenues &amp; Expenses'!Q25</f>
        <v/>
      </c>
      <c r="R787" s="1824" t="str">
        <f>'Part VI-Revenues &amp; Expenses'!R25</f>
        <v/>
      </c>
      <c r="S787" s="1823">
        <f>'Part VI-Revenues &amp; Expenses'!S25</f>
        <v>0</v>
      </c>
      <c r="T787" s="1824">
        <f>'Part VI-Revenues &amp; Expenses'!T25</f>
        <v>0</v>
      </c>
      <c r="U787" s="1838">
        <f>'Part VI-Revenues &amp; Expenses'!U25:V25</f>
        <v>0</v>
      </c>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312"/>
        <v/>
      </c>
      <c r="EH787" s="742" t="str">
        <f t="shared" si="117"/>
        <v/>
      </c>
      <c r="EI787" s="742" t="str">
        <f t="shared" si="118"/>
        <v/>
      </c>
      <c r="EJ787" s="742" t="str">
        <f t="shared" si="119"/>
        <v/>
      </c>
      <c r="EK787" s="742" t="str">
        <f t="shared" si="120"/>
        <v/>
      </c>
      <c r="EL787" s="742" t="str">
        <f t="shared" si="121"/>
        <v/>
      </c>
      <c r="EM787" s="742" t="str">
        <f t="shared" si="122"/>
        <v/>
      </c>
      <c r="EN787" s="742" t="str">
        <f t="shared" si="123"/>
        <v/>
      </c>
      <c r="EO787" s="742" t="str">
        <f t="shared" si="124"/>
        <v/>
      </c>
      <c r="EP787" s="742" t="str">
        <f t="shared" si="125"/>
        <v/>
      </c>
      <c r="EQ787" s="742" t="str">
        <f t="shared" si="126"/>
        <v/>
      </c>
      <c r="ER787" s="742" t="str">
        <f t="shared" si="127"/>
        <v/>
      </c>
      <c r="ES787" s="742" t="str">
        <f t="shared" si="128"/>
        <v/>
      </c>
      <c r="ET787" s="742" t="str">
        <f t="shared" si="129"/>
        <v/>
      </c>
      <c r="EU787" s="742" t="str">
        <f t="shared" si="130"/>
        <v/>
      </c>
      <c r="EV787" s="742" t="str">
        <f t="shared" si="131"/>
        <v/>
      </c>
      <c r="EW787" s="742" t="str">
        <f t="shared" si="313"/>
        <v/>
      </c>
      <c r="EX787" s="742" t="str">
        <f t="shared" si="314"/>
        <v/>
      </c>
      <c r="EY787" s="742" t="str">
        <f t="shared" si="315"/>
        <v/>
      </c>
      <c r="EZ787" s="742" t="str">
        <f t="shared" si="316"/>
        <v/>
      </c>
      <c r="FA787" s="742" t="str">
        <f t="shared" si="317"/>
        <v/>
      </c>
      <c r="FB787" s="742" t="str">
        <f t="shared" si="132"/>
        <v/>
      </c>
      <c r="FC787" s="742" t="str">
        <f t="shared" si="133"/>
        <v/>
      </c>
      <c r="FD787" s="742" t="str">
        <f t="shared" si="134"/>
        <v/>
      </c>
      <c r="FE787" s="742" t="str">
        <f t="shared" si="135"/>
        <v/>
      </c>
      <c r="FF787" s="742" t="str">
        <f t="shared" si="136"/>
        <v/>
      </c>
      <c r="FG787" s="742" t="str">
        <f t="shared" si="318"/>
        <v/>
      </c>
      <c r="FH787" s="742" t="str">
        <f t="shared" si="319"/>
        <v/>
      </c>
      <c r="FI787" s="742" t="str">
        <f t="shared" si="320"/>
        <v/>
      </c>
      <c r="FJ787" s="742" t="str">
        <f t="shared" si="321"/>
        <v/>
      </c>
      <c r="FK787" s="742" t="str">
        <f t="shared" si="322"/>
        <v/>
      </c>
      <c r="FL787" s="742" t="str">
        <f t="shared" si="137"/>
        <v/>
      </c>
      <c r="FM787" s="742" t="str">
        <f t="shared" si="138"/>
        <v/>
      </c>
      <c r="FN787" s="742" t="str">
        <f t="shared" si="139"/>
        <v/>
      </c>
      <c r="FO787" s="742" t="str">
        <f t="shared" si="140"/>
        <v/>
      </c>
      <c r="FP787" s="742" t="str">
        <f t="shared" si="141"/>
        <v/>
      </c>
      <c r="FQ787" s="742" t="str">
        <f t="shared" si="142"/>
        <v/>
      </c>
      <c r="FR787" s="742" t="str">
        <f t="shared" si="143"/>
        <v/>
      </c>
      <c r="FS787" s="742" t="str">
        <f t="shared" si="144"/>
        <v/>
      </c>
      <c r="FT787" s="742" t="str">
        <f t="shared" si="145"/>
        <v/>
      </c>
      <c r="FU787" s="742" t="str">
        <f t="shared" si="146"/>
        <v/>
      </c>
      <c r="FV787" s="742" t="str">
        <f t="shared" si="147"/>
        <v/>
      </c>
      <c r="FW787" s="742" t="str">
        <f t="shared" si="148"/>
        <v/>
      </c>
      <c r="FX787" s="742" t="str">
        <f t="shared" si="149"/>
        <v/>
      </c>
      <c r="FY787" s="742" t="str">
        <f t="shared" si="150"/>
        <v/>
      </c>
      <c r="FZ787" s="742" t="str">
        <f t="shared" si="151"/>
        <v/>
      </c>
      <c r="GA787" s="742" t="str">
        <f t="shared" si="152"/>
        <v/>
      </c>
      <c r="GB787" s="742" t="str">
        <f t="shared" si="153"/>
        <v/>
      </c>
      <c r="GC787" s="742" t="str">
        <f t="shared" si="154"/>
        <v/>
      </c>
      <c r="GD787" s="742" t="str">
        <f t="shared" si="155"/>
        <v/>
      </c>
      <c r="GE787" s="742" t="str">
        <f t="shared" si="156"/>
        <v/>
      </c>
      <c r="GF787" s="742" t="str">
        <f t="shared" si="157"/>
        <v/>
      </c>
      <c r="GG787" s="742" t="str">
        <f t="shared" si="158"/>
        <v/>
      </c>
      <c r="GH787" s="742" t="str">
        <f t="shared" si="159"/>
        <v/>
      </c>
      <c r="GI787" s="742" t="str">
        <f t="shared" si="160"/>
        <v/>
      </c>
      <c r="GJ787" s="742" t="str">
        <f t="shared" si="161"/>
        <v/>
      </c>
      <c r="GK787" s="742" t="str">
        <f t="shared" si="162"/>
        <v/>
      </c>
      <c r="GL787" s="742" t="str">
        <f t="shared" si="163"/>
        <v/>
      </c>
      <c r="GM787" s="742" t="str">
        <f t="shared" si="164"/>
        <v/>
      </c>
      <c r="GN787" s="742" t="str">
        <f t="shared" si="165"/>
        <v/>
      </c>
      <c r="GO787" s="742" t="str">
        <f t="shared" si="166"/>
        <v/>
      </c>
      <c r="GP787" s="742" t="str">
        <f t="shared" si="167"/>
        <v/>
      </c>
      <c r="GQ787" s="742" t="str">
        <f t="shared" si="168"/>
        <v/>
      </c>
      <c r="GR787" s="742" t="str">
        <f t="shared" si="169"/>
        <v/>
      </c>
      <c r="GS787" s="742" t="str">
        <f t="shared" si="170"/>
        <v/>
      </c>
      <c r="GT787" s="742" t="str">
        <f t="shared" si="171"/>
        <v/>
      </c>
      <c r="GU787" s="742" t="str">
        <f t="shared" si="172"/>
        <v/>
      </c>
      <c r="GV787" s="742" t="str">
        <f t="shared" si="173"/>
        <v/>
      </c>
      <c r="GW787" s="742" t="str">
        <f t="shared" si="174"/>
        <v/>
      </c>
      <c r="GX787" s="742" t="str">
        <f t="shared" si="175"/>
        <v/>
      </c>
      <c r="GY787" s="742" t="str">
        <f t="shared" si="176"/>
        <v/>
      </c>
      <c r="GZ787" s="742" t="str">
        <f t="shared" si="177"/>
        <v/>
      </c>
      <c r="HA787" s="742" t="str">
        <f t="shared" si="178"/>
        <v/>
      </c>
      <c r="HB787" s="742" t="str">
        <f t="shared" si="179"/>
        <v/>
      </c>
      <c r="HC787" s="742" t="str">
        <f t="shared" si="180"/>
        <v/>
      </c>
      <c r="HD787" s="742" t="str">
        <f t="shared" si="181"/>
        <v/>
      </c>
      <c r="HE787" s="742" t="str">
        <f t="shared" si="182"/>
        <v/>
      </c>
      <c r="HF787" s="742" t="str">
        <f t="shared" si="183"/>
        <v/>
      </c>
      <c r="HG787" s="742" t="str">
        <f t="shared" si="184"/>
        <v/>
      </c>
      <c r="HH787" s="742" t="str">
        <f t="shared" si="185"/>
        <v/>
      </c>
      <c r="HI787" s="742" t="str">
        <f t="shared" si="186"/>
        <v/>
      </c>
      <c r="HJ787" s="742" t="str">
        <f t="shared" si="187"/>
        <v/>
      </c>
      <c r="HK787" s="742" t="str">
        <f t="shared" si="188"/>
        <v/>
      </c>
      <c r="HL787" s="742" t="str">
        <f t="shared" si="189"/>
        <v/>
      </c>
      <c r="HM787" s="742" t="str">
        <f t="shared" si="190"/>
        <v/>
      </c>
      <c r="HN787" s="742" t="str">
        <f t="shared" si="191"/>
        <v/>
      </c>
      <c r="HO787" s="742" t="str">
        <f t="shared" si="192"/>
        <v/>
      </c>
      <c r="HP787" s="742" t="str">
        <f t="shared" si="193"/>
        <v/>
      </c>
      <c r="HQ787" s="742" t="str">
        <f t="shared" si="194"/>
        <v/>
      </c>
      <c r="HR787" s="742" t="str">
        <f t="shared" si="195"/>
        <v/>
      </c>
      <c r="HS787" s="742" t="str">
        <f t="shared" si="196"/>
        <v/>
      </c>
      <c r="HT787" s="742" t="str">
        <f t="shared" si="197"/>
        <v/>
      </c>
      <c r="HU787" s="742" t="str">
        <f t="shared" si="198"/>
        <v/>
      </c>
      <c r="HV787" s="742" t="str">
        <f t="shared" si="199"/>
        <v/>
      </c>
      <c r="HW787" s="742" t="str">
        <f t="shared" si="200"/>
        <v/>
      </c>
      <c r="HX787" s="742" t="str">
        <f t="shared" si="201"/>
        <v/>
      </c>
      <c r="HY787" s="1638" t="str">
        <f t="shared" si="202"/>
        <v/>
      </c>
      <c r="HZ787" s="1638" t="str">
        <f t="shared" si="203"/>
        <v/>
      </c>
      <c r="IA787" s="1638" t="str">
        <f t="shared" si="204"/>
        <v/>
      </c>
      <c r="IB787" s="1638" t="str">
        <f t="shared" si="205"/>
        <v/>
      </c>
      <c r="IC787" s="1638" t="str">
        <f t="shared" si="206"/>
        <v/>
      </c>
      <c r="ID787" s="1638" t="str">
        <f t="shared" si="207"/>
        <v/>
      </c>
      <c r="IE787" s="1638" t="str">
        <f t="shared" si="208"/>
        <v/>
      </c>
      <c r="IF787" s="1638" t="str">
        <f t="shared" si="209"/>
        <v/>
      </c>
      <c r="IG787" s="1638" t="str">
        <f t="shared" si="210"/>
        <v/>
      </c>
      <c r="IH787" s="1638" t="str">
        <f t="shared" si="211"/>
        <v/>
      </c>
      <c r="II787" s="1638" t="str">
        <f t="shared" si="212"/>
        <v/>
      </c>
      <c r="IJ787" s="1638" t="str">
        <f t="shared" si="213"/>
        <v/>
      </c>
      <c r="IK787" s="1638" t="str">
        <f t="shared" si="214"/>
        <v/>
      </c>
      <c r="IL787" s="1638" t="str">
        <f t="shared" si="215"/>
        <v/>
      </c>
      <c r="IM787" s="1638" t="str">
        <f t="shared" si="216"/>
        <v/>
      </c>
      <c r="IN787" s="1638" t="str">
        <f t="shared" si="217"/>
        <v/>
      </c>
      <c r="IO787" s="1638" t="str">
        <f t="shared" si="218"/>
        <v/>
      </c>
      <c r="IP787" s="1638" t="str">
        <f t="shared" si="219"/>
        <v/>
      </c>
      <c r="IQ787" s="1638" t="str">
        <f t="shared" si="220"/>
        <v/>
      </c>
      <c r="IR787" s="1638" t="str">
        <f t="shared" si="221"/>
        <v/>
      </c>
      <c r="IS787" s="1638" t="str">
        <f t="shared" si="222"/>
        <v/>
      </c>
      <c r="IT787" s="1638" t="str">
        <f t="shared" si="223"/>
        <v/>
      </c>
      <c r="IU787" s="1638" t="str">
        <f t="shared" si="224"/>
        <v/>
      </c>
      <c r="IV787" s="1638" t="str">
        <f t="shared" si="225"/>
        <v/>
      </c>
      <c r="IW787" s="1638" t="str">
        <f t="shared" si="226"/>
        <v/>
      </c>
      <c r="IX787" s="1638" t="str">
        <f t="shared" si="227"/>
        <v/>
      </c>
      <c r="IY787" s="1638" t="str">
        <f t="shared" si="228"/>
        <v/>
      </c>
      <c r="IZ787" s="1638" t="str">
        <f t="shared" si="229"/>
        <v/>
      </c>
      <c r="JA787" s="1638" t="str">
        <f t="shared" si="230"/>
        <v/>
      </c>
      <c r="JB787" s="1638" t="str">
        <f t="shared" si="231"/>
        <v/>
      </c>
      <c r="JC787" s="1638" t="str">
        <f t="shared" si="232"/>
        <v/>
      </c>
      <c r="JD787" s="1638" t="str">
        <f t="shared" si="233"/>
        <v/>
      </c>
      <c r="JE787" s="1638" t="str">
        <f t="shared" si="234"/>
        <v/>
      </c>
      <c r="JF787" s="1638" t="str">
        <f t="shared" si="235"/>
        <v/>
      </c>
      <c r="JG787" s="1638" t="str">
        <f t="shared" si="236"/>
        <v/>
      </c>
      <c r="JH787" s="1638" t="str">
        <f t="shared" si="237"/>
        <v/>
      </c>
      <c r="JI787" s="1638" t="str">
        <f t="shared" si="238"/>
        <v/>
      </c>
      <c r="JJ787" s="1638" t="str">
        <f t="shared" si="239"/>
        <v/>
      </c>
      <c r="JK787" s="1638" t="str">
        <f t="shared" si="240"/>
        <v/>
      </c>
      <c r="JL787" s="1638" t="str">
        <f t="shared" si="241"/>
        <v/>
      </c>
      <c r="JM787" s="1638" t="str">
        <f t="shared" si="242"/>
        <v/>
      </c>
      <c r="JN787" s="1638" t="str">
        <f t="shared" si="243"/>
        <v/>
      </c>
      <c r="JO787" s="1638" t="str">
        <f t="shared" si="244"/>
        <v/>
      </c>
      <c r="JP787" s="1638" t="str">
        <f t="shared" si="245"/>
        <v/>
      </c>
      <c r="JQ787" s="1638" t="str">
        <f t="shared" si="246"/>
        <v/>
      </c>
      <c r="JR787" s="1638" t="str">
        <f t="shared" si="247"/>
        <v/>
      </c>
      <c r="JS787" s="1638" t="str">
        <f t="shared" si="248"/>
        <v/>
      </c>
      <c r="JT787" s="1638" t="str">
        <f t="shared" si="249"/>
        <v/>
      </c>
      <c r="JU787" s="1638" t="str">
        <f t="shared" si="250"/>
        <v/>
      </c>
      <c r="JV787" s="1638" t="str">
        <f t="shared" si="251"/>
        <v/>
      </c>
      <c r="JW787" s="1638" t="str">
        <f t="shared" si="252"/>
        <v/>
      </c>
      <c r="JX787" s="1638" t="str">
        <f t="shared" si="253"/>
        <v/>
      </c>
      <c r="JY787" s="1638" t="str">
        <f t="shared" si="254"/>
        <v/>
      </c>
      <c r="JZ787" s="1638" t="str">
        <f t="shared" si="255"/>
        <v/>
      </c>
      <c r="KA787" s="1638" t="str">
        <f t="shared" si="256"/>
        <v/>
      </c>
      <c r="KB787" s="1638" t="str">
        <f t="shared" si="257"/>
        <v/>
      </c>
      <c r="KC787" s="1638" t="str">
        <f t="shared" si="258"/>
        <v/>
      </c>
      <c r="KD787" s="1638" t="str">
        <f t="shared" si="259"/>
        <v/>
      </c>
      <c r="KE787" s="1638" t="str">
        <f t="shared" si="260"/>
        <v/>
      </c>
      <c r="KF787" s="1638" t="str">
        <f t="shared" si="261"/>
        <v/>
      </c>
      <c r="KG787" s="1638" t="str">
        <f t="shared" si="262"/>
        <v/>
      </c>
      <c r="KH787" s="1638" t="str">
        <f t="shared" si="263"/>
        <v/>
      </c>
      <c r="KI787" s="1638" t="str">
        <f t="shared" si="264"/>
        <v/>
      </c>
      <c r="KJ787" s="1638" t="str">
        <f t="shared" si="265"/>
        <v/>
      </c>
      <c r="KK787" s="1638" t="str">
        <f t="shared" si="266"/>
        <v/>
      </c>
      <c r="KL787" s="1638" t="str">
        <f t="shared" si="267"/>
        <v/>
      </c>
      <c r="KM787" s="1638" t="str">
        <f t="shared" si="268"/>
        <v/>
      </c>
      <c r="KN787" s="1638" t="str">
        <f t="shared" si="269"/>
        <v/>
      </c>
      <c r="KO787" s="1638" t="str">
        <f t="shared" si="270"/>
        <v/>
      </c>
      <c r="KP787" s="1638" t="str">
        <f t="shared" si="271"/>
        <v/>
      </c>
      <c r="KQ787" s="1638" t="str">
        <f t="shared" si="272"/>
        <v/>
      </c>
      <c r="KR787" s="1638" t="str">
        <f t="shared" si="273"/>
        <v/>
      </c>
      <c r="KS787" s="1638" t="str">
        <f t="shared" si="274"/>
        <v/>
      </c>
      <c r="KT787" s="1638" t="str">
        <f t="shared" si="275"/>
        <v/>
      </c>
      <c r="KU787" s="1638" t="str">
        <f t="shared" si="276"/>
        <v/>
      </c>
      <c r="KV787" s="1638" t="str">
        <f t="shared" si="277"/>
        <v/>
      </c>
      <c r="KW787" s="1638" t="str">
        <f t="shared" si="278"/>
        <v/>
      </c>
      <c r="KX787" s="1638" t="str">
        <f t="shared" si="279"/>
        <v/>
      </c>
      <c r="KY787" s="1638" t="str">
        <f t="shared" si="280"/>
        <v/>
      </c>
      <c r="KZ787" s="1638" t="str">
        <f t="shared" si="281"/>
        <v/>
      </c>
      <c r="LA787" s="1638" t="str">
        <f t="shared" si="282"/>
        <v/>
      </c>
      <c r="LB787" s="1638" t="str">
        <f t="shared" si="283"/>
        <v/>
      </c>
      <c r="LC787" s="1638" t="str">
        <f t="shared" si="284"/>
        <v/>
      </c>
      <c r="LD787" s="1638" t="str">
        <f t="shared" si="285"/>
        <v/>
      </c>
      <c r="LE787" s="1638" t="str">
        <f t="shared" si="286"/>
        <v/>
      </c>
      <c r="LF787" s="1637" t="str">
        <f t="shared" si="287"/>
        <v/>
      </c>
      <c r="LG787" s="1637" t="str">
        <f t="shared" si="288"/>
        <v/>
      </c>
      <c r="LH787" s="1637" t="str">
        <f t="shared" si="289"/>
        <v/>
      </c>
      <c r="LI787" s="1637" t="str">
        <f t="shared" si="290"/>
        <v/>
      </c>
      <c r="LJ787" s="1637" t="str">
        <f t="shared" si="291"/>
        <v/>
      </c>
      <c r="LK787" s="742" t="str">
        <f t="shared" si="292"/>
        <v/>
      </c>
      <c r="LL787" s="742" t="str">
        <f t="shared" si="293"/>
        <v/>
      </c>
      <c r="LM787" s="742" t="str">
        <f t="shared" si="294"/>
        <v/>
      </c>
      <c r="LN787" s="742" t="str">
        <f t="shared" si="295"/>
        <v/>
      </c>
      <c r="LO787" s="742" t="str">
        <f t="shared" si="296"/>
        <v/>
      </c>
      <c r="LP787" s="742" t="str">
        <f t="shared" si="297"/>
        <v/>
      </c>
      <c r="LQ787" s="742" t="str">
        <f t="shared" si="298"/>
        <v/>
      </c>
      <c r="LR787" s="742" t="str">
        <f t="shared" si="299"/>
        <v/>
      </c>
      <c r="LS787" s="742" t="str">
        <f t="shared" si="300"/>
        <v/>
      </c>
      <c r="LT787" s="742" t="str">
        <f t="shared" si="301"/>
        <v/>
      </c>
      <c r="LU787" s="742" t="str">
        <f t="shared" si="302"/>
        <v/>
      </c>
      <c r="LV787" s="742" t="str">
        <f t="shared" si="303"/>
        <v/>
      </c>
      <c r="LW787" s="742" t="str">
        <f t="shared" si="304"/>
        <v/>
      </c>
      <c r="LX787" s="742" t="str">
        <f t="shared" si="305"/>
        <v/>
      </c>
      <c r="LY787" s="742" t="str">
        <f t="shared" si="306"/>
        <v/>
      </c>
      <c r="LZ787" s="742" t="str">
        <f t="shared" si="307"/>
        <v/>
      </c>
      <c r="MA787" s="742" t="str">
        <f t="shared" si="308"/>
        <v/>
      </c>
      <c r="MB787" s="742" t="str">
        <f t="shared" si="309"/>
        <v/>
      </c>
      <c r="MC787" s="742" t="str">
        <f t="shared" si="310"/>
        <v/>
      </c>
      <c r="MD787" s="742" t="str">
        <f t="shared" si="311"/>
        <v/>
      </c>
      <c r="ME787" s="1637">
        <f t="shared" si="323"/>
        <v>0</v>
      </c>
      <c r="MF787" s="1637">
        <f t="shared" si="324"/>
        <v>0</v>
      </c>
      <c r="MG787" s="1637">
        <f t="shared" si="325"/>
        <v>0</v>
      </c>
      <c r="MH787" s="1637">
        <f t="shared" si="326"/>
        <v>0</v>
      </c>
      <c r="MI787" s="1637">
        <f t="shared" si="327"/>
        <v>0</v>
      </c>
      <c r="MJ787" s="1637">
        <f t="shared" si="328"/>
        <v>0</v>
      </c>
      <c r="MK787" s="1637">
        <f t="shared" si="329"/>
        <v>0</v>
      </c>
      <c r="ML787" s="1637">
        <f t="shared" si="330"/>
        <v>0</v>
      </c>
      <c r="MM787" s="1637">
        <f t="shared" si="331"/>
        <v>0</v>
      </c>
      <c r="MN787" s="1637">
        <f t="shared" si="332"/>
        <v>0</v>
      </c>
      <c r="MO787" s="1637">
        <f t="shared" si="333"/>
        <v>0</v>
      </c>
      <c r="MP787" s="1637">
        <f t="shared" si="334"/>
        <v>0</v>
      </c>
      <c r="MQ787" s="1637">
        <f t="shared" si="335"/>
        <v>0</v>
      </c>
      <c r="MR787" s="1637">
        <f t="shared" si="336"/>
        <v>0</v>
      </c>
      <c r="MS787" s="1637">
        <f t="shared" si="337"/>
        <v>0</v>
      </c>
    </row>
    <row r="788" spans="1:357" ht="13.5">
      <c r="A788" s="1630" t="str">
        <f t="shared" si="0"/>
        <v/>
      </c>
      <c r="B788" s="2757">
        <f>'Part VI-Revenues &amp; Expenses'!B26</f>
        <v>0</v>
      </c>
      <c r="C788" s="2146">
        <f>'Part VI-Revenues &amp; Expenses'!C26</f>
        <v>0</v>
      </c>
      <c r="D788" s="2147">
        <f>'Part VI-Revenues &amp; Expenses'!D26</f>
        <v>0</v>
      </c>
      <c r="E788" s="2148">
        <f>'Part VI-Revenues &amp; Expenses'!E26</f>
        <v>0</v>
      </c>
      <c r="F788" s="2148">
        <f>'Part VI-Revenues &amp; Expenses'!F26</f>
        <v>0</v>
      </c>
      <c r="G788" s="2148">
        <f>'Part VI-Revenues &amp; Expenses'!G26</f>
        <v>0</v>
      </c>
      <c r="H788" s="2148">
        <f>'Part VI-Revenues &amp; Expenses'!H26</f>
        <v>0</v>
      </c>
      <c r="I788" s="2148">
        <f>'Part VI-Revenues &amp; Expenses'!I26</f>
        <v>0</v>
      </c>
      <c r="J788" s="2149">
        <f>'Part VI-Revenues &amp; Expenses'!J26</f>
        <v>0</v>
      </c>
      <c r="K788" s="1822">
        <f t="shared" si="1"/>
        <v>0</v>
      </c>
      <c r="L788" s="1822">
        <f t="shared" si="2"/>
        <v>0</v>
      </c>
      <c r="M788" s="2133">
        <f>'Part VI-Revenues &amp; Expenses'!M26</f>
        <v>0</v>
      </c>
      <c r="N788" s="2133">
        <f>'Part VI-Revenues &amp; Expenses'!N26</f>
        <v>0</v>
      </c>
      <c r="O788" s="2133">
        <f>'Part VI-Revenues &amp; Expenses'!O26</f>
        <v>0</v>
      </c>
      <c r="P788" s="1633">
        <f>'Part VI-Revenues &amp; Expenses'!P26</f>
        <v>0</v>
      </c>
      <c r="Q788" s="1823" t="str">
        <f>'Part VI-Revenues &amp; Expenses'!Q26</f>
        <v/>
      </c>
      <c r="R788" s="1824" t="str">
        <f>'Part VI-Revenues &amp; Expenses'!R26</f>
        <v/>
      </c>
      <c r="S788" s="1823">
        <f>'Part VI-Revenues &amp; Expenses'!S26</f>
        <v>0</v>
      </c>
      <c r="T788" s="1824">
        <f>'Part VI-Revenues &amp; Expenses'!T26</f>
        <v>0</v>
      </c>
      <c r="U788" s="1838">
        <f>'Part VI-Revenues &amp; Expenses'!U26:V26</f>
        <v>0</v>
      </c>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312"/>
        <v/>
      </c>
      <c r="EH788" s="742" t="str">
        <f t="shared" si="117"/>
        <v/>
      </c>
      <c r="EI788" s="742" t="str">
        <f t="shared" si="118"/>
        <v/>
      </c>
      <c r="EJ788" s="742" t="str">
        <f t="shared" si="119"/>
        <v/>
      </c>
      <c r="EK788" s="742" t="str">
        <f t="shared" si="120"/>
        <v/>
      </c>
      <c r="EL788" s="742" t="str">
        <f t="shared" si="121"/>
        <v/>
      </c>
      <c r="EM788" s="742" t="str">
        <f t="shared" si="122"/>
        <v/>
      </c>
      <c r="EN788" s="742" t="str">
        <f t="shared" si="123"/>
        <v/>
      </c>
      <c r="EO788" s="742" t="str">
        <f t="shared" si="124"/>
        <v/>
      </c>
      <c r="EP788" s="742" t="str">
        <f t="shared" si="125"/>
        <v/>
      </c>
      <c r="EQ788" s="742" t="str">
        <f t="shared" si="126"/>
        <v/>
      </c>
      <c r="ER788" s="742" t="str">
        <f t="shared" si="127"/>
        <v/>
      </c>
      <c r="ES788" s="742" t="str">
        <f t="shared" si="128"/>
        <v/>
      </c>
      <c r="ET788" s="742" t="str">
        <f t="shared" si="129"/>
        <v/>
      </c>
      <c r="EU788" s="742" t="str">
        <f t="shared" si="130"/>
        <v/>
      </c>
      <c r="EV788" s="742" t="str">
        <f t="shared" si="131"/>
        <v/>
      </c>
      <c r="EW788" s="742" t="str">
        <f t="shared" si="313"/>
        <v/>
      </c>
      <c r="EX788" s="742" t="str">
        <f t="shared" si="314"/>
        <v/>
      </c>
      <c r="EY788" s="742" t="str">
        <f t="shared" si="315"/>
        <v/>
      </c>
      <c r="EZ788" s="742" t="str">
        <f t="shared" si="316"/>
        <v/>
      </c>
      <c r="FA788" s="742" t="str">
        <f t="shared" si="317"/>
        <v/>
      </c>
      <c r="FB788" s="742" t="str">
        <f t="shared" si="132"/>
        <v/>
      </c>
      <c r="FC788" s="742" t="str">
        <f t="shared" si="133"/>
        <v/>
      </c>
      <c r="FD788" s="742" t="str">
        <f t="shared" si="134"/>
        <v/>
      </c>
      <c r="FE788" s="742" t="str">
        <f t="shared" si="135"/>
        <v/>
      </c>
      <c r="FF788" s="742" t="str">
        <f t="shared" si="136"/>
        <v/>
      </c>
      <c r="FG788" s="742" t="str">
        <f t="shared" si="318"/>
        <v/>
      </c>
      <c r="FH788" s="742" t="str">
        <f t="shared" si="319"/>
        <v/>
      </c>
      <c r="FI788" s="742" t="str">
        <f t="shared" si="320"/>
        <v/>
      </c>
      <c r="FJ788" s="742" t="str">
        <f t="shared" si="321"/>
        <v/>
      </c>
      <c r="FK788" s="742" t="str">
        <f t="shared" si="322"/>
        <v/>
      </c>
      <c r="FL788" s="742" t="str">
        <f t="shared" si="137"/>
        <v/>
      </c>
      <c r="FM788" s="742" t="str">
        <f t="shared" si="138"/>
        <v/>
      </c>
      <c r="FN788" s="742" t="str">
        <f t="shared" si="139"/>
        <v/>
      </c>
      <c r="FO788" s="742" t="str">
        <f t="shared" si="140"/>
        <v/>
      </c>
      <c r="FP788" s="742" t="str">
        <f t="shared" si="141"/>
        <v/>
      </c>
      <c r="FQ788" s="742" t="str">
        <f t="shared" si="142"/>
        <v/>
      </c>
      <c r="FR788" s="742" t="str">
        <f t="shared" si="143"/>
        <v/>
      </c>
      <c r="FS788" s="742" t="str">
        <f t="shared" si="144"/>
        <v/>
      </c>
      <c r="FT788" s="742" t="str">
        <f t="shared" si="145"/>
        <v/>
      </c>
      <c r="FU788" s="742" t="str">
        <f t="shared" si="146"/>
        <v/>
      </c>
      <c r="FV788" s="742" t="str">
        <f t="shared" si="147"/>
        <v/>
      </c>
      <c r="FW788" s="742" t="str">
        <f t="shared" si="148"/>
        <v/>
      </c>
      <c r="FX788" s="742" t="str">
        <f t="shared" si="149"/>
        <v/>
      </c>
      <c r="FY788" s="742" t="str">
        <f t="shared" si="150"/>
        <v/>
      </c>
      <c r="FZ788" s="742" t="str">
        <f t="shared" si="151"/>
        <v/>
      </c>
      <c r="GA788" s="742" t="str">
        <f t="shared" si="152"/>
        <v/>
      </c>
      <c r="GB788" s="742" t="str">
        <f t="shared" si="153"/>
        <v/>
      </c>
      <c r="GC788" s="742" t="str">
        <f t="shared" si="154"/>
        <v/>
      </c>
      <c r="GD788" s="742" t="str">
        <f t="shared" si="155"/>
        <v/>
      </c>
      <c r="GE788" s="742" t="str">
        <f t="shared" si="156"/>
        <v/>
      </c>
      <c r="GF788" s="742" t="str">
        <f t="shared" si="157"/>
        <v/>
      </c>
      <c r="GG788" s="742" t="str">
        <f t="shared" si="158"/>
        <v/>
      </c>
      <c r="GH788" s="742" t="str">
        <f t="shared" si="159"/>
        <v/>
      </c>
      <c r="GI788" s="742" t="str">
        <f t="shared" si="160"/>
        <v/>
      </c>
      <c r="GJ788" s="742" t="str">
        <f t="shared" si="161"/>
        <v/>
      </c>
      <c r="GK788" s="742" t="str">
        <f t="shared" si="162"/>
        <v/>
      </c>
      <c r="GL788" s="742" t="str">
        <f t="shared" si="163"/>
        <v/>
      </c>
      <c r="GM788" s="742" t="str">
        <f t="shared" si="164"/>
        <v/>
      </c>
      <c r="GN788" s="742" t="str">
        <f t="shared" si="165"/>
        <v/>
      </c>
      <c r="GO788" s="742" t="str">
        <f t="shared" si="166"/>
        <v/>
      </c>
      <c r="GP788" s="742" t="str">
        <f t="shared" si="167"/>
        <v/>
      </c>
      <c r="GQ788" s="742" t="str">
        <f t="shared" si="168"/>
        <v/>
      </c>
      <c r="GR788" s="742" t="str">
        <f t="shared" si="169"/>
        <v/>
      </c>
      <c r="GS788" s="742" t="str">
        <f t="shared" si="170"/>
        <v/>
      </c>
      <c r="GT788" s="742" t="str">
        <f t="shared" si="171"/>
        <v/>
      </c>
      <c r="GU788" s="742" t="str">
        <f t="shared" si="172"/>
        <v/>
      </c>
      <c r="GV788" s="742" t="str">
        <f t="shared" si="173"/>
        <v/>
      </c>
      <c r="GW788" s="742" t="str">
        <f t="shared" si="174"/>
        <v/>
      </c>
      <c r="GX788" s="742" t="str">
        <f t="shared" si="175"/>
        <v/>
      </c>
      <c r="GY788" s="742" t="str">
        <f t="shared" si="176"/>
        <v/>
      </c>
      <c r="GZ788" s="742" t="str">
        <f t="shared" si="177"/>
        <v/>
      </c>
      <c r="HA788" s="742" t="str">
        <f t="shared" si="178"/>
        <v/>
      </c>
      <c r="HB788" s="742" t="str">
        <f t="shared" si="179"/>
        <v/>
      </c>
      <c r="HC788" s="742" t="str">
        <f t="shared" si="180"/>
        <v/>
      </c>
      <c r="HD788" s="742" t="str">
        <f t="shared" si="181"/>
        <v/>
      </c>
      <c r="HE788" s="742" t="str">
        <f t="shared" si="182"/>
        <v/>
      </c>
      <c r="HF788" s="742" t="str">
        <f t="shared" si="183"/>
        <v/>
      </c>
      <c r="HG788" s="742" t="str">
        <f t="shared" si="184"/>
        <v/>
      </c>
      <c r="HH788" s="742" t="str">
        <f t="shared" si="185"/>
        <v/>
      </c>
      <c r="HI788" s="742" t="str">
        <f t="shared" si="186"/>
        <v/>
      </c>
      <c r="HJ788" s="742" t="str">
        <f t="shared" si="187"/>
        <v/>
      </c>
      <c r="HK788" s="742" t="str">
        <f t="shared" si="188"/>
        <v/>
      </c>
      <c r="HL788" s="742" t="str">
        <f t="shared" si="189"/>
        <v/>
      </c>
      <c r="HM788" s="742" t="str">
        <f t="shared" si="190"/>
        <v/>
      </c>
      <c r="HN788" s="742" t="str">
        <f t="shared" si="191"/>
        <v/>
      </c>
      <c r="HO788" s="742" t="str">
        <f t="shared" si="192"/>
        <v/>
      </c>
      <c r="HP788" s="742" t="str">
        <f t="shared" si="193"/>
        <v/>
      </c>
      <c r="HQ788" s="742" t="str">
        <f t="shared" si="194"/>
        <v/>
      </c>
      <c r="HR788" s="742" t="str">
        <f t="shared" si="195"/>
        <v/>
      </c>
      <c r="HS788" s="742" t="str">
        <f t="shared" si="196"/>
        <v/>
      </c>
      <c r="HT788" s="742" t="str">
        <f t="shared" si="197"/>
        <v/>
      </c>
      <c r="HU788" s="742" t="str">
        <f t="shared" si="198"/>
        <v/>
      </c>
      <c r="HV788" s="742" t="str">
        <f t="shared" si="199"/>
        <v/>
      </c>
      <c r="HW788" s="742" t="str">
        <f t="shared" si="200"/>
        <v/>
      </c>
      <c r="HX788" s="742" t="str">
        <f t="shared" si="201"/>
        <v/>
      </c>
      <c r="HY788" s="1638" t="str">
        <f t="shared" si="202"/>
        <v/>
      </c>
      <c r="HZ788" s="1638" t="str">
        <f t="shared" si="203"/>
        <v/>
      </c>
      <c r="IA788" s="1638" t="str">
        <f t="shared" si="204"/>
        <v/>
      </c>
      <c r="IB788" s="1638" t="str">
        <f t="shared" si="205"/>
        <v/>
      </c>
      <c r="IC788" s="1638" t="str">
        <f t="shared" si="206"/>
        <v/>
      </c>
      <c r="ID788" s="1638" t="str">
        <f t="shared" si="207"/>
        <v/>
      </c>
      <c r="IE788" s="1638" t="str">
        <f t="shared" si="208"/>
        <v/>
      </c>
      <c r="IF788" s="1638" t="str">
        <f t="shared" si="209"/>
        <v/>
      </c>
      <c r="IG788" s="1638" t="str">
        <f t="shared" si="210"/>
        <v/>
      </c>
      <c r="IH788" s="1638" t="str">
        <f t="shared" si="211"/>
        <v/>
      </c>
      <c r="II788" s="1638" t="str">
        <f t="shared" si="212"/>
        <v/>
      </c>
      <c r="IJ788" s="1638" t="str">
        <f t="shared" si="213"/>
        <v/>
      </c>
      <c r="IK788" s="1638" t="str">
        <f t="shared" si="214"/>
        <v/>
      </c>
      <c r="IL788" s="1638" t="str">
        <f t="shared" si="215"/>
        <v/>
      </c>
      <c r="IM788" s="1638" t="str">
        <f t="shared" si="216"/>
        <v/>
      </c>
      <c r="IN788" s="1638" t="str">
        <f t="shared" si="217"/>
        <v/>
      </c>
      <c r="IO788" s="1638" t="str">
        <f t="shared" si="218"/>
        <v/>
      </c>
      <c r="IP788" s="1638" t="str">
        <f t="shared" si="219"/>
        <v/>
      </c>
      <c r="IQ788" s="1638" t="str">
        <f t="shared" si="220"/>
        <v/>
      </c>
      <c r="IR788" s="1638" t="str">
        <f t="shared" si="221"/>
        <v/>
      </c>
      <c r="IS788" s="1638" t="str">
        <f t="shared" si="222"/>
        <v/>
      </c>
      <c r="IT788" s="1638" t="str">
        <f t="shared" si="223"/>
        <v/>
      </c>
      <c r="IU788" s="1638" t="str">
        <f t="shared" si="224"/>
        <v/>
      </c>
      <c r="IV788" s="1638" t="str">
        <f t="shared" si="225"/>
        <v/>
      </c>
      <c r="IW788" s="1638" t="str">
        <f t="shared" si="226"/>
        <v/>
      </c>
      <c r="IX788" s="1638" t="str">
        <f t="shared" si="227"/>
        <v/>
      </c>
      <c r="IY788" s="1638" t="str">
        <f t="shared" si="228"/>
        <v/>
      </c>
      <c r="IZ788" s="1638" t="str">
        <f t="shared" si="229"/>
        <v/>
      </c>
      <c r="JA788" s="1638" t="str">
        <f t="shared" si="230"/>
        <v/>
      </c>
      <c r="JB788" s="1638" t="str">
        <f t="shared" si="231"/>
        <v/>
      </c>
      <c r="JC788" s="1638" t="str">
        <f t="shared" si="232"/>
        <v/>
      </c>
      <c r="JD788" s="1638" t="str">
        <f t="shared" si="233"/>
        <v/>
      </c>
      <c r="JE788" s="1638" t="str">
        <f t="shared" si="234"/>
        <v/>
      </c>
      <c r="JF788" s="1638" t="str">
        <f t="shared" si="235"/>
        <v/>
      </c>
      <c r="JG788" s="1638" t="str">
        <f t="shared" si="236"/>
        <v/>
      </c>
      <c r="JH788" s="1638" t="str">
        <f t="shared" si="237"/>
        <v/>
      </c>
      <c r="JI788" s="1638" t="str">
        <f t="shared" si="238"/>
        <v/>
      </c>
      <c r="JJ788" s="1638" t="str">
        <f t="shared" si="239"/>
        <v/>
      </c>
      <c r="JK788" s="1638" t="str">
        <f t="shared" si="240"/>
        <v/>
      </c>
      <c r="JL788" s="1638" t="str">
        <f t="shared" si="241"/>
        <v/>
      </c>
      <c r="JM788" s="1638" t="str">
        <f t="shared" si="242"/>
        <v/>
      </c>
      <c r="JN788" s="1638" t="str">
        <f t="shared" si="243"/>
        <v/>
      </c>
      <c r="JO788" s="1638" t="str">
        <f t="shared" si="244"/>
        <v/>
      </c>
      <c r="JP788" s="1638" t="str">
        <f t="shared" si="245"/>
        <v/>
      </c>
      <c r="JQ788" s="1638" t="str">
        <f t="shared" si="246"/>
        <v/>
      </c>
      <c r="JR788" s="1638" t="str">
        <f t="shared" si="247"/>
        <v/>
      </c>
      <c r="JS788" s="1638" t="str">
        <f t="shared" si="248"/>
        <v/>
      </c>
      <c r="JT788" s="1638" t="str">
        <f t="shared" si="249"/>
        <v/>
      </c>
      <c r="JU788" s="1638" t="str">
        <f t="shared" si="250"/>
        <v/>
      </c>
      <c r="JV788" s="1638" t="str">
        <f t="shared" si="251"/>
        <v/>
      </c>
      <c r="JW788" s="1638" t="str">
        <f t="shared" si="252"/>
        <v/>
      </c>
      <c r="JX788" s="1638" t="str">
        <f t="shared" si="253"/>
        <v/>
      </c>
      <c r="JY788" s="1638" t="str">
        <f t="shared" si="254"/>
        <v/>
      </c>
      <c r="JZ788" s="1638" t="str">
        <f t="shared" si="255"/>
        <v/>
      </c>
      <c r="KA788" s="1638" t="str">
        <f t="shared" si="256"/>
        <v/>
      </c>
      <c r="KB788" s="1638" t="str">
        <f t="shared" si="257"/>
        <v/>
      </c>
      <c r="KC788" s="1638" t="str">
        <f t="shared" si="258"/>
        <v/>
      </c>
      <c r="KD788" s="1638" t="str">
        <f t="shared" si="259"/>
        <v/>
      </c>
      <c r="KE788" s="1638" t="str">
        <f t="shared" si="260"/>
        <v/>
      </c>
      <c r="KF788" s="1638" t="str">
        <f t="shared" si="261"/>
        <v/>
      </c>
      <c r="KG788" s="1638" t="str">
        <f t="shared" si="262"/>
        <v/>
      </c>
      <c r="KH788" s="1638" t="str">
        <f t="shared" si="263"/>
        <v/>
      </c>
      <c r="KI788" s="1638" t="str">
        <f t="shared" si="264"/>
        <v/>
      </c>
      <c r="KJ788" s="1638" t="str">
        <f t="shared" si="265"/>
        <v/>
      </c>
      <c r="KK788" s="1638" t="str">
        <f t="shared" si="266"/>
        <v/>
      </c>
      <c r="KL788" s="1638" t="str">
        <f t="shared" si="267"/>
        <v/>
      </c>
      <c r="KM788" s="1638" t="str">
        <f t="shared" si="268"/>
        <v/>
      </c>
      <c r="KN788" s="1638" t="str">
        <f t="shared" si="269"/>
        <v/>
      </c>
      <c r="KO788" s="1638" t="str">
        <f t="shared" si="270"/>
        <v/>
      </c>
      <c r="KP788" s="1638" t="str">
        <f t="shared" si="271"/>
        <v/>
      </c>
      <c r="KQ788" s="1638" t="str">
        <f t="shared" si="272"/>
        <v/>
      </c>
      <c r="KR788" s="1638" t="str">
        <f t="shared" si="273"/>
        <v/>
      </c>
      <c r="KS788" s="1638" t="str">
        <f t="shared" si="274"/>
        <v/>
      </c>
      <c r="KT788" s="1638" t="str">
        <f t="shared" si="275"/>
        <v/>
      </c>
      <c r="KU788" s="1638" t="str">
        <f t="shared" si="276"/>
        <v/>
      </c>
      <c r="KV788" s="1638" t="str">
        <f t="shared" si="277"/>
        <v/>
      </c>
      <c r="KW788" s="1638" t="str">
        <f t="shared" si="278"/>
        <v/>
      </c>
      <c r="KX788" s="1638" t="str">
        <f t="shared" si="279"/>
        <v/>
      </c>
      <c r="KY788" s="1638" t="str">
        <f t="shared" si="280"/>
        <v/>
      </c>
      <c r="KZ788" s="1638" t="str">
        <f t="shared" si="281"/>
        <v/>
      </c>
      <c r="LA788" s="1638" t="str">
        <f t="shared" si="282"/>
        <v/>
      </c>
      <c r="LB788" s="1638" t="str">
        <f t="shared" si="283"/>
        <v/>
      </c>
      <c r="LC788" s="1638" t="str">
        <f t="shared" si="284"/>
        <v/>
      </c>
      <c r="LD788" s="1638" t="str">
        <f t="shared" si="285"/>
        <v/>
      </c>
      <c r="LE788" s="1638" t="str">
        <f t="shared" si="286"/>
        <v/>
      </c>
      <c r="LF788" s="1637" t="str">
        <f t="shared" si="287"/>
        <v/>
      </c>
      <c r="LG788" s="1637" t="str">
        <f t="shared" si="288"/>
        <v/>
      </c>
      <c r="LH788" s="1637" t="str">
        <f t="shared" si="289"/>
        <v/>
      </c>
      <c r="LI788" s="1637" t="str">
        <f t="shared" si="290"/>
        <v/>
      </c>
      <c r="LJ788" s="1637" t="str">
        <f t="shared" si="291"/>
        <v/>
      </c>
      <c r="LK788" s="742" t="str">
        <f t="shared" si="292"/>
        <v/>
      </c>
      <c r="LL788" s="742" t="str">
        <f t="shared" si="293"/>
        <v/>
      </c>
      <c r="LM788" s="742" t="str">
        <f t="shared" si="294"/>
        <v/>
      </c>
      <c r="LN788" s="742" t="str">
        <f t="shared" si="295"/>
        <v/>
      </c>
      <c r="LO788" s="742" t="str">
        <f t="shared" si="296"/>
        <v/>
      </c>
      <c r="LP788" s="742" t="str">
        <f t="shared" si="297"/>
        <v/>
      </c>
      <c r="LQ788" s="742" t="str">
        <f t="shared" si="298"/>
        <v/>
      </c>
      <c r="LR788" s="742" t="str">
        <f t="shared" si="299"/>
        <v/>
      </c>
      <c r="LS788" s="742" t="str">
        <f t="shared" si="300"/>
        <v/>
      </c>
      <c r="LT788" s="742" t="str">
        <f t="shared" si="301"/>
        <v/>
      </c>
      <c r="LU788" s="742" t="str">
        <f t="shared" si="302"/>
        <v/>
      </c>
      <c r="LV788" s="742" t="str">
        <f t="shared" si="303"/>
        <v/>
      </c>
      <c r="LW788" s="742" t="str">
        <f t="shared" si="304"/>
        <v/>
      </c>
      <c r="LX788" s="742" t="str">
        <f t="shared" si="305"/>
        <v/>
      </c>
      <c r="LY788" s="742" t="str">
        <f t="shared" si="306"/>
        <v/>
      </c>
      <c r="LZ788" s="742" t="str">
        <f t="shared" si="307"/>
        <v/>
      </c>
      <c r="MA788" s="742" t="str">
        <f t="shared" si="308"/>
        <v/>
      </c>
      <c r="MB788" s="742" t="str">
        <f t="shared" si="309"/>
        <v/>
      </c>
      <c r="MC788" s="742" t="str">
        <f t="shared" si="310"/>
        <v/>
      </c>
      <c r="MD788" s="742" t="str">
        <f t="shared" si="311"/>
        <v/>
      </c>
      <c r="ME788" s="1637">
        <f t="shared" si="323"/>
        <v>0</v>
      </c>
      <c r="MF788" s="1637">
        <f t="shared" si="324"/>
        <v>0</v>
      </c>
      <c r="MG788" s="1637">
        <f t="shared" si="325"/>
        <v>0</v>
      </c>
      <c r="MH788" s="1637">
        <f t="shared" si="326"/>
        <v>0</v>
      </c>
      <c r="MI788" s="1637">
        <f t="shared" si="327"/>
        <v>0</v>
      </c>
      <c r="MJ788" s="1637">
        <f t="shared" si="328"/>
        <v>0</v>
      </c>
      <c r="MK788" s="1637">
        <f t="shared" si="329"/>
        <v>0</v>
      </c>
      <c r="ML788" s="1637">
        <f t="shared" si="330"/>
        <v>0</v>
      </c>
      <c r="MM788" s="1637">
        <f t="shared" si="331"/>
        <v>0</v>
      </c>
      <c r="MN788" s="1637">
        <f t="shared" si="332"/>
        <v>0</v>
      </c>
      <c r="MO788" s="1637">
        <f t="shared" si="333"/>
        <v>0</v>
      </c>
      <c r="MP788" s="1637">
        <f t="shared" si="334"/>
        <v>0</v>
      </c>
      <c r="MQ788" s="1637">
        <f t="shared" si="335"/>
        <v>0</v>
      </c>
      <c r="MR788" s="1637">
        <f t="shared" si="336"/>
        <v>0</v>
      </c>
      <c r="MS788" s="1637">
        <f t="shared" si="337"/>
        <v>0</v>
      </c>
    </row>
    <row r="789" spans="1:357" ht="13.5">
      <c r="A789" s="1630" t="str">
        <f t="shared" si="0"/>
        <v/>
      </c>
      <c r="B789" s="2757">
        <f>'Part VI-Revenues &amp; Expenses'!B27</f>
        <v>0</v>
      </c>
      <c r="C789" s="2146">
        <f>'Part VI-Revenues &amp; Expenses'!C27</f>
        <v>0</v>
      </c>
      <c r="D789" s="2147">
        <f>'Part VI-Revenues &amp; Expenses'!D27</f>
        <v>0</v>
      </c>
      <c r="E789" s="2148">
        <f>'Part VI-Revenues &amp; Expenses'!E27</f>
        <v>0</v>
      </c>
      <c r="F789" s="2148">
        <f>'Part VI-Revenues &amp; Expenses'!F27</f>
        <v>0</v>
      </c>
      <c r="G789" s="2148">
        <f>'Part VI-Revenues &amp; Expenses'!G27</f>
        <v>0</v>
      </c>
      <c r="H789" s="2148">
        <f>'Part VI-Revenues &amp; Expenses'!H27</f>
        <v>0</v>
      </c>
      <c r="I789" s="2148">
        <f>'Part VI-Revenues &amp; Expenses'!I27</f>
        <v>0</v>
      </c>
      <c r="J789" s="2149">
        <f>'Part VI-Revenues &amp; Expenses'!J27</f>
        <v>0</v>
      </c>
      <c r="K789" s="1822">
        <f t="shared" si="1"/>
        <v>0</v>
      </c>
      <c r="L789" s="1822">
        <f t="shared" si="2"/>
        <v>0</v>
      </c>
      <c r="M789" s="2133">
        <f>'Part VI-Revenues &amp; Expenses'!M27</f>
        <v>0</v>
      </c>
      <c r="N789" s="2133">
        <f>'Part VI-Revenues &amp; Expenses'!N27</f>
        <v>0</v>
      </c>
      <c r="O789" s="2133">
        <f>'Part VI-Revenues &amp; Expenses'!O27</f>
        <v>0</v>
      </c>
      <c r="P789" s="1633">
        <f>'Part VI-Revenues &amp; Expenses'!P27</f>
        <v>0</v>
      </c>
      <c r="Q789" s="1823" t="str">
        <f>'Part VI-Revenues &amp; Expenses'!Q27</f>
        <v/>
      </c>
      <c r="R789" s="1824" t="str">
        <f>'Part VI-Revenues &amp; Expenses'!R27</f>
        <v/>
      </c>
      <c r="S789" s="1823">
        <f>'Part VI-Revenues &amp; Expenses'!S27</f>
        <v>0</v>
      </c>
      <c r="T789" s="1824">
        <f>'Part VI-Revenues &amp; Expenses'!T27</f>
        <v>0</v>
      </c>
      <c r="U789" s="1838">
        <f>'Part VI-Revenues &amp; Expenses'!U27:V27</f>
        <v>0</v>
      </c>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312"/>
        <v/>
      </c>
      <c r="EH789" s="742" t="str">
        <f t="shared" si="117"/>
        <v/>
      </c>
      <c r="EI789" s="742" t="str">
        <f t="shared" si="118"/>
        <v/>
      </c>
      <c r="EJ789" s="742" t="str">
        <f t="shared" si="119"/>
        <v/>
      </c>
      <c r="EK789" s="742" t="str">
        <f t="shared" si="120"/>
        <v/>
      </c>
      <c r="EL789" s="742" t="str">
        <f t="shared" si="121"/>
        <v/>
      </c>
      <c r="EM789" s="742" t="str">
        <f t="shared" si="122"/>
        <v/>
      </c>
      <c r="EN789" s="742" t="str">
        <f t="shared" si="123"/>
        <v/>
      </c>
      <c r="EO789" s="742" t="str">
        <f t="shared" si="124"/>
        <v/>
      </c>
      <c r="EP789" s="742" t="str">
        <f t="shared" si="125"/>
        <v/>
      </c>
      <c r="EQ789" s="742" t="str">
        <f t="shared" si="126"/>
        <v/>
      </c>
      <c r="ER789" s="742" t="str">
        <f t="shared" si="127"/>
        <v/>
      </c>
      <c r="ES789" s="742" t="str">
        <f t="shared" si="128"/>
        <v/>
      </c>
      <c r="ET789" s="742" t="str">
        <f t="shared" si="129"/>
        <v/>
      </c>
      <c r="EU789" s="742" t="str">
        <f t="shared" si="130"/>
        <v/>
      </c>
      <c r="EV789" s="742" t="str">
        <f t="shared" si="131"/>
        <v/>
      </c>
      <c r="EW789" s="742" t="str">
        <f t="shared" si="313"/>
        <v/>
      </c>
      <c r="EX789" s="742" t="str">
        <f t="shared" si="314"/>
        <v/>
      </c>
      <c r="EY789" s="742" t="str">
        <f t="shared" si="315"/>
        <v/>
      </c>
      <c r="EZ789" s="742" t="str">
        <f t="shared" si="316"/>
        <v/>
      </c>
      <c r="FA789" s="742" t="str">
        <f t="shared" si="317"/>
        <v/>
      </c>
      <c r="FB789" s="742" t="str">
        <f t="shared" si="132"/>
        <v/>
      </c>
      <c r="FC789" s="742" t="str">
        <f t="shared" si="133"/>
        <v/>
      </c>
      <c r="FD789" s="742" t="str">
        <f t="shared" si="134"/>
        <v/>
      </c>
      <c r="FE789" s="742" t="str">
        <f t="shared" si="135"/>
        <v/>
      </c>
      <c r="FF789" s="742" t="str">
        <f t="shared" si="136"/>
        <v/>
      </c>
      <c r="FG789" s="742" t="str">
        <f t="shared" si="318"/>
        <v/>
      </c>
      <c r="FH789" s="742" t="str">
        <f t="shared" si="319"/>
        <v/>
      </c>
      <c r="FI789" s="742" t="str">
        <f t="shared" si="320"/>
        <v/>
      </c>
      <c r="FJ789" s="742" t="str">
        <f t="shared" si="321"/>
        <v/>
      </c>
      <c r="FK789" s="742" t="str">
        <f t="shared" si="322"/>
        <v/>
      </c>
      <c r="FL789" s="742" t="str">
        <f t="shared" si="137"/>
        <v/>
      </c>
      <c r="FM789" s="742" t="str">
        <f t="shared" si="138"/>
        <v/>
      </c>
      <c r="FN789" s="742" t="str">
        <f t="shared" si="139"/>
        <v/>
      </c>
      <c r="FO789" s="742" t="str">
        <f t="shared" si="140"/>
        <v/>
      </c>
      <c r="FP789" s="742" t="str">
        <f t="shared" si="141"/>
        <v/>
      </c>
      <c r="FQ789" s="742" t="str">
        <f t="shared" si="142"/>
        <v/>
      </c>
      <c r="FR789" s="742" t="str">
        <f t="shared" si="143"/>
        <v/>
      </c>
      <c r="FS789" s="742" t="str">
        <f t="shared" si="144"/>
        <v/>
      </c>
      <c r="FT789" s="742" t="str">
        <f t="shared" si="145"/>
        <v/>
      </c>
      <c r="FU789" s="742" t="str">
        <f t="shared" si="146"/>
        <v/>
      </c>
      <c r="FV789" s="742" t="str">
        <f t="shared" si="147"/>
        <v/>
      </c>
      <c r="FW789" s="742" t="str">
        <f t="shared" si="148"/>
        <v/>
      </c>
      <c r="FX789" s="742" t="str">
        <f t="shared" si="149"/>
        <v/>
      </c>
      <c r="FY789" s="742" t="str">
        <f t="shared" si="150"/>
        <v/>
      </c>
      <c r="FZ789" s="742" t="str">
        <f t="shared" si="151"/>
        <v/>
      </c>
      <c r="GA789" s="742" t="str">
        <f t="shared" si="152"/>
        <v/>
      </c>
      <c r="GB789" s="742" t="str">
        <f t="shared" si="153"/>
        <v/>
      </c>
      <c r="GC789" s="742" t="str">
        <f t="shared" si="154"/>
        <v/>
      </c>
      <c r="GD789" s="742" t="str">
        <f t="shared" si="155"/>
        <v/>
      </c>
      <c r="GE789" s="742" t="str">
        <f t="shared" si="156"/>
        <v/>
      </c>
      <c r="GF789" s="742" t="str">
        <f t="shared" si="157"/>
        <v/>
      </c>
      <c r="GG789" s="742" t="str">
        <f t="shared" si="158"/>
        <v/>
      </c>
      <c r="GH789" s="742" t="str">
        <f t="shared" si="159"/>
        <v/>
      </c>
      <c r="GI789" s="742" t="str">
        <f t="shared" si="160"/>
        <v/>
      </c>
      <c r="GJ789" s="742" t="str">
        <f t="shared" si="161"/>
        <v/>
      </c>
      <c r="GK789" s="742" t="str">
        <f t="shared" si="162"/>
        <v/>
      </c>
      <c r="GL789" s="742" t="str">
        <f t="shared" si="163"/>
        <v/>
      </c>
      <c r="GM789" s="742" t="str">
        <f t="shared" si="164"/>
        <v/>
      </c>
      <c r="GN789" s="742" t="str">
        <f t="shared" si="165"/>
        <v/>
      </c>
      <c r="GO789" s="742" t="str">
        <f t="shared" si="166"/>
        <v/>
      </c>
      <c r="GP789" s="742" t="str">
        <f t="shared" si="167"/>
        <v/>
      </c>
      <c r="GQ789" s="742" t="str">
        <f t="shared" si="168"/>
        <v/>
      </c>
      <c r="GR789" s="742" t="str">
        <f t="shared" si="169"/>
        <v/>
      </c>
      <c r="GS789" s="742" t="str">
        <f t="shared" si="170"/>
        <v/>
      </c>
      <c r="GT789" s="742" t="str">
        <f t="shared" si="171"/>
        <v/>
      </c>
      <c r="GU789" s="742" t="str">
        <f t="shared" si="172"/>
        <v/>
      </c>
      <c r="GV789" s="742" t="str">
        <f t="shared" si="173"/>
        <v/>
      </c>
      <c r="GW789" s="742" t="str">
        <f t="shared" si="174"/>
        <v/>
      </c>
      <c r="GX789" s="742" t="str">
        <f t="shared" si="175"/>
        <v/>
      </c>
      <c r="GY789" s="742" t="str">
        <f t="shared" si="176"/>
        <v/>
      </c>
      <c r="GZ789" s="742" t="str">
        <f t="shared" si="177"/>
        <v/>
      </c>
      <c r="HA789" s="742" t="str">
        <f t="shared" si="178"/>
        <v/>
      </c>
      <c r="HB789" s="742" t="str">
        <f t="shared" si="179"/>
        <v/>
      </c>
      <c r="HC789" s="742" t="str">
        <f t="shared" si="180"/>
        <v/>
      </c>
      <c r="HD789" s="742" t="str">
        <f t="shared" si="181"/>
        <v/>
      </c>
      <c r="HE789" s="742" t="str">
        <f t="shared" si="182"/>
        <v/>
      </c>
      <c r="HF789" s="742" t="str">
        <f t="shared" si="183"/>
        <v/>
      </c>
      <c r="HG789" s="742" t="str">
        <f t="shared" si="184"/>
        <v/>
      </c>
      <c r="HH789" s="742" t="str">
        <f t="shared" si="185"/>
        <v/>
      </c>
      <c r="HI789" s="742" t="str">
        <f t="shared" si="186"/>
        <v/>
      </c>
      <c r="HJ789" s="742" t="str">
        <f t="shared" si="187"/>
        <v/>
      </c>
      <c r="HK789" s="742" t="str">
        <f t="shared" si="188"/>
        <v/>
      </c>
      <c r="HL789" s="742" t="str">
        <f t="shared" si="189"/>
        <v/>
      </c>
      <c r="HM789" s="742" t="str">
        <f t="shared" si="190"/>
        <v/>
      </c>
      <c r="HN789" s="742" t="str">
        <f t="shared" si="191"/>
        <v/>
      </c>
      <c r="HO789" s="742" t="str">
        <f t="shared" si="192"/>
        <v/>
      </c>
      <c r="HP789" s="742" t="str">
        <f t="shared" si="193"/>
        <v/>
      </c>
      <c r="HQ789" s="742" t="str">
        <f t="shared" si="194"/>
        <v/>
      </c>
      <c r="HR789" s="742" t="str">
        <f t="shared" si="195"/>
        <v/>
      </c>
      <c r="HS789" s="742" t="str">
        <f t="shared" si="196"/>
        <v/>
      </c>
      <c r="HT789" s="742" t="str">
        <f t="shared" si="197"/>
        <v/>
      </c>
      <c r="HU789" s="742" t="str">
        <f t="shared" si="198"/>
        <v/>
      </c>
      <c r="HV789" s="742" t="str">
        <f t="shared" si="199"/>
        <v/>
      </c>
      <c r="HW789" s="742" t="str">
        <f t="shared" si="200"/>
        <v/>
      </c>
      <c r="HX789" s="742" t="str">
        <f t="shared" si="201"/>
        <v/>
      </c>
      <c r="HY789" s="1638" t="str">
        <f t="shared" si="202"/>
        <v/>
      </c>
      <c r="HZ789" s="1638" t="str">
        <f t="shared" si="203"/>
        <v/>
      </c>
      <c r="IA789" s="1638" t="str">
        <f t="shared" si="204"/>
        <v/>
      </c>
      <c r="IB789" s="1638" t="str">
        <f t="shared" si="205"/>
        <v/>
      </c>
      <c r="IC789" s="1638" t="str">
        <f t="shared" si="206"/>
        <v/>
      </c>
      <c r="ID789" s="1638" t="str">
        <f t="shared" si="207"/>
        <v/>
      </c>
      <c r="IE789" s="1638" t="str">
        <f t="shared" si="208"/>
        <v/>
      </c>
      <c r="IF789" s="1638" t="str">
        <f t="shared" si="209"/>
        <v/>
      </c>
      <c r="IG789" s="1638" t="str">
        <f t="shared" si="210"/>
        <v/>
      </c>
      <c r="IH789" s="1638" t="str">
        <f t="shared" si="211"/>
        <v/>
      </c>
      <c r="II789" s="1638" t="str">
        <f t="shared" si="212"/>
        <v/>
      </c>
      <c r="IJ789" s="1638" t="str">
        <f t="shared" si="213"/>
        <v/>
      </c>
      <c r="IK789" s="1638" t="str">
        <f t="shared" si="214"/>
        <v/>
      </c>
      <c r="IL789" s="1638" t="str">
        <f t="shared" si="215"/>
        <v/>
      </c>
      <c r="IM789" s="1638" t="str">
        <f t="shared" si="216"/>
        <v/>
      </c>
      <c r="IN789" s="1638" t="str">
        <f t="shared" si="217"/>
        <v/>
      </c>
      <c r="IO789" s="1638" t="str">
        <f t="shared" si="218"/>
        <v/>
      </c>
      <c r="IP789" s="1638" t="str">
        <f t="shared" si="219"/>
        <v/>
      </c>
      <c r="IQ789" s="1638" t="str">
        <f t="shared" si="220"/>
        <v/>
      </c>
      <c r="IR789" s="1638" t="str">
        <f t="shared" si="221"/>
        <v/>
      </c>
      <c r="IS789" s="1638" t="str">
        <f t="shared" si="222"/>
        <v/>
      </c>
      <c r="IT789" s="1638" t="str">
        <f t="shared" si="223"/>
        <v/>
      </c>
      <c r="IU789" s="1638" t="str">
        <f t="shared" si="224"/>
        <v/>
      </c>
      <c r="IV789" s="1638" t="str">
        <f t="shared" si="225"/>
        <v/>
      </c>
      <c r="IW789" s="1638" t="str">
        <f t="shared" si="226"/>
        <v/>
      </c>
      <c r="IX789" s="1638" t="str">
        <f t="shared" si="227"/>
        <v/>
      </c>
      <c r="IY789" s="1638" t="str">
        <f t="shared" si="228"/>
        <v/>
      </c>
      <c r="IZ789" s="1638" t="str">
        <f t="shared" si="229"/>
        <v/>
      </c>
      <c r="JA789" s="1638" t="str">
        <f t="shared" si="230"/>
        <v/>
      </c>
      <c r="JB789" s="1638" t="str">
        <f t="shared" si="231"/>
        <v/>
      </c>
      <c r="JC789" s="1638" t="str">
        <f t="shared" si="232"/>
        <v/>
      </c>
      <c r="JD789" s="1638" t="str">
        <f t="shared" si="233"/>
        <v/>
      </c>
      <c r="JE789" s="1638" t="str">
        <f t="shared" si="234"/>
        <v/>
      </c>
      <c r="JF789" s="1638" t="str">
        <f t="shared" si="235"/>
        <v/>
      </c>
      <c r="JG789" s="1638" t="str">
        <f t="shared" si="236"/>
        <v/>
      </c>
      <c r="JH789" s="1638" t="str">
        <f t="shared" si="237"/>
        <v/>
      </c>
      <c r="JI789" s="1638" t="str">
        <f t="shared" si="238"/>
        <v/>
      </c>
      <c r="JJ789" s="1638" t="str">
        <f t="shared" si="239"/>
        <v/>
      </c>
      <c r="JK789" s="1638" t="str">
        <f t="shared" si="240"/>
        <v/>
      </c>
      <c r="JL789" s="1638" t="str">
        <f t="shared" si="241"/>
        <v/>
      </c>
      <c r="JM789" s="1638" t="str">
        <f t="shared" si="242"/>
        <v/>
      </c>
      <c r="JN789" s="1638" t="str">
        <f t="shared" si="243"/>
        <v/>
      </c>
      <c r="JO789" s="1638" t="str">
        <f t="shared" si="244"/>
        <v/>
      </c>
      <c r="JP789" s="1638" t="str">
        <f t="shared" si="245"/>
        <v/>
      </c>
      <c r="JQ789" s="1638" t="str">
        <f t="shared" si="246"/>
        <v/>
      </c>
      <c r="JR789" s="1638" t="str">
        <f t="shared" si="247"/>
        <v/>
      </c>
      <c r="JS789" s="1638" t="str">
        <f t="shared" si="248"/>
        <v/>
      </c>
      <c r="JT789" s="1638" t="str">
        <f t="shared" si="249"/>
        <v/>
      </c>
      <c r="JU789" s="1638" t="str">
        <f t="shared" si="250"/>
        <v/>
      </c>
      <c r="JV789" s="1638" t="str">
        <f t="shared" si="251"/>
        <v/>
      </c>
      <c r="JW789" s="1638" t="str">
        <f t="shared" si="252"/>
        <v/>
      </c>
      <c r="JX789" s="1638" t="str">
        <f t="shared" si="253"/>
        <v/>
      </c>
      <c r="JY789" s="1638" t="str">
        <f t="shared" si="254"/>
        <v/>
      </c>
      <c r="JZ789" s="1638" t="str">
        <f t="shared" si="255"/>
        <v/>
      </c>
      <c r="KA789" s="1638" t="str">
        <f t="shared" si="256"/>
        <v/>
      </c>
      <c r="KB789" s="1638" t="str">
        <f t="shared" si="257"/>
        <v/>
      </c>
      <c r="KC789" s="1638" t="str">
        <f t="shared" si="258"/>
        <v/>
      </c>
      <c r="KD789" s="1638" t="str">
        <f t="shared" si="259"/>
        <v/>
      </c>
      <c r="KE789" s="1638" t="str">
        <f t="shared" si="260"/>
        <v/>
      </c>
      <c r="KF789" s="1638" t="str">
        <f t="shared" si="261"/>
        <v/>
      </c>
      <c r="KG789" s="1638" t="str">
        <f t="shared" si="262"/>
        <v/>
      </c>
      <c r="KH789" s="1638" t="str">
        <f t="shared" si="263"/>
        <v/>
      </c>
      <c r="KI789" s="1638" t="str">
        <f t="shared" si="264"/>
        <v/>
      </c>
      <c r="KJ789" s="1638" t="str">
        <f t="shared" si="265"/>
        <v/>
      </c>
      <c r="KK789" s="1638" t="str">
        <f t="shared" si="266"/>
        <v/>
      </c>
      <c r="KL789" s="1638" t="str">
        <f t="shared" si="267"/>
        <v/>
      </c>
      <c r="KM789" s="1638" t="str">
        <f t="shared" si="268"/>
        <v/>
      </c>
      <c r="KN789" s="1638" t="str">
        <f t="shared" si="269"/>
        <v/>
      </c>
      <c r="KO789" s="1638" t="str">
        <f t="shared" si="270"/>
        <v/>
      </c>
      <c r="KP789" s="1638" t="str">
        <f t="shared" si="271"/>
        <v/>
      </c>
      <c r="KQ789" s="1638" t="str">
        <f t="shared" si="272"/>
        <v/>
      </c>
      <c r="KR789" s="1638" t="str">
        <f t="shared" si="273"/>
        <v/>
      </c>
      <c r="KS789" s="1638" t="str">
        <f t="shared" si="274"/>
        <v/>
      </c>
      <c r="KT789" s="1638" t="str">
        <f t="shared" si="275"/>
        <v/>
      </c>
      <c r="KU789" s="1638" t="str">
        <f t="shared" si="276"/>
        <v/>
      </c>
      <c r="KV789" s="1638" t="str">
        <f t="shared" si="277"/>
        <v/>
      </c>
      <c r="KW789" s="1638" t="str">
        <f t="shared" si="278"/>
        <v/>
      </c>
      <c r="KX789" s="1638" t="str">
        <f t="shared" si="279"/>
        <v/>
      </c>
      <c r="KY789" s="1638" t="str">
        <f t="shared" si="280"/>
        <v/>
      </c>
      <c r="KZ789" s="1638" t="str">
        <f t="shared" si="281"/>
        <v/>
      </c>
      <c r="LA789" s="1638" t="str">
        <f t="shared" si="282"/>
        <v/>
      </c>
      <c r="LB789" s="1638" t="str">
        <f t="shared" si="283"/>
        <v/>
      </c>
      <c r="LC789" s="1638" t="str">
        <f t="shared" si="284"/>
        <v/>
      </c>
      <c r="LD789" s="1638" t="str">
        <f t="shared" si="285"/>
        <v/>
      </c>
      <c r="LE789" s="1638" t="str">
        <f t="shared" si="286"/>
        <v/>
      </c>
      <c r="LF789" s="1637" t="str">
        <f t="shared" si="287"/>
        <v/>
      </c>
      <c r="LG789" s="1637" t="str">
        <f t="shared" si="288"/>
        <v/>
      </c>
      <c r="LH789" s="1637" t="str">
        <f t="shared" si="289"/>
        <v/>
      </c>
      <c r="LI789" s="1637" t="str">
        <f t="shared" si="290"/>
        <v/>
      </c>
      <c r="LJ789" s="1637" t="str">
        <f t="shared" si="291"/>
        <v/>
      </c>
      <c r="LK789" s="742" t="str">
        <f t="shared" si="292"/>
        <v/>
      </c>
      <c r="LL789" s="742" t="str">
        <f t="shared" si="293"/>
        <v/>
      </c>
      <c r="LM789" s="742" t="str">
        <f t="shared" si="294"/>
        <v/>
      </c>
      <c r="LN789" s="742" t="str">
        <f t="shared" si="295"/>
        <v/>
      </c>
      <c r="LO789" s="742" t="str">
        <f t="shared" si="296"/>
        <v/>
      </c>
      <c r="LP789" s="742" t="str">
        <f t="shared" si="297"/>
        <v/>
      </c>
      <c r="LQ789" s="742" t="str">
        <f t="shared" si="298"/>
        <v/>
      </c>
      <c r="LR789" s="742" t="str">
        <f t="shared" si="299"/>
        <v/>
      </c>
      <c r="LS789" s="742" t="str">
        <f t="shared" si="300"/>
        <v/>
      </c>
      <c r="LT789" s="742" t="str">
        <f t="shared" si="301"/>
        <v/>
      </c>
      <c r="LU789" s="742" t="str">
        <f t="shared" si="302"/>
        <v/>
      </c>
      <c r="LV789" s="742" t="str">
        <f t="shared" si="303"/>
        <v/>
      </c>
      <c r="LW789" s="742" t="str">
        <f t="shared" si="304"/>
        <v/>
      </c>
      <c r="LX789" s="742" t="str">
        <f t="shared" si="305"/>
        <v/>
      </c>
      <c r="LY789" s="742" t="str">
        <f t="shared" si="306"/>
        <v/>
      </c>
      <c r="LZ789" s="742" t="str">
        <f t="shared" si="307"/>
        <v/>
      </c>
      <c r="MA789" s="742" t="str">
        <f t="shared" si="308"/>
        <v/>
      </c>
      <c r="MB789" s="742" t="str">
        <f t="shared" si="309"/>
        <v/>
      </c>
      <c r="MC789" s="742" t="str">
        <f t="shared" si="310"/>
        <v/>
      </c>
      <c r="MD789" s="742" t="str">
        <f t="shared" si="311"/>
        <v/>
      </c>
      <c r="ME789" s="1637">
        <f t="shared" si="323"/>
        <v>0</v>
      </c>
      <c r="MF789" s="1637">
        <f t="shared" si="324"/>
        <v>0</v>
      </c>
      <c r="MG789" s="1637">
        <f t="shared" si="325"/>
        <v>0</v>
      </c>
      <c r="MH789" s="1637">
        <f t="shared" si="326"/>
        <v>0</v>
      </c>
      <c r="MI789" s="1637">
        <f t="shared" si="327"/>
        <v>0</v>
      </c>
      <c r="MJ789" s="1637">
        <f t="shared" si="328"/>
        <v>0</v>
      </c>
      <c r="MK789" s="1637">
        <f t="shared" si="329"/>
        <v>0</v>
      </c>
      <c r="ML789" s="1637">
        <f t="shared" si="330"/>
        <v>0</v>
      </c>
      <c r="MM789" s="1637">
        <f t="shared" si="331"/>
        <v>0</v>
      </c>
      <c r="MN789" s="1637">
        <f t="shared" si="332"/>
        <v>0</v>
      </c>
      <c r="MO789" s="1637">
        <f t="shared" si="333"/>
        <v>0</v>
      </c>
      <c r="MP789" s="1637">
        <f t="shared" si="334"/>
        <v>0</v>
      </c>
      <c r="MQ789" s="1637">
        <f t="shared" si="335"/>
        <v>0</v>
      </c>
      <c r="MR789" s="1637">
        <f t="shared" si="336"/>
        <v>0</v>
      </c>
      <c r="MS789" s="1637">
        <f t="shared" si="337"/>
        <v>0</v>
      </c>
    </row>
    <row r="790" spans="1:357" ht="13.5">
      <c r="A790" s="1630" t="str">
        <f t="shared" si="0"/>
        <v/>
      </c>
      <c r="B790" s="2757">
        <f>'Part VI-Revenues &amp; Expenses'!B28</f>
        <v>0</v>
      </c>
      <c r="C790" s="2146">
        <f>'Part VI-Revenues &amp; Expenses'!C28</f>
        <v>0</v>
      </c>
      <c r="D790" s="2147">
        <f>'Part VI-Revenues &amp; Expenses'!D28</f>
        <v>0</v>
      </c>
      <c r="E790" s="2148">
        <f>'Part VI-Revenues &amp; Expenses'!E28</f>
        <v>0</v>
      </c>
      <c r="F790" s="2148">
        <f>'Part VI-Revenues &amp; Expenses'!F28</f>
        <v>0</v>
      </c>
      <c r="G790" s="2148">
        <f>'Part VI-Revenues &amp; Expenses'!G28</f>
        <v>0</v>
      </c>
      <c r="H790" s="2148">
        <f>'Part VI-Revenues &amp; Expenses'!H28</f>
        <v>0</v>
      </c>
      <c r="I790" s="2148">
        <f>'Part VI-Revenues &amp; Expenses'!I28</f>
        <v>0</v>
      </c>
      <c r="J790" s="2149">
        <f>'Part VI-Revenues &amp; Expenses'!J28</f>
        <v>0</v>
      </c>
      <c r="K790" s="1822">
        <f t="shared" si="1"/>
        <v>0</v>
      </c>
      <c r="L790" s="1822">
        <f t="shared" si="2"/>
        <v>0</v>
      </c>
      <c r="M790" s="2133">
        <f>'Part VI-Revenues &amp; Expenses'!M28</f>
        <v>0</v>
      </c>
      <c r="N790" s="2133">
        <f>'Part VI-Revenues &amp; Expenses'!N28</f>
        <v>0</v>
      </c>
      <c r="O790" s="2133">
        <f>'Part VI-Revenues &amp; Expenses'!O28</f>
        <v>0</v>
      </c>
      <c r="P790" s="1633">
        <f>'Part VI-Revenues &amp; Expenses'!P28</f>
        <v>0</v>
      </c>
      <c r="Q790" s="1823" t="str">
        <f>'Part VI-Revenues &amp; Expenses'!Q28</f>
        <v/>
      </c>
      <c r="R790" s="1824" t="str">
        <f>'Part VI-Revenues &amp; Expenses'!R28</f>
        <v/>
      </c>
      <c r="S790" s="1823">
        <f>'Part VI-Revenues &amp; Expenses'!S28</f>
        <v>0</v>
      </c>
      <c r="T790" s="1824">
        <f>'Part VI-Revenues &amp; Expenses'!T28</f>
        <v>0</v>
      </c>
      <c r="U790" s="1838">
        <f>'Part VI-Revenues &amp; Expenses'!U28:V28</f>
        <v>0</v>
      </c>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312"/>
        <v/>
      </c>
      <c r="EH790" s="742" t="str">
        <f t="shared" si="117"/>
        <v/>
      </c>
      <c r="EI790" s="742" t="str">
        <f t="shared" si="118"/>
        <v/>
      </c>
      <c r="EJ790" s="742" t="str">
        <f t="shared" si="119"/>
        <v/>
      </c>
      <c r="EK790" s="742" t="str">
        <f t="shared" si="120"/>
        <v/>
      </c>
      <c r="EL790" s="742" t="str">
        <f t="shared" si="121"/>
        <v/>
      </c>
      <c r="EM790" s="742" t="str">
        <f t="shared" si="122"/>
        <v/>
      </c>
      <c r="EN790" s="742" t="str">
        <f t="shared" si="123"/>
        <v/>
      </c>
      <c r="EO790" s="742" t="str">
        <f t="shared" si="124"/>
        <v/>
      </c>
      <c r="EP790" s="742" t="str">
        <f t="shared" si="125"/>
        <v/>
      </c>
      <c r="EQ790" s="742" t="str">
        <f t="shared" si="126"/>
        <v/>
      </c>
      <c r="ER790" s="742" t="str">
        <f t="shared" si="127"/>
        <v/>
      </c>
      <c r="ES790" s="742" t="str">
        <f t="shared" si="128"/>
        <v/>
      </c>
      <c r="ET790" s="742" t="str">
        <f t="shared" si="129"/>
        <v/>
      </c>
      <c r="EU790" s="742" t="str">
        <f t="shared" si="130"/>
        <v/>
      </c>
      <c r="EV790" s="742" t="str">
        <f t="shared" si="131"/>
        <v/>
      </c>
      <c r="EW790" s="742" t="str">
        <f t="shared" si="313"/>
        <v/>
      </c>
      <c r="EX790" s="742" t="str">
        <f t="shared" si="314"/>
        <v/>
      </c>
      <c r="EY790" s="742" t="str">
        <f t="shared" si="315"/>
        <v/>
      </c>
      <c r="EZ790" s="742" t="str">
        <f t="shared" si="316"/>
        <v/>
      </c>
      <c r="FA790" s="742" t="str">
        <f t="shared" si="317"/>
        <v/>
      </c>
      <c r="FB790" s="742" t="str">
        <f t="shared" si="132"/>
        <v/>
      </c>
      <c r="FC790" s="742" t="str">
        <f t="shared" si="133"/>
        <v/>
      </c>
      <c r="FD790" s="742" t="str">
        <f t="shared" si="134"/>
        <v/>
      </c>
      <c r="FE790" s="742" t="str">
        <f t="shared" si="135"/>
        <v/>
      </c>
      <c r="FF790" s="742" t="str">
        <f t="shared" si="136"/>
        <v/>
      </c>
      <c r="FG790" s="742" t="str">
        <f t="shared" si="318"/>
        <v/>
      </c>
      <c r="FH790" s="742" t="str">
        <f t="shared" si="319"/>
        <v/>
      </c>
      <c r="FI790" s="742" t="str">
        <f t="shared" si="320"/>
        <v/>
      </c>
      <c r="FJ790" s="742" t="str">
        <f t="shared" si="321"/>
        <v/>
      </c>
      <c r="FK790" s="742" t="str">
        <f t="shared" si="322"/>
        <v/>
      </c>
      <c r="FL790" s="742" t="str">
        <f t="shared" si="137"/>
        <v/>
      </c>
      <c r="FM790" s="742" t="str">
        <f t="shared" si="138"/>
        <v/>
      </c>
      <c r="FN790" s="742" t="str">
        <f t="shared" si="139"/>
        <v/>
      </c>
      <c r="FO790" s="742" t="str">
        <f t="shared" si="140"/>
        <v/>
      </c>
      <c r="FP790" s="742" t="str">
        <f t="shared" si="141"/>
        <v/>
      </c>
      <c r="FQ790" s="742" t="str">
        <f t="shared" si="142"/>
        <v/>
      </c>
      <c r="FR790" s="742" t="str">
        <f t="shared" si="143"/>
        <v/>
      </c>
      <c r="FS790" s="742" t="str">
        <f t="shared" si="144"/>
        <v/>
      </c>
      <c r="FT790" s="742" t="str">
        <f t="shared" si="145"/>
        <v/>
      </c>
      <c r="FU790" s="742" t="str">
        <f t="shared" si="146"/>
        <v/>
      </c>
      <c r="FV790" s="742" t="str">
        <f t="shared" si="147"/>
        <v/>
      </c>
      <c r="FW790" s="742" t="str">
        <f t="shared" si="148"/>
        <v/>
      </c>
      <c r="FX790" s="742" t="str">
        <f t="shared" si="149"/>
        <v/>
      </c>
      <c r="FY790" s="742" t="str">
        <f t="shared" si="150"/>
        <v/>
      </c>
      <c r="FZ790" s="742" t="str">
        <f t="shared" si="151"/>
        <v/>
      </c>
      <c r="GA790" s="742" t="str">
        <f t="shared" si="152"/>
        <v/>
      </c>
      <c r="GB790" s="742" t="str">
        <f t="shared" si="153"/>
        <v/>
      </c>
      <c r="GC790" s="742" t="str">
        <f t="shared" si="154"/>
        <v/>
      </c>
      <c r="GD790" s="742" t="str">
        <f t="shared" si="155"/>
        <v/>
      </c>
      <c r="GE790" s="742" t="str">
        <f t="shared" si="156"/>
        <v/>
      </c>
      <c r="GF790" s="742" t="str">
        <f t="shared" si="157"/>
        <v/>
      </c>
      <c r="GG790" s="742" t="str">
        <f t="shared" si="158"/>
        <v/>
      </c>
      <c r="GH790" s="742" t="str">
        <f t="shared" si="159"/>
        <v/>
      </c>
      <c r="GI790" s="742" t="str">
        <f t="shared" si="160"/>
        <v/>
      </c>
      <c r="GJ790" s="742" t="str">
        <f t="shared" si="161"/>
        <v/>
      </c>
      <c r="GK790" s="742" t="str">
        <f t="shared" si="162"/>
        <v/>
      </c>
      <c r="GL790" s="742" t="str">
        <f t="shared" si="163"/>
        <v/>
      </c>
      <c r="GM790" s="742" t="str">
        <f t="shared" si="164"/>
        <v/>
      </c>
      <c r="GN790" s="742" t="str">
        <f t="shared" si="165"/>
        <v/>
      </c>
      <c r="GO790" s="742" t="str">
        <f t="shared" si="166"/>
        <v/>
      </c>
      <c r="GP790" s="742" t="str">
        <f t="shared" si="167"/>
        <v/>
      </c>
      <c r="GQ790" s="742" t="str">
        <f t="shared" si="168"/>
        <v/>
      </c>
      <c r="GR790" s="742" t="str">
        <f t="shared" si="169"/>
        <v/>
      </c>
      <c r="GS790" s="742" t="str">
        <f t="shared" si="170"/>
        <v/>
      </c>
      <c r="GT790" s="742" t="str">
        <f t="shared" si="171"/>
        <v/>
      </c>
      <c r="GU790" s="742" t="str">
        <f t="shared" si="172"/>
        <v/>
      </c>
      <c r="GV790" s="742" t="str">
        <f t="shared" si="173"/>
        <v/>
      </c>
      <c r="GW790" s="742" t="str">
        <f t="shared" si="174"/>
        <v/>
      </c>
      <c r="GX790" s="742" t="str">
        <f t="shared" si="175"/>
        <v/>
      </c>
      <c r="GY790" s="742" t="str">
        <f t="shared" si="176"/>
        <v/>
      </c>
      <c r="GZ790" s="742" t="str">
        <f t="shared" si="177"/>
        <v/>
      </c>
      <c r="HA790" s="742" t="str">
        <f t="shared" si="178"/>
        <v/>
      </c>
      <c r="HB790" s="742" t="str">
        <f t="shared" si="179"/>
        <v/>
      </c>
      <c r="HC790" s="742" t="str">
        <f t="shared" si="180"/>
        <v/>
      </c>
      <c r="HD790" s="742" t="str">
        <f t="shared" si="181"/>
        <v/>
      </c>
      <c r="HE790" s="742" t="str">
        <f t="shared" si="182"/>
        <v/>
      </c>
      <c r="HF790" s="742" t="str">
        <f t="shared" si="183"/>
        <v/>
      </c>
      <c r="HG790" s="742" t="str">
        <f t="shared" si="184"/>
        <v/>
      </c>
      <c r="HH790" s="742" t="str">
        <f t="shared" si="185"/>
        <v/>
      </c>
      <c r="HI790" s="742" t="str">
        <f t="shared" si="186"/>
        <v/>
      </c>
      <c r="HJ790" s="742" t="str">
        <f t="shared" si="187"/>
        <v/>
      </c>
      <c r="HK790" s="742" t="str">
        <f t="shared" si="188"/>
        <v/>
      </c>
      <c r="HL790" s="742" t="str">
        <f t="shared" si="189"/>
        <v/>
      </c>
      <c r="HM790" s="742" t="str">
        <f t="shared" si="190"/>
        <v/>
      </c>
      <c r="HN790" s="742" t="str">
        <f t="shared" si="191"/>
        <v/>
      </c>
      <c r="HO790" s="742" t="str">
        <f t="shared" si="192"/>
        <v/>
      </c>
      <c r="HP790" s="742" t="str">
        <f t="shared" si="193"/>
        <v/>
      </c>
      <c r="HQ790" s="742" t="str">
        <f t="shared" si="194"/>
        <v/>
      </c>
      <c r="HR790" s="742" t="str">
        <f t="shared" si="195"/>
        <v/>
      </c>
      <c r="HS790" s="742" t="str">
        <f t="shared" si="196"/>
        <v/>
      </c>
      <c r="HT790" s="742" t="str">
        <f t="shared" si="197"/>
        <v/>
      </c>
      <c r="HU790" s="742" t="str">
        <f t="shared" si="198"/>
        <v/>
      </c>
      <c r="HV790" s="742" t="str">
        <f t="shared" si="199"/>
        <v/>
      </c>
      <c r="HW790" s="742" t="str">
        <f t="shared" si="200"/>
        <v/>
      </c>
      <c r="HX790" s="742" t="str">
        <f t="shared" si="201"/>
        <v/>
      </c>
      <c r="HY790" s="1638" t="str">
        <f t="shared" si="202"/>
        <v/>
      </c>
      <c r="HZ790" s="1638" t="str">
        <f t="shared" si="203"/>
        <v/>
      </c>
      <c r="IA790" s="1638" t="str">
        <f t="shared" si="204"/>
        <v/>
      </c>
      <c r="IB790" s="1638" t="str">
        <f t="shared" si="205"/>
        <v/>
      </c>
      <c r="IC790" s="1638" t="str">
        <f t="shared" si="206"/>
        <v/>
      </c>
      <c r="ID790" s="1638" t="str">
        <f t="shared" si="207"/>
        <v/>
      </c>
      <c r="IE790" s="1638" t="str">
        <f t="shared" si="208"/>
        <v/>
      </c>
      <c r="IF790" s="1638" t="str">
        <f t="shared" si="209"/>
        <v/>
      </c>
      <c r="IG790" s="1638" t="str">
        <f t="shared" si="210"/>
        <v/>
      </c>
      <c r="IH790" s="1638" t="str">
        <f t="shared" si="211"/>
        <v/>
      </c>
      <c r="II790" s="1638" t="str">
        <f t="shared" si="212"/>
        <v/>
      </c>
      <c r="IJ790" s="1638" t="str">
        <f t="shared" si="213"/>
        <v/>
      </c>
      <c r="IK790" s="1638" t="str">
        <f t="shared" si="214"/>
        <v/>
      </c>
      <c r="IL790" s="1638" t="str">
        <f t="shared" si="215"/>
        <v/>
      </c>
      <c r="IM790" s="1638" t="str">
        <f t="shared" si="216"/>
        <v/>
      </c>
      <c r="IN790" s="1638" t="str">
        <f t="shared" si="217"/>
        <v/>
      </c>
      <c r="IO790" s="1638" t="str">
        <f t="shared" si="218"/>
        <v/>
      </c>
      <c r="IP790" s="1638" t="str">
        <f t="shared" si="219"/>
        <v/>
      </c>
      <c r="IQ790" s="1638" t="str">
        <f t="shared" si="220"/>
        <v/>
      </c>
      <c r="IR790" s="1638" t="str">
        <f t="shared" si="221"/>
        <v/>
      </c>
      <c r="IS790" s="1638" t="str">
        <f t="shared" si="222"/>
        <v/>
      </c>
      <c r="IT790" s="1638" t="str">
        <f t="shared" si="223"/>
        <v/>
      </c>
      <c r="IU790" s="1638" t="str">
        <f t="shared" si="224"/>
        <v/>
      </c>
      <c r="IV790" s="1638" t="str">
        <f t="shared" si="225"/>
        <v/>
      </c>
      <c r="IW790" s="1638" t="str">
        <f t="shared" si="226"/>
        <v/>
      </c>
      <c r="IX790" s="1638" t="str">
        <f t="shared" si="227"/>
        <v/>
      </c>
      <c r="IY790" s="1638" t="str">
        <f t="shared" si="228"/>
        <v/>
      </c>
      <c r="IZ790" s="1638" t="str">
        <f t="shared" si="229"/>
        <v/>
      </c>
      <c r="JA790" s="1638" t="str">
        <f t="shared" si="230"/>
        <v/>
      </c>
      <c r="JB790" s="1638" t="str">
        <f t="shared" si="231"/>
        <v/>
      </c>
      <c r="JC790" s="1638" t="str">
        <f t="shared" si="232"/>
        <v/>
      </c>
      <c r="JD790" s="1638" t="str">
        <f t="shared" si="233"/>
        <v/>
      </c>
      <c r="JE790" s="1638" t="str">
        <f t="shared" si="234"/>
        <v/>
      </c>
      <c r="JF790" s="1638" t="str">
        <f t="shared" si="235"/>
        <v/>
      </c>
      <c r="JG790" s="1638" t="str">
        <f t="shared" si="236"/>
        <v/>
      </c>
      <c r="JH790" s="1638" t="str">
        <f t="shared" si="237"/>
        <v/>
      </c>
      <c r="JI790" s="1638" t="str">
        <f t="shared" si="238"/>
        <v/>
      </c>
      <c r="JJ790" s="1638" t="str">
        <f t="shared" si="239"/>
        <v/>
      </c>
      <c r="JK790" s="1638" t="str">
        <f t="shared" si="240"/>
        <v/>
      </c>
      <c r="JL790" s="1638" t="str">
        <f t="shared" si="241"/>
        <v/>
      </c>
      <c r="JM790" s="1638" t="str">
        <f t="shared" si="242"/>
        <v/>
      </c>
      <c r="JN790" s="1638" t="str">
        <f t="shared" si="243"/>
        <v/>
      </c>
      <c r="JO790" s="1638" t="str">
        <f t="shared" si="244"/>
        <v/>
      </c>
      <c r="JP790" s="1638" t="str">
        <f t="shared" si="245"/>
        <v/>
      </c>
      <c r="JQ790" s="1638" t="str">
        <f t="shared" si="246"/>
        <v/>
      </c>
      <c r="JR790" s="1638" t="str">
        <f t="shared" si="247"/>
        <v/>
      </c>
      <c r="JS790" s="1638" t="str">
        <f t="shared" si="248"/>
        <v/>
      </c>
      <c r="JT790" s="1638" t="str">
        <f t="shared" si="249"/>
        <v/>
      </c>
      <c r="JU790" s="1638" t="str">
        <f t="shared" si="250"/>
        <v/>
      </c>
      <c r="JV790" s="1638" t="str">
        <f t="shared" si="251"/>
        <v/>
      </c>
      <c r="JW790" s="1638" t="str">
        <f t="shared" si="252"/>
        <v/>
      </c>
      <c r="JX790" s="1638" t="str">
        <f t="shared" si="253"/>
        <v/>
      </c>
      <c r="JY790" s="1638" t="str">
        <f t="shared" si="254"/>
        <v/>
      </c>
      <c r="JZ790" s="1638" t="str">
        <f t="shared" si="255"/>
        <v/>
      </c>
      <c r="KA790" s="1638" t="str">
        <f t="shared" si="256"/>
        <v/>
      </c>
      <c r="KB790" s="1638" t="str">
        <f t="shared" si="257"/>
        <v/>
      </c>
      <c r="KC790" s="1638" t="str">
        <f t="shared" si="258"/>
        <v/>
      </c>
      <c r="KD790" s="1638" t="str">
        <f t="shared" si="259"/>
        <v/>
      </c>
      <c r="KE790" s="1638" t="str">
        <f t="shared" si="260"/>
        <v/>
      </c>
      <c r="KF790" s="1638" t="str">
        <f t="shared" si="261"/>
        <v/>
      </c>
      <c r="KG790" s="1638" t="str">
        <f t="shared" si="262"/>
        <v/>
      </c>
      <c r="KH790" s="1638" t="str">
        <f t="shared" si="263"/>
        <v/>
      </c>
      <c r="KI790" s="1638" t="str">
        <f t="shared" si="264"/>
        <v/>
      </c>
      <c r="KJ790" s="1638" t="str">
        <f t="shared" si="265"/>
        <v/>
      </c>
      <c r="KK790" s="1638" t="str">
        <f t="shared" si="266"/>
        <v/>
      </c>
      <c r="KL790" s="1638" t="str">
        <f t="shared" si="267"/>
        <v/>
      </c>
      <c r="KM790" s="1638" t="str">
        <f t="shared" si="268"/>
        <v/>
      </c>
      <c r="KN790" s="1638" t="str">
        <f t="shared" si="269"/>
        <v/>
      </c>
      <c r="KO790" s="1638" t="str">
        <f t="shared" si="270"/>
        <v/>
      </c>
      <c r="KP790" s="1638" t="str">
        <f t="shared" si="271"/>
        <v/>
      </c>
      <c r="KQ790" s="1638" t="str">
        <f t="shared" si="272"/>
        <v/>
      </c>
      <c r="KR790" s="1638" t="str">
        <f t="shared" si="273"/>
        <v/>
      </c>
      <c r="KS790" s="1638" t="str">
        <f t="shared" si="274"/>
        <v/>
      </c>
      <c r="KT790" s="1638" t="str">
        <f t="shared" si="275"/>
        <v/>
      </c>
      <c r="KU790" s="1638" t="str">
        <f t="shared" si="276"/>
        <v/>
      </c>
      <c r="KV790" s="1638" t="str">
        <f t="shared" si="277"/>
        <v/>
      </c>
      <c r="KW790" s="1638" t="str">
        <f t="shared" si="278"/>
        <v/>
      </c>
      <c r="KX790" s="1638" t="str">
        <f t="shared" si="279"/>
        <v/>
      </c>
      <c r="KY790" s="1638" t="str">
        <f t="shared" si="280"/>
        <v/>
      </c>
      <c r="KZ790" s="1638" t="str">
        <f t="shared" si="281"/>
        <v/>
      </c>
      <c r="LA790" s="1638" t="str">
        <f t="shared" si="282"/>
        <v/>
      </c>
      <c r="LB790" s="1638" t="str">
        <f t="shared" si="283"/>
        <v/>
      </c>
      <c r="LC790" s="1638" t="str">
        <f t="shared" si="284"/>
        <v/>
      </c>
      <c r="LD790" s="1638" t="str">
        <f t="shared" si="285"/>
        <v/>
      </c>
      <c r="LE790" s="1638" t="str">
        <f t="shared" si="286"/>
        <v/>
      </c>
      <c r="LF790" s="1637" t="str">
        <f t="shared" si="287"/>
        <v/>
      </c>
      <c r="LG790" s="1637" t="str">
        <f t="shared" si="288"/>
        <v/>
      </c>
      <c r="LH790" s="1637" t="str">
        <f t="shared" si="289"/>
        <v/>
      </c>
      <c r="LI790" s="1637" t="str">
        <f t="shared" si="290"/>
        <v/>
      </c>
      <c r="LJ790" s="1637" t="str">
        <f t="shared" si="291"/>
        <v/>
      </c>
      <c r="LK790" s="742" t="str">
        <f t="shared" si="292"/>
        <v/>
      </c>
      <c r="LL790" s="742" t="str">
        <f t="shared" si="293"/>
        <v/>
      </c>
      <c r="LM790" s="742" t="str">
        <f t="shared" si="294"/>
        <v/>
      </c>
      <c r="LN790" s="742" t="str">
        <f t="shared" si="295"/>
        <v/>
      </c>
      <c r="LO790" s="742" t="str">
        <f t="shared" si="296"/>
        <v/>
      </c>
      <c r="LP790" s="742" t="str">
        <f t="shared" si="297"/>
        <v/>
      </c>
      <c r="LQ790" s="742" t="str">
        <f t="shared" si="298"/>
        <v/>
      </c>
      <c r="LR790" s="742" t="str">
        <f t="shared" si="299"/>
        <v/>
      </c>
      <c r="LS790" s="742" t="str">
        <f t="shared" si="300"/>
        <v/>
      </c>
      <c r="LT790" s="742" t="str">
        <f t="shared" si="301"/>
        <v/>
      </c>
      <c r="LU790" s="742" t="str">
        <f t="shared" si="302"/>
        <v/>
      </c>
      <c r="LV790" s="742" t="str">
        <f t="shared" si="303"/>
        <v/>
      </c>
      <c r="LW790" s="742" t="str">
        <f t="shared" si="304"/>
        <v/>
      </c>
      <c r="LX790" s="742" t="str">
        <f t="shared" si="305"/>
        <v/>
      </c>
      <c r="LY790" s="742" t="str">
        <f t="shared" si="306"/>
        <v/>
      </c>
      <c r="LZ790" s="742" t="str">
        <f t="shared" si="307"/>
        <v/>
      </c>
      <c r="MA790" s="742" t="str">
        <f t="shared" si="308"/>
        <v/>
      </c>
      <c r="MB790" s="742" t="str">
        <f t="shared" si="309"/>
        <v/>
      </c>
      <c r="MC790" s="742" t="str">
        <f t="shared" si="310"/>
        <v/>
      </c>
      <c r="MD790" s="742" t="str">
        <f t="shared" si="311"/>
        <v/>
      </c>
      <c r="ME790" s="1637">
        <f t="shared" si="323"/>
        <v>0</v>
      </c>
      <c r="MF790" s="1637">
        <f t="shared" si="324"/>
        <v>0</v>
      </c>
      <c r="MG790" s="1637">
        <f t="shared" si="325"/>
        <v>0</v>
      </c>
      <c r="MH790" s="1637">
        <f t="shared" si="326"/>
        <v>0</v>
      </c>
      <c r="MI790" s="1637">
        <f t="shared" si="327"/>
        <v>0</v>
      </c>
      <c r="MJ790" s="1637">
        <f t="shared" si="328"/>
        <v>0</v>
      </c>
      <c r="MK790" s="1637">
        <f t="shared" si="329"/>
        <v>0</v>
      </c>
      <c r="ML790" s="1637">
        <f t="shared" si="330"/>
        <v>0</v>
      </c>
      <c r="MM790" s="1637">
        <f t="shared" si="331"/>
        <v>0</v>
      </c>
      <c r="MN790" s="1637">
        <f t="shared" si="332"/>
        <v>0</v>
      </c>
      <c r="MO790" s="1637">
        <f t="shared" si="333"/>
        <v>0</v>
      </c>
      <c r="MP790" s="1637">
        <f t="shared" si="334"/>
        <v>0</v>
      </c>
      <c r="MQ790" s="1637">
        <f t="shared" si="335"/>
        <v>0</v>
      </c>
      <c r="MR790" s="1637">
        <f t="shared" si="336"/>
        <v>0</v>
      </c>
      <c r="MS790" s="1637">
        <f t="shared" si="337"/>
        <v>0</v>
      </c>
    </row>
    <row r="791" spans="1:357" ht="13.5">
      <c r="A791" s="1630" t="str">
        <f t="shared" si="0"/>
        <v/>
      </c>
      <c r="B791" s="2757">
        <f>'Part VI-Revenues &amp; Expenses'!B29</f>
        <v>0</v>
      </c>
      <c r="C791" s="2146">
        <f>'Part VI-Revenues &amp; Expenses'!C29</f>
        <v>0</v>
      </c>
      <c r="D791" s="2147">
        <f>'Part VI-Revenues &amp; Expenses'!D29</f>
        <v>0</v>
      </c>
      <c r="E791" s="2148">
        <f>'Part VI-Revenues &amp; Expenses'!E29</f>
        <v>0</v>
      </c>
      <c r="F791" s="2148">
        <f>'Part VI-Revenues &amp; Expenses'!F29</f>
        <v>0</v>
      </c>
      <c r="G791" s="2148">
        <f>'Part VI-Revenues &amp; Expenses'!G29</f>
        <v>0</v>
      </c>
      <c r="H791" s="2148">
        <f>'Part VI-Revenues &amp; Expenses'!H29</f>
        <v>0</v>
      </c>
      <c r="I791" s="2148">
        <f>'Part VI-Revenues &amp; Expenses'!I29</f>
        <v>0</v>
      </c>
      <c r="J791" s="2149">
        <f>'Part VI-Revenues &amp; Expenses'!J29</f>
        <v>0</v>
      </c>
      <c r="K791" s="1822">
        <f t="shared" si="1"/>
        <v>0</v>
      </c>
      <c r="L791" s="1822">
        <f t="shared" si="2"/>
        <v>0</v>
      </c>
      <c r="M791" s="2133">
        <f>'Part VI-Revenues &amp; Expenses'!M29</f>
        <v>0</v>
      </c>
      <c r="N791" s="2133">
        <f>'Part VI-Revenues &amp; Expenses'!N29</f>
        <v>0</v>
      </c>
      <c r="O791" s="2133">
        <f>'Part VI-Revenues &amp; Expenses'!O29</f>
        <v>0</v>
      </c>
      <c r="P791" s="1633">
        <f>'Part VI-Revenues &amp; Expenses'!P29</f>
        <v>0</v>
      </c>
      <c r="Q791" s="1823" t="str">
        <f>'Part VI-Revenues &amp; Expenses'!Q29</f>
        <v/>
      </c>
      <c r="R791" s="1824" t="str">
        <f>'Part VI-Revenues &amp; Expenses'!R29</f>
        <v/>
      </c>
      <c r="S791" s="1823">
        <f>'Part VI-Revenues &amp; Expenses'!S29</f>
        <v>0</v>
      </c>
      <c r="T791" s="1824">
        <f>'Part VI-Revenues &amp; Expenses'!T29</f>
        <v>0</v>
      </c>
      <c r="U791" s="1838">
        <f>'Part VI-Revenues &amp; Expenses'!U29:V29</f>
        <v>0</v>
      </c>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312"/>
        <v/>
      </c>
      <c r="EH791" s="742" t="str">
        <f t="shared" si="117"/>
        <v/>
      </c>
      <c r="EI791" s="742" t="str">
        <f t="shared" si="118"/>
        <v/>
      </c>
      <c r="EJ791" s="742" t="str">
        <f t="shared" si="119"/>
        <v/>
      </c>
      <c r="EK791" s="742" t="str">
        <f t="shared" si="120"/>
        <v/>
      </c>
      <c r="EL791" s="742" t="str">
        <f t="shared" si="121"/>
        <v/>
      </c>
      <c r="EM791" s="742" t="str">
        <f t="shared" si="122"/>
        <v/>
      </c>
      <c r="EN791" s="742" t="str">
        <f t="shared" si="123"/>
        <v/>
      </c>
      <c r="EO791" s="742" t="str">
        <f t="shared" si="124"/>
        <v/>
      </c>
      <c r="EP791" s="742" t="str">
        <f t="shared" si="125"/>
        <v/>
      </c>
      <c r="EQ791" s="742" t="str">
        <f t="shared" si="126"/>
        <v/>
      </c>
      <c r="ER791" s="742" t="str">
        <f t="shared" si="127"/>
        <v/>
      </c>
      <c r="ES791" s="742" t="str">
        <f t="shared" si="128"/>
        <v/>
      </c>
      <c r="ET791" s="742" t="str">
        <f t="shared" si="129"/>
        <v/>
      </c>
      <c r="EU791" s="742" t="str">
        <f t="shared" si="130"/>
        <v/>
      </c>
      <c r="EV791" s="742" t="str">
        <f t="shared" si="131"/>
        <v/>
      </c>
      <c r="EW791" s="742" t="str">
        <f t="shared" si="313"/>
        <v/>
      </c>
      <c r="EX791" s="742" t="str">
        <f t="shared" si="314"/>
        <v/>
      </c>
      <c r="EY791" s="742" t="str">
        <f t="shared" si="315"/>
        <v/>
      </c>
      <c r="EZ791" s="742" t="str">
        <f t="shared" si="316"/>
        <v/>
      </c>
      <c r="FA791" s="742" t="str">
        <f t="shared" si="317"/>
        <v/>
      </c>
      <c r="FB791" s="742" t="str">
        <f t="shared" si="132"/>
        <v/>
      </c>
      <c r="FC791" s="742" t="str">
        <f t="shared" si="133"/>
        <v/>
      </c>
      <c r="FD791" s="742" t="str">
        <f t="shared" si="134"/>
        <v/>
      </c>
      <c r="FE791" s="742" t="str">
        <f t="shared" si="135"/>
        <v/>
      </c>
      <c r="FF791" s="742" t="str">
        <f t="shared" si="136"/>
        <v/>
      </c>
      <c r="FG791" s="742" t="str">
        <f t="shared" si="318"/>
        <v/>
      </c>
      <c r="FH791" s="742" t="str">
        <f t="shared" si="319"/>
        <v/>
      </c>
      <c r="FI791" s="742" t="str">
        <f t="shared" si="320"/>
        <v/>
      </c>
      <c r="FJ791" s="742" t="str">
        <f t="shared" si="321"/>
        <v/>
      </c>
      <c r="FK791" s="742" t="str">
        <f t="shared" si="322"/>
        <v/>
      </c>
      <c r="FL791" s="742" t="str">
        <f t="shared" si="137"/>
        <v/>
      </c>
      <c r="FM791" s="742" t="str">
        <f t="shared" si="138"/>
        <v/>
      </c>
      <c r="FN791" s="742" t="str">
        <f t="shared" si="139"/>
        <v/>
      </c>
      <c r="FO791" s="742" t="str">
        <f t="shared" si="140"/>
        <v/>
      </c>
      <c r="FP791" s="742" t="str">
        <f t="shared" si="141"/>
        <v/>
      </c>
      <c r="FQ791" s="742" t="str">
        <f t="shared" si="142"/>
        <v/>
      </c>
      <c r="FR791" s="742" t="str">
        <f t="shared" si="143"/>
        <v/>
      </c>
      <c r="FS791" s="742" t="str">
        <f t="shared" si="144"/>
        <v/>
      </c>
      <c r="FT791" s="742" t="str">
        <f t="shared" si="145"/>
        <v/>
      </c>
      <c r="FU791" s="742" t="str">
        <f t="shared" si="146"/>
        <v/>
      </c>
      <c r="FV791" s="742" t="str">
        <f t="shared" si="147"/>
        <v/>
      </c>
      <c r="FW791" s="742" t="str">
        <f t="shared" si="148"/>
        <v/>
      </c>
      <c r="FX791" s="742" t="str">
        <f t="shared" si="149"/>
        <v/>
      </c>
      <c r="FY791" s="742" t="str">
        <f t="shared" si="150"/>
        <v/>
      </c>
      <c r="FZ791" s="742" t="str">
        <f t="shared" si="151"/>
        <v/>
      </c>
      <c r="GA791" s="742" t="str">
        <f t="shared" si="152"/>
        <v/>
      </c>
      <c r="GB791" s="742" t="str">
        <f t="shared" si="153"/>
        <v/>
      </c>
      <c r="GC791" s="742" t="str">
        <f t="shared" si="154"/>
        <v/>
      </c>
      <c r="GD791" s="742" t="str">
        <f t="shared" si="155"/>
        <v/>
      </c>
      <c r="GE791" s="742" t="str">
        <f t="shared" si="156"/>
        <v/>
      </c>
      <c r="GF791" s="742" t="str">
        <f t="shared" si="157"/>
        <v/>
      </c>
      <c r="GG791" s="742" t="str">
        <f t="shared" si="158"/>
        <v/>
      </c>
      <c r="GH791" s="742" t="str">
        <f t="shared" si="159"/>
        <v/>
      </c>
      <c r="GI791" s="742" t="str">
        <f t="shared" si="160"/>
        <v/>
      </c>
      <c r="GJ791" s="742" t="str">
        <f t="shared" si="161"/>
        <v/>
      </c>
      <c r="GK791" s="742" t="str">
        <f t="shared" si="162"/>
        <v/>
      </c>
      <c r="GL791" s="742" t="str">
        <f t="shared" si="163"/>
        <v/>
      </c>
      <c r="GM791" s="742" t="str">
        <f t="shared" si="164"/>
        <v/>
      </c>
      <c r="GN791" s="742" t="str">
        <f t="shared" si="165"/>
        <v/>
      </c>
      <c r="GO791" s="742" t="str">
        <f t="shared" si="166"/>
        <v/>
      </c>
      <c r="GP791" s="742" t="str">
        <f t="shared" si="167"/>
        <v/>
      </c>
      <c r="GQ791" s="742" t="str">
        <f t="shared" si="168"/>
        <v/>
      </c>
      <c r="GR791" s="742" t="str">
        <f t="shared" si="169"/>
        <v/>
      </c>
      <c r="GS791" s="742" t="str">
        <f t="shared" si="170"/>
        <v/>
      </c>
      <c r="GT791" s="742" t="str">
        <f t="shared" si="171"/>
        <v/>
      </c>
      <c r="GU791" s="742" t="str">
        <f t="shared" si="172"/>
        <v/>
      </c>
      <c r="GV791" s="742" t="str">
        <f t="shared" si="173"/>
        <v/>
      </c>
      <c r="GW791" s="742" t="str">
        <f t="shared" si="174"/>
        <v/>
      </c>
      <c r="GX791" s="742" t="str">
        <f t="shared" si="175"/>
        <v/>
      </c>
      <c r="GY791" s="742" t="str">
        <f t="shared" si="176"/>
        <v/>
      </c>
      <c r="GZ791" s="742" t="str">
        <f t="shared" si="177"/>
        <v/>
      </c>
      <c r="HA791" s="742" t="str">
        <f t="shared" si="178"/>
        <v/>
      </c>
      <c r="HB791" s="742" t="str">
        <f t="shared" si="179"/>
        <v/>
      </c>
      <c r="HC791" s="742" t="str">
        <f t="shared" si="180"/>
        <v/>
      </c>
      <c r="HD791" s="742" t="str">
        <f t="shared" si="181"/>
        <v/>
      </c>
      <c r="HE791" s="742" t="str">
        <f t="shared" si="182"/>
        <v/>
      </c>
      <c r="HF791" s="742" t="str">
        <f t="shared" si="183"/>
        <v/>
      </c>
      <c r="HG791" s="742" t="str">
        <f t="shared" si="184"/>
        <v/>
      </c>
      <c r="HH791" s="742" t="str">
        <f t="shared" si="185"/>
        <v/>
      </c>
      <c r="HI791" s="742" t="str">
        <f t="shared" si="186"/>
        <v/>
      </c>
      <c r="HJ791" s="742" t="str">
        <f t="shared" si="187"/>
        <v/>
      </c>
      <c r="HK791" s="742" t="str">
        <f t="shared" si="188"/>
        <v/>
      </c>
      <c r="HL791" s="742" t="str">
        <f t="shared" si="189"/>
        <v/>
      </c>
      <c r="HM791" s="742" t="str">
        <f t="shared" si="190"/>
        <v/>
      </c>
      <c r="HN791" s="742" t="str">
        <f t="shared" si="191"/>
        <v/>
      </c>
      <c r="HO791" s="742" t="str">
        <f t="shared" si="192"/>
        <v/>
      </c>
      <c r="HP791" s="742" t="str">
        <f t="shared" si="193"/>
        <v/>
      </c>
      <c r="HQ791" s="742" t="str">
        <f t="shared" si="194"/>
        <v/>
      </c>
      <c r="HR791" s="742" t="str">
        <f t="shared" si="195"/>
        <v/>
      </c>
      <c r="HS791" s="742" t="str">
        <f t="shared" si="196"/>
        <v/>
      </c>
      <c r="HT791" s="742" t="str">
        <f t="shared" si="197"/>
        <v/>
      </c>
      <c r="HU791" s="742" t="str">
        <f t="shared" si="198"/>
        <v/>
      </c>
      <c r="HV791" s="742" t="str">
        <f t="shared" si="199"/>
        <v/>
      </c>
      <c r="HW791" s="742" t="str">
        <f t="shared" si="200"/>
        <v/>
      </c>
      <c r="HX791" s="742" t="str">
        <f t="shared" si="201"/>
        <v/>
      </c>
      <c r="HY791" s="1638" t="str">
        <f t="shared" si="202"/>
        <v/>
      </c>
      <c r="HZ791" s="1638" t="str">
        <f t="shared" si="203"/>
        <v/>
      </c>
      <c r="IA791" s="1638" t="str">
        <f t="shared" si="204"/>
        <v/>
      </c>
      <c r="IB791" s="1638" t="str">
        <f t="shared" si="205"/>
        <v/>
      </c>
      <c r="IC791" s="1638" t="str">
        <f t="shared" si="206"/>
        <v/>
      </c>
      <c r="ID791" s="1638" t="str">
        <f t="shared" si="207"/>
        <v/>
      </c>
      <c r="IE791" s="1638" t="str">
        <f t="shared" si="208"/>
        <v/>
      </c>
      <c r="IF791" s="1638" t="str">
        <f t="shared" si="209"/>
        <v/>
      </c>
      <c r="IG791" s="1638" t="str">
        <f t="shared" si="210"/>
        <v/>
      </c>
      <c r="IH791" s="1638" t="str">
        <f t="shared" si="211"/>
        <v/>
      </c>
      <c r="II791" s="1638" t="str">
        <f t="shared" si="212"/>
        <v/>
      </c>
      <c r="IJ791" s="1638" t="str">
        <f t="shared" si="213"/>
        <v/>
      </c>
      <c r="IK791" s="1638" t="str">
        <f t="shared" si="214"/>
        <v/>
      </c>
      <c r="IL791" s="1638" t="str">
        <f t="shared" si="215"/>
        <v/>
      </c>
      <c r="IM791" s="1638" t="str">
        <f t="shared" si="216"/>
        <v/>
      </c>
      <c r="IN791" s="1638" t="str">
        <f t="shared" si="217"/>
        <v/>
      </c>
      <c r="IO791" s="1638" t="str">
        <f t="shared" si="218"/>
        <v/>
      </c>
      <c r="IP791" s="1638" t="str">
        <f t="shared" si="219"/>
        <v/>
      </c>
      <c r="IQ791" s="1638" t="str">
        <f t="shared" si="220"/>
        <v/>
      </c>
      <c r="IR791" s="1638" t="str">
        <f t="shared" si="221"/>
        <v/>
      </c>
      <c r="IS791" s="1638" t="str">
        <f t="shared" si="222"/>
        <v/>
      </c>
      <c r="IT791" s="1638" t="str">
        <f t="shared" si="223"/>
        <v/>
      </c>
      <c r="IU791" s="1638" t="str">
        <f t="shared" si="224"/>
        <v/>
      </c>
      <c r="IV791" s="1638" t="str">
        <f t="shared" si="225"/>
        <v/>
      </c>
      <c r="IW791" s="1638" t="str">
        <f t="shared" si="226"/>
        <v/>
      </c>
      <c r="IX791" s="1638" t="str">
        <f t="shared" si="227"/>
        <v/>
      </c>
      <c r="IY791" s="1638" t="str">
        <f t="shared" si="228"/>
        <v/>
      </c>
      <c r="IZ791" s="1638" t="str">
        <f t="shared" si="229"/>
        <v/>
      </c>
      <c r="JA791" s="1638" t="str">
        <f t="shared" si="230"/>
        <v/>
      </c>
      <c r="JB791" s="1638" t="str">
        <f t="shared" si="231"/>
        <v/>
      </c>
      <c r="JC791" s="1638" t="str">
        <f t="shared" si="232"/>
        <v/>
      </c>
      <c r="JD791" s="1638" t="str">
        <f t="shared" si="233"/>
        <v/>
      </c>
      <c r="JE791" s="1638" t="str">
        <f t="shared" si="234"/>
        <v/>
      </c>
      <c r="JF791" s="1638" t="str">
        <f t="shared" si="235"/>
        <v/>
      </c>
      <c r="JG791" s="1638" t="str">
        <f t="shared" si="236"/>
        <v/>
      </c>
      <c r="JH791" s="1638" t="str">
        <f t="shared" si="237"/>
        <v/>
      </c>
      <c r="JI791" s="1638" t="str">
        <f t="shared" si="238"/>
        <v/>
      </c>
      <c r="JJ791" s="1638" t="str">
        <f t="shared" si="239"/>
        <v/>
      </c>
      <c r="JK791" s="1638" t="str">
        <f t="shared" si="240"/>
        <v/>
      </c>
      <c r="JL791" s="1638" t="str">
        <f t="shared" si="241"/>
        <v/>
      </c>
      <c r="JM791" s="1638" t="str">
        <f t="shared" si="242"/>
        <v/>
      </c>
      <c r="JN791" s="1638" t="str">
        <f t="shared" si="243"/>
        <v/>
      </c>
      <c r="JO791" s="1638" t="str">
        <f t="shared" si="244"/>
        <v/>
      </c>
      <c r="JP791" s="1638" t="str">
        <f t="shared" si="245"/>
        <v/>
      </c>
      <c r="JQ791" s="1638" t="str">
        <f t="shared" si="246"/>
        <v/>
      </c>
      <c r="JR791" s="1638" t="str">
        <f t="shared" si="247"/>
        <v/>
      </c>
      <c r="JS791" s="1638" t="str">
        <f t="shared" si="248"/>
        <v/>
      </c>
      <c r="JT791" s="1638" t="str">
        <f t="shared" si="249"/>
        <v/>
      </c>
      <c r="JU791" s="1638" t="str">
        <f t="shared" si="250"/>
        <v/>
      </c>
      <c r="JV791" s="1638" t="str">
        <f t="shared" si="251"/>
        <v/>
      </c>
      <c r="JW791" s="1638" t="str">
        <f t="shared" si="252"/>
        <v/>
      </c>
      <c r="JX791" s="1638" t="str">
        <f t="shared" si="253"/>
        <v/>
      </c>
      <c r="JY791" s="1638" t="str">
        <f t="shared" si="254"/>
        <v/>
      </c>
      <c r="JZ791" s="1638" t="str">
        <f t="shared" si="255"/>
        <v/>
      </c>
      <c r="KA791" s="1638" t="str">
        <f t="shared" si="256"/>
        <v/>
      </c>
      <c r="KB791" s="1638" t="str">
        <f t="shared" si="257"/>
        <v/>
      </c>
      <c r="KC791" s="1638" t="str">
        <f t="shared" si="258"/>
        <v/>
      </c>
      <c r="KD791" s="1638" t="str">
        <f t="shared" si="259"/>
        <v/>
      </c>
      <c r="KE791" s="1638" t="str">
        <f t="shared" si="260"/>
        <v/>
      </c>
      <c r="KF791" s="1638" t="str">
        <f t="shared" si="261"/>
        <v/>
      </c>
      <c r="KG791" s="1638" t="str">
        <f t="shared" si="262"/>
        <v/>
      </c>
      <c r="KH791" s="1638" t="str">
        <f t="shared" si="263"/>
        <v/>
      </c>
      <c r="KI791" s="1638" t="str">
        <f t="shared" si="264"/>
        <v/>
      </c>
      <c r="KJ791" s="1638" t="str">
        <f t="shared" si="265"/>
        <v/>
      </c>
      <c r="KK791" s="1638" t="str">
        <f t="shared" si="266"/>
        <v/>
      </c>
      <c r="KL791" s="1638" t="str">
        <f t="shared" si="267"/>
        <v/>
      </c>
      <c r="KM791" s="1638" t="str">
        <f t="shared" si="268"/>
        <v/>
      </c>
      <c r="KN791" s="1638" t="str">
        <f t="shared" si="269"/>
        <v/>
      </c>
      <c r="KO791" s="1638" t="str">
        <f t="shared" si="270"/>
        <v/>
      </c>
      <c r="KP791" s="1638" t="str">
        <f t="shared" si="271"/>
        <v/>
      </c>
      <c r="KQ791" s="1638" t="str">
        <f t="shared" si="272"/>
        <v/>
      </c>
      <c r="KR791" s="1638" t="str">
        <f t="shared" si="273"/>
        <v/>
      </c>
      <c r="KS791" s="1638" t="str">
        <f t="shared" si="274"/>
        <v/>
      </c>
      <c r="KT791" s="1638" t="str">
        <f t="shared" si="275"/>
        <v/>
      </c>
      <c r="KU791" s="1638" t="str">
        <f t="shared" si="276"/>
        <v/>
      </c>
      <c r="KV791" s="1638" t="str">
        <f t="shared" si="277"/>
        <v/>
      </c>
      <c r="KW791" s="1638" t="str">
        <f t="shared" si="278"/>
        <v/>
      </c>
      <c r="KX791" s="1638" t="str">
        <f t="shared" si="279"/>
        <v/>
      </c>
      <c r="KY791" s="1638" t="str">
        <f t="shared" si="280"/>
        <v/>
      </c>
      <c r="KZ791" s="1638" t="str">
        <f t="shared" si="281"/>
        <v/>
      </c>
      <c r="LA791" s="1638" t="str">
        <f t="shared" si="282"/>
        <v/>
      </c>
      <c r="LB791" s="1638" t="str">
        <f t="shared" si="283"/>
        <v/>
      </c>
      <c r="LC791" s="1638" t="str">
        <f t="shared" si="284"/>
        <v/>
      </c>
      <c r="LD791" s="1638" t="str">
        <f t="shared" si="285"/>
        <v/>
      </c>
      <c r="LE791" s="1638" t="str">
        <f t="shared" si="286"/>
        <v/>
      </c>
      <c r="LF791" s="1637" t="str">
        <f t="shared" si="287"/>
        <v/>
      </c>
      <c r="LG791" s="1637" t="str">
        <f t="shared" si="288"/>
        <v/>
      </c>
      <c r="LH791" s="1637" t="str">
        <f t="shared" si="289"/>
        <v/>
      </c>
      <c r="LI791" s="1637" t="str">
        <f t="shared" si="290"/>
        <v/>
      </c>
      <c r="LJ791" s="1637" t="str">
        <f t="shared" si="291"/>
        <v/>
      </c>
      <c r="LK791" s="742" t="str">
        <f t="shared" si="292"/>
        <v/>
      </c>
      <c r="LL791" s="742" t="str">
        <f t="shared" si="293"/>
        <v/>
      </c>
      <c r="LM791" s="742" t="str">
        <f t="shared" si="294"/>
        <v/>
      </c>
      <c r="LN791" s="742" t="str">
        <f t="shared" si="295"/>
        <v/>
      </c>
      <c r="LO791" s="742" t="str">
        <f t="shared" si="296"/>
        <v/>
      </c>
      <c r="LP791" s="742" t="str">
        <f t="shared" si="297"/>
        <v/>
      </c>
      <c r="LQ791" s="742" t="str">
        <f t="shared" si="298"/>
        <v/>
      </c>
      <c r="LR791" s="742" t="str">
        <f t="shared" si="299"/>
        <v/>
      </c>
      <c r="LS791" s="742" t="str">
        <f t="shared" si="300"/>
        <v/>
      </c>
      <c r="LT791" s="742" t="str">
        <f t="shared" si="301"/>
        <v/>
      </c>
      <c r="LU791" s="742" t="str">
        <f t="shared" si="302"/>
        <v/>
      </c>
      <c r="LV791" s="742" t="str">
        <f t="shared" si="303"/>
        <v/>
      </c>
      <c r="LW791" s="742" t="str">
        <f t="shared" si="304"/>
        <v/>
      </c>
      <c r="LX791" s="742" t="str">
        <f t="shared" si="305"/>
        <v/>
      </c>
      <c r="LY791" s="742" t="str">
        <f t="shared" si="306"/>
        <v/>
      </c>
      <c r="LZ791" s="742" t="str">
        <f t="shared" si="307"/>
        <v/>
      </c>
      <c r="MA791" s="742" t="str">
        <f t="shared" si="308"/>
        <v/>
      </c>
      <c r="MB791" s="742" t="str">
        <f t="shared" si="309"/>
        <v/>
      </c>
      <c r="MC791" s="742" t="str">
        <f t="shared" si="310"/>
        <v/>
      </c>
      <c r="MD791" s="742" t="str">
        <f t="shared" si="311"/>
        <v/>
      </c>
      <c r="ME791" s="1637">
        <f t="shared" si="323"/>
        <v>0</v>
      </c>
      <c r="MF791" s="1637">
        <f t="shared" si="324"/>
        <v>0</v>
      </c>
      <c r="MG791" s="1637">
        <f t="shared" si="325"/>
        <v>0</v>
      </c>
      <c r="MH791" s="1637">
        <f t="shared" si="326"/>
        <v>0</v>
      </c>
      <c r="MI791" s="1637">
        <f t="shared" si="327"/>
        <v>0</v>
      </c>
      <c r="MJ791" s="1637">
        <f t="shared" si="328"/>
        <v>0</v>
      </c>
      <c r="MK791" s="1637">
        <f t="shared" si="329"/>
        <v>0</v>
      </c>
      <c r="ML791" s="1637">
        <f t="shared" si="330"/>
        <v>0</v>
      </c>
      <c r="MM791" s="1637">
        <f t="shared" si="331"/>
        <v>0</v>
      </c>
      <c r="MN791" s="1637">
        <f t="shared" si="332"/>
        <v>0</v>
      </c>
      <c r="MO791" s="1637">
        <f t="shared" si="333"/>
        <v>0</v>
      </c>
      <c r="MP791" s="1637">
        <f t="shared" si="334"/>
        <v>0</v>
      </c>
      <c r="MQ791" s="1637">
        <f t="shared" si="335"/>
        <v>0</v>
      </c>
      <c r="MR791" s="1637">
        <f t="shared" si="336"/>
        <v>0</v>
      </c>
      <c r="MS791" s="1637">
        <f t="shared" si="337"/>
        <v>0</v>
      </c>
    </row>
    <row r="792" spans="1:357" ht="13.5">
      <c r="A792" s="1630" t="str">
        <f t="shared" si="0"/>
        <v/>
      </c>
      <c r="B792" s="2757">
        <f>'Part VI-Revenues &amp; Expenses'!B30</f>
        <v>0</v>
      </c>
      <c r="C792" s="2146">
        <f>'Part VI-Revenues &amp; Expenses'!C30</f>
        <v>0</v>
      </c>
      <c r="D792" s="2147">
        <f>'Part VI-Revenues &amp; Expenses'!D30</f>
        <v>0</v>
      </c>
      <c r="E792" s="2148">
        <f>'Part VI-Revenues &amp; Expenses'!E30</f>
        <v>0</v>
      </c>
      <c r="F792" s="2148">
        <f>'Part VI-Revenues &amp; Expenses'!F30</f>
        <v>0</v>
      </c>
      <c r="G792" s="2148">
        <f>'Part VI-Revenues &amp; Expenses'!G30</f>
        <v>0</v>
      </c>
      <c r="H792" s="2148">
        <f>'Part VI-Revenues &amp; Expenses'!H30</f>
        <v>0</v>
      </c>
      <c r="I792" s="2148">
        <f>'Part VI-Revenues &amp; Expenses'!I30</f>
        <v>0</v>
      </c>
      <c r="J792" s="2149">
        <f>'Part VI-Revenues &amp; Expenses'!J30</f>
        <v>0</v>
      </c>
      <c r="K792" s="1822">
        <f t="shared" si="1"/>
        <v>0</v>
      </c>
      <c r="L792" s="1822">
        <f t="shared" si="2"/>
        <v>0</v>
      </c>
      <c r="M792" s="2133">
        <f>'Part VI-Revenues &amp; Expenses'!M30</f>
        <v>0</v>
      </c>
      <c r="N792" s="2133">
        <f>'Part VI-Revenues &amp; Expenses'!N30</f>
        <v>0</v>
      </c>
      <c r="O792" s="2133">
        <f>'Part VI-Revenues &amp; Expenses'!O30</f>
        <v>0</v>
      </c>
      <c r="P792" s="1633">
        <f>'Part VI-Revenues &amp; Expenses'!P30</f>
        <v>0</v>
      </c>
      <c r="Q792" s="1823" t="str">
        <f>'Part VI-Revenues &amp; Expenses'!Q30</f>
        <v/>
      </c>
      <c r="R792" s="1824" t="str">
        <f>'Part VI-Revenues &amp; Expenses'!R30</f>
        <v/>
      </c>
      <c r="S792" s="1823">
        <f>'Part VI-Revenues &amp; Expenses'!S30</f>
        <v>0</v>
      </c>
      <c r="T792" s="1824">
        <f>'Part VI-Revenues &amp; Expenses'!T30</f>
        <v>0</v>
      </c>
      <c r="U792" s="1838">
        <f>'Part VI-Revenues &amp; Expenses'!U30:V30</f>
        <v>0</v>
      </c>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312"/>
        <v/>
      </c>
      <c r="EH792" s="742" t="str">
        <f t="shared" si="117"/>
        <v/>
      </c>
      <c r="EI792" s="742" t="str">
        <f t="shared" si="118"/>
        <v/>
      </c>
      <c r="EJ792" s="742" t="str">
        <f t="shared" si="119"/>
        <v/>
      </c>
      <c r="EK792" s="742" t="str">
        <f t="shared" si="120"/>
        <v/>
      </c>
      <c r="EL792" s="742" t="str">
        <f t="shared" si="121"/>
        <v/>
      </c>
      <c r="EM792" s="742" t="str">
        <f t="shared" si="122"/>
        <v/>
      </c>
      <c r="EN792" s="742" t="str">
        <f t="shared" si="123"/>
        <v/>
      </c>
      <c r="EO792" s="742" t="str">
        <f t="shared" si="124"/>
        <v/>
      </c>
      <c r="EP792" s="742" t="str">
        <f t="shared" si="125"/>
        <v/>
      </c>
      <c r="EQ792" s="742" t="str">
        <f t="shared" si="126"/>
        <v/>
      </c>
      <c r="ER792" s="742" t="str">
        <f t="shared" si="127"/>
        <v/>
      </c>
      <c r="ES792" s="742" t="str">
        <f t="shared" si="128"/>
        <v/>
      </c>
      <c r="ET792" s="742" t="str">
        <f t="shared" si="129"/>
        <v/>
      </c>
      <c r="EU792" s="742" t="str">
        <f t="shared" si="130"/>
        <v/>
      </c>
      <c r="EV792" s="742" t="str">
        <f t="shared" si="131"/>
        <v/>
      </c>
      <c r="EW792" s="742" t="str">
        <f t="shared" si="313"/>
        <v/>
      </c>
      <c r="EX792" s="742" t="str">
        <f t="shared" si="314"/>
        <v/>
      </c>
      <c r="EY792" s="742" t="str">
        <f t="shared" si="315"/>
        <v/>
      </c>
      <c r="EZ792" s="742" t="str">
        <f t="shared" si="316"/>
        <v/>
      </c>
      <c r="FA792" s="742" t="str">
        <f t="shared" si="317"/>
        <v/>
      </c>
      <c r="FB792" s="742" t="str">
        <f t="shared" si="132"/>
        <v/>
      </c>
      <c r="FC792" s="742" t="str">
        <f t="shared" si="133"/>
        <v/>
      </c>
      <c r="FD792" s="742" t="str">
        <f t="shared" si="134"/>
        <v/>
      </c>
      <c r="FE792" s="742" t="str">
        <f t="shared" si="135"/>
        <v/>
      </c>
      <c r="FF792" s="742" t="str">
        <f t="shared" si="136"/>
        <v/>
      </c>
      <c r="FG792" s="742" t="str">
        <f t="shared" si="318"/>
        <v/>
      </c>
      <c r="FH792" s="742" t="str">
        <f t="shared" si="319"/>
        <v/>
      </c>
      <c r="FI792" s="742" t="str">
        <f t="shared" si="320"/>
        <v/>
      </c>
      <c r="FJ792" s="742" t="str">
        <f t="shared" si="321"/>
        <v/>
      </c>
      <c r="FK792" s="742" t="str">
        <f t="shared" si="322"/>
        <v/>
      </c>
      <c r="FL792" s="742" t="str">
        <f t="shared" si="137"/>
        <v/>
      </c>
      <c r="FM792" s="742" t="str">
        <f t="shared" si="138"/>
        <v/>
      </c>
      <c r="FN792" s="742" t="str">
        <f t="shared" si="139"/>
        <v/>
      </c>
      <c r="FO792" s="742" t="str">
        <f t="shared" si="140"/>
        <v/>
      </c>
      <c r="FP792" s="742" t="str">
        <f t="shared" si="141"/>
        <v/>
      </c>
      <c r="FQ792" s="742" t="str">
        <f t="shared" si="142"/>
        <v/>
      </c>
      <c r="FR792" s="742" t="str">
        <f t="shared" si="143"/>
        <v/>
      </c>
      <c r="FS792" s="742" t="str">
        <f t="shared" si="144"/>
        <v/>
      </c>
      <c r="FT792" s="742" t="str">
        <f t="shared" si="145"/>
        <v/>
      </c>
      <c r="FU792" s="742" t="str">
        <f t="shared" si="146"/>
        <v/>
      </c>
      <c r="FV792" s="742" t="str">
        <f t="shared" si="147"/>
        <v/>
      </c>
      <c r="FW792" s="742" t="str">
        <f t="shared" si="148"/>
        <v/>
      </c>
      <c r="FX792" s="742" t="str">
        <f t="shared" si="149"/>
        <v/>
      </c>
      <c r="FY792" s="742" t="str">
        <f t="shared" si="150"/>
        <v/>
      </c>
      <c r="FZ792" s="742" t="str">
        <f t="shared" si="151"/>
        <v/>
      </c>
      <c r="GA792" s="742" t="str">
        <f t="shared" si="152"/>
        <v/>
      </c>
      <c r="GB792" s="742" t="str">
        <f t="shared" si="153"/>
        <v/>
      </c>
      <c r="GC792" s="742" t="str">
        <f t="shared" si="154"/>
        <v/>
      </c>
      <c r="GD792" s="742" t="str">
        <f t="shared" si="155"/>
        <v/>
      </c>
      <c r="GE792" s="742" t="str">
        <f t="shared" si="156"/>
        <v/>
      </c>
      <c r="GF792" s="742" t="str">
        <f t="shared" si="157"/>
        <v/>
      </c>
      <c r="GG792" s="742" t="str">
        <f t="shared" si="158"/>
        <v/>
      </c>
      <c r="GH792" s="742" t="str">
        <f t="shared" si="159"/>
        <v/>
      </c>
      <c r="GI792" s="742" t="str">
        <f t="shared" si="160"/>
        <v/>
      </c>
      <c r="GJ792" s="742" t="str">
        <f t="shared" si="161"/>
        <v/>
      </c>
      <c r="GK792" s="742" t="str">
        <f t="shared" si="162"/>
        <v/>
      </c>
      <c r="GL792" s="742" t="str">
        <f t="shared" si="163"/>
        <v/>
      </c>
      <c r="GM792" s="742" t="str">
        <f t="shared" si="164"/>
        <v/>
      </c>
      <c r="GN792" s="742" t="str">
        <f t="shared" si="165"/>
        <v/>
      </c>
      <c r="GO792" s="742" t="str">
        <f t="shared" si="166"/>
        <v/>
      </c>
      <c r="GP792" s="742" t="str">
        <f t="shared" si="167"/>
        <v/>
      </c>
      <c r="GQ792" s="742" t="str">
        <f t="shared" si="168"/>
        <v/>
      </c>
      <c r="GR792" s="742" t="str">
        <f t="shared" si="169"/>
        <v/>
      </c>
      <c r="GS792" s="742" t="str">
        <f t="shared" si="170"/>
        <v/>
      </c>
      <c r="GT792" s="742" t="str">
        <f t="shared" si="171"/>
        <v/>
      </c>
      <c r="GU792" s="742" t="str">
        <f t="shared" si="172"/>
        <v/>
      </c>
      <c r="GV792" s="742" t="str">
        <f t="shared" si="173"/>
        <v/>
      </c>
      <c r="GW792" s="742" t="str">
        <f t="shared" si="174"/>
        <v/>
      </c>
      <c r="GX792" s="742" t="str">
        <f t="shared" si="175"/>
        <v/>
      </c>
      <c r="GY792" s="742" t="str">
        <f t="shared" si="176"/>
        <v/>
      </c>
      <c r="GZ792" s="742" t="str">
        <f t="shared" si="177"/>
        <v/>
      </c>
      <c r="HA792" s="742" t="str">
        <f t="shared" si="178"/>
        <v/>
      </c>
      <c r="HB792" s="742" t="str">
        <f t="shared" si="179"/>
        <v/>
      </c>
      <c r="HC792" s="742" t="str">
        <f t="shared" si="180"/>
        <v/>
      </c>
      <c r="HD792" s="742" t="str">
        <f t="shared" si="181"/>
        <v/>
      </c>
      <c r="HE792" s="742" t="str">
        <f t="shared" si="182"/>
        <v/>
      </c>
      <c r="HF792" s="742" t="str">
        <f t="shared" si="183"/>
        <v/>
      </c>
      <c r="HG792" s="742" t="str">
        <f t="shared" si="184"/>
        <v/>
      </c>
      <c r="HH792" s="742" t="str">
        <f t="shared" si="185"/>
        <v/>
      </c>
      <c r="HI792" s="742" t="str">
        <f t="shared" si="186"/>
        <v/>
      </c>
      <c r="HJ792" s="742" t="str">
        <f t="shared" si="187"/>
        <v/>
      </c>
      <c r="HK792" s="742" t="str">
        <f t="shared" si="188"/>
        <v/>
      </c>
      <c r="HL792" s="742" t="str">
        <f t="shared" si="189"/>
        <v/>
      </c>
      <c r="HM792" s="742" t="str">
        <f t="shared" si="190"/>
        <v/>
      </c>
      <c r="HN792" s="742" t="str">
        <f t="shared" si="191"/>
        <v/>
      </c>
      <c r="HO792" s="742" t="str">
        <f t="shared" si="192"/>
        <v/>
      </c>
      <c r="HP792" s="742" t="str">
        <f t="shared" si="193"/>
        <v/>
      </c>
      <c r="HQ792" s="742" t="str">
        <f t="shared" si="194"/>
        <v/>
      </c>
      <c r="HR792" s="742" t="str">
        <f t="shared" si="195"/>
        <v/>
      </c>
      <c r="HS792" s="742" t="str">
        <f t="shared" si="196"/>
        <v/>
      </c>
      <c r="HT792" s="742" t="str">
        <f t="shared" si="197"/>
        <v/>
      </c>
      <c r="HU792" s="742" t="str">
        <f t="shared" si="198"/>
        <v/>
      </c>
      <c r="HV792" s="742" t="str">
        <f t="shared" si="199"/>
        <v/>
      </c>
      <c r="HW792" s="742" t="str">
        <f t="shared" si="200"/>
        <v/>
      </c>
      <c r="HX792" s="742" t="str">
        <f t="shared" si="201"/>
        <v/>
      </c>
      <c r="HY792" s="1638" t="str">
        <f t="shared" si="202"/>
        <v/>
      </c>
      <c r="HZ792" s="1638" t="str">
        <f t="shared" si="203"/>
        <v/>
      </c>
      <c r="IA792" s="1638" t="str">
        <f t="shared" si="204"/>
        <v/>
      </c>
      <c r="IB792" s="1638" t="str">
        <f t="shared" si="205"/>
        <v/>
      </c>
      <c r="IC792" s="1638" t="str">
        <f t="shared" si="206"/>
        <v/>
      </c>
      <c r="ID792" s="1638" t="str">
        <f t="shared" si="207"/>
        <v/>
      </c>
      <c r="IE792" s="1638" t="str">
        <f t="shared" si="208"/>
        <v/>
      </c>
      <c r="IF792" s="1638" t="str">
        <f t="shared" si="209"/>
        <v/>
      </c>
      <c r="IG792" s="1638" t="str">
        <f t="shared" si="210"/>
        <v/>
      </c>
      <c r="IH792" s="1638" t="str">
        <f t="shared" si="211"/>
        <v/>
      </c>
      <c r="II792" s="1638" t="str">
        <f t="shared" si="212"/>
        <v/>
      </c>
      <c r="IJ792" s="1638" t="str">
        <f t="shared" si="213"/>
        <v/>
      </c>
      <c r="IK792" s="1638" t="str">
        <f t="shared" si="214"/>
        <v/>
      </c>
      <c r="IL792" s="1638" t="str">
        <f t="shared" si="215"/>
        <v/>
      </c>
      <c r="IM792" s="1638" t="str">
        <f t="shared" si="216"/>
        <v/>
      </c>
      <c r="IN792" s="1638" t="str">
        <f t="shared" si="217"/>
        <v/>
      </c>
      <c r="IO792" s="1638" t="str">
        <f t="shared" si="218"/>
        <v/>
      </c>
      <c r="IP792" s="1638" t="str">
        <f t="shared" si="219"/>
        <v/>
      </c>
      <c r="IQ792" s="1638" t="str">
        <f t="shared" si="220"/>
        <v/>
      </c>
      <c r="IR792" s="1638" t="str">
        <f t="shared" si="221"/>
        <v/>
      </c>
      <c r="IS792" s="1638" t="str">
        <f t="shared" si="222"/>
        <v/>
      </c>
      <c r="IT792" s="1638" t="str">
        <f t="shared" si="223"/>
        <v/>
      </c>
      <c r="IU792" s="1638" t="str">
        <f t="shared" si="224"/>
        <v/>
      </c>
      <c r="IV792" s="1638" t="str">
        <f t="shared" si="225"/>
        <v/>
      </c>
      <c r="IW792" s="1638" t="str">
        <f t="shared" si="226"/>
        <v/>
      </c>
      <c r="IX792" s="1638" t="str">
        <f t="shared" si="227"/>
        <v/>
      </c>
      <c r="IY792" s="1638" t="str">
        <f t="shared" si="228"/>
        <v/>
      </c>
      <c r="IZ792" s="1638" t="str">
        <f t="shared" si="229"/>
        <v/>
      </c>
      <c r="JA792" s="1638" t="str">
        <f t="shared" si="230"/>
        <v/>
      </c>
      <c r="JB792" s="1638" t="str">
        <f t="shared" si="231"/>
        <v/>
      </c>
      <c r="JC792" s="1638" t="str">
        <f t="shared" si="232"/>
        <v/>
      </c>
      <c r="JD792" s="1638" t="str">
        <f t="shared" si="233"/>
        <v/>
      </c>
      <c r="JE792" s="1638" t="str">
        <f t="shared" si="234"/>
        <v/>
      </c>
      <c r="JF792" s="1638" t="str">
        <f t="shared" si="235"/>
        <v/>
      </c>
      <c r="JG792" s="1638" t="str">
        <f t="shared" si="236"/>
        <v/>
      </c>
      <c r="JH792" s="1638" t="str">
        <f t="shared" si="237"/>
        <v/>
      </c>
      <c r="JI792" s="1638" t="str">
        <f t="shared" si="238"/>
        <v/>
      </c>
      <c r="JJ792" s="1638" t="str">
        <f t="shared" si="239"/>
        <v/>
      </c>
      <c r="JK792" s="1638" t="str">
        <f t="shared" si="240"/>
        <v/>
      </c>
      <c r="JL792" s="1638" t="str">
        <f t="shared" si="241"/>
        <v/>
      </c>
      <c r="JM792" s="1638" t="str">
        <f t="shared" si="242"/>
        <v/>
      </c>
      <c r="JN792" s="1638" t="str">
        <f t="shared" si="243"/>
        <v/>
      </c>
      <c r="JO792" s="1638" t="str">
        <f t="shared" si="244"/>
        <v/>
      </c>
      <c r="JP792" s="1638" t="str">
        <f t="shared" si="245"/>
        <v/>
      </c>
      <c r="JQ792" s="1638" t="str">
        <f t="shared" si="246"/>
        <v/>
      </c>
      <c r="JR792" s="1638" t="str">
        <f t="shared" si="247"/>
        <v/>
      </c>
      <c r="JS792" s="1638" t="str">
        <f t="shared" si="248"/>
        <v/>
      </c>
      <c r="JT792" s="1638" t="str">
        <f t="shared" si="249"/>
        <v/>
      </c>
      <c r="JU792" s="1638" t="str">
        <f t="shared" si="250"/>
        <v/>
      </c>
      <c r="JV792" s="1638" t="str">
        <f t="shared" si="251"/>
        <v/>
      </c>
      <c r="JW792" s="1638" t="str">
        <f t="shared" si="252"/>
        <v/>
      </c>
      <c r="JX792" s="1638" t="str">
        <f t="shared" si="253"/>
        <v/>
      </c>
      <c r="JY792" s="1638" t="str">
        <f t="shared" si="254"/>
        <v/>
      </c>
      <c r="JZ792" s="1638" t="str">
        <f t="shared" si="255"/>
        <v/>
      </c>
      <c r="KA792" s="1638" t="str">
        <f t="shared" si="256"/>
        <v/>
      </c>
      <c r="KB792" s="1638" t="str">
        <f t="shared" si="257"/>
        <v/>
      </c>
      <c r="KC792" s="1638" t="str">
        <f t="shared" si="258"/>
        <v/>
      </c>
      <c r="KD792" s="1638" t="str">
        <f t="shared" si="259"/>
        <v/>
      </c>
      <c r="KE792" s="1638" t="str">
        <f t="shared" si="260"/>
        <v/>
      </c>
      <c r="KF792" s="1638" t="str">
        <f t="shared" si="261"/>
        <v/>
      </c>
      <c r="KG792" s="1638" t="str">
        <f t="shared" si="262"/>
        <v/>
      </c>
      <c r="KH792" s="1638" t="str">
        <f t="shared" si="263"/>
        <v/>
      </c>
      <c r="KI792" s="1638" t="str">
        <f t="shared" si="264"/>
        <v/>
      </c>
      <c r="KJ792" s="1638" t="str">
        <f t="shared" si="265"/>
        <v/>
      </c>
      <c r="KK792" s="1638" t="str">
        <f t="shared" si="266"/>
        <v/>
      </c>
      <c r="KL792" s="1638" t="str">
        <f t="shared" si="267"/>
        <v/>
      </c>
      <c r="KM792" s="1638" t="str">
        <f t="shared" si="268"/>
        <v/>
      </c>
      <c r="KN792" s="1638" t="str">
        <f t="shared" si="269"/>
        <v/>
      </c>
      <c r="KO792" s="1638" t="str">
        <f t="shared" si="270"/>
        <v/>
      </c>
      <c r="KP792" s="1638" t="str">
        <f t="shared" si="271"/>
        <v/>
      </c>
      <c r="KQ792" s="1638" t="str">
        <f t="shared" si="272"/>
        <v/>
      </c>
      <c r="KR792" s="1638" t="str">
        <f t="shared" si="273"/>
        <v/>
      </c>
      <c r="KS792" s="1638" t="str">
        <f t="shared" si="274"/>
        <v/>
      </c>
      <c r="KT792" s="1638" t="str">
        <f t="shared" si="275"/>
        <v/>
      </c>
      <c r="KU792" s="1638" t="str">
        <f t="shared" si="276"/>
        <v/>
      </c>
      <c r="KV792" s="1638" t="str">
        <f t="shared" si="277"/>
        <v/>
      </c>
      <c r="KW792" s="1638" t="str">
        <f t="shared" si="278"/>
        <v/>
      </c>
      <c r="KX792" s="1638" t="str">
        <f t="shared" si="279"/>
        <v/>
      </c>
      <c r="KY792" s="1638" t="str">
        <f t="shared" si="280"/>
        <v/>
      </c>
      <c r="KZ792" s="1638" t="str">
        <f t="shared" si="281"/>
        <v/>
      </c>
      <c r="LA792" s="1638" t="str">
        <f t="shared" si="282"/>
        <v/>
      </c>
      <c r="LB792" s="1638" t="str">
        <f t="shared" si="283"/>
        <v/>
      </c>
      <c r="LC792" s="1638" t="str">
        <f t="shared" si="284"/>
        <v/>
      </c>
      <c r="LD792" s="1638" t="str">
        <f t="shared" si="285"/>
        <v/>
      </c>
      <c r="LE792" s="1638" t="str">
        <f t="shared" si="286"/>
        <v/>
      </c>
      <c r="LF792" s="1637" t="str">
        <f t="shared" si="287"/>
        <v/>
      </c>
      <c r="LG792" s="1637" t="str">
        <f t="shared" si="288"/>
        <v/>
      </c>
      <c r="LH792" s="1637" t="str">
        <f t="shared" si="289"/>
        <v/>
      </c>
      <c r="LI792" s="1637" t="str">
        <f t="shared" si="290"/>
        <v/>
      </c>
      <c r="LJ792" s="1637" t="str">
        <f t="shared" si="291"/>
        <v/>
      </c>
      <c r="LK792" s="742" t="str">
        <f t="shared" si="292"/>
        <v/>
      </c>
      <c r="LL792" s="742" t="str">
        <f t="shared" si="293"/>
        <v/>
      </c>
      <c r="LM792" s="742" t="str">
        <f t="shared" si="294"/>
        <v/>
      </c>
      <c r="LN792" s="742" t="str">
        <f t="shared" si="295"/>
        <v/>
      </c>
      <c r="LO792" s="742" t="str">
        <f t="shared" si="296"/>
        <v/>
      </c>
      <c r="LP792" s="742" t="str">
        <f t="shared" si="297"/>
        <v/>
      </c>
      <c r="LQ792" s="742" t="str">
        <f t="shared" si="298"/>
        <v/>
      </c>
      <c r="LR792" s="742" t="str">
        <f t="shared" si="299"/>
        <v/>
      </c>
      <c r="LS792" s="742" t="str">
        <f t="shared" si="300"/>
        <v/>
      </c>
      <c r="LT792" s="742" t="str">
        <f t="shared" si="301"/>
        <v/>
      </c>
      <c r="LU792" s="742" t="str">
        <f t="shared" si="302"/>
        <v/>
      </c>
      <c r="LV792" s="742" t="str">
        <f t="shared" si="303"/>
        <v/>
      </c>
      <c r="LW792" s="742" t="str">
        <f t="shared" si="304"/>
        <v/>
      </c>
      <c r="LX792" s="742" t="str">
        <f t="shared" si="305"/>
        <v/>
      </c>
      <c r="LY792" s="742" t="str">
        <f t="shared" si="306"/>
        <v/>
      </c>
      <c r="LZ792" s="742" t="str">
        <f t="shared" si="307"/>
        <v/>
      </c>
      <c r="MA792" s="742" t="str">
        <f t="shared" si="308"/>
        <v/>
      </c>
      <c r="MB792" s="742" t="str">
        <f t="shared" si="309"/>
        <v/>
      </c>
      <c r="MC792" s="742" t="str">
        <f t="shared" si="310"/>
        <v/>
      </c>
      <c r="MD792" s="742" t="str">
        <f t="shared" si="311"/>
        <v/>
      </c>
      <c r="ME792" s="1637">
        <f t="shared" si="323"/>
        <v>0</v>
      </c>
      <c r="MF792" s="1637">
        <f t="shared" si="324"/>
        <v>0</v>
      </c>
      <c r="MG792" s="1637">
        <f t="shared" si="325"/>
        <v>0</v>
      </c>
      <c r="MH792" s="1637">
        <f t="shared" si="326"/>
        <v>0</v>
      </c>
      <c r="MI792" s="1637">
        <f t="shared" si="327"/>
        <v>0</v>
      </c>
      <c r="MJ792" s="1637">
        <f t="shared" si="328"/>
        <v>0</v>
      </c>
      <c r="MK792" s="1637">
        <f t="shared" si="329"/>
        <v>0</v>
      </c>
      <c r="ML792" s="1637">
        <f t="shared" si="330"/>
        <v>0</v>
      </c>
      <c r="MM792" s="1637">
        <f t="shared" si="331"/>
        <v>0</v>
      </c>
      <c r="MN792" s="1637">
        <f t="shared" si="332"/>
        <v>0</v>
      </c>
      <c r="MO792" s="1637">
        <f t="shared" si="333"/>
        <v>0</v>
      </c>
      <c r="MP792" s="1637">
        <f t="shared" si="334"/>
        <v>0</v>
      </c>
      <c r="MQ792" s="1637">
        <f t="shared" si="335"/>
        <v>0</v>
      </c>
      <c r="MR792" s="1637">
        <f t="shared" si="336"/>
        <v>0</v>
      </c>
      <c r="MS792" s="1637">
        <f t="shared" si="337"/>
        <v>0</v>
      </c>
    </row>
    <row r="793" spans="1:357" ht="13.5">
      <c r="A793" s="1630" t="str">
        <f t="shared" si="0"/>
        <v/>
      </c>
      <c r="B793" s="2757">
        <f>'Part VI-Revenues &amp; Expenses'!B31</f>
        <v>0</v>
      </c>
      <c r="C793" s="2146">
        <f>'Part VI-Revenues &amp; Expenses'!C31</f>
        <v>0</v>
      </c>
      <c r="D793" s="2147">
        <f>'Part VI-Revenues &amp; Expenses'!D31</f>
        <v>0</v>
      </c>
      <c r="E793" s="2148">
        <f>'Part VI-Revenues &amp; Expenses'!E31</f>
        <v>0</v>
      </c>
      <c r="F793" s="2148">
        <f>'Part VI-Revenues &amp; Expenses'!F31</f>
        <v>0</v>
      </c>
      <c r="G793" s="2148">
        <f>'Part VI-Revenues &amp; Expenses'!G31</f>
        <v>0</v>
      </c>
      <c r="H793" s="2148">
        <f>'Part VI-Revenues &amp; Expenses'!H31</f>
        <v>0</v>
      </c>
      <c r="I793" s="2148">
        <f>'Part VI-Revenues &amp; Expenses'!I31</f>
        <v>0</v>
      </c>
      <c r="J793" s="2149">
        <f>'Part VI-Revenues &amp; Expenses'!J31</f>
        <v>0</v>
      </c>
      <c r="K793" s="1822">
        <f t="shared" si="1"/>
        <v>0</v>
      </c>
      <c r="L793" s="1822">
        <f t="shared" si="2"/>
        <v>0</v>
      </c>
      <c r="M793" s="2133">
        <f>'Part VI-Revenues &amp; Expenses'!M31</f>
        <v>0</v>
      </c>
      <c r="N793" s="2133">
        <f>'Part VI-Revenues &amp; Expenses'!N31</f>
        <v>0</v>
      </c>
      <c r="O793" s="2133">
        <f>'Part VI-Revenues &amp; Expenses'!O31</f>
        <v>0</v>
      </c>
      <c r="P793" s="1633">
        <f>'Part VI-Revenues &amp; Expenses'!P31</f>
        <v>0</v>
      </c>
      <c r="Q793" s="1823" t="str">
        <f>'Part VI-Revenues &amp; Expenses'!Q31</f>
        <v/>
      </c>
      <c r="R793" s="1824" t="str">
        <f>'Part VI-Revenues &amp; Expenses'!R31</f>
        <v/>
      </c>
      <c r="S793" s="1823">
        <f>'Part VI-Revenues &amp; Expenses'!S31</f>
        <v>0</v>
      </c>
      <c r="T793" s="1824">
        <f>'Part VI-Revenues &amp; Expenses'!T31</f>
        <v>0</v>
      </c>
      <c r="U793" s="1838">
        <f>'Part VI-Revenues &amp; Expenses'!U31:V31</f>
        <v>0</v>
      </c>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312"/>
        <v/>
      </c>
      <c r="EH793" s="742" t="str">
        <f t="shared" si="117"/>
        <v/>
      </c>
      <c r="EI793" s="742" t="str">
        <f t="shared" si="118"/>
        <v/>
      </c>
      <c r="EJ793" s="742" t="str">
        <f t="shared" si="119"/>
        <v/>
      </c>
      <c r="EK793" s="742" t="str">
        <f t="shared" si="120"/>
        <v/>
      </c>
      <c r="EL793" s="742" t="str">
        <f t="shared" si="121"/>
        <v/>
      </c>
      <c r="EM793" s="742" t="str">
        <f t="shared" si="122"/>
        <v/>
      </c>
      <c r="EN793" s="742" t="str">
        <f t="shared" si="123"/>
        <v/>
      </c>
      <c r="EO793" s="742" t="str">
        <f t="shared" si="124"/>
        <v/>
      </c>
      <c r="EP793" s="742" t="str">
        <f t="shared" si="125"/>
        <v/>
      </c>
      <c r="EQ793" s="742" t="str">
        <f t="shared" si="126"/>
        <v/>
      </c>
      <c r="ER793" s="742" t="str">
        <f t="shared" si="127"/>
        <v/>
      </c>
      <c r="ES793" s="742" t="str">
        <f t="shared" si="128"/>
        <v/>
      </c>
      <c r="ET793" s="742" t="str">
        <f t="shared" si="129"/>
        <v/>
      </c>
      <c r="EU793" s="742" t="str">
        <f t="shared" si="130"/>
        <v/>
      </c>
      <c r="EV793" s="742" t="str">
        <f t="shared" si="131"/>
        <v/>
      </c>
      <c r="EW793" s="742" t="str">
        <f t="shared" si="313"/>
        <v/>
      </c>
      <c r="EX793" s="742" t="str">
        <f t="shared" si="314"/>
        <v/>
      </c>
      <c r="EY793" s="742" t="str">
        <f t="shared" si="315"/>
        <v/>
      </c>
      <c r="EZ793" s="742" t="str">
        <f t="shared" si="316"/>
        <v/>
      </c>
      <c r="FA793" s="742" t="str">
        <f t="shared" si="317"/>
        <v/>
      </c>
      <c r="FB793" s="742" t="str">
        <f t="shared" si="132"/>
        <v/>
      </c>
      <c r="FC793" s="742" t="str">
        <f t="shared" si="133"/>
        <v/>
      </c>
      <c r="FD793" s="742" t="str">
        <f t="shared" si="134"/>
        <v/>
      </c>
      <c r="FE793" s="742" t="str">
        <f t="shared" si="135"/>
        <v/>
      </c>
      <c r="FF793" s="742" t="str">
        <f t="shared" si="136"/>
        <v/>
      </c>
      <c r="FG793" s="742" t="str">
        <f t="shared" si="318"/>
        <v/>
      </c>
      <c r="FH793" s="742" t="str">
        <f t="shared" si="319"/>
        <v/>
      </c>
      <c r="FI793" s="742" t="str">
        <f t="shared" si="320"/>
        <v/>
      </c>
      <c r="FJ793" s="742" t="str">
        <f t="shared" si="321"/>
        <v/>
      </c>
      <c r="FK793" s="742" t="str">
        <f t="shared" si="322"/>
        <v/>
      </c>
      <c r="FL793" s="742" t="str">
        <f t="shared" si="137"/>
        <v/>
      </c>
      <c r="FM793" s="742" t="str">
        <f t="shared" si="138"/>
        <v/>
      </c>
      <c r="FN793" s="742" t="str">
        <f t="shared" si="139"/>
        <v/>
      </c>
      <c r="FO793" s="742" t="str">
        <f t="shared" si="140"/>
        <v/>
      </c>
      <c r="FP793" s="742" t="str">
        <f t="shared" si="141"/>
        <v/>
      </c>
      <c r="FQ793" s="742" t="str">
        <f t="shared" si="142"/>
        <v/>
      </c>
      <c r="FR793" s="742" t="str">
        <f t="shared" si="143"/>
        <v/>
      </c>
      <c r="FS793" s="742" t="str">
        <f t="shared" si="144"/>
        <v/>
      </c>
      <c r="FT793" s="742" t="str">
        <f t="shared" si="145"/>
        <v/>
      </c>
      <c r="FU793" s="742" t="str">
        <f t="shared" si="146"/>
        <v/>
      </c>
      <c r="FV793" s="742" t="str">
        <f t="shared" si="147"/>
        <v/>
      </c>
      <c r="FW793" s="742" t="str">
        <f t="shared" si="148"/>
        <v/>
      </c>
      <c r="FX793" s="742" t="str">
        <f t="shared" si="149"/>
        <v/>
      </c>
      <c r="FY793" s="742" t="str">
        <f t="shared" si="150"/>
        <v/>
      </c>
      <c r="FZ793" s="742" t="str">
        <f t="shared" si="151"/>
        <v/>
      </c>
      <c r="GA793" s="742" t="str">
        <f t="shared" si="152"/>
        <v/>
      </c>
      <c r="GB793" s="742" t="str">
        <f t="shared" si="153"/>
        <v/>
      </c>
      <c r="GC793" s="742" t="str">
        <f t="shared" si="154"/>
        <v/>
      </c>
      <c r="GD793" s="742" t="str">
        <f t="shared" si="155"/>
        <v/>
      </c>
      <c r="GE793" s="742" t="str">
        <f t="shared" si="156"/>
        <v/>
      </c>
      <c r="GF793" s="742" t="str">
        <f t="shared" si="157"/>
        <v/>
      </c>
      <c r="GG793" s="742" t="str">
        <f t="shared" si="158"/>
        <v/>
      </c>
      <c r="GH793" s="742" t="str">
        <f t="shared" si="159"/>
        <v/>
      </c>
      <c r="GI793" s="742" t="str">
        <f t="shared" si="160"/>
        <v/>
      </c>
      <c r="GJ793" s="742" t="str">
        <f t="shared" si="161"/>
        <v/>
      </c>
      <c r="GK793" s="742" t="str">
        <f t="shared" si="162"/>
        <v/>
      </c>
      <c r="GL793" s="742" t="str">
        <f t="shared" si="163"/>
        <v/>
      </c>
      <c r="GM793" s="742" t="str">
        <f t="shared" si="164"/>
        <v/>
      </c>
      <c r="GN793" s="742" t="str">
        <f t="shared" si="165"/>
        <v/>
      </c>
      <c r="GO793" s="742" t="str">
        <f t="shared" si="166"/>
        <v/>
      </c>
      <c r="GP793" s="742" t="str">
        <f t="shared" si="167"/>
        <v/>
      </c>
      <c r="GQ793" s="742" t="str">
        <f t="shared" si="168"/>
        <v/>
      </c>
      <c r="GR793" s="742" t="str">
        <f t="shared" si="169"/>
        <v/>
      </c>
      <c r="GS793" s="742" t="str">
        <f t="shared" si="170"/>
        <v/>
      </c>
      <c r="GT793" s="742" t="str">
        <f t="shared" si="171"/>
        <v/>
      </c>
      <c r="GU793" s="742" t="str">
        <f t="shared" si="172"/>
        <v/>
      </c>
      <c r="GV793" s="742" t="str">
        <f t="shared" si="173"/>
        <v/>
      </c>
      <c r="GW793" s="742" t="str">
        <f t="shared" si="174"/>
        <v/>
      </c>
      <c r="GX793" s="742" t="str">
        <f t="shared" si="175"/>
        <v/>
      </c>
      <c r="GY793" s="742" t="str">
        <f t="shared" si="176"/>
        <v/>
      </c>
      <c r="GZ793" s="742" t="str">
        <f t="shared" si="177"/>
        <v/>
      </c>
      <c r="HA793" s="742" t="str">
        <f t="shared" si="178"/>
        <v/>
      </c>
      <c r="HB793" s="742" t="str">
        <f t="shared" si="179"/>
        <v/>
      </c>
      <c r="HC793" s="742" t="str">
        <f t="shared" si="180"/>
        <v/>
      </c>
      <c r="HD793" s="742" t="str">
        <f t="shared" si="181"/>
        <v/>
      </c>
      <c r="HE793" s="742" t="str">
        <f t="shared" si="182"/>
        <v/>
      </c>
      <c r="HF793" s="742" t="str">
        <f t="shared" si="183"/>
        <v/>
      </c>
      <c r="HG793" s="742" t="str">
        <f t="shared" si="184"/>
        <v/>
      </c>
      <c r="HH793" s="742" t="str">
        <f t="shared" si="185"/>
        <v/>
      </c>
      <c r="HI793" s="742" t="str">
        <f t="shared" si="186"/>
        <v/>
      </c>
      <c r="HJ793" s="742" t="str">
        <f t="shared" si="187"/>
        <v/>
      </c>
      <c r="HK793" s="742" t="str">
        <f t="shared" si="188"/>
        <v/>
      </c>
      <c r="HL793" s="742" t="str">
        <f t="shared" si="189"/>
        <v/>
      </c>
      <c r="HM793" s="742" t="str">
        <f t="shared" si="190"/>
        <v/>
      </c>
      <c r="HN793" s="742" t="str">
        <f t="shared" si="191"/>
        <v/>
      </c>
      <c r="HO793" s="742" t="str">
        <f t="shared" si="192"/>
        <v/>
      </c>
      <c r="HP793" s="742" t="str">
        <f t="shared" si="193"/>
        <v/>
      </c>
      <c r="HQ793" s="742" t="str">
        <f t="shared" si="194"/>
        <v/>
      </c>
      <c r="HR793" s="742" t="str">
        <f t="shared" si="195"/>
        <v/>
      </c>
      <c r="HS793" s="742" t="str">
        <f t="shared" si="196"/>
        <v/>
      </c>
      <c r="HT793" s="742" t="str">
        <f t="shared" si="197"/>
        <v/>
      </c>
      <c r="HU793" s="742" t="str">
        <f t="shared" si="198"/>
        <v/>
      </c>
      <c r="HV793" s="742" t="str">
        <f t="shared" si="199"/>
        <v/>
      </c>
      <c r="HW793" s="742" t="str">
        <f t="shared" si="200"/>
        <v/>
      </c>
      <c r="HX793" s="742" t="str">
        <f t="shared" si="201"/>
        <v/>
      </c>
      <c r="HY793" s="1638" t="str">
        <f t="shared" si="202"/>
        <v/>
      </c>
      <c r="HZ793" s="1638" t="str">
        <f t="shared" si="203"/>
        <v/>
      </c>
      <c r="IA793" s="1638" t="str">
        <f t="shared" si="204"/>
        <v/>
      </c>
      <c r="IB793" s="1638" t="str">
        <f t="shared" si="205"/>
        <v/>
      </c>
      <c r="IC793" s="1638" t="str">
        <f t="shared" si="206"/>
        <v/>
      </c>
      <c r="ID793" s="1638" t="str">
        <f t="shared" si="207"/>
        <v/>
      </c>
      <c r="IE793" s="1638" t="str">
        <f t="shared" si="208"/>
        <v/>
      </c>
      <c r="IF793" s="1638" t="str">
        <f t="shared" si="209"/>
        <v/>
      </c>
      <c r="IG793" s="1638" t="str">
        <f t="shared" si="210"/>
        <v/>
      </c>
      <c r="IH793" s="1638" t="str">
        <f t="shared" si="211"/>
        <v/>
      </c>
      <c r="II793" s="1638" t="str">
        <f t="shared" si="212"/>
        <v/>
      </c>
      <c r="IJ793" s="1638" t="str">
        <f t="shared" si="213"/>
        <v/>
      </c>
      <c r="IK793" s="1638" t="str">
        <f t="shared" si="214"/>
        <v/>
      </c>
      <c r="IL793" s="1638" t="str">
        <f t="shared" si="215"/>
        <v/>
      </c>
      <c r="IM793" s="1638" t="str">
        <f t="shared" si="216"/>
        <v/>
      </c>
      <c r="IN793" s="1638" t="str">
        <f t="shared" si="217"/>
        <v/>
      </c>
      <c r="IO793" s="1638" t="str">
        <f t="shared" si="218"/>
        <v/>
      </c>
      <c r="IP793" s="1638" t="str">
        <f t="shared" si="219"/>
        <v/>
      </c>
      <c r="IQ793" s="1638" t="str">
        <f t="shared" si="220"/>
        <v/>
      </c>
      <c r="IR793" s="1638" t="str">
        <f t="shared" si="221"/>
        <v/>
      </c>
      <c r="IS793" s="1638" t="str">
        <f t="shared" si="222"/>
        <v/>
      </c>
      <c r="IT793" s="1638" t="str">
        <f t="shared" si="223"/>
        <v/>
      </c>
      <c r="IU793" s="1638" t="str">
        <f t="shared" si="224"/>
        <v/>
      </c>
      <c r="IV793" s="1638" t="str">
        <f t="shared" si="225"/>
        <v/>
      </c>
      <c r="IW793" s="1638" t="str">
        <f t="shared" si="226"/>
        <v/>
      </c>
      <c r="IX793" s="1638" t="str">
        <f t="shared" si="227"/>
        <v/>
      </c>
      <c r="IY793" s="1638" t="str">
        <f t="shared" si="228"/>
        <v/>
      </c>
      <c r="IZ793" s="1638" t="str">
        <f t="shared" si="229"/>
        <v/>
      </c>
      <c r="JA793" s="1638" t="str">
        <f t="shared" si="230"/>
        <v/>
      </c>
      <c r="JB793" s="1638" t="str">
        <f t="shared" si="231"/>
        <v/>
      </c>
      <c r="JC793" s="1638" t="str">
        <f t="shared" si="232"/>
        <v/>
      </c>
      <c r="JD793" s="1638" t="str">
        <f t="shared" si="233"/>
        <v/>
      </c>
      <c r="JE793" s="1638" t="str">
        <f t="shared" si="234"/>
        <v/>
      </c>
      <c r="JF793" s="1638" t="str">
        <f t="shared" si="235"/>
        <v/>
      </c>
      <c r="JG793" s="1638" t="str">
        <f t="shared" si="236"/>
        <v/>
      </c>
      <c r="JH793" s="1638" t="str">
        <f t="shared" si="237"/>
        <v/>
      </c>
      <c r="JI793" s="1638" t="str">
        <f t="shared" si="238"/>
        <v/>
      </c>
      <c r="JJ793" s="1638" t="str">
        <f t="shared" si="239"/>
        <v/>
      </c>
      <c r="JK793" s="1638" t="str">
        <f t="shared" si="240"/>
        <v/>
      </c>
      <c r="JL793" s="1638" t="str">
        <f t="shared" si="241"/>
        <v/>
      </c>
      <c r="JM793" s="1638" t="str">
        <f t="shared" si="242"/>
        <v/>
      </c>
      <c r="JN793" s="1638" t="str">
        <f t="shared" si="243"/>
        <v/>
      </c>
      <c r="JO793" s="1638" t="str">
        <f t="shared" si="244"/>
        <v/>
      </c>
      <c r="JP793" s="1638" t="str">
        <f t="shared" si="245"/>
        <v/>
      </c>
      <c r="JQ793" s="1638" t="str">
        <f t="shared" si="246"/>
        <v/>
      </c>
      <c r="JR793" s="1638" t="str">
        <f t="shared" si="247"/>
        <v/>
      </c>
      <c r="JS793" s="1638" t="str">
        <f t="shared" si="248"/>
        <v/>
      </c>
      <c r="JT793" s="1638" t="str">
        <f t="shared" si="249"/>
        <v/>
      </c>
      <c r="JU793" s="1638" t="str">
        <f t="shared" si="250"/>
        <v/>
      </c>
      <c r="JV793" s="1638" t="str">
        <f t="shared" si="251"/>
        <v/>
      </c>
      <c r="JW793" s="1638" t="str">
        <f t="shared" si="252"/>
        <v/>
      </c>
      <c r="JX793" s="1638" t="str">
        <f t="shared" si="253"/>
        <v/>
      </c>
      <c r="JY793" s="1638" t="str">
        <f t="shared" si="254"/>
        <v/>
      </c>
      <c r="JZ793" s="1638" t="str">
        <f t="shared" si="255"/>
        <v/>
      </c>
      <c r="KA793" s="1638" t="str">
        <f t="shared" si="256"/>
        <v/>
      </c>
      <c r="KB793" s="1638" t="str">
        <f t="shared" si="257"/>
        <v/>
      </c>
      <c r="KC793" s="1638" t="str">
        <f t="shared" si="258"/>
        <v/>
      </c>
      <c r="KD793" s="1638" t="str">
        <f t="shared" si="259"/>
        <v/>
      </c>
      <c r="KE793" s="1638" t="str">
        <f t="shared" si="260"/>
        <v/>
      </c>
      <c r="KF793" s="1638" t="str">
        <f t="shared" si="261"/>
        <v/>
      </c>
      <c r="KG793" s="1638" t="str">
        <f t="shared" si="262"/>
        <v/>
      </c>
      <c r="KH793" s="1638" t="str">
        <f t="shared" si="263"/>
        <v/>
      </c>
      <c r="KI793" s="1638" t="str">
        <f t="shared" si="264"/>
        <v/>
      </c>
      <c r="KJ793" s="1638" t="str">
        <f t="shared" si="265"/>
        <v/>
      </c>
      <c r="KK793" s="1638" t="str">
        <f t="shared" si="266"/>
        <v/>
      </c>
      <c r="KL793" s="1638" t="str">
        <f t="shared" si="267"/>
        <v/>
      </c>
      <c r="KM793" s="1638" t="str">
        <f t="shared" si="268"/>
        <v/>
      </c>
      <c r="KN793" s="1638" t="str">
        <f t="shared" si="269"/>
        <v/>
      </c>
      <c r="KO793" s="1638" t="str">
        <f t="shared" si="270"/>
        <v/>
      </c>
      <c r="KP793" s="1638" t="str">
        <f t="shared" si="271"/>
        <v/>
      </c>
      <c r="KQ793" s="1638" t="str">
        <f t="shared" si="272"/>
        <v/>
      </c>
      <c r="KR793" s="1638" t="str">
        <f t="shared" si="273"/>
        <v/>
      </c>
      <c r="KS793" s="1638" t="str">
        <f t="shared" si="274"/>
        <v/>
      </c>
      <c r="KT793" s="1638" t="str">
        <f t="shared" si="275"/>
        <v/>
      </c>
      <c r="KU793" s="1638" t="str">
        <f t="shared" si="276"/>
        <v/>
      </c>
      <c r="KV793" s="1638" t="str">
        <f t="shared" si="277"/>
        <v/>
      </c>
      <c r="KW793" s="1638" t="str">
        <f t="shared" si="278"/>
        <v/>
      </c>
      <c r="KX793" s="1638" t="str">
        <f t="shared" si="279"/>
        <v/>
      </c>
      <c r="KY793" s="1638" t="str">
        <f t="shared" si="280"/>
        <v/>
      </c>
      <c r="KZ793" s="1638" t="str">
        <f t="shared" si="281"/>
        <v/>
      </c>
      <c r="LA793" s="1638" t="str">
        <f t="shared" si="282"/>
        <v/>
      </c>
      <c r="LB793" s="1638" t="str">
        <f t="shared" si="283"/>
        <v/>
      </c>
      <c r="LC793" s="1638" t="str">
        <f t="shared" si="284"/>
        <v/>
      </c>
      <c r="LD793" s="1638" t="str">
        <f t="shared" si="285"/>
        <v/>
      </c>
      <c r="LE793" s="1638" t="str">
        <f t="shared" si="286"/>
        <v/>
      </c>
      <c r="LF793" s="1637" t="str">
        <f t="shared" si="287"/>
        <v/>
      </c>
      <c r="LG793" s="1637" t="str">
        <f t="shared" si="288"/>
        <v/>
      </c>
      <c r="LH793" s="1637" t="str">
        <f t="shared" si="289"/>
        <v/>
      </c>
      <c r="LI793" s="1637" t="str">
        <f t="shared" si="290"/>
        <v/>
      </c>
      <c r="LJ793" s="1637" t="str">
        <f t="shared" si="291"/>
        <v/>
      </c>
      <c r="LK793" s="742" t="str">
        <f t="shared" si="292"/>
        <v/>
      </c>
      <c r="LL793" s="742" t="str">
        <f t="shared" si="293"/>
        <v/>
      </c>
      <c r="LM793" s="742" t="str">
        <f t="shared" si="294"/>
        <v/>
      </c>
      <c r="LN793" s="742" t="str">
        <f t="shared" si="295"/>
        <v/>
      </c>
      <c r="LO793" s="742" t="str">
        <f t="shared" si="296"/>
        <v/>
      </c>
      <c r="LP793" s="742" t="str">
        <f t="shared" si="297"/>
        <v/>
      </c>
      <c r="LQ793" s="742" t="str">
        <f t="shared" si="298"/>
        <v/>
      </c>
      <c r="LR793" s="742" t="str">
        <f t="shared" si="299"/>
        <v/>
      </c>
      <c r="LS793" s="742" t="str">
        <f t="shared" si="300"/>
        <v/>
      </c>
      <c r="LT793" s="742" t="str">
        <f t="shared" si="301"/>
        <v/>
      </c>
      <c r="LU793" s="742" t="str">
        <f t="shared" si="302"/>
        <v/>
      </c>
      <c r="LV793" s="742" t="str">
        <f t="shared" si="303"/>
        <v/>
      </c>
      <c r="LW793" s="742" t="str">
        <f t="shared" si="304"/>
        <v/>
      </c>
      <c r="LX793" s="742" t="str">
        <f t="shared" si="305"/>
        <v/>
      </c>
      <c r="LY793" s="742" t="str">
        <f t="shared" si="306"/>
        <v/>
      </c>
      <c r="LZ793" s="742" t="str">
        <f t="shared" si="307"/>
        <v/>
      </c>
      <c r="MA793" s="742" t="str">
        <f t="shared" si="308"/>
        <v/>
      </c>
      <c r="MB793" s="742" t="str">
        <f t="shared" si="309"/>
        <v/>
      </c>
      <c r="MC793" s="742" t="str">
        <f t="shared" si="310"/>
        <v/>
      </c>
      <c r="MD793" s="742" t="str">
        <f t="shared" si="311"/>
        <v/>
      </c>
      <c r="ME793" s="1637">
        <f t="shared" si="323"/>
        <v>0</v>
      </c>
      <c r="MF793" s="1637">
        <f t="shared" si="324"/>
        <v>0</v>
      </c>
      <c r="MG793" s="1637">
        <f t="shared" si="325"/>
        <v>0</v>
      </c>
      <c r="MH793" s="1637">
        <f t="shared" si="326"/>
        <v>0</v>
      </c>
      <c r="MI793" s="1637">
        <f t="shared" si="327"/>
        <v>0</v>
      </c>
      <c r="MJ793" s="1637">
        <f t="shared" si="328"/>
        <v>0</v>
      </c>
      <c r="MK793" s="1637">
        <f t="shared" si="329"/>
        <v>0</v>
      </c>
      <c r="ML793" s="1637">
        <f t="shared" si="330"/>
        <v>0</v>
      </c>
      <c r="MM793" s="1637">
        <f t="shared" si="331"/>
        <v>0</v>
      </c>
      <c r="MN793" s="1637">
        <f t="shared" si="332"/>
        <v>0</v>
      </c>
      <c r="MO793" s="1637">
        <f t="shared" si="333"/>
        <v>0</v>
      </c>
      <c r="MP793" s="1637">
        <f t="shared" si="334"/>
        <v>0</v>
      </c>
      <c r="MQ793" s="1637">
        <f t="shared" si="335"/>
        <v>0</v>
      </c>
      <c r="MR793" s="1637">
        <f t="shared" si="336"/>
        <v>0</v>
      </c>
      <c r="MS793" s="1637">
        <f t="shared" si="337"/>
        <v>0</v>
      </c>
    </row>
    <row r="794" spans="1:357" ht="13.5">
      <c r="A794" s="1630" t="str">
        <f t="shared" si="0"/>
        <v/>
      </c>
      <c r="B794" s="2757">
        <f>'Part VI-Revenues &amp; Expenses'!B32</f>
        <v>0</v>
      </c>
      <c r="C794" s="2146">
        <f>'Part VI-Revenues &amp; Expenses'!C32</f>
        <v>0</v>
      </c>
      <c r="D794" s="2147">
        <f>'Part VI-Revenues &amp; Expenses'!D32</f>
        <v>0</v>
      </c>
      <c r="E794" s="2148">
        <f>'Part VI-Revenues &amp; Expenses'!E32</f>
        <v>0</v>
      </c>
      <c r="F794" s="2148">
        <f>'Part VI-Revenues &amp; Expenses'!F32</f>
        <v>0</v>
      </c>
      <c r="G794" s="2148">
        <f>'Part VI-Revenues &amp; Expenses'!G32</f>
        <v>0</v>
      </c>
      <c r="H794" s="2148">
        <f>'Part VI-Revenues &amp; Expenses'!H32</f>
        <v>0</v>
      </c>
      <c r="I794" s="2148">
        <f>'Part VI-Revenues &amp; Expenses'!I32</f>
        <v>0</v>
      </c>
      <c r="J794" s="2149">
        <f>'Part VI-Revenues &amp; Expenses'!J32</f>
        <v>0</v>
      </c>
      <c r="K794" s="1822">
        <f t="shared" si="1"/>
        <v>0</v>
      </c>
      <c r="L794" s="1822">
        <f t="shared" si="2"/>
        <v>0</v>
      </c>
      <c r="M794" s="2133">
        <f>'Part VI-Revenues &amp; Expenses'!M32</f>
        <v>0</v>
      </c>
      <c r="N794" s="2133">
        <f>'Part VI-Revenues &amp; Expenses'!N32</f>
        <v>0</v>
      </c>
      <c r="O794" s="2133">
        <f>'Part VI-Revenues &amp; Expenses'!O32</f>
        <v>0</v>
      </c>
      <c r="P794" s="1633">
        <f>'Part VI-Revenues &amp; Expenses'!P32</f>
        <v>0</v>
      </c>
      <c r="Q794" s="1823" t="str">
        <f>'Part VI-Revenues &amp; Expenses'!Q32</f>
        <v/>
      </c>
      <c r="R794" s="1824" t="str">
        <f>'Part VI-Revenues &amp; Expenses'!R32</f>
        <v/>
      </c>
      <c r="S794" s="1823">
        <f>'Part VI-Revenues &amp; Expenses'!S32</f>
        <v>0</v>
      </c>
      <c r="T794" s="1824">
        <f>'Part VI-Revenues &amp; Expenses'!T32</f>
        <v>0</v>
      </c>
      <c r="U794" s="1838">
        <f>'Part VI-Revenues &amp; Expenses'!U32:V32</f>
        <v>0</v>
      </c>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312"/>
        <v/>
      </c>
      <c r="EH794" s="742" t="str">
        <f t="shared" si="117"/>
        <v/>
      </c>
      <c r="EI794" s="742" t="str">
        <f t="shared" si="118"/>
        <v/>
      </c>
      <c r="EJ794" s="742" t="str">
        <f t="shared" si="119"/>
        <v/>
      </c>
      <c r="EK794" s="742" t="str">
        <f t="shared" si="120"/>
        <v/>
      </c>
      <c r="EL794" s="742" t="str">
        <f t="shared" si="121"/>
        <v/>
      </c>
      <c r="EM794" s="742" t="str">
        <f t="shared" si="122"/>
        <v/>
      </c>
      <c r="EN794" s="742" t="str">
        <f t="shared" si="123"/>
        <v/>
      </c>
      <c r="EO794" s="742" t="str">
        <f t="shared" si="124"/>
        <v/>
      </c>
      <c r="EP794" s="742" t="str">
        <f t="shared" si="125"/>
        <v/>
      </c>
      <c r="EQ794" s="742" t="str">
        <f t="shared" si="126"/>
        <v/>
      </c>
      <c r="ER794" s="742" t="str">
        <f t="shared" si="127"/>
        <v/>
      </c>
      <c r="ES794" s="742" t="str">
        <f t="shared" si="128"/>
        <v/>
      </c>
      <c r="ET794" s="742" t="str">
        <f t="shared" si="129"/>
        <v/>
      </c>
      <c r="EU794" s="742" t="str">
        <f t="shared" si="130"/>
        <v/>
      </c>
      <c r="EV794" s="742" t="str">
        <f t="shared" si="131"/>
        <v/>
      </c>
      <c r="EW794" s="742" t="str">
        <f t="shared" si="313"/>
        <v/>
      </c>
      <c r="EX794" s="742" t="str">
        <f t="shared" si="314"/>
        <v/>
      </c>
      <c r="EY794" s="742" t="str">
        <f t="shared" si="315"/>
        <v/>
      </c>
      <c r="EZ794" s="742" t="str">
        <f t="shared" si="316"/>
        <v/>
      </c>
      <c r="FA794" s="742" t="str">
        <f t="shared" si="317"/>
        <v/>
      </c>
      <c r="FB794" s="742" t="str">
        <f t="shared" si="132"/>
        <v/>
      </c>
      <c r="FC794" s="742" t="str">
        <f t="shared" si="133"/>
        <v/>
      </c>
      <c r="FD794" s="742" t="str">
        <f t="shared" si="134"/>
        <v/>
      </c>
      <c r="FE794" s="742" t="str">
        <f t="shared" si="135"/>
        <v/>
      </c>
      <c r="FF794" s="742" t="str">
        <f t="shared" si="136"/>
        <v/>
      </c>
      <c r="FG794" s="742" t="str">
        <f t="shared" si="318"/>
        <v/>
      </c>
      <c r="FH794" s="742" t="str">
        <f t="shared" si="319"/>
        <v/>
      </c>
      <c r="FI794" s="742" t="str">
        <f t="shared" si="320"/>
        <v/>
      </c>
      <c r="FJ794" s="742" t="str">
        <f t="shared" si="321"/>
        <v/>
      </c>
      <c r="FK794" s="742" t="str">
        <f t="shared" si="322"/>
        <v/>
      </c>
      <c r="FL794" s="742" t="str">
        <f t="shared" si="137"/>
        <v/>
      </c>
      <c r="FM794" s="742" t="str">
        <f t="shared" si="138"/>
        <v/>
      </c>
      <c r="FN794" s="742" t="str">
        <f t="shared" si="139"/>
        <v/>
      </c>
      <c r="FO794" s="742" t="str">
        <f t="shared" si="140"/>
        <v/>
      </c>
      <c r="FP794" s="742" t="str">
        <f t="shared" si="141"/>
        <v/>
      </c>
      <c r="FQ794" s="742" t="str">
        <f t="shared" si="142"/>
        <v/>
      </c>
      <c r="FR794" s="742" t="str">
        <f t="shared" si="143"/>
        <v/>
      </c>
      <c r="FS794" s="742" t="str">
        <f t="shared" si="144"/>
        <v/>
      </c>
      <c r="FT794" s="742" t="str">
        <f t="shared" si="145"/>
        <v/>
      </c>
      <c r="FU794" s="742" t="str">
        <f t="shared" si="146"/>
        <v/>
      </c>
      <c r="FV794" s="742" t="str">
        <f t="shared" si="147"/>
        <v/>
      </c>
      <c r="FW794" s="742" t="str">
        <f t="shared" si="148"/>
        <v/>
      </c>
      <c r="FX794" s="742" t="str">
        <f t="shared" si="149"/>
        <v/>
      </c>
      <c r="FY794" s="742" t="str">
        <f t="shared" si="150"/>
        <v/>
      </c>
      <c r="FZ794" s="742" t="str">
        <f t="shared" si="151"/>
        <v/>
      </c>
      <c r="GA794" s="742" t="str">
        <f t="shared" si="152"/>
        <v/>
      </c>
      <c r="GB794" s="742" t="str">
        <f t="shared" si="153"/>
        <v/>
      </c>
      <c r="GC794" s="742" t="str">
        <f t="shared" si="154"/>
        <v/>
      </c>
      <c r="GD794" s="742" t="str">
        <f t="shared" si="155"/>
        <v/>
      </c>
      <c r="GE794" s="742" t="str">
        <f t="shared" si="156"/>
        <v/>
      </c>
      <c r="GF794" s="742" t="str">
        <f t="shared" si="157"/>
        <v/>
      </c>
      <c r="GG794" s="742" t="str">
        <f t="shared" si="158"/>
        <v/>
      </c>
      <c r="GH794" s="742" t="str">
        <f t="shared" si="159"/>
        <v/>
      </c>
      <c r="GI794" s="742" t="str">
        <f t="shared" si="160"/>
        <v/>
      </c>
      <c r="GJ794" s="742" t="str">
        <f t="shared" si="161"/>
        <v/>
      </c>
      <c r="GK794" s="742" t="str">
        <f t="shared" si="162"/>
        <v/>
      </c>
      <c r="GL794" s="742" t="str">
        <f t="shared" si="163"/>
        <v/>
      </c>
      <c r="GM794" s="742" t="str">
        <f t="shared" si="164"/>
        <v/>
      </c>
      <c r="GN794" s="742" t="str">
        <f t="shared" si="165"/>
        <v/>
      </c>
      <c r="GO794" s="742" t="str">
        <f t="shared" si="166"/>
        <v/>
      </c>
      <c r="GP794" s="742" t="str">
        <f t="shared" si="167"/>
        <v/>
      </c>
      <c r="GQ794" s="742" t="str">
        <f t="shared" si="168"/>
        <v/>
      </c>
      <c r="GR794" s="742" t="str">
        <f t="shared" si="169"/>
        <v/>
      </c>
      <c r="GS794" s="742" t="str">
        <f t="shared" si="170"/>
        <v/>
      </c>
      <c r="GT794" s="742" t="str">
        <f t="shared" si="171"/>
        <v/>
      </c>
      <c r="GU794" s="742" t="str">
        <f t="shared" si="172"/>
        <v/>
      </c>
      <c r="GV794" s="742" t="str">
        <f t="shared" si="173"/>
        <v/>
      </c>
      <c r="GW794" s="742" t="str">
        <f t="shared" si="174"/>
        <v/>
      </c>
      <c r="GX794" s="742" t="str">
        <f t="shared" si="175"/>
        <v/>
      </c>
      <c r="GY794" s="742" t="str">
        <f t="shared" si="176"/>
        <v/>
      </c>
      <c r="GZ794" s="742" t="str">
        <f t="shared" si="177"/>
        <v/>
      </c>
      <c r="HA794" s="742" t="str">
        <f t="shared" si="178"/>
        <v/>
      </c>
      <c r="HB794" s="742" t="str">
        <f t="shared" si="179"/>
        <v/>
      </c>
      <c r="HC794" s="742" t="str">
        <f t="shared" si="180"/>
        <v/>
      </c>
      <c r="HD794" s="742" t="str">
        <f t="shared" si="181"/>
        <v/>
      </c>
      <c r="HE794" s="742" t="str">
        <f t="shared" si="182"/>
        <v/>
      </c>
      <c r="HF794" s="742" t="str">
        <f t="shared" si="183"/>
        <v/>
      </c>
      <c r="HG794" s="742" t="str">
        <f t="shared" si="184"/>
        <v/>
      </c>
      <c r="HH794" s="742" t="str">
        <f t="shared" si="185"/>
        <v/>
      </c>
      <c r="HI794" s="742" t="str">
        <f t="shared" si="186"/>
        <v/>
      </c>
      <c r="HJ794" s="742" t="str">
        <f t="shared" si="187"/>
        <v/>
      </c>
      <c r="HK794" s="742" t="str">
        <f t="shared" si="188"/>
        <v/>
      </c>
      <c r="HL794" s="742" t="str">
        <f t="shared" si="189"/>
        <v/>
      </c>
      <c r="HM794" s="742" t="str">
        <f t="shared" si="190"/>
        <v/>
      </c>
      <c r="HN794" s="742" t="str">
        <f t="shared" si="191"/>
        <v/>
      </c>
      <c r="HO794" s="742" t="str">
        <f t="shared" si="192"/>
        <v/>
      </c>
      <c r="HP794" s="742" t="str">
        <f t="shared" si="193"/>
        <v/>
      </c>
      <c r="HQ794" s="742" t="str">
        <f t="shared" si="194"/>
        <v/>
      </c>
      <c r="HR794" s="742" t="str">
        <f t="shared" si="195"/>
        <v/>
      </c>
      <c r="HS794" s="742" t="str">
        <f t="shared" si="196"/>
        <v/>
      </c>
      <c r="HT794" s="742" t="str">
        <f t="shared" si="197"/>
        <v/>
      </c>
      <c r="HU794" s="742" t="str">
        <f t="shared" si="198"/>
        <v/>
      </c>
      <c r="HV794" s="742" t="str">
        <f t="shared" si="199"/>
        <v/>
      </c>
      <c r="HW794" s="742" t="str">
        <f t="shared" si="200"/>
        <v/>
      </c>
      <c r="HX794" s="742" t="str">
        <f t="shared" si="201"/>
        <v/>
      </c>
      <c r="HY794" s="1638" t="str">
        <f t="shared" si="202"/>
        <v/>
      </c>
      <c r="HZ794" s="1638" t="str">
        <f t="shared" si="203"/>
        <v/>
      </c>
      <c r="IA794" s="1638" t="str">
        <f t="shared" si="204"/>
        <v/>
      </c>
      <c r="IB794" s="1638" t="str">
        <f t="shared" si="205"/>
        <v/>
      </c>
      <c r="IC794" s="1638" t="str">
        <f t="shared" si="206"/>
        <v/>
      </c>
      <c r="ID794" s="1638" t="str">
        <f t="shared" si="207"/>
        <v/>
      </c>
      <c r="IE794" s="1638" t="str">
        <f t="shared" si="208"/>
        <v/>
      </c>
      <c r="IF794" s="1638" t="str">
        <f t="shared" si="209"/>
        <v/>
      </c>
      <c r="IG794" s="1638" t="str">
        <f t="shared" si="210"/>
        <v/>
      </c>
      <c r="IH794" s="1638" t="str">
        <f t="shared" si="211"/>
        <v/>
      </c>
      <c r="II794" s="1638" t="str">
        <f t="shared" si="212"/>
        <v/>
      </c>
      <c r="IJ794" s="1638" t="str">
        <f t="shared" si="213"/>
        <v/>
      </c>
      <c r="IK794" s="1638" t="str">
        <f t="shared" si="214"/>
        <v/>
      </c>
      <c r="IL794" s="1638" t="str">
        <f t="shared" si="215"/>
        <v/>
      </c>
      <c r="IM794" s="1638" t="str">
        <f t="shared" si="216"/>
        <v/>
      </c>
      <c r="IN794" s="1638" t="str">
        <f t="shared" si="217"/>
        <v/>
      </c>
      <c r="IO794" s="1638" t="str">
        <f t="shared" si="218"/>
        <v/>
      </c>
      <c r="IP794" s="1638" t="str">
        <f t="shared" si="219"/>
        <v/>
      </c>
      <c r="IQ794" s="1638" t="str">
        <f t="shared" si="220"/>
        <v/>
      </c>
      <c r="IR794" s="1638" t="str">
        <f t="shared" si="221"/>
        <v/>
      </c>
      <c r="IS794" s="1638" t="str">
        <f t="shared" si="222"/>
        <v/>
      </c>
      <c r="IT794" s="1638" t="str">
        <f t="shared" si="223"/>
        <v/>
      </c>
      <c r="IU794" s="1638" t="str">
        <f t="shared" si="224"/>
        <v/>
      </c>
      <c r="IV794" s="1638" t="str">
        <f t="shared" si="225"/>
        <v/>
      </c>
      <c r="IW794" s="1638" t="str">
        <f t="shared" si="226"/>
        <v/>
      </c>
      <c r="IX794" s="1638" t="str">
        <f t="shared" si="227"/>
        <v/>
      </c>
      <c r="IY794" s="1638" t="str">
        <f t="shared" si="228"/>
        <v/>
      </c>
      <c r="IZ794" s="1638" t="str">
        <f t="shared" si="229"/>
        <v/>
      </c>
      <c r="JA794" s="1638" t="str">
        <f t="shared" si="230"/>
        <v/>
      </c>
      <c r="JB794" s="1638" t="str">
        <f t="shared" si="231"/>
        <v/>
      </c>
      <c r="JC794" s="1638" t="str">
        <f t="shared" si="232"/>
        <v/>
      </c>
      <c r="JD794" s="1638" t="str">
        <f t="shared" si="233"/>
        <v/>
      </c>
      <c r="JE794" s="1638" t="str">
        <f t="shared" si="234"/>
        <v/>
      </c>
      <c r="JF794" s="1638" t="str">
        <f t="shared" si="235"/>
        <v/>
      </c>
      <c r="JG794" s="1638" t="str">
        <f t="shared" si="236"/>
        <v/>
      </c>
      <c r="JH794" s="1638" t="str">
        <f t="shared" si="237"/>
        <v/>
      </c>
      <c r="JI794" s="1638" t="str">
        <f t="shared" si="238"/>
        <v/>
      </c>
      <c r="JJ794" s="1638" t="str">
        <f t="shared" si="239"/>
        <v/>
      </c>
      <c r="JK794" s="1638" t="str">
        <f t="shared" si="240"/>
        <v/>
      </c>
      <c r="JL794" s="1638" t="str">
        <f t="shared" si="241"/>
        <v/>
      </c>
      <c r="JM794" s="1638" t="str">
        <f t="shared" si="242"/>
        <v/>
      </c>
      <c r="JN794" s="1638" t="str">
        <f t="shared" si="243"/>
        <v/>
      </c>
      <c r="JO794" s="1638" t="str">
        <f t="shared" si="244"/>
        <v/>
      </c>
      <c r="JP794" s="1638" t="str">
        <f t="shared" si="245"/>
        <v/>
      </c>
      <c r="JQ794" s="1638" t="str">
        <f t="shared" si="246"/>
        <v/>
      </c>
      <c r="JR794" s="1638" t="str">
        <f t="shared" si="247"/>
        <v/>
      </c>
      <c r="JS794" s="1638" t="str">
        <f t="shared" si="248"/>
        <v/>
      </c>
      <c r="JT794" s="1638" t="str">
        <f t="shared" si="249"/>
        <v/>
      </c>
      <c r="JU794" s="1638" t="str">
        <f t="shared" si="250"/>
        <v/>
      </c>
      <c r="JV794" s="1638" t="str">
        <f t="shared" si="251"/>
        <v/>
      </c>
      <c r="JW794" s="1638" t="str">
        <f t="shared" si="252"/>
        <v/>
      </c>
      <c r="JX794" s="1638" t="str">
        <f t="shared" si="253"/>
        <v/>
      </c>
      <c r="JY794" s="1638" t="str">
        <f t="shared" si="254"/>
        <v/>
      </c>
      <c r="JZ794" s="1638" t="str">
        <f t="shared" si="255"/>
        <v/>
      </c>
      <c r="KA794" s="1638" t="str">
        <f t="shared" si="256"/>
        <v/>
      </c>
      <c r="KB794" s="1638" t="str">
        <f t="shared" si="257"/>
        <v/>
      </c>
      <c r="KC794" s="1638" t="str">
        <f t="shared" si="258"/>
        <v/>
      </c>
      <c r="KD794" s="1638" t="str">
        <f t="shared" si="259"/>
        <v/>
      </c>
      <c r="KE794" s="1638" t="str">
        <f t="shared" si="260"/>
        <v/>
      </c>
      <c r="KF794" s="1638" t="str">
        <f t="shared" si="261"/>
        <v/>
      </c>
      <c r="KG794" s="1638" t="str">
        <f t="shared" si="262"/>
        <v/>
      </c>
      <c r="KH794" s="1638" t="str">
        <f t="shared" si="263"/>
        <v/>
      </c>
      <c r="KI794" s="1638" t="str">
        <f t="shared" si="264"/>
        <v/>
      </c>
      <c r="KJ794" s="1638" t="str">
        <f t="shared" si="265"/>
        <v/>
      </c>
      <c r="KK794" s="1638" t="str">
        <f t="shared" si="266"/>
        <v/>
      </c>
      <c r="KL794" s="1638" t="str">
        <f t="shared" si="267"/>
        <v/>
      </c>
      <c r="KM794" s="1638" t="str">
        <f t="shared" si="268"/>
        <v/>
      </c>
      <c r="KN794" s="1638" t="str">
        <f t="shared" si="269"/>
        <v/>
      </c>
      <c r="KO794" s="1638" t="str">
        <f t="shared" si="270"/>
        <v/>
      </c>
      <c r="KP794" s="1638" t="str">
        <f t="shared" si="271"/>
        <v/>
      </c>
      <c r="KQ794" s="1638" t="str">
        <f t="shared" si="272"/>
        <v/>
      </c>
      <c r="KR794" s="1638" t="str">
        <f t="shared" si="273"/>
        <v/>
      </c>
      <c r="KS794" s="1638" t="str">
        <f t="shared" si="274"/>
        <v/>
      </c>
      <c r="KT794" s="1638" t="str">
        <f t="shared" si="275"/>
        <v/>
      </c>
      <c r="KU794" s="1638" t="str">
        <f t="shared" si="276"/>
        <v/>
      </c>
      <c r="KV794" s="1638" t="str">
        <f t="shared" si="277"/>
        <v/>
      </c>
      <c r="KW794" s="1638" t="str">
        <f t="shared" si="278"/>
        <v/>
      </c>
      <c r="KX794" s="1638" t="str">
        <f t="shared" si="279"/>
        <v/>
      </c>
      <c r="KY794" s="1638" t="str">
        <f t="shared" si="280"/>
        <v/>
      </c>
      <c r="KZ794" s="1638" t="str">
        <f t="shared" si="281"/>
        <v/>
      </c>
      <c r="LA794" s="1638" t="str">
        <f t="shared" si="282"/>
        <v/>
      </c>
      <c r="LB794" s="1638" t="str">
        <f t="shared" si="283"/>
        <v/>
      </c>
      <c r="LC794" s="1638" t="str">
        <f t="shared" si="284"/>
        <v/>
      </c>
      <c r="LD794" s="1638" t="str">
        <f t="shared" si="285"/>
        <v/>
      </c>
      <c r="LE794" s="1638" t="str">
        <f t="shared" si="286"/>
        <v/>
      </c>
      <c r="LF794" s="1637" t="str">
        <f t="shared" si="287"/>
        <v/>
      </c>
      <c r="LG794" s="1637" t="str">
        <f t="shared" si="288"/>
        <v/>
      </c>
      <c r="LH794" s="1637" t="str">
        <f t="shared" si="289"/>
        <v/>
      </c>
      <c r="LI794" s="1637" t="str">
        <f t="shared" si="290"/>
        <v/>
      </c>
      <c r="LJ794" s="1637" t="str">
        <f t="shared" si="291"/>
        <v/>
      </c>
      <c r="LK794" s="742" t="str">
        <f t="shared" si="292"/>
        <v/>
      </c>
      <c r="LL794" s="742" t="str">
        <f t="shared" si="293"/>
        <v/>
      </c>
      <c r="LM794" s="742" t="str">
        <f t="shared" si="294"/>
        <v/>
      </c>
      <c r="LN794" s="742" t="str">
        <f t="shared" si="295"/>
        <v/>
      </c>
      <c r="LO794" s="742" t="str">
        <f t="shared" si="296"/>
        <v/>
      </c>
      <c r="LP794" s="742" t="str">
        <f t="shared" si="297"/>
        <v/>
      </c>
      <c r="LQ794" s="742" t="str">
        <f t="shared" si="298"/>
        <v/>
      </c>
      <c r="LR794" s="742" t="str">
        <f t="shared" si="299"/>
        <v/>
      </c>
      <c r="LS794" s="742" t="str">
        <f t="shared" si="300"/>
        <v/>
      </c>
      <c r="LT794" s="742" t="str">
        <f t="shared" si="301"/>
        <v/>
      </c>
      <c r="LU794" s="742" t="str">
        <f t="shared" si="302"/>
        <v/>
      </c>
      <c r="LV794" s="742" t="str">
        <f t="shared" si="303"/>
        <v/>
      </c>
      <c r="LW794" s="742" t="str">
        <f t="shared" si="304"/>
        <v/>
      </c>
      <c r="LX794" s="742" t="str">
        <f t="shared" si="305"/>
        <v/>
      </c>
      <c r="LY794" s="742" t="str">
        <f t="shared" si="306"/>
        <v/>
      </c>
      <c r="LZ794" s="742" t="str">
        <f t="shared" si="307"/>
        <v/>
      </c>
      <c r="MA794" s="742" t="str">
        <f t="shared" si="308"/>
        <v/>
      </c>
      <c r="MB794" s="742" t="str">
        <f t="shared" si="309"/>
        <v/>
      </c>
      <c r="MC794" s="742" t="str">
        <f t="shared" si="310"/>
        <v/>
      </c>
      <c r="MD794" s="742" t="str">
        <f t="shared" si="311"/>
        <v/>
      </c>
      <c r="ME794" s="1637">
        <f t="shared" si="323"/>
        <v>0</v>
      </c>
      <c r="MF794" s="1637">
        <f t="shared" si="324"/>
        <v>0</v>
      </c>
      <c r="MG794" s="1637">
        <f t="shared" si="325"/>
        <v>0</v>
      </c>
      <c r="MH794" s="1637">
        <f t="shared" si="326"/>
        <v>0</v>
      </c>
      <c r="MI794" s="1637">
        <f t="shared" si="327"/>
        <v>0</v>
      </c>
      <c r="MJ794" s="1637">
        <f t="shared" si="328"/>
        <v>0</v>
      </c>
      <c r="MK794" s="1637">
        <f t="shared" si="329"/>
        <v>0</v>
      </c>
      <c r="ML794" s="1637">
        <f t="shared" si="330"/>
        <v>0</v>
      </c>
      <c r="MM794" s="1637">
        <f t="shared" si="331"/>
        <v>0</v>
      </c>
      <c r="MN794" s="1637">
        <f t="shared" si="332"/>
        <v>0</v>
      </c>
      <c r="MO794" s="1637">
        <f t="shared" si="333"/>
        <v>0</v>
      </c>
      <c r="MP794" s="1637">
        <f t="shared" si="334"/>
        <v>0</v>
      </c>
      <c r="MQ794" s="1637">
        <f t="shared" si="335"/>
        <v>0</v>
      </c>
      <c r="MR794" s="1637">
        <f t="shared" si="336"/>
        <v>0</v>
      </c>
      <c r="MS794" s="1637">
        <f t="shared" si="337"/>
        <v>0</v>
      </c>
    </row>
    <row r="795" spans="1:357" ht="13.5">
      <c r="A795" s="1630" t="str">
        <f t="shared" si="0"/>
        <v/>
      </c>
      <c r="B795" s="2757">
        <f>'Part VI-Revenues &amp; Expenses'!B33</f>
        <v>0</v>
      </c>
      <c r="C795" s="2146">
        <f>'Part VI-Revenues &amp; Expenses'!C33</f>
        <v>0</v>
      </c>
      <c r="D795" s="2147">
        <f>'Part VI-Revenues &amp; Expenses'!D33</f>
        <v>0</v>
      </c>
      <c r="E795" s="2148">
        <f>'Part VI-Revenues &amp; Expenses'!E33</f>
        <v>0</v>
      </c>
      <c r="F795" s="2148">
        <f>'Part VI-Revenues &amp; Expenses'!F33</f>
        <v>0</v>
      </c>
      <c r="G795" s="2148">
        <f>'Part VI-Revenues &amp; Expenses'!G33</f>
        <v>0</v>
      </c>
      <c r="H795" s="2148">
        <f>'Part VI-Revenues &amp; Expenses'!H33</f>
        <v>0</v>
      </c>
      <c r="I795" s="2148">
        <f>'Part VI-Revenues &amp; Expenses'!I33</f>
        <v>0</v>
      </c>
      <c r="J795" s="2149">
        <f>'Part VI-Revenues &amp; Expenses'!J33</f>
        <v>0</v>
      </c>
      <c r="K795" s="1822">
        <f t="shared" si="1"/>
        <v>0</v>
      </c>
      <c r="L795" s="1822">
        <f t="shared" si="2"/>
        <v>0</v>
      </c>
      <c r="M795" s="2133">
        <f>'Part VI-Revenues &amp; Expenses'!M33</f>
        <v>0</v>
      </c>
      <c r="N795" s="2133">
        <f>'Part VI-Revenues &amp; Expenses'!N33</f>
        <v>0</v>
      </c>
      <c r="O795" s="2133">
        <f>'Part VI-Revenues &amp; Expenses'!O33</f>
        <v>0</v>
      </c>
      <c r="P795" s="1633">
        <f>'Part VI-Revenues &amp; Expenses'!P33</f>
        <v>0</v>
      </c>
      <c r="Q795" s="1823" t="str">
        <f>'Part VI-Revenues &amp; Expenses'!Q33</f>
        <v/>
      </c>
      <c r="R795" s="1824" t="str">
        <f>'Part VI-Revenues &amp; Expenses'!R33</f>
        <v/>
      </c>
      <c r="S795" s="1823">
        <f>'Part VI-Revenues &amp; Expenses'!S33</f>
        <v>0</v>
      </c>
      <c r="T795" s="1824">
        <f>'Part VI-Revenues &amp; Expenses'!T33</f>
        <v>0</v>
      </c>
      <c r="U795" s="1838">
        <f>'Part VI-Revenues &amp; Expenses'!U33:V33</f>
        <v>0</v>
      </c>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312"/>
        <v/>
      </c>
      <c r="EH795" s="742" t="str">
        <f t="shared" si="117"/>
        <v/>
      </c>
      <c r="EI795" s="742" t="str">
        <f t="shared" si="118"/>
        <v/>
      </c>
      <c r="EJ795" s="742" t="str">
        <f t="shared" si="119"/>
        <v/>
      </c>
      <c r="EK795" s="742" t="str">
        <f t="shared" si="120"/>
        <v/>
      </c>
      <c r="EL795" s="742" t="str">
        <f t="shared" si="121"/>
        <v/>
      </c>
      <c r="EM795" s="742" t="str">
        <f t="shared" si="122"/>
        <v/>
      </c>
      <c r="EN795" s="742" t="str">
        <f t="shared" si="123"/>
        <v/>
      </c>
      <c r="EO795" s="742" t="str">
        <f t="shared" si="124"/>
        <v/>
      </c>
      <c r="EP795" s="742" t="str">
        <f t="shared" si="125"/>
        <v/>
      </c>
      <c r="EQ795" s="742" t="str">
        <f t="shared" si="126"/>
        <v/>
      </c>
      <c r="ER795" s="742" t="str">
        <f t="shared" si="127"/>
        <v/>
      </c>
      <c r="ES795" s="742" t="str">
        <f t="shared" si="128"/>
        <v/>
      </c>
      <c r="ET795" s="742" t="str">
        <f t="shared" si="129"/>
        <v/>
      </c>
      <c r="EU795" s="742" t="str">
        <f t="shared" si="130"/>
        <v/>
      </c>
      <c r="EV795" s="742" t="str">
        <f t="shared" si="131"/>
        <v/>
      </c>
      <c r="EW795" s="742" t="str">
        <f t="shared" si="313"/>
        <v/>
      </c>
      <c r="EX795" s="742" t="str">
        <f t="shared" si="314"/>
        <v/>
      </c>
      <c r="EY795" s="742" t="str">
        <f t="shared" si="315"/>
        <v/>
      </c>
      <c r="EZ795" s="742" t="str">
        <f t="shared" si="316"/>
        <v/>
      </c>
      <c r="FA795" s="742" t="str">
        <f t="shared" si="317"/>
        <v/>
      </c>
      <c r="FB795" s="742" t="str">
        <f t="shared" si="132"/>
        <v/>
      </c>
      <c r="FC795" s="742" t="str">
        <f t="shared" si="133"/>
        <v/>
      </c>
      <c r="FD795" s="742" t="str">
        <f t="shared" si="134"/>
        <v/>
      </c>
      <c r="FE795" s="742" t="str">
        <f t="shared" si="135"/>
        <v/>
      </c>
      <c r="FF795" s="742" t="str">
        <f t="shared" si="136"/>
        <v/>
      </c>
      <c r="FG795" s="742" t="str">
        <f t="shared" si="318"/>
        <v/>
      </c>
      <c r="FH795" s="742" t="str">
        <f t="shared" si="319"/>
        <v/>
      </c>
      <c r="FI795" s="742" t="str">
        <f t="shared" si="320"/>
        <v/>
      </c>
      <c r="FJ795" s="742" t="str">
        <f t="shared" si="321"/>
        <v/>
      </c>
      <c r="FK795" s="742" t="str">
        <f t="shared" si="322"/>
        <v/>
      </c>
      <c r="FL795" s="742" t="str">
        <f t="shared" si="137"/>
        <v/>
      </c>
      <c r="FM795" s="742" t="str">
        <f t="shared" si="138"/>
        <v/>
      </c>
      <c r="FN795" s="742" t="str">
        <f t="shared" si="139"/>
        <v/>
      </c>
      <c r="FO795" s="742" t="str">
        <f t="shared" si="140"/>
        <v/>
      </c>
      <c r="FP795" s="742" t="str">
        <f t="shared" si="141"/>
        <v/>
      </c>
      <c r="FQ795" s="742" t="str">
        <f t="shared" si="142"/>
        <v/>
      </c>
      <c r="FR795" s="742" t="str">
        <f t="shared" si="143"/>
        <v/>
      </c>
      <c r="FS795" s="742" t="str">
        <f t="shared" si="144"/>
        <v/>
      </c>
      <c r="FT795" s="742" t="str">
        <f t="shared" si="145"/>
        <v/>
      </c>
      <c r="FU795" s="742" t="str">
        <f t="shared" si="146"/>
        <v/>
      </c>
      <c r="FV795" s="742" t="str">
        <f t="shared" si="147"/>
        <v/>
      </c>
      <c r="FW795" s="742" t="str">
        <f t="shared" si="148"/>
        <v/>
      </c>
      <c r="FX795" s="742" t="str">
        <f t="shared" si="149"/>
        <v/>
      </c>
      <c r="FY795" s="742" t="str">
        <f t="shared" si="150"/>
        <v/>
      </c>
      <c r="FZ795" s="742" t="str">
        <f t="shared" si="151"/>
        <v/>
      </c>
      <c r="GA795" s="742" t="str">
        <f t="shared" si="152"/>
        <v/>
      </c>
      <c r="GB795" s="742" t="str">
        <f t="shared" si="153"/>
        <v/>
      </c>
      <c r="GC795" s="742" t="str">
        <f t="shared" si="154"/>
        <v/>
      </c>
      <c r="GD795" s="742" t="str">
        <f t="shared" si="155"/>
        <v/>
      </c>
      <c r="GE795" s="742" t="str">
        <f t="shared" si="156"/>
        <v/>
      </c>
      <c r="GF795" s="742" t="str">
        <f t="shared" si="157"/>
        <v/>
      </c>
      <c r="GG795" s="742" t="str">
        <f t="shared" si="158"/>
        <v/>
      </c>
      <c r="GH795" s="742" t="str">
        <f t="shared" si="159"/>
        <v/>
      </c>
      <c r="GI795" s="742" t="str">
        <f t="shared" si="160"/>
        <v/>
      </c>
      <c r="GJ795" s="742" t="str">
        <f t="shared" si="161"/>
        <v/>
      </c>
      <c r="GK795" s="742" t="str">
        <f t="shared" si="162"/>
        <v/>
      </c>
      <c r="GL795" s="742" t="str">
        <f t="shared" si="163"/>
        <v/>
      </c>
      <c r="GM795" s="742" t="str">
        <f t="shared" si="164"/>
        <v/>
      </c>
      <c r="GN795" s="742" t="str">
        <f t="shared" si="165"/>
        <v/>
      </c>
      <c r="GO795" s="742" t="str">
        <f t="shared" si="166"/>
        <v/>
      </c>
      <c r="GP795" s="742" t="str">
        <f t="shared" si="167"/>
        <v/>
      </c>
      <c r="GQ795" s="742" t="str">
        <f t="shared" si="168"/>
        <v/>
      </c>
      <c r="GR795" s="742" t="str">
        <f t="shared" si="169"/>
        <v/>
      </c>
      <c r="GS795" s="742" t="str">
        <f t="shared" si="170"/>
        <v/>
      </c>
      <c r="GT795" s="742" t="str">
        <f t="shared" si="171"/>
        <v/>
      </c>
      <c r="GU795" s="742" t="str">
        <f t="shared" si="172"/>
        <v/>
      </c>
      <c r="GV795" s="742" t="str">
        <f t="shared" si="173"/>
        <v/>
      </c>
      <c r="GW795" s="742" t="str">
        <f t="shared" si="174"/>
        <v/>
      </c>
      <c r="GX795" s="742" t="str">
        <f t="shared" si="175"/>
        <v/>
      </c>
      <c r="GY795" s="742" t="str">
        <f t="shared" si="176"/>
        <v/>
      </c>
      <c r="GZ795" s="742" t="str">
        <f t="shared" si="177"/>
        <v/>
      </c>
      <c r="HA795" s="742" t="str">
        <f t="shared" si="178"/>
        <v/>
      </c>
      <c r="HB795" s="742" t="str">
        <f t="shared" si="179"/>
        <v/>
      </c>
      <c r="HC795" s="742" t="str">
        <f t="shared" si="180"/>
        <v/>
      </c>
      <c r="HD795" s="742" t="str">
        <f t="shared" si="181"/>
        <v/>
      </c>
      <c r="HE795" s="742" t="str">
        <f t="shared" si="182"/>
        <v/>
      </c>
      <c r="HF795" s="742" t="str">
        <f t="shared" si="183"/>
        <v/>
      </c>
      <c r="HG795" s="742" t="str">
        <f t="shared" si="184"/>
        <v/>
      </c>
      <c r="HH795" s="742" t="str">
        <f t="shared" si="185"/>
        <v/>
      </c>
      <c r="HI795" s="742" t="str">
        <f t="shared" si="186"/>
        <v/>
      </c>
      <c r="HJ795" s="742" t="str">
        <f t="shared" si="187"/>
        <v/>
      </c>
      <c r="HK795" s="742" t="str">
        <f t="shared" si="188"/>
        <v/>
      </c>
      <c r="HL795" s="742" t="str">
        <f t="shared" si="189"/>
        <v/>
      </c>
      <c r="HM795" s="742" t="str">
        <f t="shared" si="190"/>
        <v/>
      </c>
      <c r="HN795" s="742" t="str">
        <f t="shared" si="191"/>
        <v/>
      </c>
      <c r="HO795" s="742" t="str">
        <f t="shared" si="192"/>
        <v/>
      </c>
      <c r="HP795" s="742" t="str">
        <f t="shared" si="193"/>
        <v/>
      </c>
      <c r="HQ795" s="742" t="str">
        <f t="shared" si="194"/>
        <v/>
      </c>
      <c r="HR795" s="742" t="str">
        <f t="shared" si="195"/>
        <v/>
      </c>
      <c r="HS795" s="742" t="str">
        <f t="shared" si="196"/>
        <v/>
      </c>
      <c r="HT795" s="742" t="str">
        <f t="shared" si="197"/>
        <v/>
      </c>
      <c r="HU795" s="742" t="str">
        <f t="shared" si="198"/>
        <v/>
      </c>
      <c r="HV795" s="742" t="str">
        <f t="shared" si="199"/>
        <v/>
      </c>
      <c r="HW795" s="742" t="str">
        <f t="shared" si="200"/>
        <v/>
      </c>
      <c r="HX795" s="742" t="str">
        <f t="shared" si="201"/>
        <v/>
      </c>
      <c r="HY795" s="1638" t="str">
        <f t="shared" si="202"/>
        <v/>
      </c>
      <c r="HZ795" s="1638" t="str">
        <f t="shared" si="203"/>
        <v/>
      </c>
      <c r="IA795" s="1638" t="str">
        <f t="shared" si="204"/>
        <v/>
      </c>
      <c r="IB795" s="1638" t="str">
        <f t="shared" si="205"/>
        <v/>
      </c>
      <c r="IC795" s="1638" t="str">
        <f t="shared" si="206"/>
        <v/>
      </c>
      <c r="ID795" s="1638" t="str">
        <f t="shared" si="207"/>
        <v/>
      </c>
      <c r="IE795" s="1638" t="str">
        <f t="shared" si="208"/>
        <v/>
      </c>
      <c r="IF795" s="1638" t="str">
        <f t="shared" si="209"/>
        <v/>
      </c>
      <c r="IG795" s="1638" t="str">
        <f t="shared" si="210"/>
        <v/>
      </c>
      <c r="IH795" s="1638" t="str">
        <f t="shared" si="211"/>
        <v/>
      </c>
      <c r="II795" s="1638" t="str">
        <f t="shared" si="212"/>
        <v/>
      </c>
      <c r="IJ795" s="1638" t="str">
        <f t="shared" si="213"/>
        <v/>
      </c>
      <c r="IK795" s="1638" t="str">
        <f t="shared" si="214"/>
        <v/>
      </c>
      <c r="IL795" s="1638" t="str">
        <f t="shared" si="215"/>
        <v/>
      </c>
      <c r="IM795" s="1638" t="str">
        <f t="shared" si="216"/>
        <v/>
      </c>
      <c r="IN795" s="1638" t="str">
        <f t="shared" si="217"/>
        <v/>
      </c>
      <c r="IO795" s="1638" t="str">
        <f t="shared" si="218"/>
        <v/>
      </c>
      <c r="IP795" s="1638" t="str">
        <f t="shared" si="219"/>
        <v/>
      </c>
      <c r="IQ795" s="1638" t="str">
        <f t="shared" si="220"/>
        <v/>
      </c>
      <c r="IR795" s="1638" t="str">
        <f t="shared" si="221"/>
        <v/>
      </c>
      <c r="IS795" s="1638" t="str">
        <f t="shared" si="222"/>
        <v/>
      </c>
      <c r="IT795" s="1638" t="str">
        <f t="shared" si="223"/>
        <v/>
      </c>
      <c r="IU795" s="1638" t="str">
        <f t="shared" si="224"/>
        <v/>
      </c>
      <c r="IV795" s="1638" t="str">
        <f t="shared" si="225"/>
        <v/>
      </c>
      <c r="IW795" s="1638" t="str">
        <f t="shared" si="226"/>
        <v/>
      </c>
      <c r="IX795" s="1638" t="str">
        <f t="shared" si="227"/>
        <v/>
      </c>
      <c r="IY795" s="1638" t="str">
        <f t="shared" si="228"/>
        <v/>
      </c>
      <c r="IZ795" s="1638" t="str">
        <f t="shared" si="229"/>
        <v/>
      </c>
      <c r="JA795" s="1638" t="str">
        <f t="shared" si="230"/>
        <v/>
      </c>
      <c r="JB795" s="1638" t="str">
        <f t="shared" si="231"/>
        <v/>
      </c>
      <c r="JC795" s="1638" t="str">
        <f t="shared" si="232"/>
        <v/>
      </c>
      <c r="JD795" s="1638" t="str">
        <f t="shared" si="233"/>
        <v/>
      </c>
      <c r="JE795" s="1638" t="str">
        <f t="shared" si="234"/>
        <v/>
      </c>
      <c r="JF795" s="1638" t="str">
        <f t="shared" si="235"/>
        <v/>
      </c>
      <c r="JG795" s="1638" t="str">
        <f t="shared" si="236"/>
        <v/>
      </c>
      <c r="JH795" s="1638" t="str">
        <f t="shared" si="237"/>
        <v/>
      </c>
      <c r="JI795" s="1638" t="str">
        <f t="shared" si="238"/>
        <v/>
      </c>
      <c r="JJ795" s="1638" t="str">
        <f t="shared" si="239"/>
        <v/>
      </c>
      <c r="JK795" s="1638" t="str">
        <f t="shared" si="240"/>
        <v/>
      </c>
      <c r="JL795" s="1638" t="str">
        <f t="shared" si="241"/>
        <v/>
      </c>
      <c r="JM795" s="1638" t="str">
        <f t="shared" si="242"/>
        <v/>
      </c>
      <c r="JN795" s="1638" t="str">
        <f t="shared" si="243"/>
        <v/>
      </c>
      <c r="JO795" s="1638" t="str">
        <f t="shared" si="244"/>
        <v/>
      </c>
      <c r="JP795" s="1638" t="str">
        <f t="shared" si="245"/>
        <v/>
      </c>
      <c r="JQ795" s="1638" t="str">
        <f t="shared" si="246"/>
        <v/>
      </c>
      <c r="JR795" s="1638" t="str">
        <f t="shared" si="247"/>
        <v/>
      </c>
      <c r="JS795" s="1638" t="str">
        <f t="shared" si="248"/>
        <v/>
      </c>
      <c r="JT795" s="1638" t="str">
        <f t="shared" si="249"/>
        <v/>
      </c>
      <c r="JU795" s="1638" t="str">
        <f t="shared" si="250"/>
        <v/>
      </c>
      <c r="JV795" s="1638" t="str">
        <f t="shared" si="251"/>
        <v/>
      </c>
      <c r="JW795" s="1638" t="str">
        <f t="shared" si="252"/>
        <v/>
      </c>
      <c r="JX795" s="1638" t="str">
        <f t="shared" si="253"/>
        <v/>
      </c>
      <c r="JY795" s="1638" t="str">
        <f t="shared" si="254"/>
        <v/>
      </c>
      <c r="JZ795" s="1638" t="str">
        <f t="shared" si="255"/>
        <v/>
      </c>
      <c r="KA795" s="1638" t="str">
        <f t="shared" si="256"/>
        <v/>
      </c>
      <c r="KB795" s="1638" t="str">
        <f t="shared" si="257"/>
        <v/>
      </c>
      <c r="KC795" s="1638" t="str">
        <f t="shared" si="258"/>
        <v/>
      </c>
      <c r="KD795" s="1638" t="str">
        <f t="shared" si="259"/>
        <v/>
      </c>
      <c r="KE795" s="1638" t="str">
        <f t="shared" si="260"/>
        <v/>
      </c>
      <c r="KF795" s="1638" t="str">
        <f t="shared" si="261"/>
        <v/>
      </c>
      <c r="KG795" s="1638" t="str">
        <f t="shared" si="262"/>
        <v/>
      </c>
      <c r="KH795" s="1638" t="str">
        <f t="shared" si="263"/>
        <v/>
      </c>
      <c r="KI795" s="1638" t="str">
        <f t="shared" si="264"/>
        <v/>
      </c>
      <c r="KJ795" s="1638" t="str">
        <f t="shared" si="265"/>
        <v/>
      </c>
      <c r="KK795" s="1638" t="str">
        <f t="shared" si="266"/>
        <v/>
      </c>
      <c r="KL795" s="1638" t="str">
        <f t="shared" si="267"/>
        <v/>
      </c>
      <c r="KM795" s="1638" t="str">
        <f t="shared" si="268"/>
        <v/>
      </c>
      <c r="KN795" s="1638" t="str">
        <f t="shared" si="269"/>
        <v/>
      </c>
      <c r="KO795" s="1638" t="str">
        <f t="shared" si="270"/>
        <v/>
      </c>
      <c r="KP795" s="1638" t="str">
        <f t="shared" si="271"/>
        <v/>
      </c>
      <c r="KQ795" s="1638" t="str">
        <f t="shared" si="272"/>
        <v/>
      </c>
      <c r="KR795" s="1638" t="str">
        <f t="shared" si="273"/>
        <v/>
      </c>
      <c r="KS795" s="1638" t="str">
        <f t="shared" si="274"/>
        <v/>
      </c>
      <c r="KT795" s="1638" t="str">
        <f t="shared" si="275"/>
        <v/>
      </c>
      <c r="KU795" s="1638" t="str">
        <f t="shared" si="276"/>
        <v/>
      </c>
      <c r="KV795" s="1638" t="str">
        <f t="shared" si="277"/>
        <v/>
      </c>
      <c r="KW795" s="1638" t="str">
        <f t="shared" si="278"/>
        <v/>
      </c>
      <c r="KX795" s="1638" t="str">
        <f t="shared" si="279"/>
        <v/>
      </c>
      <c r="KY795" s="1638" t="str">
        <f t="shared" si="280"/>
        <v/>
      </c>
      <c r="KZ795" s="1638" t="str">
        <f t="shared" si="281"/>
        <v/>
      </c>
      <c r="LA795" s="1638" t="str">
        <f t="shared" si="282"/>
        <v/>
      </c>
      <c r="LB795" s="1638" t="str">
        <f t="shared" si="283"/>
        <v/>
      </c>
      <c r="LC795" s="1638" t="str">
        <f t="shared" si="284"/>
        <v/>
      </c>
      <c r="LD795" s="1638" t="str">
        <f t="shared" si="285"/>
        <v/>
      </c>
      <c r="LE795" s="1638" t="str">
        <f t="shared" si="286"/>
        <v/>
      </c>
      <c r="LF795" s="1637" t="str">
        <f t="shared" si="287"/>
        <v/>
      </c>
      <c r="LG795" s="1637" t="str">
        <f t="shared" si="288"/>
        <v/>
      </c>
      <c r="LH795" s="1637" t="str">
        <f t="shared" si="289"/>
        <v/>
      </c>
      <c r="LI795" s="1637" t="str">
        <f t="shared" si="290"/>
        <v/>
      </c>
      <c r="LJ795" s="1637" t="str">
        <f t="shared" si="291"/>
        <v/>
      </c>
      <c r="LK795" s="742" t="str">
        <f t="shared" si="292"/>
        <v/>
      </c>
      <c r="LL795" s="742" t="str">
        <f t="shared" si="293"/>
        <v/>
      </c>
      <c r="LM795" s="742" t="str">
        <f t="shared" si="294"/>
        <v/>
      </c>
      <c r="LN795" s="742" t="str">
        <f t="shared" si="295"/>
        <v/>
      </c>
      <c r="LO795" s="742" t="str">
        <f t="shared" si="296"/>
        <v/>
      </c>
      <c r="LP795" s="742" t="str">
        <f t="shared" si="297"/>
        <v/>
      </c>
      <c r="LQ795" s="742" t="str">
        <f t="shared" si="298"/>
        <v/>
      </c>
      <c r="LR795" s="742" t="str">
        <f t="shared" si="299"/>
        <v/>
      </c>
      <c r="LS795" s="742" t="str">
        <f t="shared" si="300"/>
        <v/>
      </c>
      <c r="LT795" s="742" t="str">
        <f t="shared" si="301"/>
        <v/>
      </c>
      <c r="LU795" s="742" t="str">
        <f t="shared" si="302"/>
        <v/>
      </c>
      <c r="LV795" s="742" t="str">
        <f t="shared" si="303"/>
        <v/>
      </c>
      <c r="LW795" s="742" t="str">
        <f t="shared" si="304"/>
        <v/>
      </c>
      <c r="LX795" s="742" t="str">
        <f t="shared" si="305"/>
        <v/>
      </c>
      <c r="LY795" s="742" t="str">
        <f t="shared" si="306"/>
        <v/>
      </c>
      <c r="LZ795" s="742" t="str">
        <f t="shared" si="307"/>
        <v/>
      </c>
      <c r="MA795" s="742" t="str">
        <f t="shared" si="308"/>
        <v/>
      </c>
      <c r="MB795" s="742" t="str">
        <f t="shared" si="309"/>
        <v/>
      </c>
      <c r="MC795" s="742" t="str">
        <f t="shared" si="310"/>
        <v/>
      </c>
      <c r="MD795" s="742" t="str">
        <f t="shared" si="311"/>
        <v/>
      </c>
      <c r="ME795" s="1637">
        <f t="shared" si="323"/>
        <v>0</v>
      </c>
      <c r="MF795" s="1637">
        <f t="shared" si="324"/>
        <v>0</v>
      </c>
      <c r="MG795" s="1637">
        <f t="shared" si="325"/>
        <v>0</v>
      </c>
      <c r="MH795" s="1637">
        <f t="shared" si="326"/>
        <v>0</v>
      </c>
      <c r="MI795" s="1637">
        <f t="shared" si="327"/>
        <v>0</v>
      </c>
      <c r="MJ795" s="1637">
        <f t="shared" si="328"/>
        <v>0</v>
      </c>
      <c r="MK795" s="1637">
        <f t="shared" si="329"/>
        <v>0</v>
      </c>
      <c r="ML795" s="1637">
        <f t="shared" si="330"/>
        <v>0</v>
      </c>
      <c r="MM795" s="1637">
        <f t="shared" si="331"/>
        <v>0</v>
      </c>
      <c r="MN795" s="1637">
        <f t="shared" si="332"/>
        <v>0</v>
      </c>
      <c r="MO795" s="1637">
        <f t="shared" si="333"/>
        <v>0</v>
      </c>
      <c r="MP795" s="1637">
        <f t="shared" si="334"/>
        <v>0</v>
      </c>
      <c r="MQ795" s="1637">
        <f t="shared" si="335"/>
        <v>0</v>
      </c>
      <c r="MR795" s="1637">
        <f t="shared" si="336"/>
        <v>0</v>
      </c>
      <c r="MS795" s="1637">
        <f t="shared" si="337"/>
        <v>0</v>
      </c>
    </row>
    <row r="796" spans="1:357" ht="13.5">
      <c r="A796" s="1630" t="str">
        <f t="shared" si="0"/>
        <v/>
      </c>
      <c r="B796" s="2757">
        <f>'Part VI-Revenues &amp; Expenses'!B34</f>
        <v>0</v>
      </c>
      <c r="C796" s="2146">
        <f>'Part VI-Revenues &amp; Expenses'!C34</f>
        <v>0</v>
      </c>
      <c r="D796" s="2147">
        <f>'Part VI-Revenues &amp; Expenses'!D34</f>
        <v>0</v>
      </c>
      <c r="E796" s="2148">
        <f>'Part VI-Revenues &amp; Expenses'!E34</f>
        <v>0</v>
      </c>
      <c r="F796" s="2148">
        <f>'Part VI-Revenues &amp; Expenses'!F34</f>
        <v>0</v>
      </c>
      <c r="G796" s="2148">
        <f>'Part VI-Revenues &amp; Expenses'!G34</f>
        <v>0</v>
      </c>
      <c r="H796" s="2148">
        <f>'Part VI-Revenues &amp; Expenses'!H34</f>
        <v>0</v>
      </c>
      <c r="I796" s="2148">
        <f>'Part VI-Revenues &amp; Expenses'!I34</f>
        <v>0</v>
      </c>
      <c r="J796" s="2149">
        <f>'Part VI-Revenues &amp; Expenses'!J34</f>
        <v>0</v>
      </c>
      <c r="K796" s="1822">
        <f t="shared" si="1"/>
        <v>0</v>
      </c>
      <c r="L796" s="1822">
        <f t="shared" si="2"/>
        <v>0</v>
      </c>
      <c r="M796" s="2133">
        <f>'Part VI-Revenues &amp; Expenses'!M34</f>
        <v>0</v>
      </c>
      <c r="N796" s="2133">
        <f>'Part VI-Revenues &amp; Expenses'!N34</f>
        <v>0</v>
      </c>
      <c r="O796" s="2133">
        <f>'Part VI-Revenues &amp; Expenses'!O34</f>
        <v>0</v>
      </c>
      <c r="P796" s="1633">
        <f>'Part VI-Revenues &amp; Expenses'!P34</f>
        <v>0</v>
      </c>
      <c r="Q796" s="1823" t="str">
        <f>'Part VI-Revenues &amp; Expenses'!Q34</f>
        <v/>
      </c>
      <c r="R796" s="1824" t="str">
        <f>'Part VI-Revenues &amp; Expenses'!R34</f>
        <v/>
      </c>
      <c r="S796" s="1823">
        <f>'Part VI-Revenues &amp; Expenses'!S34</f>
        <v>0</v>
      </c>
      <c r="T796" s="1824">
        <f>'Part VI-Revenues &amp; Expenses'!T34</f>
        <v>0</v>
      </c>
      <c r="U796" s="1838">
        <f>'Part VI-Revenues &amp; Expenses'!U34:V34</f>
        <v>0</v>
      </c>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312"/>
        <v/>
      </c>
      <c r="EH796" s="742" t="str">
        <f t="shared" si="117"/>
        <v/>
      </c>
      <c r="EI796" s="742" t="str">
        <f t="shared" si="118"/>
        <v/>
      </c>
      <c r="EJ796" s="742" t="str">
        <f t="shared" si="119"/>
        <v/>
      </c>
      <c r="EK796" s="742" t="str">
        <f t="shared" si="120"/>
        <v/>
      </c>
      <c r="EL796" s="742" t="str">
        <f t="shared" si="121"/>
        <v/>
      </c>
      <c r="EM796" s="742" t="str">
        <f t="shared" si="122"/>
        <v/>
      </c>
      <c r="EN796" s="742" t="str">
        <f t="shared" si="123"/>
        <v/>
      </c>
      <c r="EO796" s="742" t="str">
        <f t="shared" si="124"/>
        <v/>
      </c>
      <c r="EP796" s="742" t="str">
        <f t="shared" si="125"/>
        <v/>
      </c>
      <c r="EQ796" s="742" t="str">
        <f t="shared" si="126"/>
        <v/>
      </c>
      <c r="ER796" s="742" t="str">
        <f t="shared" si="127"/>
        <v/>
      </c>
      <c r="ES796" s="742" t="str">
        <f t="shared" si="128"/>
        <v/>
      </c>
      <c r="ET796" s="742" t="str">
        <f t="shared" si="129"/>
        <v/>
      </c>
      <c r="EU796" s="742" t="str">
        <f t="shared" si="130"/>
        <v/>
      </c>
      <c r="EV796" s="742" t="str">
        <f t="shared" si="131"/>
        <v/>
      </c>
      <c r="EW796" s="742" t="str">
        <f t="shared" si="313"/>
        <v/>
      </c>
      <c r="EX796" s="742" t="str">
        <f t="shared" si="314"/>
        <v/>
      </c>
      <c r="EY796" s="742" t="str">
        <f t="shared" si="315"/>
        <v/>
      </c>
      <c r="EZ796" s="742" t="str">
        <f t="shared" si="316"/>
        <v/>
      </c>
      <c r="FA796" s="742" t="str">
        <f t="shared" si="317"/>
        <v/>
      </c>
      <c r="FB796" s="742" t="str">
        <f t="shared" si="132"/>
        <v/>
      </c>
      <c r="FC796" s="742" t="str">
        <f t="shared" si="133"/>
        <v/>
      </c>
      <c r="FD796" s="742" t="str">
        <f t="shared" si="134"/>
        <v/>
      </c>
      <c r="FE796" s="742" t="str">
        <f t="shared" si="135"/>
        <v/>
      </c>
      <c r="FF796" s="742" t="str">
        <f t="shared" si="136"/>
        <v/>
      </c>
      <c r="FG796" s="742" t="str">
        <f t="shared" si="318"/>
        <v/>
      </c>
      <c r="FH796" s="742" t="str">
        <f t="shared" si="319"/>
        <v/>
      </c>
      <c r="FI796" s="742" t="str">
        <f t="shared" si="320"/>
        <v/>
      </c>
      <c r="FJ796" s="742" t="str">
        <f t="shared" si="321"/>
        <v/>
      </c>
      <c r="FK796" s="742" t="str">
        <f t="shared" si="322"/>
        <v/>
      </c>
      <c r="FL796" s="742" t="str">
        <f t="shared" si="137"/>
        <v/>
      </c>
      <c r="FM796" s="742" t="str">
        <f t="shared" si="138"/>
        <v/>
      </c>
      <c r="FN796" s="742" t="str">
        <f t="shared" si="139"/>
        <v/>
      </c>
      <c r="FO796" s="742" t="str">
        <f t="shared" si="140"/>
        <v/>
      </c>
      <c r="FP796" s="742" t="str">
        <f t="shared" si="141"/>
        <v/>
      </c>
      <c r="FQ796" s="742" t="str">
        <f t="shared" si="142"/>
        <v/>
      </c>
      <c r="FR796" s="742" t="str">
        <f t="shared" si="143"/>
        <v/>
      </c>
      <c r="FS796" s="742" t="str">
        <f t="shared" si="144"/>
        <v/>
      </c>
      <c r="FT796" s="742" t="str">
        <f t="shared" si="145"/>
        <v/>
      </c>
      <c r="FU796" s="742" t="str">
        <f t="shared" si="146"/>
        <v/>
      </c>
      <c r="FV796" s="742" t="str">
        <f t="shared" si="147"/>
        <v/>
      </c>
      <c r="FW796" s="742" t="str">
        <f t="shared" si="148"/>
        <v/>
      </c>
      <c r="FX796" s="742" t="str">
        <f t="shared" si="149"/>
        <v/>
      </c>
      <c r="FY796" s="742" t="str">
        <f t="shared" si="150"/>
        <v/>
      </c>
      <c r="FZ796" s="742" t="str">
        <f t="shared" si="151"/>
        <v/>
      </c>
      <c r="GA796" s="742" t="str">
        <f t="shared" si="152"/>
        <v/>
      </c>
      <c r="GB796" s="742" t="str">
        <f t="shared" si="153"/>
        <v/>
      </c>
      <c r="GC796" s="742" t="str">
        <f t="shared" si="154"/>
        <v/>
      </c>
      <c r="GD796" s="742" t="str">
        <f t="shared" si="155"/>
        <v/>
      </c>
      <c r="GE796" s="742" t="str">
        <f t="shared" si="156"/>
        <v/>
      </c>
      <c r="GF796" s="742" t="str">
        <f t="shared" si="157"/>
        <v/>
      </c>
      <c r="GG796" s="742" t="str">
        <f t="shared" si="158"/>
        <v/>
      </c>
      <c r="GH796" s="742" t="str">
        <f t="shared" si="159"/>
        <v/>
      </c>
      <c r="GI796" s="742" t="str">
        <f t="shared" si="160"/>
        <v/>
      </c>
      <c r="GJ796" s="742" t="str">
        <f t="shared" si="161"/>
        <v/>
      </c>
      <c r="GK796" s="742" t="str">
        <f t="shared" si="162"/>
        <v/>
      </c>
      <c r="GL796" s="742" t="str">
        <f t="shared" si="163"/>
        <v/>
      </c>
      <c r="GM796" s="742" t="str">
        <f t="shared" si="164"/>
        <v/>
      </c>
      <c r="GN796" s="742" t="str">
        <f t="shared" si="165"/>
        <v/>
      </c>
      <c r="GO796" s="742" t="str">
        <f t="shared" si="166"/>
        <v/>
      </c>
      <c r="GP796" s="742" t="str">
        <f t="shared" si="167"/>
        <v/>
      </c>
      <c r="GQ796" s="742" t="str">
        <f t="shared" si="168"/>
        <v/>
      </c>
      <c r="GR796" s="742" t="str">
        <f t="shared" si="169"/>
        <v/>
      </c>
      <c r="GS796" s="742" t="str">
        <f t="shared" si="170"/>
        <v/>
      </c>
      <c r="GT796" s="742" t="str">
        <f t="shared" si="171"/>
        <v/>
      </c>
      <c r="GU796" s="742" t="str">
        <f t="shared" si="172"/>
        <v/>
      </c>
      <c r="GV796" s="742" t="str">
        <f t="shared" si="173"/>
        <v/>
      </c>
      <c r="GW796" s="742" t="str">
        <f t="shared" si="174"/>
        <v/>
      </c>
      <c r="GX796" s="742" t="str">
        <f t="shared" si="175"/>
        <v/>
      </c>
      <c r="GY796" s="742" t="str">
        <f t="shared" si="176"/>
        <v/>
      </c>
      <c r="GZ796" s="742" t="str">
        <f t="shared" si="177"/>
        <v/>
      </c>
      <c r="HA796" s="742" t="str">
        <f t="shared" si="178"/>
        <v/>
      </c>
      <c r="HB796" s="742" t="str">
        <f t="shared" si="179"/>
        <v/>
      </c>
      <c r="HC796" s="742" t="str">
        <f t="shared" si="180"/>
        <v/>
      </c>
      <c r="HD796" s="742" t="str">
        <f t="shared" si="181"/>
        <v/>
      </c>
      <c r="HE796" s="742" t="str">
        <f t="shared" si="182"/>
        <v/>
      </c>
      <c r="HF796" s="742" t="str">
        <f t="shared" si="183"/>
        <v/>
      </c>
      <c r="HG796" s="742" t="str">
        <f t="shared" si="184"/>
        <v/>
      </c>
      <c r="HH796" s="742" t="str">
        <f t="shared" si="185"/>
        <v/>
      </c>
      <c r="HI796" s="742" t="str">
        <f t="shared" si="186"/>
        <v/>
      </c>
      <c r="HJ796" s="742" t="str">
        <f t="shared" si="187"/>
        <v/>
      </c>
      <c r="HK796" s="742" t="str">
        <f t="shared" si="188"/>
        <v/>
      </c>
      <c r="HL796" s="742" t="str">
        <f t="shared" si="189"/>
        <v/>
      </c>
      <c r="HM796" s="742" t="str">
        <f t="shared" si="190"/>
        <v/>
      </c>
      <c r="HN796" s="742" t="str">
        <f t="shared" si="191"/>
        <v/>
      </c>
      <c r="HO796" s="742" t="str">
        <f t="shared" si="192"/>
        <v/>
      </c>
      <c r="HP796" s="742" t="str">
        <f t="shared" si="193"/>
        <v/>
      </c>
      <c r="HQ796" s="742" t="str">
        <f t="shared" si="194"/>
        <v/>
      </c>
      <c r="HR796" s="742" t="str">
        <f t="shared" si="195"/>
        <v/>
      </c>
      <c r="HS796" s="742" t="str">
        <f t="shared" si="196"/>
        <v/>
      </c>
      <c r="HT796" s="742" t="str">
        <f t="shared" si="197"/>
        <v/>
      </c>
      <c r="HU796" s="742" t="str">
        <f t="shared" si="198"/>
        <v/>
      </c>
      <c r="HV796" s="742" t="str">
        <f t="shared" si="199"/>
        <v/>
      </c>
      <c r="HW796" s="742" t="str">
        <f t="shared" si="200"/>
        <v/>
      </c>
      <c r="HX796" s="742" t="str">
        <f t="shared" si="201"/>
        <v/>
      </c>
      <c r="HY796" s="1638" t="str">
        <f t="shared" si="202"/>
        <v/>
      </c>
      <c r="HZ796" s="1638" t="str">
        <f t="shared" si="203"/>
        <v/>
      </c>
      <c r="IA796" s="1638" t="str">
        <f t="shared" si="204"/>
        <v/>
      </c>
      <c r="IB796" s="1638" t="str">
        <f t="shared" si="205"/>
        <v/>
      </c>
      <c r="IC796" s="1638" t="str">
        <f t="shared" si="206"/>
        <v/>
      </c>
      <c r="ID796" s="1638" t="str">
        <f t="shared" si="207"/>
        <v/>
      </c>
      <c r="IE796" s="1638" t="str">
        <f t="shared" si="208"/>
        <v/>
      </c>
      <c r="IF796" s="1638" t="str">
        <f t="shared" si="209"/>
        <v/>
      </c>
      <c r="IG796" s="1638" t="str">
        <f t="shared" si="210"/>
        <v/>
      </c>
      <c r="IH796" s="1638" t="str">
        <f t="shared" si="211"/>
        <v/>
      </c>
      <c r="II796" s="1638" t="str">
        <f t="shared" si="212"/>
        <v/>
      </c>
      <c r="IJ796" s="1638" t="str">
        <f t="shared" si="213"/>
        <v/>
      </c>
      <c r="IK796" s="1638" t="str">
        <f t="shared" si="214"/>
        <v/>
      </c>
      <c r="IL796" s="1638" t="str">
        <f t="shared" si="215"/>
        <v/>
      </c>
      <c r="IM796" s="1638" t="str">
        <f t="shared" si="216"/>
        <v/>
      </c>
      <c r="IN796" s="1638" t="str">
        <f t="shared" si="217"/>
        <v/>
      </c>
      <c r="IO796" s="1638" t="str">
        <f t="shared" si="218"/>
        <v/>
      </c>
      <c r="IP796" s="1638" t="str">
        <f t="shared" si="219"/>
        <v/>
      </c>
      <c r="IQ796" s="1638" t="str">
        <f t="shared" si="220"/>
        <v/>
      </c>
      <c r="IR796" s="1638" t="str">
        <f t="shared" si="221"/>
        <v/>
      </c>
      <c r="IS796" s="1638" t="str">
        <f t="shared" si="222"/>
        <v/>
      </c>
      <c r="IT796" s="1638" t="str">
        <f t="shared" si="223"/>
        <v/>
      </c>
      <c r="IU796" s="1638" t="str">
        <f t="shared" si="224"/>
        <v/>
      </c>
      <c r="IV796" s="1638" t="str">
        <f t="shared" si="225"/>
        <v/>
      </c>
      <c r="IW796" s="1638" t="str">
        <f t="shared" si="226"/>
        <v/>
      </c>
      <c r="IX796" s="1638" t="str">
        <f t="shared" si="227"/>
        <v/>
      </c>
      <c r="IY796" s="1638" t="str">
        <f t="shared" si="228"/>
        <v/>
      </c>
      <c r="IZ796" s="1638" t="str">
        <f t="shared" si="229"/>
        <v/>
      </c>
      <c r="JA796" s="1638" t="str">
        <f t="shared" si="230"/>
        <v/>
      </c>
      <c r="JB796" s="1638" t="str">
        <f t="shared" si="231"/>
        <v/>
      </c>
      <c r="JC796" s="1638" t="str">
        <f t="shared" si="232"/>
        <v/>
      </c>
      <c r="JD796" s="1638" t="str">
        <f t="shared" si="233"/>
        <v/>
      </c>
      <c r="JE796" s="1638" t="str">
        <f t="shared" si="234"/>
        <v/>
      </c>
      <c r="JF796" s="1638" t="str">
        <f t="shared" si="235"/>
        <v/>
      </c>
      <c r="JG796" s="1638" t="str">
        <f t="shared" si="236"/>
        <v/>
      </c>
      <c r="JH796" s="1638" t="str">
        <f t="shared" si="237"/>
        <v/>
      </c>
      <c r="JI796" s="1638" t="str">
        <f t="shared" si="238"/>
        <v/>
      </c>
      <c r="JJ796" s="1638" t="str">
        <f t="shared" si="239"/>
        <v/>
      </c>
      <c r="JK796" s="1638" t="str">
        <f t="shared" si="240"/>
        <v/>
      </c>
      <c r="JL796" s="1638" t="str">
        <f t="shared" si="241"/>
        <v/>
      </c>
      <c r="JM796" s="1638" t="str">
        <f t="shared" si="242"/>
        <v/>
      </c>
      <c r="JN796" s="1638" t="str">
        <f t="shared" si="243"/>
        <v/>
      </c>
      <c r="JO796" s="1638" t="str">
        <f t="shared" si="244"/>
        <v/>
      </c>
      <c r="JP796" s="1638" t="str">
        <f t="shared" si="245"/>
        <v/>
      </c>
      <c r="JQ796" s="1638" t="str">
        <f t="shared" si="246"/>
        <v/>
      </c>
      <c r="JR796" s="1638" t="str">
        <f t="shared" si="247"/>
        <v/>
      </c>
      <c r="JS796" s="1638" t="str">
        <f t="shared" si="248"/>
        <v/>
      </c>
      <c r="JT796" s="1638" t="str">
        <f t="shared" si="249"/>
        <v/>
      </c>
      <c r="JU796" s="1638" t="str">
        <f t="shared" si="250"/>
        <v/>
      </c>
      <c r="JV796" s="1638" t="str">
        <f t="shared" si="251"/>
        <v/>
      </c>
      <c r="JW796" s="1638" t="str">
        <f t="shared" si="252"/>
        <v/>
      </c>
      <c r="JX796" s="1638" t="str">
        <f t="shared" si="253"/>
        <v/>
      </c>
      <c r="JY796" s="1638" t="str">
        <f t="shared" si="254"/>
        <v/>
      </c>
      <c r="JZ796" s="1638" t="str">
        <f t="shared" si="255"/>
        <v/>
      </c>
      <c r="KA796" s="1638" t="str">
        <f t="shared" si="256"/>
        <v/>
      </c>
      <c r="KB796" s="1638" t="str">
        <f t="shared" si="257"/>
        <v/>
      </c>
      <c r="KC796" s="1638" t="str">
        <f t="shared" si="258"/>
        <v/>
      </c>
      <c r="KD796" s="1638" t="str">
        <f t="shared" si="259"/>
        <v/>
      </c>
      <c r="KE796" s="1638" t="str">
        <f t="shared" si="260"/>
        <v/>
      </c>
      <c r="KF796" s="1638" t="str">
        <f t="shared" si="261"/>
        <v/>
      </c>
      <c r="KG796" s="1638" t="str">
        <f t="shared" si="262"/>
        <v/>
      </c>
      <c r="KH796" s="1638" t="str">
        <f t="shared" si="263"/>
        <v/>
      </c>
      <c r="KI796" s="1638" t="str">
        <f t="shared" si="264"/>
        <v/>
      </c>
      <c r="KJ796" s="1638" t="str">
        <f t="shared" si="265"/>
        <v/>
      </c>
      <c r="KK796" s="1638" t="str">
        <f t="shared" si="266"/>
        <v/>
      </c>
      <c r="KL796" s="1638" t="str">
        <f t="shared" si="267"/>
        <v/>
      </c>
      <c r="KM796" s="1638" t="str">
        <f t="shared" si="268"/>
        <v/>
      </c>
      <c r="KN796" s="1638" t="str">
        <f t="shared" si="269"/>
        <v/>
      </c>
      <c r="KO796" s="1638" t="str">
        <f t="shared" si="270"/>
        <v/>
      </c>
      <c r="KP796" s="1638" t="str">
        <f t="shared" si="271"/>
        <v/>
      </c>
      <c r="KQ796" s="1638" t="str">
        <f t="shared" si="272"/>
        <v/>
      </c>
      <c r="KR796" s="1638" t="str">
        <f t="shared" si="273"/>
        <v/>
      </c>
      <c r="KS796" s="1638" t="str">
        <f t="shared" si="274"/>
        <v/>
      </c>
      <c r="KT796" s="1638" t="str">
        <f t="shared" si="275"/>
        <v/>
      </c>
      <c r="KU796" s="1638" t="str">
        <f t="shared" si="276"/>
        <v/>
      </c>
      <c r="KV796" s="1638" t="str">
        <f t="shared" si="277"/>
        <v/>
      </c>
      <c r="KW796" s="1638" t="str">
        <f t="shared" si="278"/>
        <v/>
      </c>
      <c r="KX796" s="1638" t="str">
        <f t="shared" si="279"/>
        <v/>
      </c>
      <c r="KY796" s="1638" t="str">
        <f t="shared" si="280"/>
        <v/>
      </c>
      <c r="KZ796" s="1638" t="str">
        <f t="shared" si="281"/>
        <v/>
      </c>
      <c r="LA796" s="1638" t="str">
        <f t="shared" si="282"/>
        <v/>
      </c>
      <c r="LB796" s="1638" t="str">
        <f t="shared" si="283"/>
        <v/>
      </c>
      <c r="LC796" s="1638" t="str">
        <f t="shared" si="284"/>
        <v/>
      </c>
      <c r="LD796" s="1638" t="str">
        <f t="shared" si="285"/>
        <v/>
      </c>
      <c r="LE796" s="1638" t="str">
        <f t="shared" si="286"/>
        <v/>
      </c>
      <c r="LF796" s="1637" t="str">
        <f t="shared" si="287"/>
        <v/>
      </c>
      <c r="LG796" s="1637" t="str">
        <f t="shared" si="288"/>
        <v/>
      </c>
      <c r="LH796" s="1637" t="str">
        <f t="shared" si="289"/>
        <v/>
      </c>
      <c r="LI796" s="1637" t="str">
        <f t="shared" si="290"/>
        <v/>
      </c>
      <c r="LJ796" s="1637" t="str">
        <f t="shared" si="291"/>
        <v/>
      </c>
      <c r="LK796" s="742" t="str">
        <f t="shared" si="292"/>
        <v/>
      </c>
      <c r="LL796" s="742" t="str">
        <f t="shared" si="293"/>
        <v/>
      </c>
      <c r="LM796" s="742" t="str">
        <f t="shared" si="294"/>
        <v/>
      </c>
      <c r="LN796" s="742" t="str">
        <f t="shared" si="295"/>
        <v/>
      </c>
      <c r="LO796" s="742" t="str">
        <f t="shared" si="296"/>
        <v/>
      </c>
      <c r="LP796" s="742" t="str">
        <f t="shared" si="297"/>
        <v/>
      </c>
      <c r="LQ796" s="742" t="str">
        <f t="shared" si="298"/>
        <v/>
      </c>
      <c r="LR796" s="742" t="str">
        <f t="shared" si="299"/>
        <v/>
      </c>
      <c r="LS796" s="742" t="str">
        <f t="shared" si="300"/>
        <v/>
      </c>
      <c r="LT796" s="742" t="str">
        <f t="shared" si="301"/>
        <v/>
      </c>
      <c r="LU796" s="742" t="str">
        <f t="shared" si="302"/>
        <v/>
      </c>
      <c r="LV796" s="742" t="str">
        <f t="shared" si="303"/>
        <v/>
      </c>
      <c r="LW796" s="742" t="str">
        <f t="shared" si="304"/>
        <v/>
      </c>
      <c r="LX796" s="742" t="str">
        <f t="shared" si="305"/>
        <v/>
      </c>
      <c r="LY796" s="742" t="str">
        <f t="shared" si="306"/>
        <v/>
      </c>
      <c r="LZ796" s="742" t="str">
        <f t="shared" si="307"/>
        <v/>
      </c>
      <c r="MA796" s="742" t="str">
        <f t="shared" si="308"/>
        <v/>
      </c>
      <c r="MB796" s="742" t="str">
        <f t="shared" si="309"/>
        <v/>
      </c>
      <c r="MC796" s="742" t="str">
        <f t="shared" si="310"/>
        <v/>
      </c>
      <c r="MD796" s="742" t="str">
        <f t="shared" si="311"/>
        <v/>
      </c>
      <c r="ME796" s="1637">
        <f t="shared" si="323"/>
        <v>0</v>
      </c>
      <c r="MF796" s="1637">
        <f t="shared" si="324"/>
        <v>0</v>
      </c>
      <c r="MG796" s="1637">
        <f t="shared" si="325"/>
        <v>0</v>
      </c>
      <c r="MH796" s="1637">
        <f t="shared" si="326"/>
        <v>0</v>
      </c>
      <c r="MI796" s="1637">
        <f t="shared" si="327"/>
        <v>0</v>
      </c>
      <c r="MJ796" s="1637">
        <f t="shared" si="328"/>
        <v>0</v>
      </c>
      <c r="MK796" s="1637">
        <f t="shared" si="329"/>
        <v>0</v>
      </c>
      <c r="ML796" s="1637">
        <f t="shared" si="330"/>
        <v>0</v>
      </c>
      <c r="MM796" s="1637">
        <f t="shared" si="331"/>
        <v>0</v>
      </c>
      <c r="MN796" s="1637">
        <f t="shared" si="332"/>
        <v>0</v>
      </c>
      <c r="MO796" s="1637">
        <f t="shared" si="333"/>
        <v>0</v>
      </c>
      <c r="MP796" s="1637">
        <f t="shared" si="334"/>
        <v>0</v>
      </c>
      <c r="MQ796" s="1637">
        <f t="shared" si="335"/>
        <v>0</v>
      </c>
      <c r="MR796" s="1637">
        <f t="shared" si="336"/>
        <v>0</v>
      </c>
      <c r="MS796" s="1637">
        <f t="shared" si="337"/>
        <v>0</v>
      </c>
    </row>
    <row r="797" spans="1:357" ht="13.5">
      <c r="A797" s="1630" t="str">
        <f t="shared" si="0"/>
        <v/>
      </c>
      <c r="B797" s="2757">
        <f>'Part VI-Revenues &amp; Expenses'!B35</f>
        <v>0</v>
      </c>
      <c r="C797" s="2146">
        <f>'Part VI-Revenues &amp; Expenses'!C35</f>
        <v>0</v>
      </c>
      <c r="D797" s="2147">
        <f>'Part VI-Revenues &amp; Expenses'!D35</f>
        <v>0</v>
      </c>
      <c r="E797" s="2148">
        <f>'Part VI-Revenues &amp; Expenses'!E35</f>
        <v>0</v>
      </c>
      <c r="F797" s="2148">
        <f>'Part VI-Revenues &amp; Expenses'!F35</f>
        <v>0</v>
      </c>
      <c r="G797" s="2148">
        <f>'Part VI-Revenues &amp; Expenses'!G35</f>
        <v>0</v>
      </c>
      <c r="H797" s="2148">
        <f>'Part VI-Revenues &amp; Expenses'!H35</f>
        <v>0</v>
      </c>
      <c r="I797" s="2148">
        <f>'Part VI-Revenues &amp; Expenses'!I35</f>
        <v>0</v>
      </c>
      <c r="J797" s="2149">
        <f>'Part VI-Revenues &amp; Expenses'!J35</f>
        <v>0</v>
      </c>
      <c r="K797" s="1822">
        <f t="shared" si="1"/>
        <v>0</v>
      </c>
      <c r="L797" s="1822">
        <f t="shared" si="2"/>
        <v>0</v>
      </c>
      <c r="M797" s="2133">
        <f>'Part VI-Revenues &amp; Expenses'!M35</f>
        <v>0</v>
      </c>
      <c r="N797" s="2133">
        <f>'Part VI-Revenues &amp; Expenses'!N35</f>
        <v>0</v>
      </c>
      <c r="O797" s="2133">
        <f>'Part VI-Revenues &amp; Expenses'!O35</f>
        <v>0</v>
      </c>
      <c r="P797" s="1633">
        <f>'Part VI-Revenues &amp; Expenses'!P35</f>
        <v>0</v>
      </c>
      <c r="Q797" s="1823" t="str">
        <f>'Part VI-Revenues &amp; Expenses'!Q35</f>
        <v/>
      </c>
      <c r="R797" s="1824" t="str">
        <f>'Part VI-Revenues &amp; Expenses'!R35</f>
        <v/>
      </c>
      <c r="S797" s="1823">
        <f>'Part VI-Revenues &amp; Expenses'!S35</f>
        <v>0</v>
      </c>
      <c r="T797" s="1824">
        <f>'Part VI-Revenues &amp; Expenses'!T35</f>
        <v>0</v>
      </c>
      <c r="U797" s="1838">
        <f>'Part VI-Revenues &amp; Expenses'!U35:V35</f>
        <v>0</v>
      </c>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312"/>
        <v/>
      </c>
      <c r="EH797" s="742" t="str">
        <f t="shared" si="117"/>
        <v/>
      </c>
      <c r="EI797" s="742" t="str">
        <f t="shared" si="118"/>
        <v/>
      </c>
      <c r="EJ797" s="742" t="str">
        <f t="shared" si="119"/>
        <v/>
      </c>
      <c r="EK797" s="742" t="str">
        <f t="shared" si="120"/>
        <v/>
      </c>
      <c r="EL797" s="742" t="str">
        <f t="shared" si="121"/>
        <v/>
      </c>
      <c r="EM797" s="742" t="str">
        <f t="shared" si="122"/>
        <v/>
      </c>
      <c r="EN797" s="742" t="str">
        <f t="shared" si="123"/>
        <v/>
      </c>
      <c r="EO797" s="742" t="str">
        <f t="shared" si="124"/>
        <v/>
      </c>
      <c r="EP797" s="742" t="str">
        <f t="shared" si="125"/>
        <v/>
      </c>
      <c r="EQ797" s="742" t="str">
        <f t="shared" si="126"/>
        <v/>
      </c>
      <c r="ER797" s="742" t="str">
        <f t="shared" si="127"/>
        <v/>
      </c>
      <c r="ES797" s="742" t="str">
        <f t="shared" si="128"/>
        <v/>
      </c>
      <c r="ET797" s="742" t="str">
        <f t="shared" si="129"/>
        <v/>
      </c>
      <c r="EU797" s="742" t="str">
        <f t="shared" si="130"/>
        <v/>
      </c>
      <c r="EV797" s="742" t="str">
        <f t="shared" si="131"/>
        <v/>
      </c>
      <c r="EW797" s="742" t="str">
        <f t="shared" si="313"/>
        <v/>
      </c>
      <c r="EX797" s="742" t="str">
        <f t="shared" si="314"/>
        <v/>
      </c>
      <c r="EY797" s="742" t="str">
        <f t="shared" si="315"/>
        <v/>
      </c>
      <c r="EZ797" s="742" t="str">
        <f t="shared" si="316"/>
        <v/>
      </c>
      <c r="FA797" s="742" t="str">
        <f t="shared" si="317"/>
        <v/>
      </c>
      <c r="FB797" s="742" t="str">
        <f t="shared" si="132"/>
        <v/>
      </c>
      <c r="FC797" s="742" t="str">
        <f t="shared" si="133"/>
        <v/>
      </c>
      <c r="FD797" s="742" t="str">
        <f t="shared" si="134"/>
        <v/>
      </c>
      <c r="FE797" s="742" t="str">
        <f t="shared" si="135"/>
        <v/>
      </c>
      <c r="FF797" s="742" t="str">
        <f t="shared" si="136"/>
        <v/>
      </c>
      <c r="FG797" s="742" t="str">
        <f t="shared" si="318"/>
        <v/>
      </c>
      <c r="FH797" s="742" t="str">
        <f t="shared" si="319"/>
        <v/>
      </c>
      <c r="FI797" s="742" t="str">
        <f t="shared" si="320"/>
        <v/>
      </c>
      <c r="FJ797" s="742" t="str">
        <f t="shared" si="321"/>
        <v/>
      </c>
      <c r="FK797" s="742" t="str">
        <f t="shared" si="322"/>
        <v/>
      </c>
      <c r="FL797" s="742" t="str">
        <f t="shared" si="137"/>
        <v/>
      </c>
      <c r="FM797" s="742" t="str">
        <f t="shared" si="138"/>
        <v/>
      </c>
      <c r="FN797" s="742" t="str">
        <f t="shared" si="139"/>
        <v/>
      </c>
      <c r="FO797" s="742" t="str">
        <f t="shared" si="140"/>
        <v/>
      </c>
      <c r="FP797" s="742" t="str">
        <f t="shared" si="141"/>
        <v/>
      </c>
      <c r="FQ797" s="742" t="str">
        <f t="shared" si="142"/>
        <v/>
      </c>
      <c r="FR797" s="742" t="str">
        <f t="shared" si="143"/>
        <v/>
      </c>
      <c r="FS797" s="742" t="str">
        <f t="shared" si="144"/>
        <v/>
      </c>
      <c r="FT797" s="742" t="str">
        <f t="shared" si="145"/>
        <v/>
      </c>
      <c r="FU797" s="742" t="str">
        <f t="shared" si="146"/>
        <v/>
      </c>
      <c r="FV797" s="742" t="str">
        <f t="shared" si="147"/>
        <v/>
      </c>
      <c r="FW797" s="742" t="str">
        <f t="shared" si="148"/>
        <v/>
      </c>
      <c r="FX797" s="742" t="str">
        <f t="shared" si="149"/>
        <v/>
      </c>
      <c r="FY797" s="742" t="str">
        <f t="shared" si="150"/>
        <v/>
      </c>
      <c r="FZ797" s="742" t="str">
        <f t="shared" si="151"/>
        <v/>
      </c>
      <c r="GA797" s="742" t="str">
        <f t="shared" si="152"/>
        <v/>
      </c>
      <c r="GB797" s="742" t="str">
        <f t="shared" si="153"/>
        <v/>
      </c>
      <c r="GC797" s="742" t="str">
        <f t="shared" si="154"/>
        <v/>
      </c>
      <c r="GD797" s="742" t="str">
        <f t="shared" si="155"/>
        <v/>
      </c>
      <c r="GE797" s="742" t="str">
        <f t="shared" si="156"/>
        <v/>
      </c>
      <c r="GF797" s="742" t="str">
        <f t="shared" si="157"/>
        <v/>
      </c>
      <c r="GG797" s="742" t="str">
        <f t="shared" si="158"/>
        <v/>
      </c>
      <c r="GH797" s="742" t="str">
        <f t="shared" si="159"/>
        <v/>
      </c>
      <c r="GI797" s="742" t="str">
        <f t="shared" si="160"/>
        <v/>
      </c>
      <c r="GJ797" s="742" t="str">
        <f t="shared" si="161"/>
        <v/>
      </c>
      <c r="GK797" s="742" t="str">
        <f t="shared" si="162"/>
        <v/>
      </c>
      <c r="GL797" s="742" t="str">
        <f t="shared" si="163"/>
        <v/>
      </c>
      <c r="GM797" s="742" t="str">
        <f t="shared" si="164"/>
        <v/>
      </c>
      <c r="GN797" s="742" t="str">
        <f t="shared" si="165"/>
        <v/>
      </c>
      <c r="GO797" s="742" t="str">
        <f t="shared" si="166"/>
        <v/>
      </c>
      <c r="GP797" s="742" t="str">
        <f t="shared" si="167"/>
        <v/>
      </c>
      <c r="GQ797" s="742" t="str">
        <f t="shared" si="168"/>
        <v/>
      </c>
      <c r="GR797" s="742" t="str">
        <f t="shared" si="169"/>
        <v/>
      </c>
      <c r="GS797" s="742" t="str">
        <f t="shared" si="170"/>
        <v/>
      </c>
      <c r="GT797" s="742" t="str">
        <f t="shared" si="171"/>
        <v/>
      </c>
      <c r="GU797" s="742" t="str">
        <f t="shared" si="172"/>
        <v/>
      </c>
      <c r="GV797" s="742" t="str">
        <f t="shared" si="173"/>
        <v/>
      </c>
      <c r="GW797" s="742" t="str">
        <f t="shared" si="174"/>
        <v/>
      </c>
      <c r="GX797" s="742" t="str">
        <f t="shared" si="175"/>
        <v/>
      </c>
      <c r="GY797" s="742" t="str">
        <f t="shared" si="176"/>
        <v/>
      </c>
      <c r="GZ797" s="742" t="str">
        <f t="shared" si="177"/>
        <v/>
      </c>
      <c r="HA797" s="742" t="str">
        <f t="shared" si="178"/>
        <v/>
      </c>
      <c r="HB797" s="742" t="str">
        <f t="shared" si="179"/>
        <v/>
      </c>
      <c r="HC797" s="742" t="str">
        <f t="shared" si="180"/>
        <v/>
      </c>
      <c r="HD797" s="742" t="str">
        <f t="shared" si="181"/>
        <v/>
      </c>
      <c r="HE797" s="742" t="str">
        <f t="shared" si="182"/>
        <v/>
      </c>
      <c r="HF797" s="742" t="str">
        <f t="shared" si="183"/>
        <v/>
      </c>
      <c r="HG797" s="742" t="str">
        <f t="shared" si="184"/>
        <v/>
      </c>
      <c r="HH797" s="742" t="str">
        <f t="shared" si="185"/>
        <v/>
      </c>
      <c r="HI797" s="742" t="str">
        <f t="shared" si="186"/>
        <v/>
      </c>
      <c r="HJ797" s="742" t="str">
        <f t="shared" si="187"/>
        <v/>
      </c>
      <c r="HK797" s="742" t="str">
        <f t="shared" si="188"/>
        <v/>
      </c>
      <c r="HL797" s="742" t="str">
        <f t="shared" si="189"/>
        <v/>
      </c>
      <c r="HM797" s="742" t="str">
        <f t="shared" si="190"/>
        <v/>
      </c>
      <c r="HN797" s="742" t="str">
        <f t="shared" si="191"/>
        <v/>
      </c>
      <c r="HO797" s="742" t="str">
        <f t="shared" si="192"/>
        <v/>
      </c>
      <c r="HP797" s="742" t="str">
        <f t="shared" si="193"/>
        <v/>
      </c>
      <c r="HQ797" s="742" t="str">
        <f t="shared" si="194"/>
        <v/>
      </c>
      <c r="HR797" s="742" t="str">
        <f t="shared" si="195"/>
        <v/>
      </c>
      <c r="HS797" s="742" t="str">
        <f t="shared" si="196"/>
        <v/>
      </c>
      <c r="HT797" s="742" t="str">
        <f t="shared" si="197"/>
        <v/>
      </c>
      <c r="HU797" s="742" t="str">
        <f t="shared" si="198"/>
        <v/>
      </c>
      <c r="HV797" s="742" t="str">
        <f t="shared" si="199"/>
        <v/>
      </c>
      <c r="HW797" s="742" t="str">
        <f t="shared" si="200"/>
        <v/>
      </c>
      <c r="HX797" s="742" t="str">
        <f t="shared" si="201"/>
        <v/>
      </c>
      <c r="HY797" s="1638" t="str">
        <f t="shared" si="202"/>
        <v/>
      </c>
      <c r="HZ797" s="1638" t="str">
        <f t="shared" si="203"/>
        <v/>
      </c>
      <c r="IA797" s="1638" t="str">
        <f t="shared" si="204"/>
        <v/>
      </c>
      <c r="IB797" s="1638" t="str">
        <f t="shared" si="205"/>
        <v/>
      </c>
      <c r="IC797" s="1638" t="str">
        <f t="shared" si="206"/>
        <v/>
      </c>
      <c r="ID797" s="1638" t="str">
        <f t="shared" si="207"/>
        <v/>
      </c>
      <c r="IE797" s="1638" t="str">
        <f t="shared" si="208"/>
        <v/>
      </c>
      <c r="IF797" s="1638" t="str">
        <f t="shared" si="209"/>
        <v/>
      </c>
      <c r="IG797" s="1638" t="str">
        <f t="shared" si="210"/>
        <v/>
      </c>
      <c r="IH797" s="1638" t="str">
        <f t="shared" si="211"/>
        <v/>
      </c>
      <c r="II797" s="1638" t="str">
        <f t="shared" si="212"/>
        <v/>
      </c>
      <c r="IJ797" s="1638" t="str">
        <f t="shared" si="213"/>
        <v/>
      </c>
      <c r="IK797" s="1638" t="str">
        <f t="shared" si="214"/>
        <v/>
      </c>
      <c r="IL797" s="1638" t="str">
        <f t="shared" si="215"/>
        <v/>
      </c>
      <c r="IM797" s="1638" t="str">
        <f t="shared" si="216"/>
        <v/>
      </c>
      <c r="IN797" s="1638" t="str">
        <f t="shared" si="217"/>
        <v/>
      </c>
      <c r="IO797" s="1638" t="str">
        <f t="shared" si="218"/>
        <v/>
      </c>
      <c r="IP797" s="1638" t="str">
        <f t="shared" si="219"/>
        <v/>
      </c>
      <c r="IQ797" s="1638" t="str">
        <f t="shared" si="220"/>
        <v/>
      </c>
      <c r="IR797" s="1638" t="str">
        <f t="shared" si="221"/>
        <v/>
      </c>
      <c r="IS797" s="1638" t="str">
        <f t="shared" si="222"/>
        <v/>
      </c>
      <c r="IT797" s="1638" t="str">
        <f t="shared" si="223"/>
        <v/>
      </c>
      <c r="IU797" s="1638" t="str">
        <f t="shared" si="224"/>
        <v/>
      </c>
      <c r="IV797" s="1638" t="str">
        <f t="shared" si="225"/>
        <v/>
      </c>
      <c r="IW797" s="1638" t="str">
        <f t="shared" si="226"/>
        <v/>
      </c>
      <c r="IX797" s="1638" t="str">
        <f t="shared" si="227"/>
        <v/>
      </c>
      <c r="IY797" s="1638" t="str">
        <f t="shared" si="228"/>
        <v/>
      </c>
      <c r="IZ797" s="1638" t="str">
        <f t="shared" si="229"/>
        <v/>
      </c>
      <c r="JA797" s="1638" t="str">
        <f t="shared" si="230"/>
        <v/>
      </c>
      <c r="JB797" s="1638" t="str">
        <f t="shared" si="231"/>
        <v/>
      </c>
      <c r="JC797" s="1638" t="str">
        <f t="shared" si="232"/>
        <v/>
      </c>
      <c r="JD797" s="1638" t="str">
        <f t="shared" si="233"/>
        <v/>
      </c>
      <c r="JE797" s="1638" t="str">
        <f t="shared" si="234"/>
        <v/>
      </c>
      <c r="JF797" s="1638" t="str">
        <f t="shared" si="235"/>
        <v/>
      </c>
      <c r="JG797" s="1638" t="str">
        <f t="shared" si="236"/>
        <v/>
      </c>
      <c r="JH797" s="1638" t="str">
        <f t="shared" si="237"/>
        <v/>
      </c>
      <c r="JI797" s="1638" t="str">
        <f t="shared" si="238"/>
        <v/>
      </c>
      <c r="JJ797" s="1638" t="str">
        <f t="shared" si="239"/>
        <v/>
      </c>
      <c r="JK797" s="1638" t="str">
        <f t="shared" si="240"/>
        <v/>
      </c>
      <c r="JL797" s="1638" t="str">
        <f t="shared" si="241"/>
        <v/>
      </c>
      <c r="JM797" s="1638" t="str">
        <f t="shared" si="242"/>
        <v/>
      </c>
      <c r="JN797" s="1638" t="str">
        <f t="shared" si="243"/>
        <v/>
      </c>
      <c r="JO797" s="1638" t="str">
        <f t="shared" si="244"/>
        <v/>
      </c>
      <c r="JP797" s="1638" t="str">
        <f t="shared" si="245"/>
        <v/>
      </c>
      <c r="JQ797" s="1638" t="str">
        <f t="shared" si="246"/>
        <v/>
      </c>
      <c r="JR797" s="1638" t="str">
        <f t="shared" si="247"/>
        <v/>
      </c>
      <c r="JS797" s="1638" t="str">
        <f t="shared" si="248"/>
        <v/>
      </c>
      <c r="JT797" s="1638" t="str">
        <f t="shared" si="249"/>
        <v/>
      </c>
      <c r="JU797" s="1638" t="str">
        <f t="shared" si="250"/>
        <v/>
      </c>
      <c r="JV797" s="1638" t="str">
        <f t="shared" si="251"/>
        <v/>
      </c>
      <c r="JW797" s="1638" t="str">
        <f t="shared" si="252"/>
        <v/>
      </c>
      <c r="JX797" s="1638" t="str">
        <f t="shared" si="253"/>
        <v/>
      </c>
      <c r="JY797" s="1638" t="str">
        <f t="shared" si="254"/>
        <v/>
      </c>
      <c r="JZ797" s="1638" t="str">
        <f t="shared" si="255"/>
        <v/>
      </c>
      <c r="KA797" s="1638" t="str">
        <f t="shared" si="256"/>
        <v/>
      </c>
      <c r="KB797" s="1638" t="str">
        <f t="shared" si="257"/>
        <v/>
      </c>
      <c r="KC797" s="1638" t="str">
        <f t="shared" si="258"/>
        <v/>
      </c>
      <c r="KD797" s="1638" t="str">
        <f t="shared" si="259"/>
        <v/>
      </c>
      <c r="KE797" s="1638" t="str">
        <f t="shared" si="260"/>
        <v/>
      </c>
      <c r="KF797" s="1638" t="str">
        <f t="shared" si="261"/>
        <v/>
      </c>
      <c r="KG797" s="1638" t="str">
        <f t="shared" si="262"/>
        <v/>
      </c>
      <c r="KH797" s="1638" t="str">
        <f t="shared" si="263"/>
        <v/>
      </c>
      <c r="KI797" s="1638" t="str">
        <f t="shared" si="264"/>
        <v/>
      </c>
      <c r="KJ797" s="1638" t="str">
        <f t="shared" si="265"/>
        <v/>
      </c>
      <c r="KK797" s="1638" t="str">
        <f t="shared" si="266"/>
        <v/>
      </c>
      <c r="KL797" s="1638" t="str">
        <f t="shared" si="267"/>
        <v/>
      </c>
      <c r="KM797" s="1638" t="str">
        <f t="shared" si="268"/>
        <v/>
      </c>
      <c r="KN797" s="1638" t="str">
        <f t="shared" si="269"/>
        <v/>
      </c>
      <c r="KO797" s="1638" t="str">
        <f t="shared" si="270"/>
        <v/>
      </c>
      <c r="KP797" s="1638" t="str">
        <f t="shared" si="271"/>
        <v/>
      </c>
      <c r="KQ797" s="1638" t="str">
        <f t="shared" si="272"/>
        <v/>
      </c>
      <c r="KR797" s="1638" t="str">
        <f t="shared" si="273"/>
        <v/>
      </c>
      <c r="KS797" s="1638" t="str">
        <f t="shared" si="274"/>
        <v/>
      </c>
      <c r="KT797" s="1638" t="str">
        <f t="shared" si="275"/>
        <v/>
      </c>
      <c r="KU797" s="1638" t="str">
        <f t="shared" si="276"/>
        <v/>
      </c>
      <c r="KV797" s="1638" t="str">
        <f t="shared" si="277"/>
        <v/>
      </c>
      <c r="KW797" s="1638" t="str">
        <f t="shared" si="278"/>
        <v/>
      </c>
      <c r="KX797" s="1638" t="str">
        <f t="shared" si="279"/>
        <v/>
      </c>
      <c r="KY797" s="1638" t="str">
        <f t="shared" si="280"/>
        <v/>
      </c>
      <c r="KZ797" s="1638" t="str">
        <f t="shared" si="281"/>
        <v/>
      </c>
      <c r="LA797" s="1638" t="str">
        <f t="shared" si="282"/>
        <v/>
      </c>
      <c r="LB797" s="1638" t="str">
        <f t="shared" si="283"/>
        <v/>
      </c>
      <c r="LC797" s="1638" t="str">
        <f t="shared" si="284"/>
        <v/>
      </c>
      <c r="LD797" s="1638" t="str">
        <f t="shared" si="285"/>
        <v/>
      </c>
      <c r="LE797" s="1638" t="str">
        <f t="shared" si="286"/>
        <v/>
      </c>
      <c r="LF797" s="1637" t="str">
        <f t="shared" si="287"/>
        <v/>
      </c>
      <c r="LG797" s="1637" t="str">
        <f t="shared" si="288"/>
        <v/>
      </c>
      <c r="LH797" s="1637" t="str">
        <f t="shared" si="289"/>
        <v/>
      </c>
      <c r="LI797" s="1637" t="str">
        <f t="shared" si="290"/>
        <v/>
      </c>
      <c r="LJ797" s="1637" t="str">
        <f t="shared" si="291"/>
        <v/>
      </c>
      <c r="LK797" s="742" t="str">
        <f t="shared" si="292"/>
        <v/>
      </c>
      <c r="LL797" s="742" t="str">
        <f t="shared" si="293"/>
        <v/>
      </c>
      <c r="LM797" s="742" t="str">
        <f t="shared" si="294"/>
        <v/>
      </c>
      <c r="LN797" s="742" t="str">
        <f t="shared" si="295"/>
        <v/>
      </c>
      <c r="LO797" s="742" t="str">
        <f t="shared" si="296"/>
        <v/>
      </c>
      <c r="LP797" s="742" t="str">
        <f t="shared" si="297"/>
        <v/>
      </c>
      <c r="LQ797" s="742" t="str">
        <f t="shared" si="298"/>
        <v/>
      </c>
      <c r="LR797" s="742" t="str">
        <f t="shared" si="299"/>
        <v/>
      </c>
      <c r="LS797" s="742" t="str">
        <f t="shared" si="300"/>
        <v/>
      </c>
      <c r="LT797" s="742" t="str">
        <f t="shared" si="301"/>
        <v/>
      </c>
      <c r="LU797" s="742" t="str">
        <f t="shared" si="302"/>
        <v/>
      </c>
      <c r="LV797" s="742" t="str">
        <f t="shared" si="303"/>
        <v/>
      </c>
      <c r="LW797" s="742" t="str">
        <f t="shared" si="304"/>
        <v/>
      </c>
      <c r="LX797" s="742" t="str">
        <f t="shared" si="305"/>
        <v/>
      </c>
      <c r="LY797" s="742" t="str">
        <f t="shared" si="306"/>
        <v/>
      </c>
      <c r="LZ797" s="742" t="str">
        <f t="shared" si="307"/>
        <v/>
      </c>
      <c r="MA797" s="742" t="str">
        <f t="shared" si="308"/>
        <v/>
      </c>
      <c r="MB797" s="742" t="str">
        <f t="shared" si="309"/>
        <v/>
      </c>
      <c r="MC797" s="742" t="str">
        <f t="shared" si="310"/>
        <v/>
      </c>
      <c r="MD797" s="742" t="str">
        <f t="shared" si="311"/>
        <v/>
      </c>
      <c r="ME797" s="1637">
        <f t="shared" si="323"/>
        <v>0</v>
      </c>
      <c r="MF797" s="1637">
        <f t="shared" si="324"/>
        <v>0</v>
      </c>
      <c r="MG797" s="1637">
        <f t="shared" si="325"/>
        <v>0</v>
      </c>
      <c r="MH797" s="1637">
        <f t="shared" si="326"/>
        <v>0</v>
      </c>
      <c r="MI797" s="1637">
        <f t="shared" si="327"/>
        <v>0</v>
      </c>
      <c r="MJ797" s="1637">
        <f t="shared" si="328"/>
        <v>0</v>
      </c>
      <c r="MK797" s="1637">
        <f t="shared" si="329"/>
        <v>0</v>
      </c>
      <c r="ML797" s="1637">
        <f t="shared" si="330"/>
        <v>0</v>
      </c>
      <c r="MM797" s="1637">
        <f t="shared" si="331"/>
        <v>0</v>
      </c>
      <c r="MN797" s="1637">
        <f t="shared" si="332"/>
        <v>0</v>
      </c>
      <c r="MO797" s="1637">
        <f t="shared" si="333"/>
        <v>0</v>
      </c>
      <c r="MP797" s="1637">
        <f t="shared" si="334"/>
        <v>0</v>
      </c>
      <c r="MQ797" s="1637">
        <f t="shared" si="335"/>
        <v>0</v>
      </c>
      <c r="MR797" s="1637">
        <f t="shared" si="336"/>
        <v>0</v>
      </c>
      <c r="MS797" s="1637">
        <f t="shared" si="337"/>
        <v>0</v>
      </c>
    </row>
    <row r="798" spans="1:357" ht="13.5">
      <c r="A798" s="1630" t="str">
        <f t="shared" si="0"/>
        <v/>
      </c>
      <c r="B798" s="2757">
        <f>'Part VI-Revenues &amp; Expenses'!B36</f>
        <v>0</v>
      </c>
      <c r="C798" s="2146">
        <f>'Part VI-Revenues &amp; Expenses'!C36</f>
        <v>0</v>
      </c>
      <c r="D798" s="2147">
        <f>'Part VI-Revenues &amp; Expenses'!D36</f>
        <v>0</v>
      </c>
      <c r="E798" s="2148">
        <f>'Part VI-Revenues &amp; Expenses'!E36</f>
        <v>0</v>
      </c>
      <c r="F798" s="2148">
        <f>'Part VI-Revenues &amp; Expenses'!F36</f>
        <v>0</v>
      </c>
      <c r="G798" s="2148">
        <f>'Part VI-Revenues &amp; Expenses'!G36</f>
        <v>0</v>
      </c>
      <c r="H798" s="2148">
        <f>'Part VI-Revenues &amp; Expenses'!H36</f>
        <v>0</v>
      </c>
      <c r="I798" s="2148">
        <f>'Part VI-Revenues &amp; Expenses'!I36</f>
        <v>0</v>
      </c>
      <c r="J798" s="2149">
        <f>'Part VI-Revenues &amp; Expenses'!J36</f>
        <v>0</v>
      </c>
      <c r="K798" s="1822">
        <f t="shared" si="1"/>
        <v>0</v>
      </c>
      <c r="L798" s="1822">
        <f t="shared" si="2"/>
        <v>0</v>
      </c>
      <c r="M798" s="2133">
        <f>'Part VI-Revenues &amp; Expenses'!M36</f>
        <v>0</v>
      </c>
      <c r="N798" s="2133">
        <f>'Part VI-Revenues &amp; Expenses'!N36</f>
        <v>0</v>
      </c>
      <c r="O798" s="2133">
        <f>'Part VI-Revenues &amp; Expenses'!O36</f>
        <v>0</v>
      </c>
      <c r="P798" s="1633">
        <f>'Part VI-Revenues &amp; Expenses'!P36</f>
        <v>0</v>
      </c>
      <c r="Q798" s="1823" t="str">
        <f>'Part VI-Revenues &amp; Expenses'!Q36</f>
        <v/>
      </c>
      <c r="R798" s="1824" t="str">
        <f>'Part VI-Revenues &amp; Expenses'!R36</f>
        <v/>
      </c>
      <c r="S798" s="1823">
        <f>'Part VI-Revenues &amp; Expenses'!S36</f>
        <v>0</v>
      </c>
      <c r="T798" s="1824">
        <f>'Part VI-Revenues &amp; Expenses'!T36</f>
        <v>0</v>
      </c>
      <c r="U798" s="1838">
        <f>'Part VI-Revenues &amp; Expenses'!U36:V36</f>
        <v>0</v>
      </c>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312"/>
        <v/>
      </c>
      <c r="EH798" s="742" t="str">
        <f t="shared" si="117"/>
        <v/>
      </c>
      <c r="EI798" s="742" t="str">
        <f t="shared" si="118"/>
        <v/>
      </c>
      <c r="EJ798" s="742" t="str">
        <f t="shared" si="119"/>
        <v/>
      </c>
      <c r="EK798" s="742" t="str">
        <f t="shared" si="120"/>
        <v/>
      </c>
      <c r="EL798" s="742" t="str">
        <f t="shared" si="121"/>
        <v/>
      </c>
      <c r="EM798" s="742" t="str">
        <f t="shared" si="122"/>
        <v/>
      </c>
      <c r="EN798" s="742" t="str">
        <f t="shared" si="123"/>
        <v/>
      </c>
      <c r="EO798" s="742" t="str">
        <f t="shared" si="124"/>
        <v/>
      </c>
      <c r="EP798" s="742" t="str">
        <f t="shared" si="125"/>
        <v/>
      </c>
      <c r="EQ798" s="742" t="str">
        <f t="shared" si="126"/>
        <v/>
      </c>
      <c r="ER798" s="742" t="str">
        <f t="shared" si="127"/>
        <v/>
      </c>
      <c r="ES798" s="742" t="str">
        <f t="shared" si="128"/>
        <v/>
      </c>
      <c r="ET798" s="742" t="str">
        <f t="shared" si="129"/>
        <v/>
      </c>
      <c r="EU798" s="742" t="str">
        <f t="shared" si="130"/>
        <v/>
      </c>
      <c r="EV798" s="742" t="str">
        <f t="shared" si="131"/>
        <v/>
      </c>
      <c r="EW798" s="742" t="str">
        <f t="shared" si="313"/>
        <v/>
      </c>
      <c r="EX798" s="742" t="str">
        <f t="shared" si="314"/>
        <v/>
      </c>
      <c r="EY798" s="742" t="str">
        <f t="shared" si="315"/>
        <v/>
      </c>
      <c r="EZ798" s="742" t="str">
        <f t="shared" si="316"/>
        <v/>
      </c>
      <c r="FA798" s="742" t="str">
        <f t="shared" si="317"/>
        <v/>
      </c>
      <c r="FB798" s="742" t="str">
        <f t="shared" si="132"/>
        <v/>
      </c>
      <c r="FC798" s="742" t="str">
        <f t="shared" si="133"/>
        <v/>
      </c>
      <c r="FD798" s="742" t="str">
        <f t="shared" si="134"/>
        <v/>
      </c>
      <c r="FE798" s="742" t="str">
        <f t="shared" si="135"/>
        <v/>
      </c>
      <c r="FF798" s="742" t="str">
        <f t="shared" si="136"/>
        <v/>
      </c>
      <c r="FG798" s="742" t="str">
        <f t="shared" si="318"/>
        <v/>
      </c>
      <c r="FH798" s="742" t="str">
        <f t="shared" si="319"/>
        <v/>
      </c>
      <c r="FI798" s="742" t="str">
        <f t="shared" si="320"/>
        <v/>
      </c>
      <c r="FJ798" s="742" t="str">
        <f t="shared" si="321"/>
        <v/>
      </c>
      <c r="FK798" s="742" t="str">
        <f t="shared" si="322"/>
        <v/>
      </c>
      <c r="FL798" s="742" t="str">
        <f t="shared" si="137"/>
        <v/>
      </c>
      <c r="FM798" s="742" t="str">
        <f t="shared" si="138"/>
        <v/>
      </c>
      <c r="FN798" s="742" t="str">
        <f t="shared" si="139"/>
        <v/>
      </c>
      <c r="FO798" s="742" t="str">
        <f t="shared" si="140"/>
        <v/>
      </c>
      <c r="FP798" s="742" t="str">
        <f t="shared" si="141"/>
        <v/>
      </c>
      <c r="FQ798" s="742" t="str">
        <f t="shared" si="142"/>
        <v/>
      </c>
      <c r="FR798" s="742" t="str">
        <f t="shared" si="143"/>
        <v/>
      </c>
      <c r="FS798" s="742" t="str">
        <f t="shared" si="144"/>
        <v/>
      </c>
      <c r="FT798" s="742" t="str">
        <f t="shared" si="145"/>
        <v/>
      </c>
      <c r="FU798" s="742" t="str">
        <f t="shared" si="146"/>
        <v/>
      </c>
      <c r="FV798" s="742" t="str">
        <f t="shared" si="147"/>
        <v/>
      </c>
      <c r="FW798" s="742" t="str">
        <f t="shared" si="148"/>
        <v/>
      </c>
      <c r="FX798" s="742" t="str">
        <f t="shared" si="149"/>
        <v/>
      </c>
      <c r="FY798" s="742" t="str">
        <f t="shared" si="150"/>
        <v/>
      </c>
      <c r="FZ798" s="742" t="str">
        <f t="shared" si="151"/>
        <v/>
      </c>
      <c r="GA798" s="742" t="str">
        <f t="shared" si="152"/>
        <v/>
      </c>
      <c r="GB798" s="742" t="str">
        <f t="shared" si="153"/>
        <v/>
      </c>
      <c r="GC798" s="742" t="str">
        <f t="shared" si="154"/>
        <v/>
      </c>
      <c r="GD798" s="742" t="str">
        <f t="shared" si="155"/>
        <v/>
      </c>
      <c r="GE798" s="742" t="str">
        <f t="shared" si="156"/>
        <v/>
      </c>
      <c r="GF798" s="742" t="str">
        <f t="shared" si="157"/>
        <v/>
      </c>
      <c r="GG798" s="742" t="str">
        <f t="shared" si="158"/>
        <v/>
      </c>
      <c r="GH798" s="742" t="str">
        <f t="shared" si="159"/>
        <v/>
      </c>
      <c r="GI798" s="742" t="str">
        <f t="shared" si="160"/>
        <v/>
      </c>
      <c r="GJ798" s="742" t="str">
        <f t="shared" si="161"/>
        <v/>
      </c>
      <c r="GK798" s="742" t="str">
        <f t="shared" si="162"/>
        <v/>
      </c>
      <c r="GL798" s="742" t="str">
        <f t="shared" si="163"/>
        <v/>
      </c>
      <c r="GM798" s="742" t="str">
        <f t="shared" si="164"/>
        <v/>
      </c>
      <c r="GN798" s="742" t="str">
        <f t="shared" si="165"/>
        <v/>
      </c>
      <c r="GO798" s="742" t="str">
        <f t="shared" si="166"/>
        <v/>
      </c>
      <c r="GP798" s="742" t="str">
        <f t="shared" si="167"/>
        <v/>
      </c>
      <c r="GQ798" s="742" t="str">
        <f t="shared" si="168"/>
        <v/>
      </c>
      <c r="GR798" s="742" t="str">
        <f t="shared" si="169"/>
        <v/>
      </c>
      <c r="GS798" s="742" t="str">
        <f t="shared" si="170"/>
        <v/>
      </c>
      <c r="GT798" s="742" t="str">
        <f t="shared" si="171"/>
        <v/>
      </c>
      <c r="GU798" s="742" t="str">
        <f t="shared" si="172"/>
        <v/>
      </c>
      <c r="GV798" s="742" t="str">
        <f t="shared" si="173"/>
        <v/>
      </c>
      <c r="GW798" s="742" t="str">
        <f t="shared" si="174"/>
        <v/>
      </c>
      <c r="GX798" s="742" t="str">
        <f t="shared" si="175"/>
        <v/>
      </c>
      <c r="GY798" s="742" t="str">
        <f t="shared" si="176"/>
        <v/>
      </c>
      <c r="GZ798" s="742" t="str">
        <f t="shared" si="177"/>
        <v/>
      </c>
      <c r="HA798" s="742" t="str">
        <f t="shared" si="178"/>
        <v/>
      </c>
      <c r="HB798" s="742" t="str">
        <f t="shared" si="179"/>
        <v/>
      </c>
      <c r="HC798" s="742" t="str">
        <f t="shared" si="180"/>
        <v/>
      </c>
      <c r="HD798" s="742" t="str">
        <f t="shared" si="181"/>
        <v/>
      </c>
      <c r="HE798" s="742" t="str">
        <f t="shared" si="182"/>
        <v/>
      </c>
      <c r="HF798" s="742" t="str">
        <f t="shared" si="183"/>
        <v/>
      </c>
      <c r="HG798" s="742" t="str">
        <f t="shared" si="184"/>
        <v/>
      </c>
      <c r="HH798" s="742" t="str">
        <f t="shared" si="185"/>
        <v/>
      </c>
      <c r="HI798" s="742" t="str">
        <f t="shared" si="186"/>
        <v/>
      </c>
      <c r="HJ798" s="742" t="str">
        <f t="shared" si="187"/>
        <v/>
      </c>
      <c r="HK798" s="742" t="str">
        <f t="shared" si="188"/>
        <v/>
      </c>
      <c r="HL798" s="742" t="str">
        <f t="shared" si="189"/>
        <v/>
      </c>
      <c r="HM798" s="742" t="str">
        <f t="shared" si="190"/>
        <v/>
      </c>
      <c r="HN798" s="742" t="str">
        <f t="shared" si="191"/>
        <v/>
      </c>
      <c r="HO798" s="742" t="str">
        <f t="shared" si="192"/>
        <v/>
      </c>
      <c r="HP798" s="742" t="str">
        <f t="shared" si="193"/>
        <v/>
      </c>
      <c r="HQ798" s="742" t="str">
        <f t="shared" si="194"/>
        <v/>
      </c>
      <c r="HR798" s="742" t="str">
        <f t="shared" si="195"/>
        <v/>
      </c>
      <c r="HS798" s="742" t="str">
        <f t="shared" si="196"/>
        <v/>
      </c>
      <c r="HT798" s="742" t="str">
        <f t="shared" si="197"/>
        <v/>
      </c>
      <c r="HU798" s="742" t="str">
        <f t="shared" si="198"/>
        <v/>
      </c>
      <c r="HV798" s="742" t="str">
        <f t="shared" si="199"/>
        <v/>
      </c>
      <c r="HW798" s="742" t="str">
        <f t="shared" si="200"/>
        <v/>
      </c>
      <c r="HX798" s="742" t="str">
        <f t="shared" si="201"/>
        <v/>
      </c>
      <c r="HY798" s="1638" t="str">
        <f t="shared" si="202"/>
        <v/>
      </c>
      <c r="HZ798" s="1638" t="str">
        <f t="shared" si="203"/>
        <v/>
      </c>
      <c r="IA798" s="1638" t="str">
        <f t="shared" si="204"/>
        <v/>
      </c>
      <c r="IB798" s="1638" t="str">
        <f t="shared" si="205"/>
        <v/>
      </c>
      <c r="IC798" s="1638" t="str">
        <f t="shared" si="206"/>
        <v/>
      </c>
      <c r="ID798" s="1638" t="str">
        <f t="shared" si="207"/>
        <v/>
      </c>
      <c r="IE798" s="1638" t="str">
        <f t="shared" si="208"/>
        <v/>
      </c>
      <c r="IF798" s="1638" t="str">
        <f t="shared" si="209"/>
        <v/>
      </c>
      <c r="IG798" s="1638" t="str">
        <f t="shared" si="210"/>
        <v/>
      </c>
      <c r="IH798" s="1638" t="str">
        <f t="shared" si="211"/>
        <v/>
      </c>
      <c r="II798" s="1638" t="str">
        <f t="shared" si="212"/>
        <v/>
      </c>
      <c r="IJ798" s="1638" t="str">
        <f t="shared" si="213"/>
        <v/>
      </c>
      <c r="IK798" s="1638" t="str">
        <f t="shared" si="214"/>
        <v/>
      </c>
      <c r="IL798" s="1638" t="str">
        <f t="shared" si="215"/>
        <v/>
      </c>
      <c r="IM798" s="1638" t="str">
        <f t="shared" si="216"/>
        <v/>
      </c>
      <c r="IN798" s="1638" t="str">
        <f t="shared" si="217"/>
        <v/>
      </c>
      <c r="IO798" s="1638" t="str">
        <f t="shared" si="218"/>
        <v/>
      </c>
      <c r="IP798" s="1638" t="str">
        <f t="shared" si="219"/>
        <v/>
      </c>
      <c r="IQ798" s="1638" t="str">
        <f t="shared" si="220"/>
        <v/>
      </c>
      <c r="IR798" s="1638" t="str">
        <f t="shared" si="221"/>
        <v/>
      </c>
      <c r="IS798" s="1638" t="str">
        <f t="shared" si="222"/>
        <v/>
      </c>
      <c r="IT798" s="1638" t="str">
        <f t="shared" si="223"/>
        <v/>
      </c>
      <c r="IU798" s="1638" t="str">
        <f t="shared" si="224"/>
        <v/>
      </c>
      <c r="IV798" s="1638" t="str">
        <f t="shared" si="225"/>
        <v/>
      </c>
      <c r="IW798" s="1638" t="str">
        <f t="shared" si="226"/>
        <v/>
      </c>
      <c r="IX798" s="1638" t="str">
        <f t="shared" si="227"/>
        <v/>
      </c>
      <c r="IY798" s="1638" t="str">
        <f t="shared" si="228"/>
        <v/>
      </c>
      <c r="IZ798" s="1638" t="str">
        <f t="shared" si="229"/>
        <v/>
      </c>
      <c r="JA798" s="1638" t="str">
        <f t="shared" si="230"/>
        <v/>
      </c>
      <c r="JB798" s="1638" t="str">
        <f t="shared" si="231"/>
        <v/>
      </c>
      <c r="JC798" s="1638" t="str">
        <f t="shared" si="232"/>
        <v/>
      </c>
      <c r="JD798" s="1638" t="str">
        <f t="shared" si="233"/>
        <v/>
      </c>
      <c r="JE798" s="1638" t="str">
        <f t="shared" si="234"/>
        <v/>
      </c>
      <c r="JF798" s="1638" t="str">
        <f t="shared" si="235"/>
        <v/>
      </c>
      <c r="JG798" s="1638" t="str">
        <f t="shared" si="236"/>
        <v/>
      </c>
      <c r="JH798" s="1638" t="str">
        <f t="shared" si="237"/>
        <v/>
      </c>
      <c r="JI798" s="1638" t="str">
        <f t="shared" si="238"/>
        <v/>
      </c>
      <c r="JJ798" s="1638" t="str">
        <f t="shared" si="239"/>
        <v/>
      </c>
      <c r="JK798" s="1638" t="str">
        <f t="shared" si="240"/>
        <v/>
      </c>
      <c r="JL798" s="1638" t="str">
        <f t="shared" si="241"/>
        <v/>
      </c>
      <c r="JM798" s="1638" t="str">
        <f t="shared" si="242"/>
        <v/>
      </c>
      <c r="JN798" s="1638" t="str">
        <f t="shared" si="243"/>
        <v/>
      </c>
      <c r="JO798" s="1638" t="str">
        <f t="shared" si="244"/>
        <v/>
      </c>
      <c r="JP798" s="1638" t="str">
        <f t="shared" si="245"/>
        <v/>
      </c>
      <c r="JQ798" s="1638" t="str">
        <f t="shared" si="246"/>
        <v/>
      </c>
      <c r="JR798" s="1638" t="str">
        <f t="shared" si="247"/>
        <v/>
      </c>
      <c r="JS798" s="1638" t="str">
        <f t="shared" si="248"/>
        <v/>
      </c>
      <c r="JT798" s="1638" t="str">
        <f t="shared" si="249"/>
        <v/>
      </c>
      <c r="JU798" s="1638" t="str">
        <f t="shared" si="250"/>
        <v/>
      </c>
      <c r="JV798" s="1638" t="str">
        <f t="shared" si="251"/>
        <v/>
      </c>
      <c r="JW798" s="1638" t="str">
        <f t="shared" si="252"/>
        <v/>
      </c>
      <c r="JX798" s="1638" t="str">
        <f t="shared" si="253"/>
        <v/>
      </c>
      <c r="JY798" s="1638" t="str">
        <f t="shared" si="254"/>
        <v/>
      </c>
      <c r="JZ798" s="1638" t="str">
        <f t="shared" si="255"/>
        <v/>
      </c>
      <c r="KA798" s="1638" t="str">
        <f t="shared" si="256"/>
        <v/>
      </c>
      <c r="KB798" s="1638" t="str">
        <f t="shared" si="257"/>
        <v/>
      </c>
      <c r="KC798" s="1638" t="str">
        <f t="shared" si="258"/>
        <v/>
      </c>
      <c r="KD798" s="1638" t="str">
        <f t="shared" si="259"/>
        <v/>
      </c>
      <c r="KE798" s="1638" t="str">
        <f t="shared" si="260"/>
        <v/>
      </c>
      <c r="KF798" s="1638" t="str">
        <f t="shared" si="261"/>
        <v/>
      </c>
      <c r="KG798" s="1638" t="str">
        <f t="shared" si="262"/>
        <v/>
      </c>
      <c r="KH798" s="1638" t="str">
        <f t="shared" si="263"/>
        <v/>
      </c>
      <c r="KI798" s="1638" t="str">
        <f t="shared" si="264"/>
        <v/>
      </c>
      <c r="KJ798" s="1638" t="str">
        <f t="shared" si="265"/>
        <v/>
      </c>
      <c r="KK798" s="1638" t="str">
        <f t="shared" si="266"/>
        <v/>
      </c>
      <c r="KL798" s="1638" t="str">
        <f t="shared" si="267"/>
        <v/>
      </c>
      <c r="KM798" s="1638" t="str">
        <f t="shared" si="268"/>
        <v/>
      </c>
      <c r="KN798" s="1638" t="str">
        <f t="shared" si="269"/>
        <v/>
      </c>
      <c r="KO798" s="1638" t="str">
        <f t="shared" si="270"/>
        <v/>
      </c>
      <c r="KP798" s="1638" t="str">
        <f t="shared" si="271"/>
        <v/>
      </c>
      <c r="KQ798" s="1638" t="str">
        <f t="shared" si="272"/>
        <v/>
      </c>
      <c r="KR798" s="1638" t="str">
        <f t="shared" si="273"/>
        <v/>
      </c>
      <c r="KS798" s="1638" t="str">
        <f t="shared" si="274"/>
        <v/>
      </c>
      <c r="KT798" s="1638" t="str">
        <f t="shared" si="275"/>
        <v/>
      </c>
      <c r="KU798" s="1638" t="str">
        <f t="shared" si="276"/>
        <v/>
      </c>
      <c r="KV798" s="1638" t="str">
        <f t="shared" si="277"/>
        <v/>
      </c>
      <c r="KW798" s="1638" t="str">
        <f t="shared" si="278"/>
        <v/>
      </c>
      <c r="KX798" s="1638" t="str">
        <f t="shared" si="279"/>
        <v/>
      </c>
      <c r="KY798" s="1638" t="str">
        <f t="shared" si="280"/>
        <v/>
      </c>
      <c r="KZ798" s="1638" t="str">
        <f t="shared" si="281"/>
        <v/>
      </c>
      <c r="LA798" s="1638" t="str">
        <f t="shared" si="282"/>
        <v/>
      </c>
      <c r="LB798" s="1638" t="str">
        <f t="shared" si="283"/>
        <v/>
      </c>
      <c r="LC798" s="1638" t="str">
        <f t="shared" si="284"/>
        <v/>
      </c>
      <c r="LD798" s="1638" t="str">
        <f t="shared" si="285"/>
        <v/>
      </c>
      <c r="LE798" s="1638" t="str">
        <f t="shared" si="286"/>
        <v/>
      </c>
      <c r="LF798" s="1637" t="str">
        <f t="shared" si="287"/>
        <v/>
      </c>
      <c r="LG798" s="1637" t="str">
        <f t="shared" si="288"/>
        <v/>
      </c>
      <c r="LH798" s="1637" t="str">
        <f t="shared" si="289"/>
        <v/>
      </c>
      <c r="LI798" s="1637" t="str">
        <f t="shared" si="290"/>
        <v/>
      </c>
      <c r="LJ798" s="1637" t="str">
        <f t="shared" si="291"/>
        <v/>
      </c>
      <c r="LK798" s="742" t="str">
        <f t="shared" si="292"/>
        <v/>
      </c>
      <c r="LL798" s="742" t="str">
        <f t="shared" si="293"/>
        <v/>
      </c>
      <c r="LM798" s="742" t="str">
        <f t="shared" si="294"/>
        <v/>
      </c>
      <c r="LN798" s="742" t="str">
        <f t="shared" si="295"/>
        <v/>
      </c>
      <c r="LO798" s="742" t="str">
        <f t="shared" si="296"/>
        <v/>
      </c>
      <c r="LP798" s="742" t="str">
        <f t="shared" si="297"/>
        <v/>
      </c>
      <c r="LQ798" s="742" t="str">
        <f t="shared" si="298"/>
        <v/>
      </c>
      <c r="LR798" s="742" t="str">
        <f t="shared" si="299"/>
        <v/>
      </c>
      <c r="LS798" s="742" t="str">
        <f t="shared" si="300"/>
        <v/>
      </c>
      <c r="LT798" s="742" t="str">
        <f t="shared" si="301"/>
        <v/>
      </c>
      <c r="LU798" s="742" t="str">
        <f t="shared" si="302"/>
        <v/>
      </c>
      <c r="LV798" s="742" t="str">
        <f t="shared" si="303"/>
        <v/>
      </c>
      <c r="LW798" s="742" t="str">
        <f t="shared" si="304"/>
        <v/>
      </c>
      <c r="LX798" s="742" t="str">
        <f t="shared" si="305"/>
        <v/>
      </c>
      <c r="LY798" s="742" t="str">
        <f t="shared" si="306"/>
        <v/>
      </c>
      <c r="LZ798" s="742" t="str">
        <f t="shared" si="307"/>
        <v/>
      </c>
      <c r="MA798" s="742" t="str">
        <f t="shared" si="308"/>
        <v/>
      </c>
      <c r="MB798" s="742" t="str">
        <f t="shared" si="309"/>
        <v/>
      </c>
      <c r="MC798" s="742" t="str">
        <f t="shared" si="310"/>
        <v/>
      </c>
      <c r="MD798" s="742" t="str">
        <f t="shared" si="311"/>
        <v/>
      </c>
      <c r="ME798" s="1637">
        <f t="shared" si="323"/>
        <v>0</v>
      </c>
      <c r="MF798" s="1637">
        <f t="shared" si="324"/>
        <v>0</v>
      </c>
      <c r="MG798" s="1637">
        <f t="shared" si="325"/>
        <v>0</v>
      </c>
      <c r="MH798" s="1637">
        <f t="shared" si="326"/>
        <v>0</v>
      </c>
      <c r="MI798" s="1637">
        <f t="shared" si="327"/>
        <v>0</v>
      </c>
      <c r="MJ798" s="1637">
        <f t="shared" si="328"/>
        <v>0</v>
      </c>
      <c r="MK798" s="1637">
        <f t="shared" si="329"/>
        <v>0</v>
      </c>
      <c r="ML798" s="1637">
        <f t="shared" si="330"/>
        <v>0</v>
      </c>
      <c r="MM798" s="1637">
        <f t="shared" si="331"/>
        <v>0</v>
      </c>
      <c r="MN798" s="1637">
        <f t="shared" si="332"/>
        <v>0</v>
      </c>
      <c r="MO798" s="1637">
        <f t="shared" si="333"/>
        <v>0</v>
      </c>
      <c r="MP798" s="1637">
        <f t="shared" si="334"/>
        <v>0</v>
      </c>
      <c r="MQ798" s="1637">
        <f t="shared" si="335"/>
        <v>0</v>
      </c>
      <c r="MR798" s="1637">
        <f t="shared" si="336"/>
        <v>0</v>
      </c>
      <c r="MS798" s="1637">
        <f t="shared" si="337"/>
        <v>0</v>
      </c>
    </row>
    <row r="799" spans="1:357" ht="13.5">
      <c r="A799" s="1630" t="str">
        <f t="shared" si="0"/>
        <v/>
      </c>
      <c r="B799" s="2757">
        <f>'Part VI-Revenues &amp; Expenses'!B37</f>
        <v>0</v>
      </c>
      <c r="C799" s="2146">
        <f>'Part VI-Revenues &amp; Expenses'!C37</f>
        <v>0</v>
      </c>
      <c r="D799" s="2147">
        <f>'Part VI-Revenues &amp; Expenses'!D37</f>
        <v>0</v>
      </c>
      <c r="E799" s="2148">
        <f>'Part VI-Revenues &amp; Expenses'!E37</f>
        <v>0</v>
      </c>
      <c r="F799" s="2148">
        <f>'Part VI-Revenues &amp; Expenses'!F37</f>
        <v>0</v>
      </c>
      <c r="G799" s="2148">
        <f>'Part VI-Revenues &amp; Expenses'!G37</f>
        <v>0</v>
      </c>
      <c r="H799" s="2148">
        <f>'Part VI-Revenues &amp; Expenses'!H37</f>
        <v>0</v>
      </c>
      <c r="I799" s="2148">
        <f>'Part VI-Revenues &amp; Expenses'!I37</f>
        <v>0</v>
      </c>
      <c r="J799" s="2149">
        <f>'Part VI-Revenues &amp; Expenses'!J37</f>
        <v>0</v>
      </c>
      <c r="K799" s="1822">
        <f t="shared" si="1"/>
        <v>0</v>
      </c>
      <c r="L799" s="1822">
        <f t="shared" si="2"/>
        <v>0</v>
      </c>
      <c r="M799" s="2133">
        <f>'Part VI-Revenues &amp; Expenses'!M37</f>
        <v>0</v>
      </c>
      <c r="N799" s="2133">
        <f>'Part VI-Revenues &amp; Expenses'!N37</f>
        <v>0</v>
      </c>
      <c r="O799" s="2133">
        <f>'Part VI-Revenues &amp; Expenses'!O37</f>
        <v>0</v>
      </c>
      <c r="P799" s="1633">
        <f>'Part VI-Revenues &amp; Expenses'!P37</f>
        <v>0</v>
      </c>
      <c r="Q799" s="1823" t="str">
        <f>'Part VI-Revenues &amp; Expenses'!Q37</f>
        <v/>
      </c>
      <c r="R799" s="1824" t="str">
        <f>'Part VI-Revenues &amp; Expenses'!R37</f>
        <v/>
      </c>
      <c r="S799" s="1823">
        <f>'Part VI-Revenues &amp; Expenses'!S37</f>
        <v>0</v>
      </c>
      <c r="T799" s="1824">
        <f>'Part VI-Revenues &amp; Expenses'!T37</f>
        <v>0</v>
      </c>
      <c r="U799" s="1838">
        <f>'Part VI-Revenues &amp; Expenses'!U37:V37</f>
        <v>0</v>
      </c>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312"/>
        <v/>
      </c>
      <c r="EH799" s="742" t="str">
        <f t="shared" si="117"/>
        <v/>
      </c>
      <c r="EI799" s="742" t="str">
        <f t="shared" si="118"/>
        <v/>
      </c>
      <c r="EJ799" s="742" t="str">
        <f t="shared" si="119"/>
        <v/>
      </c>
      <c r="EK799" s="742" t="str">
        <f t="shared" si="120"/>
        <v/>
      </c>
      <c r="EL799" s="742" t="str">
        <f t="shared" si="121"/>
        <v/>
      </c>
      <c r="EM799" s="742" t="str">
        <f t="shared" si="122"/>
        <v/>
      </c>
      <c r="EN799" s="742" t="str">
        <f t="shared" si="123"/>
        <v/>
      </c>
      <c r="EO799" s="742" t="str">
        <f t="shared" si="124"/>
        <v/>
      </c>
      <c r="EP799" s="742" t="str">
        <f t="shared" si="125"/>
        <v/>
      </c>
      <c r="EQ799" s="742" t="str">
        <f t="shared" si="126"/>
        <v/>
      </c>
      <c r="ER799" s="742" t="str">
        <f t="shared" si="127"/>
        <v/>
      </c>
      <c r="ES799" s="742" t="str">
        <f t="shared" si="128"/>
        <v/>
      </c>
      <c r="ET799" s="742" t="str">
        <f t="shared" si="129"/>
        <v/>
      </c>
      <c r="EU799" s="742" t="str">
        <f t="shared" si="130"/>
        <v/>
      </c>
      <c r="EV799" s="742" t="str">
        <f t="shared" si="131"/>
        <v/>
      </c>
      <c r="EW799" s="742" t="str">
        <f t="shared" si="313"/>
        <v/>
      </c>
      <c r="EX799" s="742" t="str">
        <f t="shared" si="314"/>
        <v/>
      </c>
      <c r="EY799" s="742" t="str">
        <f t="shared" si="315"/>
        <v/>
      </c>
      <c r="EZ799" s="742" t="str">
        <f t="shared" si="316"/>
        <v/>
      </c>
      <c r="FA799" s="742" t="str">
        <f t="shared" si="317"/>
        <v/>
      </c>
      <c r="FB799" s="742" t="str">
        <f t="shared" si="132"/>
        <v/>
      </c>
      <c r="FC799" s="742" t="str">
        <f t="shared" si="133"/>
        <v/>
      </c>
      <c r="FD799" s="742" t="str">
        <f t="shared" si="134"/>
        <v/>
      </c>
      <c r="FE799" s="742" t="str">
        <f t="shared" si="135"/>
        <v/>
      </c>
      <c r="FF799" s="742" t="str">
        <f t="shared" si="136"/>
        <v/>
      </c>
      <c r="FG799" s="742" t="str">
        <f t="shared" si="318"/>
        <v/>
      </c>
      <c r="FH799" s="742" t="str">
        <f t="shared" si="319"/>
        <v/>
      </c>
      <c r="FI799" s="742" t="str">
        <f t="shared" si="320"/>
        <v/>
      </c>
      <c r="FJ799" s="742" t="str">
        <f t="shared" si="321"/>
        <v/>
      </c>
      <c r="FK799" s="742" t="str">
        <f t="shared" si="322"/>
        <v/>
      </c>
      <c r="FL799" s="742" t="str">
        <f t="shared" si="137"/>
        <v/>
      </c>
      <c r="FM799" s="742" t="str">
        <f t="shared" si="138"/>
        <v/>
      </c>
      <c r="FN799" s="742" t="str">
        <f t="shared" si="139"/>
        <v/>
      </c>
      <c r="FO799" s="742" t="str">
        <f t="shared" si="140"/>
        <v/>
      </c>
      <c r="FP799" s="742" t="str">
        <f t="shared" si="141"/>
        <v/>
      </c>
      <c r="FQ799" s="742" t="str">
        <f t="shared" si="142"/>
        <v/>
      </c>
      <c r="FR799" s="742" t="str">
        <f t="shared" si="143"/>
        <v/>
      </c>
      <c r="FS799" s="742" t="str">
        <f t="shared" si="144"/>
        <v/>
      </c>
      <c r="FT799" s="742" t="str">
        <f t="shared" si="145"/>
        <v/>
      </c>
      <c r="FU799" s="742" t="str">
        <f t="shared" si="146"/>
        <v/>
      </c>
      <c r="FV799" s="742" t="str">
        <f t="shared" si="147"/>
        <v/>
      </c>
      <c r="FW799" s="742" t="str">
        <f t="shared" si="148"/>
        <v/>
      </c>
      <c r="FX799" s="742" t="str">
        <f t="shared" si="149"/>
        <v/>
      </c>
      <c r="FY799" s="742" t="str">
        <f t="shared" si="150"/>
        <v/>
      </c>
      <c r="FZ799" s="742" t="str">
        <f t="shared" si="151"/>
        <v/>
      </c>
      <c r="GA799" s="742" t="str">
        <f t="shared" si="152"/>
        <v/>
      </c>
      <c r="GB799" s="742" t="str">
        <f t="shared" si="153"/>
        <v/>
      </c>
      <c r="GC799" s="742" t="str">
        <f t="shared" si="154"/>
        <v/>
      </c>
      <c r="GD799" s="742" t="str">
        <f t="shared" si="155"/>
        <v/>
      </c>
      <c r="GE799" s="742" t="str">
        <f t="shared" si="156"/>
        <v/>
      </c>
      <c r="GF799" s="742" t="str">
        <f t="shared" si="157"/>
        <v/>
      </c>
      <c r="GG799" s="742" t="str">
        <f t="shared" si="158"/>
        <v/>
      </c>
      <c r="GH799" s="742" t="str">
        <f t="shared" si="159"/>
        <v/>
      </c>
      <c r="GI799" s="742" t="str">
        <f t="shared" si="160"/>
        <v/>
      </c>
      <c r="GJ799" s="742" t="str">
        <f t="shared" si="161"/>
        <v/>
      </c>
      <c r="GK799" s="742" t="str">
        <f t="shared" si="162"/>
        <v/>
      </c>
      <c r="GL799" s="742" t="str">
        <f t="shared" si="163"/>
        <v/>
      </c>
      <c r="GM799" s="742" t="str">
        <f t="shared" si="164"/>
        <v/>
      </c>
      <c r="GN799" s="742" t="str">
        <f t="shared" si="165"/>
        <v/>
      </c>
      <c r="GO799" s="742" t="str">
        <f t="shared" si="166"/>
        <v/>
      </c>
      <c r="GP799" s="742" t="str">
        <f t="shared" si="167"/>
        <v/>
      </c>
      <c r="GQ799" s="742" t="str">
        <f t="shared" si="168"/>
        <v/>
      </c>
      <c r="GR799" s="742" t="str">
        <f t="shared" si="169"/>
        <v/>
      </c>
      <c r="GS799" s="742" t="str">
        <f t="shared" si="170"/>
        <v/>
      </c>
      <c r="GT799" s="742" t="str">
        <f t="shared" si="171"/>
        <v/>
      </c>
      <c r="GU799" s="742" t="str">
        <f t="shared" si="172"/>
        <v/>
      </c>
      <c r="GV799" s="742" t="str">
        <f t="shared" si="173"/>
        <v/>
      </c>
      <c r="GW799" s="742" t="str">
        <f t="shared" si="174"/>
        <v/>
      </c>
      <c r="GX799" s="742" t="str">
        <f t="shared" si="175"/>
        <v/>
      </c>
      <c r="GY799" s="742" t="str">
        <f t="shared" si="176"/>
        <v/>
      </c>
      <c r="GZ799" s="742" t="str">
        <f t="shared" si="177"/>
        <v/>
      </c>
      <c r="HA799" s="742" t="str">
        <f t="shared" si="178"/>
        <v/>
      </c>
      <c r="HB799" s="742" t="str">
        <f t="shared" si="179"/>
        <v/>
      </c>
      <c r="HC799" s="742" t="str">
        <f t="shared" si="180"/>
        <v/>
      </c>
      <c r="HD799" s="742" t="str">
        <f t="shared" si="181"/>
        <v/>
      </c>
      <c r="HE799" s="742" t="str">
        <f t="shared" si="182"/>
        <v/>
      </c>
      <c r="HF799" s="742" t="str">
        <f t="shared" si="183"/>
        <v/>
      </c>
      <c r="HG799" s="742" t="str">
        <f t="shared" si="184"/>
        <v/>
      </c>
      <c r="HH799" s="742" t="str">
        <f t="shared" si="185"/>
        <v/>
      </c>
      <c r="HI799" s="742" t="str">
        <f t="shared" si="186"/>
        <v/>
      </c>
      <c r="HJ799" s="742" t="str">
        <f t="shared" si="187"/>
        <v/>
      </c>
      <c r="HK799" s="742" t="str">
        <f t="shared" si="188"/>
        <v/>
      </c>
      <c r="HL799" s="742" t="str">
        <f t="shared" si="189"/>
        <v/>
      </c>
      <c r="HM799" s="742" t="str">
        <f t="shared" si="190"/>
        <v/>
      </c>
      <c r="HN799" s="742" t="str">
        <f t="shared" si="191"/>
        <v/>
      </c>
      <c r="HO799" s="742" t="str">
        <f t="shared" si="192"/>
        <v/>
      </c>
      <c r="HP799" s="742" t="str">
        <f t="shared" si="193"/>
        <v/>
      </c>
      <c r="HQ799" s="742" t="str">
        <f t="shared" si="194"/>
        <v/>
      </c>
      <c r="HR799" s="742" t="str">
        <f t="shared" si="195"/>
        <v/>
      </c>
      <c r="HS799" s="742" t="str">
        <f t="shared" si="196"/>
        <v/>
      </c>
      <c r="HT799" s="742" t="str">
        <f t="shared" si="197"/>
        <v/>
      </c>
      <c r="HU799" s="742" t="str">
        <f t="shared" si="198"/>
        <v/>
      </c>
      <c r="HV799" s="742" t="str">
        <f t="shared" si="199"/>
        <v/>
      </c>
      <c r="HW799" s="742" t="str">
        <f t="shared" si="200"/>
        <v/>
      </c>
      <c r="HX799" s="742" t="str">
        <f t="shared" si="201"/>
        <v/>
      </c>
      <c r="HY799" s="1638" t="str">
        <f t="shared" si="202"/>
        <v/>
      </c>
      <c r="HZ799" s="1638" t="str">
        <f t="shared" si="203"/>
        <v/>
      </c>
      <c r="IA799" s="1638" t="str">
        <f t="shared" si="204"/>
        <v/>
      </c>
      <c r="IB799" s="1638" t="str">
        <f t="shared" si="205"/>
        <v/>
      </c>
      <c r="IC799" s="1638" t="str">
        <f t="shared" si="206"/>
        <v/>
      </c>
      <c r="ID799" s="1638" t="str">
        <f t="shared" si="207"/>
        <v/>
      </c>
      <c r="IE799" s="1638" t="str">
        <f t="shared" si="208"/>
        <v/>
      </c>
      <c r="IF799" s="1638" t="str">
        <f t="shared" si="209"/>
        <v/>
      </c>
      <c r="IG799" s="1638" t="str">
        <f t="shared" si="210"/>
        <v/>
      </c>
      <c r="IH799" s="1638" t="str">
        <f t="shared" si="211"/>
        <v/>
      </c>
      <c r="II799" s="1638" t="str">
        <f t="shared" si="212"/>
        <v/>
      </c>
      <c r="IJ799" s="1638" t="str">
        <f t="shared" si="213"/>
        <v/>
      </c>
      <c r="IK799" s="1638" t="str">
        <f t="shared" si="214"/>
        <v/>
      </c>
      <c r="IL799" s="1638" t="str">
        <f t="shared" si="215"/>
        <v/>
      </c>
      <c r="IM799" s="1638" t="str">
        <f t="shared" si="216"/>
        <v/>
      </c>
      <c r="IN799" s="1638" t="str">
        <f t="shared" si="217"/>
        <v/>
      </c>
      <c r="IO799" s="1638" t="str">
        <f t="shared" si="218"/>
        <v/>
      </c>
      <c r="IP799" s="1638" t="str">
        <f t="shared" si="219"/>
        <v/>
      </c>
      <c r="IQ799" s="1638" t="str">
        <f t="shared" si="220"/>
        <v/>
      </c>
      <c r="IR799" s="1638" t="str">
        <f t="shared" si="221"/>
        <v/>
      </c>
      <c r="IS799" s="1638" t="str">
        <f t="shared" si="222"/>
        <v/>
      </c>
      <c r="IT799" s="1638" t="str">
        <f t="shared" si="223"/>
        <v/>
      </c>
      <c r="IU799" s="1638" t="str">
        <f t="shared" si="224"/>
        <v/>
      </c>
      <c r="IV799" s="1638" t="str">
        <f t="shared" si="225"/>
        <v/>
      </c>
      <c r="IW799" s="1638" t="str">
        <f t="shared" si="226"/>
        <v/>
      </c>
      <c r="IX799" s="1638" t="str">
        <f t="shared" si="227"/>
        <v/>
      </c>
      <c r="IY799" s="1638" t="str">
        <f t="shared" si="228"/>
        <v/>
      </c>
      <c r="IZ799" s="1638" t="str">
        <f t="shared" si="229"/>
        <v/>
      </c>
      <c r="JA799" s="1638" t="str">
        <f t="shared" si="230"/>
        <v/>
      </c>
      <c r="JB799" s="1638" t="str">
        <f t="shared" si="231"/>
        <v/>
      </c>
      <c r="JC799" s="1638" t="str">
        <f t="shared" si="232"/>
        <v/>
      </c>
      <c r="JD799" s="1638" t="str">
        <f t="shared" si="233"/>
        <v/>
      </c>
      <c r="JE799" s="1638" t="str">
        <f t="shared" si="234"/>
        <v/>
      </c>
      <c r="JF799" s="1638" t="str">
        <f t="shared" si="235"/>
        <v/>
      </c>
      <c r="JG799" s="1638" t="str">
        <f t="shared" si="236"/>
        <v/>
      </c>
      <c r="JH799" s="1638" t="str">
        <f t="shared" si="237"/>
        <v/>
      </c>
      <c r="JI799" s="1638" t="str">
        <f t="shared" si="238"/>
        <v/>
      </c>
      <c r="JJ799" s="1638" t="str">
        <f t="shared" si="239"/>
        <v/>
      </c>
      <c r="JK799" s="1638" t="str">
        <f t="shared" si="240"/>
        <v/>
      </c>
      <c r="JL799" s="1638" t="str">
        <f t="shared" si="241"/>
        <v/>
      </c>
      <c r="JM799" s="1638" t="str">
        <f t="shared" si="242"/>
        <v/>
      </c>
      <c r="JN799" s="1638" t="str">
        <f t="shared" si="243"/>
        <v/>
      </c>
      <c r="JO799" s="1638" t="str">
        <f t="shared" si="244"/>
        <v/>
      </c>
      <c r="JP799" s="1638" t="str">
        <f t="shared" si="245"/>
        <v/>
      </c>
      <c r="JQ799" s="1638" t="str">
        <f t="shared" si="246"/>
        <v/>
      </c>
      <c r="JR799" s="1638" t="str">
        <f t="shared" si="247"/>
        <v/>
      </c>
      <c r="JS799" s="1638" t="str">
        <f t="shared" si="248"/>
        <v/>
      </c>
      <c r="JT799" s="1638" t="str">
        <f t="shared" si="249"/>
        <v/>
      </c>
      <c r="JU799" s="1638" t="str">
        <f t="shared" si="250"/>
        <v/>
      </c>
      <c r="JV799" s="1638" t="str">
        <f t="shared" si="251"/>
        <v/>
      </c>
      <c r="JW799" s="1638" t="str">
        <f t="shared" si="252"/>
        <v/>
      </c>
      <c r="JX799" s="1638" t="str">
        <f t="shared" si="253"/>
        <v/>
      </c>
      <c r="JY799" s="1638" t="str">
        <f t="shared" si="254"/>
        <v/>
      </c>
      <c r="JZ799" s="1638" t="str">
        <f t="shared" si="255"/>
        <v/>
      </c>
      <c r="KA799" s="1638" t="str">
        <f t="shared" si="256"/>
        <v/>
      </c>
      <c r="KB799" s="1638" t="str">
        <f t="shared" si="257"/>
        <v/>
      </c>
      <c r="KC799" s="1638" t="str">
        <f t="shared" si="258"/>
        <v/>
      </c>
      <c r="KD799" s="1638" t="str">
        <f t="shared" si="259"/>
        <v/>
      </c>
      <c r="KE799" s="1638" t="str">
        <f t="shared" si="260"/>
        <v/>
      </c>
      <c r="KF799" s="1638" t="str">
        <f t="shared" si="261"/>
        <v/>
      </c>
      <c r="KG799" s="1638" t="str">
        <f t="shared" si="262"/>
        <v/>
      </c>
      <c r="KH799" s="1638" t="str">
        <f t="shared" si="263"/>
        <v/>
      </c>
      <c r="KI799" s="1638" t="str">
        <f t="shared" si="264"/>
        <v/>
      </c>
      <c r="KJ799" s="1638" t="str">
        <f t="shared" si="265"/>
        <v/>
      </c>
      <c r="KK799" s="1638" t="str">
        <f t="shared" si="266"/>
        <v/>
      </c>
      <c r="KL799" s="1638" t="str">
        <f t="shared" si="267"/>
        <v/>
      </c>
      <c r="KM799" s="1638" t="str">
        <f t="shared" si="268"/>
        <v/>
      </c>
      <c r="KN799" s="1638" t="str">
        <f t="shared" si="269"/>
        <v/>
      </c>
      <c r="KO799" s="1638" t="str">
        <f t="shared" si="270"/>
        <v/>
      </c>
      <c r="KP799" s="1638" t="str">
        <f t="shared" si="271"/>
        <v/>
      </c>
      <c r="KQ799" s="1638" t="str">
        <f t="shared" si="272"/>
        <v/>
      </c>
      <c r="KR799" s="1638" t="str">
        <f t="shared" si="273"/>
        <v/>
      </c>
      <c r="KS799" s="1638" t="str">
        <f t="shared" si="274"/>
        <v/>
      </c>
      <c r="KT799" s="1638" t="str">
        <f t="shared" si="275"/>
        <v/>
      </c>
      <c r="KU799" s="1638" t="str">
        <f t="shared" si="276"/>
        <v/>
      </c>
      <c r="KV799" s="1638" t="str">
        <f t="shared" si="277"/>
        <v/>
      </c>
      <c r="KW799" s="1638" t="str">
        <f t="shared" si="278"/>
        <v/>
      </c>
      <c r="KX799" s="1638" t="str">
        <f t="shared" si="279"/>
        <v/>
      </c>
      <c r="KY799" s="1638" t="str">
        <f t="shared" si="280"/>
        <v/>
      </c>
      <c r="KZ799" s="1638" t="str">
        <f t="shared" si="281"/>
        <v/>
      </c>
      <c r="LA799" s="1638" t="str">
        <f t="shared" si="282"/>
        <v/>
      </c>
      <c r="LB799" s="1638" t="str">
        <f t="shared" si="283"/>
        <v/>
      </c>
      <c r="LC799" s="1638" t="str">
        <f t="shared" si="284"/>
        <v/>
      </c>
      <c r="LD799" s="1638" t="str">
        <f t="shared" si="285"/>
        <v/>
      </c>
      <c r="LE799" s="1638" t="str">
        <f t="shared" si="286"/>
        <v/>
      </c>
      <c r="LF799" s="1637" t="str">
        <f t="shared" si="287"/>
        <v/>
      </c>
      <c r="LG799" s="1637" t="str">
        <f t="shared" si="288"/>
        <v/>
      </c>
      <c r="LH799" s="1637" t="str">
        <f t="shared" si="289"/>
        <v/>
      </c>
      <c r="LI799" s="1637" t="str">
        <f t="shared" si="290"/>
        <v/>
      </c>
      <c r="LJ799" s="1637" t="str">
        <f t="shared" si="291"/>
        <v/>
      </c>
      <c r="LK799" s="742" t="str">
        <f t="shared" si="292"/>
        <v/>
      </c>
      <c r="LL799" s="742" t="str">
        <f t="shared" si="293"/>
        <v/>
      </c>
      <c r="LM799" s="742" t="str">
        <f t="shared" si="294"/>
        <v/>
      </c>
      <c r="LN799" s="742" t="str">
        <f t="shared" si="295"/>
        <v/>
      </c>
      <c r="LO799" s="742" t="str">
        <f t="shared" si="296"/>
        <v/>
      </c>
      <c r="LP799" s="742" t="str">
        <f t="shared" si="297"/>
        <v/>
      </c>
      <c r="LQ799" s="742" t="str">
        <f t="shared" si="298"/>
        <v/>
      </c>
      <c r="LR799" s="742" t="str">
        <f t="shared" si="299"/>
        <v/>
      </c>
      <c r="LS799" s="742" t="str">
        <f t="shared" si="300"/>
        <v/>
      </c>
      <c r="LT799" s="742" t="str">
        <f t="shared" si="301"/>
        <v/>
      </c>
      <c r="LU799" s="742" t="str">
        <f t="shared" si="302"/>
        <v/>
      </c>
      <c r="LV799" s="742" t="str">
        <f t="shared" si="303"/>
        <v/>
      </c>
      <c r="LW799" s="742" t="str">
        <f t="shared" si="304"/>
        <v/>
      </c>
      <c r="LX799" s="742" t="str">
        <f t="shared" si="305"/>
        <v/>
      </c>
      <c r="LY799" s="742" t="str">
        <f t="shared" si="306"/>
        <v/>
      </c>
      <c r="LZ799" s="742" t="str">
        <f t="shared" si="307"/>
        <v/>
      </c>
      <c r="MA799" s="742" t="str">
        <f t="shared" si="308"/>
        <v/>
      </c>
      <c r="MB799" s="742" t="str">
        <f t="shared" si="309"/>
        <v/>
      </c>
      <c r="MC799" s="742" t="str">
        <f t="shared" si="310"/>
        <v/>
      </c>
      <c r="MD799" s="742" t="str">
        <f t="shared" si="311"/>
        <v/>
      </c>
      <c r="ME799" s="1637">
        <f t="shared" si="323"/>
        <v>0</v>
      </c>
      <c r="MF799" s="1637">
        <f t="shared" si="324"/>
        <v>0</v>
      </c>
      <c r="MG799" s="1637">
        <f t="shared" si="325"/>
        <v>0</v>
      </c>
      <c r="MH799" s="1637">
        <f t="shared" si="326"/>
        <v>0</v>
      </c>
      <c r="MI799" s="1637">
        <f t="shared" si="327"/>
        <v>0</v>
      </c>
      <c r="MJ799" s="1637">
        <f t="shared" si="328"/>
        <v>0</v>
      </c>
      <c r="MK799" s="1637">
        <f t="shared" si="329"/>
        <v>0</v>
      </c>
      <c r="ML799" s="1637">
        <f t="shared" si="330"/>
        <v>0</v>
      </c>
      <c r="MM799" s="1637">
        <f t="shared" si="331"/>
        <v>0</v>
      </c>
      <c r="MN799" s="1637">
        <f t="shared" si="332"/>
        <v>0</v>
      </c>
      <c r="MO799" s="1637">
        <f t="shared" si="333"/>
        <v>0</v>
      </c>
      <c r="MP799" s="1637">
        <f t="shared" si="334"/>
        <v>0</v>
      </c>
      <c r="MQ799" s="1637">
        <f t="shared" si="335"/>
        <v>0</v>
      </c>
      <c r="MR799" s="1637">
        <f t="shared" si="336"/>
        <v>0</v>
      </c>
      <c r="MS799" s="1637">
        <f t="shared" si="337"/>
        <v>0</v>
      </c>
    </row>
    <row r="800" spans="1:357" ht="13.5">
      <c r="A800" s="1630" t="str">
        <f t="shared" si="0"/>
        <v/>
      </c>
      <c r="B800" s="2757">
        <f>'Part VI-Revenues &amp; Expenses'!B38</f>
        <v>0</v>
      </c>
      <c r="C800" s="2146">
        <f>'Part VI-Revenues &amp; Expenses'!C38</f>
        <v>0</v>
      </c>
      <c r="D800" s="2147">
        <f>'Part VI-Revenues &amp; Expenses'!D38</f>
        <v>0</v>
      </c>
      <c r="E800" s="2148">
        <f>'Part VI-Revenues &amp; Expenses'!E38</f>
        <v>0</v>
      </c>
      <c r="F800" s="2148">
        <f>'Part VI-Revenues &amp; Expenses'!F38</f>
        <v>0</v>
      </c>
      <c r="G800" s="2148">
        <f>'Part VI-Revenues &amp; Expenses'!G38</f>
        <v>0</v>
      </c>
      <c r="H800" s="2148">
        <f>'Part VI-Revenues &amp; Expenses'!H38</f>
        <v>0</v>
      </c>
      <c r="I800" s="2148">
        <f>'Part VI-Revenues &amp; Expenses'!I38</f>
        <v>0</v>
      </c>
      <c r="J800" s="2149">
        <f>'Part VI-Revenues &amp; Expenses'!J38</f>
        <v>0</v>
      </c>
      <c r="K800" s="1822">
        <f t="shared" si="1"/>
        <v>0</v>
      </c>
      <c r="L800" s="1822">
        <f t="shared" si="2"/>
        <v>0</v>
      </c>
      <c r="M800" s="2133">
        <f>'Part VI-Revenues &amp; Expenses'!M38</f>
        <v>0</v>
      </c>
      <c r="N800" s="2133">
        <f>'Part VI-Revenues &amp; Expenses'!N38</f>
        <v>0</v>
      </c>
      <c r="O800" s="2133">
        <f>'Part VI-Revenues &amp; Expenses'!O38</f>
        <v>0</v>
      </c>
      <c r="P800" s="1633">
        <f>'Part VI-Revenues &amp; Expenses'!P38</f>
        <v>0</v>
      </c>
      <c r="Q800" s="1823" t="str">
        <f>'Part VI-Revenues &amp; Expenses'!Q38</f>
        <v/>
      </c>
      <c r="R800" s="1824" t="str">
        <f>'Part VI-Revenues &amp; Expenses'!R38</f>
        <v/>
      </c>
      <c r="S800" s="1823">
        <f>'Part VI-Revenues &amp; Expenses'!S38</f>
        <v>0</v>
      </c>
      <c r="T800" s="1824">
        <f>'Part VI-Revenues &amp; Expenses'!T38</f>
        <v>0</v>
      </c>
      <c r="U800" s="1838">
        <f>'Part VI-Revenues &amp; Expenses'!U38:V38</f>
        <v>0</v>
      </c>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312"/>
        <v/>
      </c>
      <c r="EH800" s="742" t="str">
        <f t="shared" si="117"/>
        <v/>
      </c>
      <c r="EI800" s="742" t="str">
        <f t="shared" si="118"/>
        <v/>
      </c>
      <c r="EJ800" s="742" t="str">
        <f t="shared" si="119"/>
        <v/>
      </c>
      <c r="EK800" s="742" t="str">
        <f t="shared" si="120"/>
        <v/>
      </c>
      <c r="EL800" s="742" t="str">
        <f t="shared" si="121"/>
        <v/>
      </c>
      <c r="EM800" s="742" t="str">
        <f t="shared" si="122"/>
        <v/>
      </c>
      <c r="EN800" s="742" t="str">
        <f t="shared" si="123"/>
        <v/>
      </c>
      <c r="EO800" s="742" t="str">
        <f t="shared" si="124"/>
        <v/>
      </c>
      <c r="EP800" s="742" t="str">
        <f t="shared" si="125"/>
        <v/>
      </c>
      <c r="EQ800" s="742" t="str">
        <f t="shared" si="126"/>
        <v/>
      </c>
      <c r="ER800" s="742" t="str">
        <f t="shared" si="127"/>
        <v/>
      </c>
      <c r="ES800" s="742" t="str">
        <f t="shared" si="128"/>
        <v/>
      </c>
      <c r="ET800" s="742" t="str">
        <f t="shared" si="129"/>
        <v/>
      </c>
      <c r="EU800" s="742" t="str">
        <f t="shared" si="130"/>
        <v/>
      </c>
      <c r="EV800" s="742" t="str">
        <f t="shared" si="131"/>
        <v/>
      </c>
      <c r="EW800" s="742" t="str">
        <f t="shared" si="313"/>
        <v/>
      </c>
      <c r="EX800" s="742" t="str">
        <f t="shared" si="314"/>
        <v/>
      </c>
      <c r="EY800" s="742" t="str">
        <f t="shared" si="315"/>
        <v/>
      </c>
      <c r="EZ800" s="742" t="str">
        <f t="shared" si="316"/>
        <v/>
      </c>
      <c r="FA800" s="742" t="str">
        <f t="shared" si="317"/>
        <v/>
      </c>
      <c r="FB800" s="742" t="str">
        <f t="shared" si="132"/>
        <v/>
      </c>
      <c r="FC800" s="742" t="str">
        <f t="shared" si="133"/>
        <v/>
      </c>
      <c r="FD800" s="742" t="str">
        <f t="shared" si="134"/>
        <v/>
      </c>
      <c r="FE800" s="742" t="str">
        <f t="shared" si="135"/>
        <v/>
      </c>
      <c r="FF800" s="742" t="str">
        <f t="shared" si="136"/>
        <v/>
      </c>
      <c r="FG800" s="742" t="str">
        <f t="shared" si="318"/>
        <v/>
      </c>
      <c r="FH800" s="742" t="str">
        <f t="shared" si="319"/>
        <v/>
      </c>
      <c r="FI800" s="742" t="str">
        <f t="shared" si="320"/>
        <v/>
      </c>
      <c r="FJ800" s="742" t="str">
        <f t="shared" si="321"/>
        <v/>
      </c>
      <c r="FK800" s="742" t="str">
        <f t="shared" si="322"/>
        <v/>
      </c>
      <c r="FL800" s="742" t="str">
        <f t="shared" si="137"/>
        <v/>
      </c>
      <c r="FM800" s="742" t="str">
        <f t="shared" si="138"/>
        <v/>
      </c>
      <c r="FN800" s="742" t="str">
        <f t="shared" si="139"/>
        <v/>
      </c>
      <c r="FO800" s="742" t="str">
        <f t="shared" si="140"/>
        <v/>
      </c>
      <c r="FP800" s="742" t="str">
        <f t="shared" si="141"/>
        <v/>
      </c>
      <c r="FQ800" s="742" t="str">
        <f t="shared" si="142"/>
        <v/>
      </c>
      <c r="FR800" s="742" t="str">
        <f t="shared" si="143"/>
        <v/>
      </c>
      <c r="FS800" s="742" t="str">
        <f t="shared" si="144"/>
        <v/>
      </c>
      <c r="FT800" s="742" t="str">
        <f t="shared" si="145"/>
        <v/>
      </c>
      <c r="FU800" s="742" t="str">
        <f t="shared" si="146"/>
        <v/>
      </c>
      <c r="FV800" s="742" t="str">
        <f t="shared" si="147"/>
        <v/>
      </c>
      <c r="FW800" s="742" t="str">
        <f t="shared" si="148"/>
        <v/>
      </c>
      <c r="FX800" s="742" t="str">
        <f t="shared" si="149"/>
        <v/>
      </c>
      <c r="FY800" s="742" t="str">
        <f t="shared" si="150"/>
        <v/>
      </c>
      <c r="FZ800" s="742" t="str">
        <f t="shared" si="151"/>
        <v/>
      </c>
      <c r="GA800" s="742" t="str">
        <f t="shared" si="152"/>
        <v/>
      </c>
      <c r="GB800" s="742" t="str">
        <f t="shared" si="153"/>
        <v/>
      </c>
      <c r="GC800" s="742" t="str">
        <f t="shared" si="154"/>
        <v/>
      </c>
      <c r="GD800" s="742" t="str">
        <f t="shared" si="155"/>
        <v/>
      </c>
      <c r="GE800" s="742" t="str">
        <f t="shared" si="156"/>
        <v/>
      </c>
      <c r="GF800" s="742" t="str">
        <f t="shared" si="157"/>
        <v/>
      </c>
      <c r="GG800" s="742" t="str">
        <f t="shared" si="158"/>
        <v/>
      </c>
      <c r="GH800" s="742" t="str">
        <f t="shared" si="159"/>
        <v/>
      </c>
      <c r="GI800" s="742" t="str">
        <f t="shared" si="160"/>
        <v/>
      </c>
      <c r="GJ800" s="742" t="str">
        <f t="shared" si="161"/>
        <v/>
      </c>
      <c r="GK800" s="742" t="str">
        <f t="shared" si="162"/>
        <v/>
      </c>
      <c r="GL800" s="742" t="str">
        <f t="shared" si="163"/>
        <v/>
      </c>
      <c r="GM800" s="742" t="str">
        <f t="shared" si="164"/>
        <v/>
      </c>
      <c r="GN800" s="742" t="str">
        <f t="shared" si="165"/>
        <v/>
      </c>
      <c r="GO800" s="742" t="str">
        <f t="shared" si="166"/>
        <v/>
      </c>
      <c r="GP800" s="742" t="str">
        <f t="shared" si="167"/>
        <v/>
      </c>
      <c r="GQ800" s="742" t="str">
        <f t="shared" si="168"/>
        <v/>
      </c>
      <c r="GR800" s="742" t="str">
        <f t="shared" si="169"/>
        <v/>
      </c>
      <c r="GS800" s="742" t="str">
        <f t="shared" si="170"/>
        <v/>
      </c>
      <c r="GT800" s="742" t="str">
        <f t="shared" si="171"/>
        <v/>
      </c>
      <c r="GU800" s="742" t="str">
        <f t="shared" si="172"/>
        <v/>
      </c>
      <c r="GV800" s="742" t="str">
        <f t="shared" si="173"/>
        <v/>
      </c>
      <c r="GW800" s="742" t="str">
        <f t="shared" si="174"/>
        <v/>
      </c>
      <c r="GX800" s="742" t="str">
        <f t="shared" si="175"/>
        <v/>
      </c>
      <c r="GY800" s="742" t="str">
        <f t="shared" si="176"/>
        <v/>
      </c>
      <c r="GZ800" s="742" t="str">
        <f t="shared" si="177"/>
        <v/>
      </c>
      <c r="HA800" s="742" t="str">
        <f t="shared" si="178"/>
        <v/>
      </c>
      <c r="HB800" s="742" t="str">
        <f t="shared" si="179"/>
        <v/>
      </c>
      <c r="HC800" s="742" t="str">
        <f t="shared" si="180"/>
        <v/>
      </c>
      <c r="HD800" s="742" t="str">
        <f t="shared" si="181"/>
        <v/>
      </c>
      <c r="HE800" s="742" t="str">
        <f t="shared" si="182"/>
        <v/>
      </c>
      <c r="HF800" s="742" t="str">
        <f t="shared" si="183"/>
        <v/>
      </c>
      <c r="HG800" s="742" t="str">
        <f t="shared" si="184"/>
        <v/>
      </c>
      <c r="HH800" s="742" t="str">
        <f t="shared" si="185"/>
        <v/>
      </c>
      <c r="HI800" s="742" t="str">
        <f t="shared" si="186"/>
        <v/>
      </c>
      <c r="HJ800" s="742" t="str">
        <f t="shared" si="187"/>
        <v/>
      </c>
      <c r="HK800" s="742" t="str">
        <f t="shared" si="188"/>
        <v/>
      </c>
      <c r="HL800" s="742" t="str">
        <f t="shared" si="189"/>
        <v/>
      </c>
      <c r="HM800" s="742" t="str">
        <f t="shared" si="190"/>
        <v/>
      </c>
      <c r="HN800" s="742" t="str">
        <f t="shared" si="191"/>
        <v/>
      </c>
      <c r="HO800" s="742" t="str">
        <f t="shared" si="192"/>
        <v/>
      </c>
      <c r="HP800" s="742" t="str">
        <f t="shared" si="193"/>
        <v/>
      </c>
      <c r="HQ800" s="742" t="str">
        <f t="shared" si="194"/>
        <v/>
      </c>
      <c r="HR800" s="742" t="str">
        <f t="shared" si="195"/>
        <v/>
      </c>
      <c r="HS800" s="742" t="str">
        <f t="shared" si="196"/>
        <v/>
      </c>
      <c r="HT800" s="742" t="str">
        <f t="shared" si="197"/>
        <v/>
      </c>
      <c r="HU800" s="742" t="str">
        <f t="shared" si="198"/>
        <v/>
      </c>
      <c r="HV800" s="742" t="str">
        <f t="shared" si="199"/>
        <v/>
      </c>
      <c r="HW800" s="742" t="str">
        <f t="shared" si="200"/>
        <v/>
      </c>
      <c r="HX800" s="742" t="str">
        <f t="shared" si="201"/>
        <v/>
      </c>
      <c r="HY800" s="1638" t="str">
        <f t="shared" si="202"/>
        <v/>
      </c>
      <c r="HZ800" s="1638" t="str">
        <f t="shared" si="203"/>
        <v/>
      </c>
      <c r="IA800" s="1638" t="str">
        <f t="shared" si="204"/>
        <v/>
      </c>
      <c r="IB800" s="1638" t="str">
        <f t="shared" si="205"/>
        <v/>
      </c>
      <c r="IC800" s="1638" t="str">
        <f t="shared" si="206"/>
        <v/>
      </c>
      <c r="ID800" s="1638" t="str">
        <f t="shared" si="207"/>
        <v/>
      </c>
      <c r="IE800" s="1638" t="str">
        <f t="shared" si="208"/>
        <v/>
      </c>
      <c r="IF800" s="1638" t="str">
        <f t="shared" si="209"/>
        <v/>
      </c>
      <c r="IG800" s="1638" t="str">
        <f t="shared" si="210"/>
        <v/>
      </c>
      <c r="IH800" s="1638" t="str">
        <f t="shared" si="211"/>
        <v/>
      </c>
      <c r="II800" s="1638" t="str">
        <f t="shared" si="212"/>
        <v/>
      </c>
      <c r="IJ800" s="1638" t="str">
        <f t="shared" si="213"/>
        <v/>
      </c>
      <c r="IK800" s="1638" t="str">
        <f t="shared" si="214"/>
        <v/>
      </c>
      <c r="IL800" s="1638" t="str">
        <f t="shared" si="215"/>
        <v/>
      </c>
      <c r="IM800" s="1638" t="str">
        <f t="shared" si="216"/>
        <v/>
      </c>
      <c r="IN800" s="1638" t="str">
        <f t="shared" si="217"/>
        <v/>
      </c>
      <c r="IO800" s="1638" t="str">
        <f t="shared" si="218"/>
        <v/>
      </c>
      <c r="IP800" s="1638" t="str">
        <f t="shared" si="219"/>
        <v/>
      </c>
      <c r="IQ800" s="1638" t="str">
        <f t="shared" si="220"/>
        <v/>
      </c>
      <c r="IR800" s="1638" t="str">
        <f t="shared" si="221"/>
        <v/>
      </c>
      <c r="IS800" s="1638" t="str">
        <f t="shared" si="222"/>
        <v/>
      </c>
      <c r="IT800" s="1638" t="str">
        <f t="shared" si="223"/>
        <v/>
      </c>
      <c r="IU800" s="1638" t="str">
        <f t="shared" si="224"/>
        <v/>
      </c>
      <c r="IV800" s="1638" t="str">
        <f t="shared" si="225"/>
        <v/>
      </c>
      <c r="IW800" s="1638" t="str">
        <f t="shared" si="226"/>
        <v/>
      </c>
      <c r="IX800" s="1638" t="str">
        <f t="shared" si="227"/>
        <v/>
      </c>
      <c r="IY800" s="1638" t="str">
        <f t="shared" si="228"/>
        <v/>
      </c>
      <c r="IZ800" s="1638" t="str">
        <f t="shared" si="229"/>
        <v/>
      </c>
      <c r="JA800" s="1638" t="str">
        <f t="shared" si="230"/>
        <v/>
      </c>
      <c r="JB800" s="1638" t="str">
        <f t="shared" si="231"/>
        <v/>
      </c>
      <c r="JC800" s="1638" t="str">
        <f t="shared" si="232"/>
        <v/>
      </c>
      <c r="JD800" s="1638" t="str">
        <f t="shared" si="233"/>
        <v/>
      </c>
      <c r="JE800" s="1638" t="str">
        <f t="shared" si="234"/>
        <v/>
      </c>
      <c r="JF800" s="1638" t="str">
        <f t="shared" si="235"/>
        <v/>
      </c>
      <c r="JG800" s="1638" t="str">
        <f t="shared" si="236"/>
        <v/>
      </c>
      <c r="JH800" s="1638" t="str">
        <f t="shared" si="237"/>
        <v/>
      </c>
      <c r="JI800" s="1638" t="str">
        <f t="shared" si="238"/>
        <v/>
      </c>
      <c r="JJ800" s="1638" t="str">
        <f t="shared" si="239"/>
        <v/>
      </c>
      <c r="JK800" s="1638" t="str">
        <f t="shared" si="240"/>
        <v/>
      </c>
      <c r="JL800" s="1638" t="str">
        <f t="shared" si="241"/>
        <v/>
      </c>
      <c r="JM800" s="1638" t="str">
        <f t="shared" si="242"/>
        <v/>
      </c>
      <c r="JN800" s="1638" t="str">
        <f t="shared" si="243"/>
        <v/>
      </c>
      <c r="JO800" s="1638" t="str">
        <f t="shared" si="244"/>
        <v/>
      </c>
      <c r="JP800" s="1638" t="str">
        <f t="shared" si="245"/>
        <v/>
      </c>
      <c r="JQ800" s="1638" t="str">
        <f t="shared" si="246"/>
        <v/>
      </c>
      <c r="JR800" s="1638" t="str">
        <f t="shared" si="247"/>
        <v/>
      </c>
      <c r="JS800" s="1638" t="str">
        <f t="shared" si="248"/>
        <v/>
      </c>
      <c r="JT800" s="1638" t="str">
        <f t="shared" si="249"/>
        <v/>
      </c>
      <c r="JU800" s="1638" t="str">
        <f t="shared" si="250"/>
        <v/>
      </c>
      <c r="JV800" s="1638" t="str">
        <f t="shared" si="251"/>
        <v/>
      </c>
      <c r="JW800" s="1638" t="str">
        <f t="shared" si="252"/>
        <v/>
      </c>
      <c r="JX800" s="1638" t="str">
        <f t="shared" si="253"/>
        <v/>
      </c>
      <c r="JY800" s="1638" t="str">
        <f t="shared" si="254"/>
        <v/>
      </c>
      <c r="JZ800" s="1638" t="str">
        <f t="shared" si="255"/>
        <v/>
      </c>
      <c r="KA800" s="1638" t="str">
        <f t="shared" si="256"/>
        <v/>
      </c>
      <c r="KB800" s="1638" t="str">
        <f t="shared" si="257"/>
        <v/>
      </c>
      <c r="KC800" s="1638" t="str">
        <f t="shared" si="258"/>
        <v/>
      </c>
      <c r="KD800" s="1638" t="str">
        <f t="shared" si="259"/>
        <v/>
      </c>
      <c r="KE800" s="1638" t="str">
        <f t="shared" si="260"/>
        <v/>
      </c>
      <c r="KF800" s="1638" t="str">
        <f t="shared" si="261"/>
        <v/>
      </c>
      <c r="KG800" s="1638" t="str">
        <f t="shared" si="262"/>
        <v/>
      </c>
      <c r="KH800" s="1638" t="str">
        <f t="shared" si="263"/>
        <v/>
      </c>
      <c r="KI800" s="1638" t="str">
        <f t="shared" si="264"/>
        <v/>
      </c>
      <c r="KJ800" s="1638" t="str">
        <f t="shared" si="265"/>
        <v/>
      </c>
      <c r="KK800" s="1638" t="str">
        <f t="shared" si="266"/>
        <v/>
      </c>
      <c r="KL800" s="1638" t="str">
        <f t="shared" si="267"/>
        <v/>
      </c>
      <c r="KM800" s="1638" t="str">
        <f t="shared" si="268"/>
        <v/>
      </c>
      <c r="KN800" s="1638" t="str">
        <f t="shared" si="269"/>
        <v/>
      </c>
      <c r="KO800" s="1638" t="str">
        <f t="shared" si="270"/>
        <v/>
      </c>
      <c r="KP800" s="1638" t="str">
        <f t="shared" si="271"/>
        <v/>
      </c>
      <c r="KQ800" s="1638" t="str">
        <f t="shared" si="272"/>
        <v/>
      </c>
      <c r="KR800" s="1638" t="str">
        <f t="shared" si="273"/>
        <v/>
      </c>
      <c r="KS800" s="1638" t="str">
        <f t="shared" si="274"/>
        <v/>
      </c>
      <c r="KT800" s="1638" t="str">
        <f t="shared" si="275"/>
        <v/>
      </c>
      <c r="KU800" s="1638" t="str">
        <f t="shared" si="276"/>
        <v/>
      </c>
      <c r="KV800" s="1638" t="str">
        <f t="shared" si="277"/>
        <v/>
      </c>
      <c r="KW800" s="1638" t="str">
        <f t="shared" si="278"/>
        <v/>
      </c>
      <c r="KX800" s="1638" t="str">
        <f t="shared" si="279"/>
        <v/>
      </c>
      <c r="KY800" s="1638" t="str">
        <f t="shared" si="280"/>
        <v/>
      </c>
      <c r="KZ800" s="1638" t="str">
        <f t="shared" si="281"/>
        <v/>
      </c>
      <c r="LA800" s="1638" t="str">
        <f t="shared" si="282"/>
        <v/>
      </c>
      <c r="LB800" s="1638" t="str">
        <f t="shared" si="283"/>
        <v/>
      </c>
      <c r="LC800" s="1638" t="str">
        <f t="shared" si="284"/>
        <v/>
      </c>
      <c r="LD800" s="1638" t="str">
        <f t="shared" si="285"/>
        <v/>
      </c>
      <c r="LE800" s="1638" t="str">
        <f t="shared" si="286"/>
        <v/>
      </c>
      <c r="LF800" s="1637" t="str">
        <f t="shared" si="287"/>
        <v/>
      </c>
      <c r="LG800" s="1637" t="str">
        <f t="shared" si="288"/>
        <v/>
      </c>
      <c r="LH800" s="1637" t="str">
        <f t="shared" si="289"/>
        <v/>
      </c>
      <c r="LI800" s="1637" t="str">
        <f t="shared" si="290"/>
        <v/>
      </c>
      <c r="LJ800" s="1637" t="str">
        <f t="shared" si="291"/>
        <v/>
      </c>
      <c r="LK800" s="742" t="str">
        <f t="shared" si="292"/>
        <v/>
      </c>
      <c r="LL800" s="742" t="str">
        <f t="shared" si="293"/>
        <v/>
      </c>
      <c r="LM800" s="742" t="str">
        <f t="shared" si="294"/>
        <v/>
      </c>
      <c r="LN800" s="742" t="str">
        <f t="shared" si="295"/>
        <v/>
      </c>
      <c r="LO800" s="742" t="str">
        <f t="shared" si="296"/>
        <v/>
      </c>
      <c r="LP800" s="742" t="str">
        <f t="shared" si="297"/>
        <v/>
      </c>
      <c r="LQ800" s="742" t="str">
        <f t="shared" si="298"/>
        <v/>
      </c>
      <c r="LR800" s="742" t="str">
        <f t="shared" si="299"/>
        <v/>
      </c>
      <c r="LS800" s="742" t="str">
        <f t="shared" si="300"/>
        <v/>
      </c>
      <c r="LT800" s="742" t="str">
        <f t="shared" si="301"/>
        <v/>
      </c>
      <c r="LU800" s="742" t="str">
        <f t="shared" si="302"/>
        <v/>
      </c>
      <c r="LV800" s="742" t="str">
        <f t="shared" si="303"/>
        <v/>
      </c>
      <c r="LW800" s="742" t="str">
        <f t="shared" si="304"/>
        <v/>
      </c>
      <c r="LX800" s="742" t="str">
        <f t="shared" si="305"/>
        <v/>
      </c>
      <c r="LY800" s="742" t="str">
        <f t="shared" si="306"/>
        <v/>
      </c>
      <c r="LZ800" s="742" t="str">
        <f t="shared" si="307"/>
        <v/>
      </c>
      <c r="MA800" s="742" t="str">
        <f t="shared" si="308"/>
        <v/>
      </c>
      <c r="MB800" s="742" t="str">
        <f t="shared" si="309"/>
        <v/>
      </c>
      <c r="MC800" s="742" t="str">
        <f t="shared" si="310"/>
        <v/>
      </c>
      <c r="MD800" s="742" t="str">
        <f t="shared" si="311"/>
        <v/>
      </c>
      <c r="ME800" s="1637">
        <f t="shared" si="323"/>
        <v>0</v>
      </c>
      <c r="MF800" s="1637">
        <f t="shared" si="324"/>
        <v>0</v>
      </c>
      <c r="MG800" s="1637">
        <f t="shared" si="325"/>
        <v>0</v>
      </c>
      <c r="MH800" s="1637">
        <f t="shared" si="326"/>
        <v>0</v>
      </c>
      <c r="MI800" s="1637">
        <f t="shared" si="327"/>
        <v>0</v>
      </c>
      <c r="MJ800" s="1637">
        <f t="shared" si="328"/>
        <v>0</v>
      </c>
      <c r="MK800" s="1637">
        <f t="shared" si="329"/>
        <v>0</v>
      </c>
      <c r="ML800" s="1637">
        <f t="shared" si="330"/>
        <v>0</v>
      </c>
      <c r="MM800" s="1637">
        <f t="shared" si="331"/>
        <v>0</v>
      </c>
      <c r="MN800" s="1637">
        <f t="shared" si="332"/>
        <v>0</v>
      </c>
      <c r="MO800" s="1637">
        <f t="shared" si="333"/>
        <v>0</v>
      </c>
      <c r="MP800" s="1637">
        <f t="shared" si="334"/>
        <v>0</v>
      </c>
      <c r="MQ800" s="1637">
        <f t="shared" si="335"/>
        <v>0</v>
      </c>
      <c r="MR800" s="1637">
        <f t="shared" si="336"/>
        <v>0</v>
      </c>
      <c r="MS800" s="1637">
        <f t="shared" si="337"/>
        <v>0</v>
      </c>
    </row>
    <row r="801" spans="1:357" ht="13.5">
      <c r="A801" s="1630" t="str">
        <f t="shared" si="0"/>
        <v/>
      </c>
      <c r="B801" s="2757">
        <f>'Part VI-Revenues &amp; Expenses'!B39</f>
        <v>0</v>
      </c>
      <c r="C801" s="2146">
        <f>'Part VI-Revenues &amp; Expenses'!C39</f>
        <v>0</v>
      </c>
      <c r="D801" s="2147">
        <f>'Part VI-Revenues &amp; Expenses'!D39</f>
        <v>0</v>
      </c>
      <c r="E801" s="2148">
        <f>'Part VI-Revenues &amp; Expenses'!E39</f>
        <v>0</v>
      </c>
      <c r="F801" s="2148">
        <f>'Part VI-Revenues &amp; Expenses'!F39</f>
        <v>0</v>
      </c>
      <c r="G801" s="2148">
        <f>'Part VI-Revenues &amp; Expenses'!G39</f>
        <v>0</v>
      </c>
      <c r="H801" s="2148">
        <f>'Part VI-Revenues &amp; Expenses'!H39</f>
        <v>0</v>
      </c>
      <c r="I801" s="2148">
        <f>'Part VI-Revenues &amp; Expenses'!I39</f>
        <v>0</v>
      </c>
      <c r="J801" s="2149">
        <f>'Part VI-Revenues &amp; Expenses'!J39</f>
        <v>0</v>
      </c>
      <c r="K801" s="1822">
        <f t="shared" si="1"/>
        <v>0</v>
      </c>
      <c r="L801" s="1822">
        <f t="shared" si="2"/>
        <v>0</v>
      </c>
      <c r="M801" s="2133">
        <f>'Part VI-Revenues &amp; Expenses'!M39</f>
        <v>0</v>
      </c>
      <c r="N801" s="2133">
        <f>'Part VI-Revenues &amp; Expenses'!N39</f>
        <v>0</v>
      </c>
      <c r="O801" s="2133">
        <f>'Part VI-Revenues &amp; Expenses'!O39</f>
        <v>0</v>
      </c>
      <c r="P801" s="1633">
        <f>'Part VI-Revenues &amp; Expenses'!P39</f>
        <v>0</v>
      </c>
      <c r="Q801" s="1823" t="str">
        <f>'Part VI-Revenues &amp; Expenses'!Q39</f>
        <v/>
      </c>
      <c r="R801" s="1824" t="str">
        <f>'Part VI-Revenues &amp; Expenses'!R39</f>
        <v/>
      </c>
      <c r="S801" s="1823">
        <f>'Part VI-Revenues &amp; Expenses'!S39</f>
        <v>0</v>
      </c>
      <c r="T801" s="1824">
        <f>'Part VI-Revenues &amp; Expenses'!T39</f>
        <v>0</v>
      </c>
      <c r="U801" s="1838">
        <f>'Part VI-Revenues &amp; Expenses'!U39:V39</f>
        <v>0</v>
      </c>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312"/>
        <v/>
      </c>
      <c r="EH801" s="742" t="str">
        <f t="shared" si="117"/>
        <v/>
      </c>
      <c r="EI801" s="742" t="str">
        <f t="shared" si="118"/>
        <v/>
      </c>
      <c r="EJ801" s="742" t="str">
        <f t="shared" si="119"/>
        <v/>
      </c>
      <c r="EK801" s="742" t="str">
        <f t="shared" si="120"/>
        <v/>
      </c>
      <c r="EL801" s="742" t="str">
        <f t="shared" si="121"/>
        <v/>
      </c>
      <c r="EM801" s="742" t="str">
        <f t="shared" si="122"/>
        <v/>
      </c>
      <c r="EN801" s="742" t="str">
        <f t="shared" si="123"/>
        <v/>
      </c>
      <c r="EO801" s="742" t="str">
        <f t="shared" si="124"/>
        <v/>
      </c>
      <c r="EP801" s="742" t="str">
        <f t="shared" si="125"/>
        <v/>
      </c>
      <c r="EQ801" s="742" t="str">
        <f t="shared" si="126"/>
        <v/>
      </c>
      <c r="ER801" s="742" t="str">
        <f t="shared" si="127"/>
        <v/>
      </c>
      <c r="ES801" s="742" t="str">
        <f t="shared" si="128"/>
        <v/>
      </c>
      <c r="ET801" s="742" t="str">
        <f t="shared" si="129"/>
        <v/>
      </c>
      <c r="EU801" s="742" t="str">
        <f t="shared" si="130"/>
        <v/>
      </c>
      <c r="EV801" s="742" t="str">
        <f t="shared" si="131"/>
        <v/>
      </c>
      <c r="EW801" s="742" t="str">
        <f t="shared" si="313"/>
        <v/>
      </c>
      <c r="EX801" s="742" t="str">
        <f t="shared" si="314"/>
        <v/>
      </c>
      <c r="EY801" s="742" t="str">
        <f t="shared" si="315"/>
        <v/>
      </c>
      <c r="EZ801" s="742" t="str">
        <f t="shared" si="316"/>
        <v/>
      </c>
      <c r="FA801" s="742" t="str">
        <f t="shared" si="317"/>
        <v/>
      </c>
      <c r="FB801" s="742" t="str">
        <f t="shared" si="132"/>
        <v/>
      </c>
      <c r="FC801" s="742" t="str">
        <f t="shared" si="133"/>
        <v/>
      </c>
      <c r="FD801" s="742" t="str">
        <f t="shared" si="134"/>
        <v/>
      </c>
      <c r="FE801" s="742" t="str">
        <f t="shared" si="135"/>
        <v/>
      </c>
      <c r="FF801" s="742" t="str">
        <f t="shared" si="136"/>
        <v/>
      </c>
      <c r="FG801" s="742" t="str">
        <f t="shared" si="318"/>
        <v/>
      </c>
      <c r="FH801" s="742" t="str">
        <f t="shared" si="319"/>
        <v/>
      </c>
      <c r="FI801" s="742" t="str">
        <f t="shared" si="320"/>
        <v/>
      </c>
      <c r="FJ801" s="742" t="str">
        <f t="shared" si="321"/>
        <v/>
      </c>
      <c r="FK801" s="742" t="str">
        <f t="shared" si="322"/>
        <v/>
      </c>
      <c r="FL801" s="742" t="str">
        <f t="shared" si="137"/>
        <v/>
      </c>
      <c r="FM801" s="742" t="str">
        <f t="shared" si="138"/>
        <v/>
      </c>
      <c r="FN801" s="742" t="str">
        <f t="shared" si="139"/>
        <v/>
      </c>
      <c r="FO801" s="742" t="str">
        <f t="shared" si="140"/>
        <v/>
      </c>
      <c r="FP801" s="742" t="str">
        <f t="shared" si="141"/>
        <v/>
      </c>
      <c r="FQ801" s="742" t="str">
        <f t="shared" si="142"/>
        <v/>
      </c>
      <c r="FR801" s="742" t="str">
        <f t="shared" si="143"/>
        <v/>
      </c>
      <c r="FS801" s="742" t="str">
        <f t="shared" si="144"/>
        <v/>
      </c>
      <c r="FT801" s="742" t="str">
        <f t="shared" si="145"/>
        <v/>
      </c>
      <c r="FU801" s="742" t="str">
        <f t="shared" si="146"/>
        <v/>
      </c>
      <c r="FV801" s="742" t="str">
        <f t="shared" si="147"/>
        <v/>
      </c>
      <c r="FW801" s="742" t="str">
        <f t="shared" si="148"/>
        <v/>
      </c>
      <c r="FX801" s="742" t="str">
        <f t="shared" si="149"/>
        <v/>
      </c>
      <c r="FY801" s="742" t="str">
        <f t="shared" si="150"/>
        <v/>
      </c>
      <c r="FZ801" s="742" t="str">
        <f t="shared" si="151"/>
        <v/>
      </c>
      <c r="GA801" s="742" t="str">
        <f t="shared" si="152"/>
        <v/>
      </c>
      <c r="GB801" s="742" t="str">
        <f t="shared" si="153"/>
        <v/>
      </c>
      <c r="GC801" s="742" t="str">
        <f t="shared" si="154"/>
        <v/>
      </c>
      <c r="GD801" s="742" t="str">
        <f t="shared" si="155"/>
        <v/>
      </c>
      <c r="GE801" s="742" t="str">
        <f t="shared" si="156"/>
        <v/>
      </c>
      <c r="GF801" s="742" t="str">
        <f t="shared" si="157"/>
        <v/>
      </c>
      <c r="GG801" s="742" t="str">
        <f t="shared" si="158"/>
        <v/>
      </c>
      <c r="GH801" s="742" t="str">
        <f t="shared" si="159"/>
        <v/>
      </c>
      <c r="GI801" s="742" t="str">
        <f t="shared" si="160"/>
        <v/>
      </c>
      <c r="GJ801" s="742" t="str">
        <f t="shared" si="161"/>
        <v/>
      </c>
      <c r="GK801" s="742" t="str">
        <f t="shared" si="162"/>
        <v/>
      </c>
      <c r="GL801" s="742" t="str">
        <f t="shared" si="163"/>
        <v/>
      </c>
      <c r="GM801" s="742" t="str">
        <f t="shared" si="164"/>
        <v/>
      </c>
      <c r="GN801" s="742" t="str">
        <f t="shared" si="165"/>
        <v/>
      </c>
      <c r="GO801" s="742" t="str">
        <f t="shared" si="166"/>
        <v/>
      </c>
      <c r="GP801" s="742" t="str">
        <f t="shared" si="167"/>
        <v/>
      </c>
      <c r="GQ801" s="742" t="str">
        <f t="shared" si="168"/>
        <v/>
      </c>
      <c r="GR801" s="742" t="str">
        <f t="shared" si="169"/>
        <v/>
      </c>
      <c r="GS801" s="742" t="str">
        <f t="shared" si="170"/>
        <v/>
      </c>
      <c r="GT801" s="742" t="str">
        <f t="shared" si="171"/>
        <v/>
      </c>
      <c r="GU801" s="742" t="str">
        <f t="shared" si="172"/>
        <v/>
      </c>
      <c r="GV801" s="742" t="str">
        <f t="shared" si="173"/>
        <v/>
      </c>
      <c r="GW801" s="742" t="str">
        <f t="shared" si="174"/>
        <v/>
      </c>
      <c r="GX801" s="742" t="str">
        <f t="shared" si="175"/>
        <v/>
      </c>
      <c r="GY801" s="742" t="str">
        <f t="shared" si="176"/>
        <v/>
      </c>
      <c r="GZ801" s="742" t="str">
        <f t="shared" si="177"/>
        <v/>
      </c>
      <c r="HA801" s="742" t="str">
        <f t="shared" si="178"/>
        <v/>
      </c>
      <c r="HB801" s="742" t="str">
        <f t="shared" si="179"/>
        <v/>
      </c>
      <c r="HC801" s="742" t="str">
        <f t="shared" si="180"/>
        <v/>
      </c>
      <c r="HD801" s="742" t="str">
        <f t="shared" si="181"/>
        <v/>
      </c>
      <c r="HE801" s="742" t="str">
        <f t="shared" si="182"/>
        <v/>
      </c>
      <c r="HF801" s="742" t="str">
        <f t="shared" si="183"/>
        <v/>
      </c>
      <c r="HG801" s="742" t="str">
        <f t="shared" si="184"/>
        <v/>
      </c>
      <c r="HH801" s="742" t="str">
        <f t="shared" si="185"/>
        <v/>
      </c>
      <c r="HI801" s="742" t="str">
        <f t="shared" si="186"/>
        <v/>
      </c>
      <c r="HJ801" s="742" t="str">
        <f t="shared" si="187"/>
        <v/>
      </c>
      <c r="HK801" s="742" t="str">
        <f t="shared" si="188"/>
        <v/>
      </c>
      <c r="HL801" s="742" t="str">
        <f t="shared" si="189"/>
        <v/>
      </c>
      <c r="HM801" s="742" t="str">
        <f t="shared" si="190"/>
        <v/>
      </c>
      <c r="HN801" s="742" t="str">
        <f t="shared" si="191"/>
        <v/>
      </c>
      <c r="HO801" s="742" t="str">
        <f t="shared" si="192"/>
        <v/>
      </c>
      <c r="HP801" s="742" t="str">
        <f t="shared" si="193"/>
        <v/>
      </c>
      <c r="HQ801" s="742" t="str">
        <f t="shared" si="194"/>
        <v/>
      </c>
      <c r="HR801" s="742" t="str">
        <f t="shared" si="195"/>
        <v/>
      </c>
      <c r="HS801" s="742" t="str">
        <f t="shared" si="196"/>
        <v/>
      </c>
      <c r="HT801" s="742" t="str">
        <f t="shared" si="197"/>
        <v/>
      </c>
      <c r="HU801" s="742" t="str">
        <f t="shared" si="198"/>
        <v/>
      </c>
      <c r="HV801" s="742" t="str">
        <f t="shared" si="199"/>
        <v/>
      </c>
      <c r="HW801" s="742" t="str">
        <f t="shared" si="200"/>
        <v/>
      </c>
      <c r="HX801" s="742" t="str">
        <f t="shared" si="201"/>
        <v/>
      </c>
      <c r="HY801" s="1638" t="str">
        <f t="shared" si="202"/>
        <v/>
      </c>
      <c r="HZ801" s="1638" t="str">
        <f t="shared" si="203"/>
        <v/>
      </c>
      <c r="IA801" s="1638" t="str">
        <f t="shared" si="204"/>
        <v/>
      </c>
      <c r="IB801" s="1638" t="str">
        <f t="shared" si="205"/>
        <v/>
      </c>
      <c r="IC801" s="1638" t="str">
        <f t="shared" si="206"/>
        <v/>
      </c>
      <c r="ID801" s="1638" t="str">
        <f t="shared" si="207"/>
        <v/>
      </c>
      <c r="IE801" s="1638" t="str">
        <f t="shared" si="208"/>
        <v/>
      </c>
      <c r="IF801" s="1638" t="str">
        <f t="shared" si="209"/>
        <v/>
      </c>
      <c r="IG801" s="1638" t="str">
        <f t="shared" si="210"/>
        <v/>
      </c>
      <c r="IH801" s="1638" t="str">
        <f t="shared" si="211"/>
        <v/>
      </c>
      <c r="II801" s="1638" t="str">
        <f t="shared" si="212"/>
        <v/>
      </c>
      <c r="IJ801" s="1638" t="str">
        <f t="shared" si="213"/>
        <v/>
      </c>
      <c r="IK801" s="1638" t="str">
        <f t="shared" si="214"/>
        <v/>
      </c>
      <c r="IL801" s="1638" t="str">
        <f t="shared" si="215"/>
        <v/>
      </c>
      <c r="IM801" s="1638" t="str">
        <f t="shared" si="216"/>
        <v/>
      </c>
      <c r="IN801" s="1638" t="str">
        <f t="shared" si="217"/>
        <v/>
      </c>
      <c r="IO801" s="1638" t="str">
        <f t="shared" si="218"/>
        <v/>
      </c>
      <c r="IP801" s="1638" t="str">
        <f t="shared" si="219"/>
        <v/>
      </c>
      <c r="IQ801" s="1638" t="str">
        <f t="shared" si="220"/>
        <v/>
      </c>
      <c r="IR801" s="1638" t="str">
        <f t="shared" si="221"/>
        <v/>
      </c>
      <c r="IS801" s="1638" t="str">
        <f t="shared" si="222"/>
        <v/>
      </c>
      <c r="IT801" s="1638" t="str">
        <f t="shared" si="223"/>
        <v/>
      </c>
      <c r="IU801" s="1638" t="str">
        <f t="shared" si="224"/>
        <v/>
      </c>
      <c r="IV801" s="1638" t="str">
        <f t="shared" si="225"/>
        <v/>
      </c>
      <c r="IW801" s="1638" t="str">
        <f t="shared" si="226"/>
        <v/>
      </c>
      <c r="IX801" s="1638" t="str">
        <f t="shared" si="227"/>
        <v/>
      </c>
      <c r="IY801" s="1638" t="str">
        <f t="shared" si="228"/>
        <v/>
      </c>
      <c r="IZ801" s="1638" t="str">
        <f t="shared" si="229"/>
        <v/>
      </c>
      <c r="JA801" s="1638" t="str">
        <f t="shared" si="230"/>
        <v/>
      </c>
      <c r="JB801" s="1638" t="str">
        <f t="shared" si="231"/>
        <v/>
      </c>
      <c r="JC801" s="1638" t="str">
        <f t="shared" si="232"/>
        <v/>
      </c>
      <c r="JD801" s="1638" t="str">
        <f t="shared" si="233"/>
        <v/>
      </c>
      <c r="JE801" s="1638" t="str">
        <f t="shared" si="234"/>
        <v/>
      </c>
      <c r="JF801" s="1638" t="str">
        <f t="shared" si="235"/>
        <v/>
      </c>
      <c r="JG801" s="1638" t="str">
        <f t="shared" si="236"/>
        <v/>
      </c>
      <c r="JH801" s="1638" t="str">
        <f t="shared" si="237"/>
        <v/>
      </c>
      <c r="JI801" s="1638" t="str">
        <f t="shared" si="238"/>
        <v/>
      </c>
      <c r="JJ801" s="1638" t="str">
        <f t="shared" si="239"/>
        <v/>
      </c>
      <c r="JK801" s="1638" t="str">
        <f t="shared" si="240"/>
        <v/>
      </c>
      <c r="JL801" s="1638" t="str">
        <f t="shared" si="241"/>
        <v/>
      </c>
      <c r="JM801" s="1638" t="str">
        <f t="shared" si="242"/>
        <v/>
      </c>
      <c r="JN801" s="1638" t="str">
        <f t="shared" si="243"/>
        <v/>
      </c>
      <c r="JO801" s="1638" t="str">
        <f t="shared" si="244"/>
        <v/>
      </c>
      <c r="JP801" s="1638" t="str">
        <f t="shared" si="245"/>
        <v/>
      </c>
      <c r="JQ801" s="1638" t="str">
        <f t="shared" si="246"/>
        <v/>
      </c>
      <c r="JR801" s="1638" t="str">
        <f t="shared" si="247"/>
        <v/>
      </c>
      <c r="JS801" s="1638" t="str">
        <f t="shared" si="248"/>
        <v/>
      </c>
      <c r="JT801" s="1638" t="str">
        <f t="shared" si="249"/>
        <v/>
      </c>
      <c r="JU801" s="1638" t="str">
        <f t="shared" si="250"/>
        <v/>
      </c>
      <c r="JV801" s="1638" t="str">
        <f t="shared" si="251"/>
        <v/>
      </c>
      <c r="JW801" s="1638" t="str">
        <f t="shared" si="252"/>
        <v/>
      </c>
      <c r="JX801" s="1638" t="str">
        <f t="shared" si="253"/>
        <v/>
      </c>
      <c r="JY801" s="1638" t="str">
        <f t="shared" si="254"/>
        <v/>
      </c>
      <c r="JZ801" s="1638" t="str">
        <f t="shared" si="255"/>
        <v/>
      </c>
      <c r="KA801" s="1638" t="str">
        <f t="shared" si="256"/>
        <v/>
      </c>
      <c r="KB801" s="1638" t="str">
        <f t="shared" si="257"/>
        <v/>
      </c>
      <c r="KC801" s="1638" t="str">
        <f t="shared" si="258"/>
        <v/>
      </c>
      <c r="KD801" s="1638" t="str">
        <f t="shared" si="259"/>
        <v/>
      </c>
      <c r="KE801" s="1638" t="str">
        <f t="shared" si="260"/>
        <v/>
      </c>
      <c r="KF801" s="1638" t="str">
        <f t="shared" si="261"/>
        <v/>
      </c>
      <c r="KG801" s="1638" t="str">
        <f t="shared" si="262"/>
        <v/>
      </c>
      <c r="KH801" s="1638" t="str">
        <f t="shared" si="263"/>
        <v/>
      </c>
      <c r="KI801" s="1638" t="str">
        <f t="shared" si="264"/>
        <v/>
      </c>
      <c r="KJ801" s="1638" t="str">
        <f t="shared" si="265"/>
        <v/>
      </c>
      <c r="KK801" s="1638" t="str">
        <f t="shared" si="266"/>
        <v/>
      </c>
      <c r="KL801" s="1638" t="str">
        <f t="shared" si="267"/>
        <v/>
      </c>
      <c r="KM801" s="1638" t="str">
        <f t="shared" si="268"/>
        <v/>
      </c>
      <c r="KN801" s="1638" t="str">
        <f t="shared" si="269"/>
        <v/>
      </c>
      <c r="KO801" s="1638" t="str">
        <f t="shared" si="270"/>
        <v/>
      </c>
      <c r="KP801" s="1638" t="str">
        <f t="shared" si="271"/>
        <v/>
      </c>
      <c r="KQ801" s="1638" t="str">
        <f t="shared" si="272"/>
        <v/>
      </c>
      <c r="KR801" s="1638" t="str">
        <f t="shared" si="273"/>
        <v/>
      </c>
      <c r="KS801" s="1638" t="str">
        <f t="shared" si="274"/>
        <v/>
      </c>
      <c r="KT801" s="1638" t="str">
        <f t="shared" si="275"/>
        <v/>
      </c>
      <c r="KU801" s="1638" t="str">
        <f t="shared" si="276"/>
        <v/>
      </c>
      <c r="KV801" s="1638" t="str">
        <f t="shared" si="277"/>
        <v/>
      </c>
      <c r="KW801" s="1638" t="str">
        <f t="shared" si="278"/>
        <v/>
      </c>
      <c r="KX801" s="1638" t="str">
        <f t="shared" si="279"/>
        <v/>
      </c>
      <c r="KY801" s="1638" t="str">
        <f t="shared" si="280"/>
        <v/>
      </c>
      <c r="KZ801" s="1638" t="str">
        <f t="shared" si="281"/>
        <v/>
      </c>
      <c r="LA801" s="1638" t="str">
        <f t="shared" si="282"/>
        <v/>
      </c>
      <c r="LB801" s="1638" t="str">
        <f t="shared" si="283"/>
        <v/>
      </c>
      <c r="LC801" s="1638" t="str">
        <f t="shared" si="284"/>
        <v/>
      </c>
      <c r="LD801" s="1638" t="str">
        <f t="shared" si="285"/>
        <v/>
      </c>
      <c r="LE801" s="1638" t="str">
        <f t="shared" si="286"/>
        <v/>
      </c>
      <c r="LF801" s="1637" t="str">
        <f t="shared" si="287"/>
        <v/>
      </c>
      <c r="LG801" s="1637" t="str">
        <f t="shared" si="288"/>
        <v/>
      </c>
      <c r="LH801" s="1637" t="str">
        <f t="shared" si="289"/>
        <v/>
      </c>
      <c r="LI801" s="1637" t="str">
        <f t="shared" si="290"/>
        <v/>
      </c>
      <c r="LJ801" s="1637" t="str">
        <f t="shared" si="291"/>
        <v/>
      </c>
      <c r="LK801" s="742" t="str">
        <f t="shared" si="292"/>
        <v/>
      </c>
      <c r="LL801" s="742" t="str">
        <f t="shared" si="293"/>
        <v/>
      </c>
      <c r="LM801" s="742" t="str">
        <f t="shared" si="294"/>
        <v/>
      </c>
      <c r="LN801" s="742" t="str">
        <f t="shared" si="295"/>
        <v/>
      </c>
      <c r="LO801" s="742" t="str">
        <f t="shared" si="296"/>
        <v/>
      </c>
      <c r="LP801" s="742" t="str">
        <f t="shared" si="297"/>
        <v/>
      </c>
      <c r="LQ801" s="742" t="str">
        <f t="shared" si="298"/>
        <v/>
      </c>
      <c r="LR801" s="742" t="str">
        <f t="shared" si="299"/>
        <v/>
      </c>
      <c r="LS801" s="742" t="str">
        <f t="shared" si="300"/>
        <v/>
      </c>
      <c r="LT801" s="742" t="str">
        <f t="shared" si="301"/>
        <v/>
      </c>
      <c r="LU801" s="742" t="str">
        <f t="shared" si="302"/>
        <v/>
      </c>
      <c r="LV801" s="742" t="str">
        <f t="shared" si="303"/>
        <v/>
      </c>
      <c r="LW801" s="742" t="str">
        <f t="shared" si="304"/>
        <v/>
      </c>
      <c r="LX801" s="742" t="str">
        <f t="shared" si="305"/>
        <v/>
      </c>
      <c r="LY801" s="742" t="str">
        <f t="shared" si="306"/>
        <v/>
      </c>
      <c r="LZ801" s="742" t="str">
        <f t="shared" si="307"/>
        <v/>
      </c>
      <c r="MA801" s="742" t="str">
        <f t="shared" si="308"/>
        <v/>
      </c>
      <c r="MB801" s="742" t="str">
        <f t="shared" si="309"/>
        <v/>
      </c>
      <c r="MC801" s="742" t="str">
        <f t="shared" si="310"/>
        <v/>
      </c>
      <c r="MD801" s="742" t="str">
        <f t="shared" si="311"/>
        <v/>
      </c>
      <c r="ME801" s="1637">
        <f t="shared" si="323"/>
        <v>0</v>
      </c>
      <c r="MF801" s="1637">
        <f t="shared" si="324"/>
        <v>0</v>
      </c>
      <c r="MG801" s="1637">
        <f t="shared" si="325"/>
        <v>0</v>
      </c>
      <c r="MH801" s="1637">
        <f t="shared" si="326"/>
        <v>0</v>
      </c>
      <c r="MI801" s="1637">
        <f t="shared" si="327"/>
        <v>0</v>
      </c>
      <c r="MJ801" s="1637">
        <f t="shared" si="328"/>
        <v>0</v>
      </c>
      <c r="MK801" s="1637">
        <f t="shared" si="329"/>
        <v>0</v>
      </c>
      <c r="ML801" s="1637">
        <f t="shared" si="330"/>
        <v>0</v>
      </c>
      <c r="MM801" s="1637">
        <f t="shared" si="331"/>
        <v>0</v>
      </c>
      <c r="MN801" s="1637">
        <f t="shared" si="332"/>
        <v>0</v>
      </c>
      <c r="MO801" s="1637">
        <f t="shared" si="333"/>
        <v>0</v>
      </c>
      <c r="MP801" s="1637">
        <f t="shared" si="334"/>
        <v>0</v>
      </c>
      <c r="MQ801" s="1637">
        <f t="shared" si="335"/>
        <v>0</v>
      </c>
      <c r="MR801" s="1637">
        <f t="shared" si="336"/>
        <v>0</v>
      </c>
      <c r="MS801" s="1637">
        <f t="shared" si="337"/>
        <v>0</v>
      </c>
    </row>
    <row r="802" spans="1:357" ht="13.5">
      <c r="A802" s="1630" t="str">
        <f t="shared" si="0"/>
        <v/>
      </c>
      <c r="B802" s="2757">
        <f>'Part VI-Revenues &amp; Expenses'!B40</f>
        <v>0</v>
      </c>
      <c r="C802" s="2146">
        <f>'Part VI-Revenues &amp; Expenses'!C40</f>
        <v>0</v>
      </c>
      <c r="D802" s="2147">
        <f>'Part VI-Revenues &amp; Expenses'!D40</f>
        <v>0</v>
      </c>
      <c r="E802" s="2148">
        <f>'Part VI-Revenues &amp; Expenses'!E40</f>
        <v>0</v>
      </c>
      <c r="F802" s="2148">
        <f>'Part VI-Revenues &amp; Expenses'!F40</f>
        <v>0</v>
      </c>
      <c r="G802" s="2148">
        <f>'Part VI-Revenues &amp; Expenses'!G40</f>
        <v>0</v>
      </c>
      <c r="H802" s="2148">
        <f>'Part VI-Revenues &amp; Expenses'!H40</f>
        <v>0</v>
      </c>
      <c r="I802" s="2148">
        <f>'Part VI-Revenues &amp; Expenses'!I40</f>
        <v>0</v>
      </c>
      <c r="J802" s="2149">
        <f>'Part VI-Revenues &amp; Expenses'!J40</f>
        <v>0</v>
      </c>
      <c r="K802" s="1822">
        <f t="shared" si="1"/>
        <v>0</v>
      </c>
      <c r="L802" s="1822">
        <f t="shared" si="2"/>
        <v>0</v>
      </c>
      <c r="M802" s="2133">
        <f>'Part VI-Revenues &amp; Expenses'!M40</f>
        <v>0</v>
      </c>
      <c r="N802" s="2133">
        <f>'Part VI-Revenues &amp; Expenses'!N40</f>
        <v>0</v>
      </c>
      <c r="O802" s="2133">
        <f>'Part VI-Revenues &amp; Expenses'!O40</f>
        <v>0</v>
      </c>
      <c r="P802" s="1633">
        <f>'Part VI-Revenues &amp; Expenses'!P40</f>
        <v>0</v>
      </c>
      <c r="Q802" s="1823" t="str">
        <f>'Part VI-Revenues &amp; Expenses'!Q40</f>
        <v/>
      </c>
      <c r="R802" s="1824" t="str">
        <f>'Part VI-Revenues &amp; Expenses'!R40</f>
        <v/>
      </c>
      <c r="S802" s="1823">
        <f>'Part VI-Revenues &amp; Expenses'!S40</f>
        <v>0</v>
      </c>
      <c r="T802" s="1824">
        <f>'Part VI-Revenues &amp; Expenses'!T40</f>
        <v>0</v>
      </c>
      <c r="U802" s="1838">
        <f>'Part VI-Revenues &amp; Expenses'!U40:V40</f>
        <v>0</v>
      </c>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312"/>
        <v/>
      </c>
      <c r="EH802" s="742" t="str">
        <f t="shared" si="117"/>
        <v/>
      </c>
      <c r="EI802" s="742" t="str">
        <f t="shared" si="118"/>
        <v/>
      </c>
      <c r="EJ802" s="742" t="str">
        <f t="shared" si="119"/>
        <v/>
      </c>
      <c r="EK802" s="742" t="str">
        <f t="shared" si="120"/>
        <v/>
      </c>
      <c r="EL802" s="742" t="str">
        <f t="shared" si="121"/>
        <v/>
      </c>
      <c r="EM802" s="742" t="str">
        <f t="shared" si="122"/>
        <v/>
      </c>
      <c r="EN802" s="742" t="str">
        <f t="shared" si="123"/>
        <v/>
      </c>
      <c r="EO802" s="742" t="str">
        <f t="shared" si="124"/>
        <v/>
      </c>
      <c r="EP802" s="742" t="str">
        <f t="shared" si="125"/>
        <v/>
      </c>
      <c r="EQ802" s="742" t="str">
        <f t="shared" si="126"/>
        <v/>
      </c>
      <c r="ER802" s="742" t="str">
        <f t="shared" si="127"/>
        <v/>
      </c>
      <c r="ES802" s="742" t="str">
        <f t="shared" si="128"/>
        <v/>
      </c>
      <c r="ET802" s="742" t="str">
        <f t="shared" si="129"/>
        <v/>
      </c>
      <c r="EU802" s="742" t="str">
        <f t="shared" si="130"/>
        <v/>
      </c>
      <c r="EV802" s="742" t="str">
        <f t="shared" si="131"/>
        <v/>
      </c>
      <c r="EW802" s="742" t="str">
        <f t="shared" si="313"/>
        <v/>
      </c>
      <c r="EX802" s="742" t="str">
        <f t="shared" si="314"/>
        <v/>
      </c>
      <c r="EY802" s="742" t="str">
        <f t="shared" si="315"/>
        <v/>
      </c>
      <c r="EZ802" s="742" t="str">
        <f t="shared" si="316"/>
        <v/>
      </c>
      <c r="FA802" s="742" t="str">
        <f t="shared" si="317"/>
        <v/>
      </c>
      <c r="FB802" s="742" t="str">
        <f t="shared" si="132"/>
        <v/>
      </c>
      <c r="FC802" s="742" t="str">
        <f t="shared" si="133"/>
        <v/>
      </c>
      <c r="FD802" s="742" t="str">
        <f t="shared" si="134"/>
        <v/>
      </c>
      <c r="FE802" s="742" t="str">
        <f t="shared" si="135"/>
        <v/>
      </c>
      <c r="FF802" s="742" t="str">
        <f t="shared" si="136"/>
        <v/>
      </c>
      <c r="FG802" s="742" t="str">
        <f t="shared" si="318"/>
        <v/>
      </c>
      <c r="FH802" s="742" t="str">
        <f t="shared" si="319"/>
        <v/>
      </c>
      <c r="FI802" s="742" t="str">
        <f t="shared" si="320"/>
        <v/>
      </c>
      <c r="FJ802" s="742" t="str">
        <f t="shared" si="321"/>
        <v/>
      </c>
      <c r="FK802" s="742" t="str">
        <f t="shared" si="322"/>
        <v/>
      </c>
      <c r="FL802" s="742" t="str">
        <f t="shared" si="137"/>
        <v/>
      </c>
      <c r="FM802" s="742" t="str">
        <f t="shared" si="138"/>
        <v/>
      </c>
      <c r="FN802" s="742" t="str">
        <f t="shared" si="139"/>
        <v/>
      </c>
      <c r="FO802" s="742" t="str">
        <f t="shared" si="140"/>
        <v/>
      </c>
      <c r="FP802" s="742" t="str">
        <f t="shared" si="141"/>
        <v/>
      </c>
      <c r="FQ802" s="742" t="str">
        <f t="shared" si="142"/>
        <v/>
      </c>
      <c r="FR802" s="742" t="str">
        <f t="shared" si="143"/>
        <v/>
      </c>
      <c r="FS802" s="742" t="str">
        <f t="shared" si="144"/>
        <v/>
      </c>
      <c r="FT802" s="742" t="str">
        <f t="shared" si="145"/>
        <v/>
      </c>
      <c r="FU802" s="742" t="str">
        <f t="shared" si="146"/>
        <v/>
      </c>
      <c r="FV802" s="742" t="str">
        <f t="shared" si="147"/>
        <v/>
      </c>
      <c r="FW802" s="742" t="str">
        <f t="shared" si="148"/>
        <v/>
      </c>
      <c r="FX802" s="742" t="str">
        <f t="shared" si="149"/>
        <v/>
      </c>
      <c r="FY802" s="742" t="str">
        <f t="shared" si="150"/>
        <v/>
      </c>
      <c r="FZ802" s="742" t="str">
        <f t="shared" si="151"/>
        <v/>
      </c>
      <c r="GA802" s="742" t="str">
        <f t="shared" si="152"/>
        <v/>
      </c>
      <c r="GB802" s="742" t="str">
        <f t="shared" si="153"/>
        <v/>
      </c>
      <c r="GC802" s="742" t="str">
        <f t="shared" si="154"/>
        <v/>
      </c>
      <c r="GD802" s="742" t="str">
        <f t="shared" si="155"/>
        <v/>
      </c>
      <c r="GE802" s="742" t="str">
        <f t="shared" si="156"/>
        <v/>
      </c>
      <c r="GF802" s="742" t="str">
        <f t="shared" si="157"/>
        <v/>
      </c>
      <c r="GG802" s="742" t="str">
        <f t="shared" si="158"/>
        <v/>
      </c>
      <c r="GH802" s="742" t="str">
        <f t="shared" si="159"/>
        <v/>
      </c>
      <c r="GI802" s="742" t="str">
        <f t="shared" si="160"/>
        <v/>
      </c>
      <c r="GJ802" s="742" t="str">
        <f t="shared" si="161"/>
        <v/>
      </c>
      <c r="GK802" s="742" t="str">
        <f t="shared" si="162"/>
        <v/>
      </c>
      <c r="GL802" s="742" t="str">
        <f t="shared" si="163"/>
        <v/>
      </c>
      <c r="GM802" s="742" t="str">
        <f t="shared" si="164"/>
        <v/>
      </c>
      <c r="GN802" s="742" t="str">
        <f t="shared" si="165"/>
        <v/>
      </c>
      <c r="GO802" s="742" t="str">
        <f t="shared" si="166"/>
        <v/>
      </c>
      <c r="GP802" s="742" t="str">
        <f t="shared" si="167"/>
        <v/>
      </c>
      <c r="GQ802" s="742" t="str">
        <f t="shared" si="168"/>
        <v/>
      </c>
      <c r="GR802" s="742" t="str">
        <f t="shared" si="169"/>
        <v/>
      </c>
      <c r="GS802" s="742" t="str">
        <f t="shared" si="170"/>
        <v/>
      </c>
      <c r="GT802" s="742" t="str">
        <f t="shared" si="171"/>
        <v/>
      </c>
      <c r="GU802" s="742" t="str">
        <f t="shared" si="172"/>
        <v/>
      </c>
      <c r="GV802" s="742" t="str">
        <f t="shared" si="173"/>
        <v/>
      </c>
      <c r="GW802" s="742" t="str">
        <f t="shared" si="174"/>
        <v/>
      </c>
      <c r="GX802" s="742" t="str">
        <f t="shared" si="175"/>
        <v/>
      </c>
      <c r="GY802" s="742" t="str">
        <f t="shared" si="176"/>
        <v/>
      </c>
      <c r="GZ802" s="742" t="str">
        <f t="shared" si="177"/>
        <v/>
      </c>
      <c r="HA802" s="742" t="str">
        <f t="shared" si="178"/>
        <v/>
      </c>
      <c r="HB802" s="742" t="str">
        <f t="shared" si="179"/>
        <v/>
      </c>
      <c r="HC802" s="742" t="str">
        <f t="shared" si="180"/>
        <v/>
      </c>
      <c r="HD802" s="742" t="str">
        <f t="shared" si="181"/>
        <v/>
      </c>
      <c r="HE802" s="742" t="str">
        <f t="shared" si="182"/>
        <v/>
      </c>
      <c r="HF802" s="742" t="str">
        <f t="shared" si="183"/>
        <v/>
      </c>
      <c r="HG802" s="742" t="str">
        <f t="shared" si="184"/>
        <v/>
      </c>
      <c r="HH802" s="742" t="str">
        <f t="shared" si="185"/>
        <v/>
      </c>
      <c r="HI802" s="742" t="str">
        <f t="shared" si="186"/>
        <v/>
      </c>
      <c r="HJ802" s="742" t="str">
        <f t="shared" si="187"/>
        <v/>
      </c>
      <c r="HK802" s="742" t="str">
        <f t="shared" si="188"/>
        <v/>
      </c>
      <c r="HL802" s="742" t="str">
        <f t="shared" si="189"/>
        <v/>
      </c>
      <c r="HM802" s="742" t="str">
        <f t="shared" si="190"/>
        <v/>
      </c>
      <c r="HN802" s="742" t="str">
        <f t="shared" si="191"/>
        <v/>
      </c>
      <c r="HO802" s="742" t="str">
        <f t="shared" si="192"/>
        <v/>
      </c>
      <c r="HP802" s="742" t="str">
        <f t="shared" si="193"/>
        <v/>
      </c>
      <c r="HQ802" s="742" t="str">
        <f t="shared" si="194"/>
        <v/>
      </c>
      <c r="HR802" s="742" t="str">
        <f t="shared" si="195"/>
        <v/>
      </c>
      <c r="HS802" s="742" t="str">
        <f t="shared" si="196"/>
        <v/>
      </c>
      <c r="HT802" s="742" t="str">
        <f t="shared" si="197"/>
        <v/>
      </c>
      <c r="HU802" s="742" t="str">
        <f t="shared" si="198"/>
        <v/>
      </c>
      <c r="HV802" s="742" t="str">
        <f t="shared" si="199"/>
        <v/>
      </c>
      <c r="HW802" s="742" t="str">
        <f t="shared" si="200"/>
        <v/>
      </c>
      <c r="HX802" s="742" t="str">
        <f t="shared" si="201"/>
        <v/>
      </c>
      <c r="HY802" s="1638" t="str">
        <f t="shared" si="202"/>
        <v/>
      </c>
      <c r="HZ802" s="1638" t="str">
        <f t="shared" si="203"/>
        <v/>
      </c>
      <c r="IA802" s="1638" t="str">
        <f t="shared" si="204"/>
        <v/>
      </c>
      <c r="IB802" s="1638" t="str">
        <f t="shared" si="205"/>
        <v/>
      </c>
      <c r="IC802" s="1638" t="str">
        <f t="shared" si="206"/>
        <v/>
      </c>
      <c r="ID802" s="1638" t="str">
        <f t="shared" si="207"/>
        <v/>
      </c>
      <c r="IE802" s="1638" t="str">
        <f t="shared" si="208"/>
        <v/>
      </c>
      <c r="IF802" s="1638" t="str">
        <f t="shared" si="209"/>
        <v/>
      </c>
      <c r="IG802" s="1638" t="str">
        <f t="shared" si="210"/>
        <v/>
      </c>
      <c r="IH802" s="1638" t="str">
        <f t="shared" si="211"/>
        <v/>
      </c>
      <c r="II802" s="1638" t="str">
        <f t="shared" si="212"/>
        <v/>
      </c>
      <c r="IJ802" s="1638" t="str">
        <f t="shared" si="213"/>
        <v/>
      </c>
      <c r="IK802" s="1638" t="str">
        <f t="shared" si="214"/>
        <v/>
      </c>
      <c r="IL802" s="1638" t="str">
        <f t="shared" si="215"/>
        <v/>
      </c>
      <c r="IM802" s="1638" t="str">
        <f t="shared" si="216"/>
        <v/>
      </c>
      <c r="IN802" s="1638" t="str">
        <f t="shared" si="217"/>
        <v/>
      </c>
      <c r="IO802" s="1638" t="str">
        <f t="shared" si="218"/>
        <v/>
      </c>
      <c r="IP802" s="1638" t="str">
        <f t="shared" si="219"/>
        <v/>
      </c>
      <c r="IQ802" s="1638" t="str">
        <f t="shared" si="220"/>
        <v/>
      </c>
      <c r="IR802" s="1638" t="str">
        <f t="shared" si="221"/>
        <v/>
      </c>
      <c r="IS802" s="1638" t="str">
        <f t="shared" si="222"/>
        <v/>
      </c>
      <c r="IT802" s="1638" t="str">
        <f t="shared" si="223"/>
        <v/>
      </c>
      <c r="IU802" s="1638" t="str">
        <f t="shared" si="224"/>
        <v/>
      </c>
      <c r="IV802" s="1638" t="str">
        <f t="shared" si="225"/>
        <v/>
      </c>
      <c r="IW802" s="1638" t="str">
        <f t="shared" si="226"/>
        <v/>
      </c>
      <c r="IX802" s="1638" t="str">
        <f t="shared" si="227"/>
        <v/>
      </c>
      <c r="IY802" s="1638" t="str">
        <f t="shared" si="228"/>
        <v/>
      </c>
      <c r="IZ802" s="1638" t="str">
        <f t="shared" si="229"/>
        <v/>
      </c>
      <c r="JA802" s="1638" t="str">
        <f t="shared" si="230"/>
        <v/>
      </c>
      <c r="JB802" s="1638" t="str">
        <f t="shared" si="231"/>
        <v/>
      </c>
      <c r="JC802" s="1638" t="str">
        <f t="shared" si="232"/>
        <v/>
      </c>
      <c r="JD802" s="1638" t="str">
        <f t="shared" si="233"/>
        <v/>
      </c>
      <c r="JE802" s="1638" t="str">
        <f t="shared" si="234"/>
        <v/>
      </c>
      <c r="JF802" s="1638" t="str">
        <f t="shared" si="235"/>
        <v/>
      </c>
      <c r="JG802" s="1638" t="str">
        <f t="shared" si="236"/>
        <v/>
      </c>
      <c r="JH802" s="1638" t="str">
        <f t="shared" si="237"/>
        <v/>
      </c>
      <c r="JI802" s="1638" t="str">
        <f t="shared" si="238"/>
        <v/>
      </c>
      <c r="JJ802" s="1638" t="str">
        <f t="shared" si="239"/>
        <v/>
      </c>
      <c r="JK802" s="1638" t="str">
        <f t="shared" si="240"/>
        <v/>
      </c>
      <c r="JL802" s="1638" t="str">
        <f t="shared" si="241"/>
        <v/>
      </c>
      <c r="JM802" s="1638" t="str">
        <f t="shared" si="242"/>
        <v/>
      </c>
      <c r="JN802" s="1638" t="str">
        <f t="shared" si="243"/>
        <v/>
      </c>
      <c r="JO802" s="1638" t="str">
        <f t="shared" si="244"/>
        <v/>
      </c>
      <c r="JP802" s="1638" t="str">
        <f t="shared" si="245"/>
        <v/>
      </c>
      <c r="JQ802" s="1638" t="str">
        <f t="shared" si="246"/>
        <v/>
      </c>
      <c r="JR802" s="1638" t="str">
        <f t="shared" si="247"/>
        <v/>
      </c>
      <c r="JS802" s="1638" t="str">
        <f t="shared" si="248"/>
        <v/>
      </c>
      <c r="JT802" s="1638" t="str">
        <f t="shared" si="249"/>
        <v/>
      </c>
      <c r="JU802" s="1638" t="str">
        <f t="shared" si="250"/>
        <v/>
      </c>
      <c r="JV802" s="1638" t="str">
        <f t="shared" si="251"/>
        <v/>
      </c>
      <c r="JW802" s="1638" t="str">
        <f t="shared" si="252"/>
        <v/>
      </c>
      <c r="JX802" s="1638" t="str">
        <f t="shared" si="253"/>
        <v/>
      </c>
      <c r="JY802" s="1638" t="str">
        <f t="shared" si="254"/>
        <v/>
      </c>
      <c r="JZ802" s="1638" t="str">
        <f t="shared" si="255"/>
        <v/>
      </c>
      <c r="KA802" s="1638" t="str">
        <f t="shared" si="256"/>
        <v/>
      </c>
      <c r="KB802" s="1638" t="str">
        <f t="shared" si="257"/>
        <v/>
      </c>
      <c r="KC802" s="1638" t="str">
        <f t="shared" si="258"/>
        <v/>
      </c>
      <c r="KD802" s="1638" t="str">
        <f t="shared" si="259"/>
        <v/>
      </c>
      <c r="KE802" s="1638" t="str">
        <f t="shared" si="260"/>
        <v/>
      </c>
      <c r="KF802" s="1638" t="str">
        <f t="shared" si="261"/>
        <v/>
      </c>
      <c r="KG802" s="1638" t="str">
        <f t="shared" si="262"/>
        <v/>
      </c>
      <c r="KH802" s="1638" t="str">
        <f t="shared" si="263"/>
        <v/>
      </c>
      <c r="KI802" s="1638" t="str">
        <f t="shared" si="264"/>
        <v/>
      </c>
      <c r="KJ802" s="1638" t="str">
        <f t="shared" si="265"/>
        <v/>
      </c>
      <c r="KK802" s="1638" t="str">
        <f t="shared" si="266"/>
        <v/>
      </c>
      <c r="KL802" s="1638" t="str">
        <f t="shared" si="267"/>
        <v/>
      </c>
      <c r="KM802" s="1638" t="str">
        <f t="shared" si="268"/>
        <v/>
      </c>
      <c r="KN802" s="1638" t="str">
        <f t="shared" si="269"/>
        <v/>
      </c>
      <c r="KO802" s="1638" t="str">
        <f t="shared" si="270"/>
        <v/>
      </c>
      <c r="KP802" s="1638" t="str">
        <f t="shared" si="271"/>
        <v/>
      </c>
      <c r="KQ802" s="1638" t="str">
        <f t="shared" si="272"/>
        <v/>
      </c>
      <c r="KR802" s="1638" t="str">
        <f t="shared" si="273"/>
        <v/>
      </c>
      <c r="KS802" s="1638" t="str">
        <f t="shared" si="274"/>
        <v/>
      </c>
      <c r="KT802" s="1638" t="str">
        <f t="shared" si="275"/>
        <v/>
      </c>
      <c r="KU802" s="1638" t="str">
        <f t="shared" si="276"/>
        <v/>
      </c>
      <c r="KV802" s="1638" t="str">
        <f t="shared" si="277"/>
        <v/>
      </c>
      <c r="KW802" s="1638" t="str">
        <f t="shared" si="278"/>
        <v/>
      </c>
      <c r="KX802" s="1638" t="str">
        <f t="shared" si="279"/>
        <v/>
      </c>
      <c r="KY802" s="1638" t="str">
        <f t="shared" si="280"/>
        <v/>
      </c>
      <c r="KZ802" s="1638" t="str">
        <f t="shared" si="281"/>
        <v/>
      </c>
      <c r="LA802" s="1638" t="str">
        <f t="shared" si="282"/>
        <v/>
      </c>
      <c r="LB802" s="1638" t="str">
        <f t="shared" si="283"/>
        <v/>
      </c>
      <c r="LC802" s="1638" t="str">
        <f t="shared" si="284"/>
        <v/>
      </c>
      <c r="LD802" s="1638" t="str">
        <f t="shared" si="285"/>
        <v/>
      </c>
      <c r="LE802" s="1638" t="str">
        <f t="shared" si="286"/>
        <v/>
      </c>
      <c r="LF802" s="1637" t="str">
        <f t="shared" si="287"/>
        <v/>
      </c>
      <c r="LG802" s="1637" t="str">
        <f t="shared" si="288"/>
        <v/>
      </c>
      <c r="LH802" s="1637" t="str">
        <f t="shared" si="289"/>
        <v/>
      </c>
      <c r="LI802" s="1637" t="str">
        <f t="shared" si="290"/>
        <v/>
      </c>
      <c r="LJ802" s="1637" t="str">
        <f t="shared" si="291"/>
        <v/>
      </c>
      <c r="LK802" s="742" t="str">
        <f t="shared" si="292"/>
        <v/>
      </c>
      <c r="LL802" s="742" t="str">
        <f t="shared" si="293"/>
        <v/>
      </c>
      <c r="LM802" s="742" t="str">
        <f t="shared" si="294"/>
        <v/>
      </c>
      <c r="LN802" s="742" t="str">
        <f t="shared" si="295"/>
        <v/>
      </c>
      <c r="LO802" s="742" t="str">
        <f t="shared" si="296"/>
        <v/>
      </c>
      <c r="LP802" s="742" t="str">
        <f t="shared" si="297"/>
        <v/>
      </c>
      <c r="LQ802" s="742" t="str">
        <f t="shared" si="298"/>
        <v/>
      </c>
      <c r="LR802" s="742" t="str">
        <f t="shared" si="299"/>
        <v/>
      </c>
      <c r="LS802" s="742" t="str">
        <f t="shared" si="300"/>
        <v/>
      </c>
      <c r="LT802" s="742" t="str">
        <f t="shared" si="301"/>
        <v/>
      </c>
      <c r="LU802" s="742" t="str">
        <f t="shared" si="302"/>
        <v/>
      </c>
      <c r="LV802" s="742" t="str">
        <f t="shared" si="303"/>
        <v/>
      </c>
      <c r="LW802" s="742" t="str">
        <f t="shared" si="304"/>
        <v/>
      </c>
      <c r="LX802" s="742" t="str">
        <f t="shared" si="305"/>
        <v/>
      </c>
      <c r="LY802" s="742" t="str">
        <f t="shared" si="306"/>
        <v/>
      </c>
      <c r="LZ802" s="742" t="str">
        <f t="shared" si="307"/>
        <v/>
      </c>
      <c r="MA802" s="742" t="str">
        <f t="shared" si="308"/>
        <v/>
      </c>
      <c r="MB802" s="742" t="str">
        <f t="shared" si="309"/>
        <v/>
      </c>
      <c r="MC802" s="742" t="str">
        <f t="shared" si="310"/>
        <v/>
      </c>
      <c r="MD802" s="742" t="str">
        <f t="shared" si="311"/>
        <v/>
      </c>
      <c r="ME802" s="1637">
        <f t="shared" si="323"/>
        <v>0</v>
      </c>
      <c r="MF802" s="1637">
        <f t="shared" si="324"/>
        <v>0</v>
      </c>
      <c r="MG802" s="1637">
        <f t="shared" si="325"/>
        <v>0</v>
      </c>
      <c r="MH802" s="1637">
        <f t="shared" si="326"/>
        <v>0</v>
      </c>
      <c r="MI802" s="1637">
        <f t="shared" si="327"/>
        <v>0</v>
      </c>
      <c r="MJ802" s="1637">
        <f t="shared" si="328"/>
        <v>0</v>
      </c>
      <c r="MK802" s="1637">
        <f t="shared" si="329"/>
        <v>0</v>
      </c>
      <c r="ML802" s="1637">
        <f t="shared" si="330"/>
        <v>0</v>
      </c>
      <c r="MM802" s="1637">
        <f t="shared" si="331"/>
        <v>0</v>
      </c>
      <c r="MN802" s="1637">
        <f t="shared" si="332"/>
        <v>0</v>
      </c>
      <c r="MO802" s="1637">
        <f t="shared" si="333"/>
        <v>0</v>
      </c>
      <c r="MP802" s="1637">
        <f t="shared" si="334"/>
        <v>0</v>
      </c>
      <c r="MQ802" s="1637">
        <f t="shared" si="335"/>
        <v>0</v>
      </c>
      <c r="MR802" s="1637">
        <f t="shared" si="336"/>
        <v>0</v>
      </c>
      <c r="MS802" s="1637">
        <f t="shared" si="337"/>
        <v>0</v>
      </c>
    </row>
    <row r="803" spans="1:357" ht="13.5">
      <c r="A803" s="1630" t="str">
        <f t="shared" si="0"/>
        <v/>
      </c>
      <c r="B803" s="2757">
        <f>'Part VI-Revenues &amp; Expenses'!B41</f>
        <v>0</v>
      </c>
      <c r="C803" s="2146">
        <f>'Part VI-Revenues &amp; Expenses'!C41</f>
        <v>0</v>
      </c>
      <c r="D803" s="2147">
        <f>'Part VI-Revenues &amp; Expenses'!D41</f>
        <v>0</v>
      </c>
      <c r="E803" s="2148">
        <f>'Part VI-Revenues &amp; Expenses'!E41</f>
        <v>0</v>
      </c>
      <c r="F803" s="2148">
        <f>'Part VI-Revenues &amp; Expenses'!F41</f>
        <v>0</v>
      </c>
      <c r="G803" s="2148">
        <f>'Part VI-Revenues &amp; Expenses'!G41</f>
        <v>0</v>
      </c>
      <c r="H803" s="2148">
        <f>'Part VI-Revenues &amp; Expenses'!H41</f>
        <v>0</v>
      </c>
      <c r="I803" s="2148">
        <f>'Part VI-Revenues &amp; Expenses'!I41</f>
        <v>0</v>
      </c>
      <c r="J803" s="2149">
        <f>'Part VI-Revenues &amp; Expenses'!J41</f>
        <v>0</v>
      </c>
      <c r="K803" s="1822">
        <f t="shared" si="1"/>
        <v>0</v>
      </c>
      <c r="L803" s="1822">
        <f t="shared" si="2"/>
        <v>0</v>
      </c>
      <c r="M803" s="2133">
        <f>'Part VI-Revenues &amp; Expenses'!M41</f>
        <v>0</v>
      </c>
      <c r="N803" s="2133">
        <f>'Part VI-Revenues &amp; Expenses'!N41</f>
        <v>0</v>
      </c>
      <c r="O803" s="2133">
        <f>'Part VI-Revenues &amp; Expenses'!O41</f>
        <v>0</v>
      </c>
      <c r="P803" s="1633">
        <f>'Part VI-Revenues &amp; Expenses'!P41</f>
        <v>0</v>
      </c>
      <c r="Q803" s="1823" t="str">
        <f>'Part VI-Revenues &amp; Expenses'!Q41</f>
        <v/>
      </c>
      <c r="R803" s="1824" t="str">
        <f>'Part VI-Revenues &amp; Expenses'!R41</f>
        <v/>
      </c>
      <c r="S803" s="1823">
        <f>'Part VI-Revenues &amp; Expenses'!S41</f>
        <v>0</v>
      </c>
      <c r="T803" s="1824">
        <f>'Part VI-Revenues &amp; Expenses'!T41</f>
        <v>0</v>
      </c>
      <c r="U803" s="1838">
        <f>'Part VI-Revenues &amp; Expenses'!U41:V41</f>
        <v>0</v>
      </c>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312"/>
        <v/>
      </c>
      <c r="EH803" s="742" t="str">
        <f t="shared" si="117"/>
        <v/>
      </c>
      <c r="EI803" s="742" t="str">
        <f t="shared" si="118"/>
        <v/>
      </c>
      <c r="EJ803" s="742" t="str">
        <f t="shared" si="119"/>
        <v/>
      </c>
      <c r="EK803" s="742" t="str">
        <f t="shared" si="120"/>
        <v/>
      </c>
      <c r="EL803" s="742" t="str">
        <f t="shared" si="121"/>
        <v/>
      </c>
      <c r="EM803" s="742" t="str">
        <f t="shared" si="122"/>
        <v/>
      </c>
      <c r="EN803" s="742" t="str">
        <f t="shared" si="123"/>
        <v/>
      </c>
      <c r="EO803" s="742" t="str">
        <f t="shared" si="124"/>
        <v/>
      </c>
      <c r="EP803" s="742" t="str">
        <f t="shared" si="125"/>
        <v/>
      </c>
      <c r="EQ803" s="742" t="str">
        <f t="shared" si="126"/>
        <v/>
      </c>
      <c r="ER803" s="742" t="str">
        <f t="shared" si="127"/>
        <v/>
      </c>
      <c r="ES803" s="742" t="str">
        <f t="shared" si="128"/>
        <v/>
      </c>
      <c r="ET803" s="742" t="str">
        <f t="shared" si="129"/>
        <v/>
      </c>
      <c r="EU803" s="742" t="str">
        <f t="shared" si="130"/>
        <v/>
      </c>
      <c r="EV803" s="742" t="str">
        <f t="shared" si="131"/>
        <v/>
      </c>
      <c r="EW803" s="742" t="str">
        <f t="shared" si="313"/>
        <v/>
      </c>
      <c r="EX803" s="742" t="str">
        <f t="shared" si="314"/>
        <v/>
      </c>
      <c r="EY803" s="742" t="str">
        <f t="shared" si="315"/>
        <v/>
      </c>
      <c r="EZ803" s="742" t="str">
        <f t="shared" si="316"/>
        <v/>
      </c>
      <c r="FA803" s="742" t="str">
        <f t="shared" si="317"/>
        <v/>
      </c>
      <c r="FB803" s="742" t="str">
        <f t="shared" si="132"/>
        <v/>
      </c>
      <c r="FC803" s="742" t="str">
        <f t="shared" si="133"/>
        <v/>
      </c>
      <c r="FD803" s="742" t="str">
        <f t="shared" si="134"/>
        <v/>
      </c>
      <c r="FE803" s="742" t="str">
        <f t="shared" si="135"/>
        <v/>
      </c>
      <c r="FF803" s="742" t="str">
        <f t="shared" si="136"/>
        <v/>
      </c>
      <c r="FG803" s="742" t="str">
        <f t="shared" si="318"/>
        <v/>
      </c>
      <c r="FH803" s="742" t="str">
        <f t="shared" si="319"/>
        <v/>
      </c>
      <c r="FI803" s="742" t="str">
        <f t="shared" si="320"/>
        <v/>
      </c>
      <c r="FJ803" s="742" t="str">
        <f t="shared" si="321"/>
        <v/>
      </c>
      <c r="FK803" s="742" t="str">
        <f t="shared" si="322"/>
        <v/>
      </c>
      <c r="FL803" s="742" t="str">
        <f t="shared" si="137"/>
        <v/>
      </c>
      <c r="FM803" s="742" t="str">
        <f t="shared" si="138"/>
        <v/>
      </c>
      <c r="FN803" s="742" t="str">
        <f t="shared" si="139"/>
        <v/>
      </c>
      <c r="FO803" s="742" t="str">
        <f t="shared" si="140"/>
        <v/>
      </c>
      <c r="FP803" s="742" t="str">
        <f t="shared" si="141"/>
        <v/>
      </c>
      <c r="FQ803" s="742" t="str">
        <f t="shared" si="142"/>
        <v/>
      </c>
      <c r="FR803" s="742" t="str">
        <f t="shared" si="143"/>
        <v/>
      </c>
      <c r="FS803" s="742" t="str">
        <f t="shared" si="144"/>
        <v/>
      </c>
      <c r="FT803" s="742" t="str">
        <f t="shared" si="145"/>
        <v/>
      </c>
      <c r="FU803" s="742" t="str">
        <f t="shared" si="146"/>
        <v/>
      </c>
      <c r="FV803" s="742" t="str">
        <f t="shared" si="147"/>
        <v/>
      </c>
      <c r="FW803" s="742" t="str">
        <f t="shared" si="148"/>
        <v/>
      </c>
      <c r="FX803" s="742" t="str">
        <f t="shared" si="149"/>
        <v/>
      </c>
      <c r="FY803" s="742" t="str">
        <f t="shared" si="150"/>
        <v/>
      </c>
      <c r="FZ803" s="742" t="str">
        <f t="shared" si="151"/>
        <v/>
      </c>
      <c r="GA803" s="742" t="str">
        <f t="shared" si="152"/>
        <v/>
      </c>
      <c r="GB803" s="742" t="str">
        <f t="shared" si="153"/>
        <v/>
      </c>
      <c r="GC803" s="742" t="str">
        <f t="shared" si="154"/>
        <v/>
      </c>
      <c r="GD803" s="742" t="str">
        <f t="shared" si="155"/>
        <v/>
      </c>
      <c r="GE803" s="742" t="str">
        <f t="shared" si="156"/>
        <v/>
      </c>
      <c r="GF803" s="742" t="str">
        <f t="shared" si="157"/>
        <v/>
      </c>
      <c r="GG803" s="742" t="str">
        <f t="shared" si="158"/>
        <v/>
      </c>
      <c r="GH803" s="742" t="str">
        <f t="shared" si="159"/>
        <v/>
      </c>
      <c r="GI803" s="742" t="str">
        <f t="shared" si="160"/>
        <v/>
      </c>
      <c r="GJ803" s="742" t="str">
        <f t="shared" si="161"/>
        <v/>
      </c>
      <c r="GK803" s="742" t="str">
        <f t="shared" si="162"/>
        <v/>
      </c>
      <c r="GL803" s="742" t="str">
        <f t="shared" si="163"/>
        <v/>
      </c>
      <c r="GM803" s="742" t="str">
        <f t="shared" si="164"/>
        <v/>
      </c>
      <c r="GN803" s="742" t="str">
        <f t="shared" si="165"/>
        <v/>
      </c>
      <c r="GO803" s="742" t="str">
        <f t="shared" si="166"/>
        <v/>
      </c>
      <c r="GP803" s="742" t="str">
        <f t="shared" si="167"/>
        <v/>
      </c>
      <c r="GQ803" s="742" t="str">
        <f t="shared" si="168"/>
        <v/>
      </c>
      <c r="GR803" s="742" t="str">
        <f t="shared" si="169"/>
        <v/>
      </c>
      <c r="GS803" s="742" t="str">
        <f t="shared" si="170"/>
        <v/>
      </c>
      <c r="GT803" s="742" t="str">
        <f t="shared" si="171"/>
        <v/>
      </c>
      <c r="GU803" s="742" t="str">
        <f t="shared" si="172"/>
        <v/>
      </c>
      <c r="GV803" s="742" t="str">
        <f t="shared" si="173"/>
        <v/>
      </c>
      <c r="GW803" s="742" t="str">
        <f t="shared" si="174"/>
        <v/>
      </c>
      <c r="GX803" s="742" t="str">
        <f t="shared" si="175"/>
        <v/>
      </c>
      <c r="GY803" s="742" t="str">
        <f t="shared" si="176"/>
        <v/>
      </c>
      <c r="GZ803" s="742" t="str">
        <f t="shared" si="177"/>
        <v/>
      </c>
      <c r="HA803" s="742" t="str">
        <f t="shared" si="178"/>
        <v/>
      </c>
      <c r="HB803" s="742" t="str">
        <f t="shared" si="179"/>
        <v/>
      </c>
      <c r="HC803" s="742" t="str">
        <f t="shared" si="180"/>
        <v/>
      </c>
      <c r="HD803" s="742" t="str">
        <f t="shared" si="181"/>
        <v/>
      </c>
      <c r="HE803" s="742" t="str">
        <f t="shared" si="182"/>
        <v/>
      </c>
      <c r="HF803" s="742" t="str">
        <f t="shared" si="183"/>
        <v/>
      </c>
      <c r="HG803" s="742" t="str">
        <f t="shared" si="184"/>
        <v/>
      </c>
      <c r="HH803" s="742" t="str">
        <f t="shared" si="185"/>
        <v/>
      </c>
      <c r="HI803" s="742" t="str">
        <f t="shared" si="186"/>
        <v/>
      </c>
      <c r="HJ803" s="742" t="str">
        <f t="shared" si="187"/>
        <v/>
      </c>
      <c r="HK803" s="742" t="str">
        <f t="shared" si="188"/>
        <v/>
      </c>
      <c r="HL803" s="742" t="str">
        <f t="shared" si="189"/>
        <v/>
      </c>
      <c r="HM803" s="742" t="str">
        <f t="shared" si="190"/>
        <v/>
      </c>
      <c r="HN803" s="742" t="str">
        <f t="shared" si="191"/>
        <v/>
      </c>
      <c r="HO803" s="742" t="str">
        <f t="shared" si="192"/>
        <v/>
      </c>
      <c r="HP803" s="742" t="str">
        <f t="shared" si="193"/>
        <v/>
      </c>
      <c r="HQ803" s="742" t="str">
        <f t="shared" si="194"/>
        <v/>
      </c>
      <c r="HR803" s="742" t="str">
        <f t="shared" si="195"/>
        <v/>
      </c>
      <c r="HS803" s="742" t="str">
        <f t="shared" si="196"/>
        <v/>
      </c>
      <c r="HT803" s="742" t="str">
        <f t="shared" si="197"/>
        <v/>
      </c>
      <c r="HU803" s="742" t="str">
        <f t="shared" si="198"/>
        <v/>
      </c>
      <c r="HV803" s="742" t="str">
        <f t="shared" si="199"/>
        <v/>
      </c>
      <c r="HW803" s="742" t="str">
        <f t="shared" si="200"/>
        <v/>
      </c>
      <c r="HX803" s="742" t="str">
        <f t="shared" si="201"/>
        <v/>
      </c>
      <c r="HY803" s="1638" t="str">
        <f t="shared" si="202"/>
        <v/>
      </c>
      <c r="HZ803" s="1638" t="str">
        <f t="shared" si="203"/>
        <v/>
      </c>
      <c r="IA803" s="1638" t="str">
        <f t="shared" si="204"/>
        <v/>
      </c>
      <c r="IB803" s="1638" t="str">
        <f t="shared" si="205"/>
        <v/>
      </c>
      <c r="IC803" s="1638" t="str">
        <f t="shared" si="206"/>
        <v/>
      </c>
      <c r="ID803" s="1638" t="str">
        <f t="shared" si="207"/>
        <v/>
      </c>
      <c r="IE803" s="1638" t="str">
        <f t="shared" si="208"/>
        <v/>
      </c>
      <c r="IF803" s="1638" t="str">
        <f t="shared" si="209"/>
        <v/>
      </c>
      <c r="IG803" s="1638" t="str">
        <f t="shared" si="210"/>
        <v/>
      </c>
      <c r="IH803" s="1638" t="str">
        <f t="shared" si="211"/>
        <v/>
      </c>
      <c r="II803" s="1638" t="str">
        <f t="shared" si="212"/>
        <v/>
      </c>
      <c r="IJ803" s="1638" t="str">
        <f t="shared" si="213"/>
        <v/>
      </c>
      <c r="IK803" s="1638" t="str">
        <f t="shared" si="214"/>
        <v/>
      </c>
      <c r="IL803" s="1638" t="str">
        <f t="shared" si="215"/>
        <v/>
      </c>
      <c r="IM803" s="1638" t="str">
        <f t="shared" si="216"/>
        <v/>
      </c>
      <c r="IN803" s="1638" t="str">
        <f t="shared" si="217"/>
        <v/>
      </c>
      <c r="IO803" s="1638" t="str">
        <f t="shared" si="218"/>
        <v/>
      </c>
      <c r="IP803" s="1638" t="str">
        <f t="shared" si="219"/>
        <v/>
      </c>
      <c r="IQ803" s="1638" t="str">
        <f t="shared" si="220"/>
        <v/>
      </c>
      <c r="IR803" s="1638" t="str">
        <f t="shared" si="221"/>
        <v/>
      </c>
      <c r="IS803" s="1638" t="str">
        <f t="shared" si="222"/>
        <v/>
      </c>
      <c r="IT803" s="1638" t="str">
        <f t="shared" si="223"/>
        <v/>
      </c>
      <c r="IU803" s="1638" t="str">
        <f t="shared" si="224"/>
        <v/>
      </c>
      <c r="IV803" s="1638" t="str">
        <f t="shared" si="225"/>
        <v/>
      </c>
      <c r="IW803" s="1638" t="str">
        <f t="shared" si="226"/>
        <v/>
      </c>
      <c r="IX803" s="1638" t="str">
        <f t="shared" si="227"/>
        <v/>
      </c>
      <c r="IY803" s="1638" t="str">
        <f t="shared" si="228"/>
        <v/>
      </c>
      <c r="IZ803" s="1638" t="str">
        <f t="shared" si="229"/>
        <v/>
      </c>
      <c r="JA803" s="1638" t="str">
        <f t="shared" si="230"/>
        <v/>
      </c>
      <c r="JB803" s="1638" t="str">
        <f t="shared" si="231"/>
        <v/>
      </c>
      <c r="JC803" s="1638" t="str">
        <f t="shared" si="232"/>
        <v/>
      </c>
      <c r="JD803" s="1638" t="str">
        <f t="shared" si="233"/>
        <v/>
      </c>
      <c r="JE803" s="1638" t="str">
        <f t="shared" si="234"/>
        <v/>
      </c>
      <c r="JF803" s="1638" t="str">
        <f t="shared" si="235"/>
        <v/>
      </c>
      <c r="JG803" s="1638" t="str">
        <f t="shared" si="236"/>
        <v/>
      </c>
      <c r="JH803" s="1638" t="str">
        <f t="shared" si="237"/>
        <v/>
      </c>
      <c r="JI803" s="1638" t="str">
        <f t="shared" si="238"/>
        <v/>
      </c>
      <c r="JJ803" s="1638" t="str">
        <f t="shared" si="239"/>
        <v/>
      </c>
      <c r="JK803" s="1638" t="str">
        <f t="shared" si="240"/>
        <v/>
      </c>
      <c r="JL803" s="1638" t="str">
        <f t="shared" si="241"/>
        <v/>
      </c>
      <c r="JM803" s="1638" t="str">
        <f t="shared" si="242"/>
        <v/>
      </c>
      <c r="JN803" s="1638" t="str">
        <f t="shared" si="243"/>
        <v/>
      </c>
      <c r="JO803" s="1638" t="str">
        <f t="shared" si="244"/>
        <v/>
      </c>
      <c r="JP803" s="1638" t="str">
        <f t="shared" si="245"/>
        <v/>
      </c>
      <c r="JQ803" s="1638" t="str">
        <f t="shared" si="246"/>
        <v/>
      </c>
      <c r="JR803" s="1638" t="str">
        <f t="shared" si="247"/>
        <v/>
      </c>
      <c r="JS803" s="1638" t="str">
        <f t="shared" si="248"/>
        <v/>
      </c>
      <c r="JT803" s="1638" t="str">
        <f t="shared" si="249"/>
        <v/>
      </c>
      <c r="JU803" s="1638" t="str">
        <f t="shared" si="250"/>
        <v/>
      </c>
      <c r="JV803" s="1638" t="str">
        <f t="shared" si="251"/>
        <v/>
      </c>
      <c r="JW803" s="1638" t="str">
        <f t="shared" si="252"/>
        <v/>
      </c>
      <c r="JX803" s="1638" t="str">
        <f t="shared" si="253"/>
        <v/>
      </c>
      <c r="JY803" s="1638" t="str">
        <f t="shared" si="254"/>
        <v/>
      </c>
      <c r="JZ803" s="1638" t="str">
        <f t="shared" si="255"/>
        <v/>
      </c>
      <c r="KA803" s="1638" t="str">
        <f t="shared" si="256"/>
        <v/>
      </c>
      <c r="KB803" s="1638" t="str">
        <f t="shared" si="257"/>
        <v/>
      </c>
      <c r="KC803" s="1638" t="str">
        <f t="shared" si="258"/>
        <v/>
      </c>
      <c r="KD803" s="1638" t="str">
        <f t="shared" si="259"/>
        <v/>
      </c>
      <c r="KE803" s="1638" t="str">
        <f t="shared" si="260"/>
        <v/>
      </c>
      <c r="KF803" s="1638" t="str">
        <f t="shared" si="261"/>
        <v/>
      </c>
      <c r="KG803" s="1638" t="str">
        <f t="shared" si="262"/>
        <v/>
      </c>
      <c r="KH803" s="1638" t="str">
        <f t="shared" si="263"/>
        <v/>
      </c>
      <c r="KI803" s="1638" t="str">
        <f t="shared" si="264"/>
        <v/>
      </c>
      <c r="KJ803" s="1638" t="str">
        <f t="shared" si="265"/>
        <v/>
      </c>
      <c r="KK803" s="1638" t="str">
        <f t="shared" si="266"/>
        <v/>
      </c>
      <c r="KL803" s="1638" t="str">
        <f t="shared" si="267"/>
        <v/>
      </c>
      <c r="KM803" s="1638" t="str">
        <f t="shared" si="268"/>
        <v/>
      </c>
      <c r="KN803" s="1638" t="str">
        <f t="shared" si="269"/>
        <v/>
      </c>
      <c r="KO803" s="1638" t="str">
        <f t="shared" si="270"/>
        <v/>
      </c>
      <c r="KP803" s="1638" t="str">
        <f t="shared" si="271"/>
        <v/>
      </c>
      <c r="KQ803" s="1638" t="str">
        <f t="shared" si="272"/>
        <v/>
      </c>
      <c r="KR803" s="1638" t="str">
        <f t="shared" si="273"/>
        <v/>
      </c>
      <c r="KS803" s="1638" t="str">
        <f t="shared" si="274"/>
        <v/>
      </c>
      <c r="KT803" s="1638" t="str">
        <f t="shared" si="275"/>
        <v/>
      </c>
      <c r="KU803" s="1638" t="str">
        <f t="shared" si="276"/>
        <v/>
      </c>
      <c r="KV803" s="1638" t="str">
        <f t="shared" si="277"/>
        <v/>
      </c>
      <c r="KW803" s="1638" t="str">
        <f t="shared" si="278"/>
        <v/>
      </c>
      <c r="KX803" s="1638" t="str">
        <f t="shared" si="279"/>
        <v/>
      </c>
      <c r="KY803" s="1638" t="str">
        <f t="shared" si="280"/>
        <v/>
      </c>
      <c r="KZ803" s="1638" t="str">
        <f t="shared" si="281"/>
        <v/>
      </c>
      <c r="LA803" s="1638" t="str">
        <f t="shared" si="282"/>
        <v/>
      </c>
      <c r="LB803" s="1638" t="str">
        <f t="shared" si="283"/>
        <v/>
      </c>
      <c r="LC803" s="1638" t="str">
        <f t="shared" si="284"/>
        <v/>
      </c>
      <c r="LD803" s="1638" t="str">
        <f t="shared" si="285"/>
        <v/>
      </c>
      <c r="LE803" s="1638" t="str">
        <f t="shared" si="286"/>
        <v/>
      </c>
      <c r="LF803" s="1637" t="str">
        <f t="shared" si="287"/>
        <v/>
      </c>
      <c r="LG803" s="1637" t="str">
        <f t="shared" si="288"/>
        <v/>
      </c>
      <c r="LH803" s="1637" t="str">
        <f t="shared" si="289"/>
        <v/>
      </c>
      <c r="LI803" s="1637" t="str">
        <f t="shared" si="290"/>
        <v/>
      </c>
      <c r="LJ803" s="1637" t="str">
        <f t="shared" si="291"/>
        <v/>
      </c>
      <c r="LK803" s="742" t="str">
        <f t="shared" si="292"/>
        <v/>
      </c>
      <c r="LL803" s="742" t="str">
        <f t="shared" si="293"/>
        <v/>
      </c>
      <c r="LM803" s="742" t="str">
        <f t="shared" si="294"/>
        <v/>
      </c>
      <c r="LN803" s="742" t="str">
        <f t="shared" si="295"/>
        <v/>
      </c>
      <c r="LO803" s="742" t="str">
        <f t="shared" si="296"/>
        <v/>
      </c>
      <c r="LP803" s="742" t="str">
        <f t="shared" si="297"/>
        <v/>
      </c>
      <c r="LQ803" s="742" t="str">
        <f t="shared" si="298"/>
        <v/>
      </c>
      <c r="LR803" s="742" t="str">
        <f t="shared" si="299"/>
        <v/>
      </c>
      <c r="LS803" s="742" t="str">
        <f t="shared" si="300"/>
        <v/>
      </c>
      <c r="LT803" s="742" t="str">
        <f t="shared" si="301"/>
        <v/>
      </c>
      <c r="LU803" s="742" t="str">
        <f t="shared" si="302"/>
        <v/>
      </c>
      <c r="LV803" s="742" t="str">
        <f t="shared" si="303"/>
        <v/>
      </c>
      <c r="LW803" s="742" t="str">
        <f t="shared" si="304"/>
        <v/>
      </c>
      <c r="LX803" s="742" t="str">
        <f t="shared" si="305"/>
        <v/>
      </c>
      <c r="LY803" s="742" t="str">
        <f t="shared" si="306"/>
        <v/>
      </c>
      <c r="LZ803" s="742" t="str">
        <f t="shared" si="307"/>
        <v/>
      </c>
      <c r="MA803" s="742" t="str">
        <f t="shared" si="308"/>
        <v/>
      </c>
      <c r="MB803" s="742" t="str">
        <f t="shared" si="309"/>
        <v/>
      </c>
      <c r="MC803" s="742" t="str">
        <f t="shared" si="310"/>
        <v/>
      </c>
      <c r="MD803" s="742" t="str">
        <f t="shared" si="311"/>
        <v/>
      </c>
      <c r="ME803" s="1637">
        <f t="shared" si="323"/>
        <v>0</v>
      </c>
      <c r="MF803" s="1637">
        <f t="shared" si="324"/>
        <v>0</v>
      </c>
      <c r="MG803" s="1637">
        <f t="shared" si="325"/>
        <v>0</v>
      </c>
      <c r="MH803" s="1637">
        <f t="shared" si="326"/>
        <v>0</v>
      </c>
      <c r="MI803" s="1637">
        <f t="shared" si="327"/>
        <v>0</v>
      </c>
      <c r="MJ803" s="1637">
        <f t="shared" si="328"/>
        <v>0</v>
      </c>
      <c r="MK803" s="1637">
        <f t="shared" si="329"/>
        <v>0</v>
      </c>
      <c r="ML803" s="1637">
        <f t="shared" si="330"/>
        <v>0</v>
      </c>
      <c r="MM803" s="1637">
        <f t="shared" si="331"/>
        <v>0</v>
      </c>
      <c r="MN803" s="1637">
        <f t="shared" si="332"/>
        <v>0</v>
      </c>
      <c r="MO803" s="1637">
        <f t="shared" si="333"/>
        <v>0</v>
      </c>
      <c r="MP803" s="1637">
        <f t="shared" si="334"/>
        <v>0</v>
      </c>
      <c r="MQ803" s="1637">
        <f t="shared" si="335"/>
        <v>0</v>
      </c>
      <c r="MR803" s="1637">
        <f t="shared" si="336"/>
        <v>0</v>
      </c>
      <c r="MS803" s="1637">
        <f t="shared" si="337"/>
        <v>0</v>
      </c>
    </row>
    <row r="804" spans="1:357" ht="13.5">
      <c r="A804" s="1630" t="str">
        <f t="shared" si="0"/>
        <v/>
      </c>
      <c r="B804" s="2757">
        <f>'Part VI-Revenues &amp; Expenses'!B42</f>
        <v>0</v>
      </c>
      <c r="C804" s="2146">
        <f>'Part VI-Revenues &amp; Expenses'!C42</f>
        <v>0</v>
      </c>
      <c r="D804" s="2147">
        <f>'Part VI-Revenues &amp; Expenses'!D42</f>
        <v>0</v>
      </c>
      <c r="E804" s="2148">
        <f>'Part VI-Revenues &amp; Expenses'!E42</f>
        <v>0</v>
      </c>
      <c r="F804" s="2148">
        <f>'Part VI-Revenues &amp; Expenses'!F42</f>
        <v>0</v>
      </c>
      <c r="G804" s="2148">
        <f>'Part VI-Revenues &amp; Expenses'!G42</f>
        <v>0</v>
      </c>
      <c r="H804" s="2148">
        <f>'Part VI-Revenues &amp; Expenses'!H42</f>
        <v>0</v>
      </c>
      <c r="I804" s="2148">
        <f>'Part VI-Revenues &amp; Expenses'!I42</f>
        <v>0</v>
      </c>
      <c r="J804" s="2149">
        <f>'Part VI-Revenues &amp; Expenses'!J42</f>
        <v>0</v>
      </c>
      <c r="K804" s="1822">
        <f t="shared" si="1"/>
        <v>0</v>
      </c>
      <c r="L804" s="1822">
        <f t="shared" si="2"/>
        <v>0</v>
      </c>
      <c r="M804" s="2133">
        <f>'Part VI-Revenues &amp; Expenses'!M42</f>
        <v>0</v>
      </c>
      <c r="N804" s="2133">
        <f>'Part VI-Revenues &amp; Expenses'!N42</f>
        <v>0</v>
      </c>
      <c r="O804" s="2133">
        <f>'Part VI-Revenues &amp; Expenses'!O42</f>
        <v>0</v>
      </c>
      <c r="P804" s="1633">
        <f>'Part VI-Revenues &amp; Expenses'!P42</f>
        <v>0</v>
      </c>
      <c r="Q804" s="1823" t="str">
        <f>'Part VI-Revenues &amp; Expenses'!Q42</f>
        <v/>
      </c>
      <c r="R804" s="1824" t="str">
        <f>'Part VI-Revenues &amp; Expenses'!R42</f>
        <v/>
      </c>
      <c r="S804" s="1823">
        <f>'Part VI-Revenues &amp; Expenses'!S42</f>
        <v>0</v>
      </c>
      <c r="T804" s="1824">
        <f>'Part VI-Revenues &amp; Expenses'!T42</f>
        <v>0</v>
      </c>
      <c r="U804" s="1838">
        <f>'Part VI-Revenues &amp; Expenses'!U42:V42</f>
        <v>0</v>
      </c>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312"/>
        <v/>
      </c>
      <c r="EH804" s="742" t="str">
        <f t="shared" si="117"/>
        <v/>
      </c>
      <c r="EI804" s="742" t="str">
        <f t="shared" si="118"/>
        <v/>
      </c>
      <c r="EJ804" s="742" t="str">
        <f t="shared" si="119"/>
        <v/>
      </c>
      <c r="EK804" s="742" t="str">
        <f t="shared" si="120"/>
        <v/>
      </c>
      <c r="EL804" s="742" t="str">
        <f t="shared" si="121"/>
        <v/>
      </c>
      <c r="EM804" s="742" t="str">
        <f t="shared" si="122"/>
        <v/>
      </c>
      <c r="EN804" s="742" t="str">
        <f t="shared" si="123"/>
        <v/>
      </c>
      <c r="EO804" s="742" t="str">
        <f t="shared" si="124"/>
        <v/>
      </c>
      <c r="EP804" s="742" t="str">
        <f t="shared" si="125"/>
        <v/>
      </c>
      <c r="EQ804" s="742" t="str">
        <f t="shared" si="126"/>
        <v/>
      </c>
      <c r="ER804" s="742" t="str">
        <f t="shared" si="127"/>
        <v/>
      </c>
      <c r="ES804" s="742" t="str">
        <f t="shared" si="128"/>
        <v/>
      </c>
      <c r="ET804" s="742" t="str">
        <f t="shared" si="129"/>
        <v/>
      </c>
      <c r="EU804" s="742" t="str">
        <f t="shared" si="130"/>
        <v/>
      </c>
      <c r="EV804" s="742" t="str">
        <f t="shared" si="131"/>
        <v/>
      </c>
      <c r="EW804" s="742" t="str">
        <f t="shared" si="313"/>
        <v/>
      </c>
      <c r="EX804" s="742" t="str">
        <f t="shared" si="314"/>
        <v/>
      </c>
      <c r="EY804" s="742" t="str">
        <f t="shared" si="315"/>
        <v/>
      </c>
      <c r="EZ804" s="742" t="str">
        <f t="shared" si="316"/>
        <v/>
      </c>
      <c r="FA804" s="742" t="str">
        <f t="shared" si="317"/>
        <v/>
      </c>
      <c r="FB804" s="742" t="str">
        <f t="shared" si="132"/>
        <v/>
      </c>
      <c r="FC804" s="742" t="str">
        <f t="shared" si="133"/>
        <v/>
      </c>
      <c r="FD804" s="742" t="str">
        <f t="shared" si="134"/>
        <v/>
      </c>
      <c r="FE804" s="742" t="str">
        <f t="shared" si="135"/>
        <v/>
      </c>
      <c r="FF804" s="742" t="str">
        <f t="shared" si="136"/>
        <v/>
      </c>
      <c r="FG804" s="742" t="str">
        <f t="shared" si="318"/>
        <v/>
      </c>
      <c r="FH804" s="742" t="str">
        <f t="shared" si="319"/>
        <v/>
      </c>
      <c r="FI804" s="742" t="str">
        <f t="shared" si="320"/>
        <v/>
      </c>
      <c r="FJ804" s="742" t="str">
        <f t="shared" si="321"/>
        <v/>
      </c>
      <c r="FK804" s="742" t="str">
        <f t="shared" si="322"/>
        <v/>
      </c>
      <c r="FL804" s="742" t="str">
        <f t="shared" si="137"/>
        <v/>
      </c>
      <c r="FM804" s="742" t="str">
        <f t="shared" si="138"/>
        <v/>
      </c>
      <c r="FN804" s="742" t="str">
        <f t="shared" si="139"/>
        <v/>
      </c>
      <c r="FO804" s="742" t="str">
        <f t="shared" si="140"/>
        <v/>
      </c>
      <c r="FP804" s="742" t="str">
        <f t="shared" si="141"/>
        <v/>
      </c>
      <c r="FQ804" s="742" t="str">
        <f t="shared" si="142"/>
        <v/>
      </c>
      <c r="FR804" s="742" t="str">
        <f t="shared" si="143"/>
        <v/>
      </c>
      <c r="FS804" s="742" t="str">
        <f t="shared" si="144"/>
        <v/>
      </c>
      <c r="FT804" s="742" t="str">
        <f t="shared" si="145"/>
        <v/>
      </c>
      <c r="FU804" s="742" t="str">
        <f t="shared" si="146"/>
        <v/>
      </c>
      <c r="FV804" s="742" t="str">
        <f t="shared" si="147"/>
        <v/>
      </c>
      <c r="FW804" s="742" t="str">
        <f t="shared" si="148"/>
        <v/>
      </c>
      <c r="FX804" s="742" t="str">
        <f t="shared" si="149"/>
        <v/>
      </c>
      <c r="FY804" s="742" t="str">
        <f t="shared" si="150"/>
        <v/>
      </c>
      <c r="FZ804" s="742" t="str">
        <f t="shared" si="151"/>
        <v/>
      </c>
      <c r="GA804" s="742" t="str">
        <f t="shared" si="152"/>
        <v/>
      </c>
      <c r="GB804" s="742" t="str">
        <f t="shared" si="153"/>
        <v/>
      </c>
      <c r="GC804" s="742" t="str">
        <f t="shared" si="154"/>
        <v/>
      </c>
      <c r="GD804" s="742" t="str">
        <f t="shared" si="155"/>
        <v/>
      </c>
      <c r="GE804" s="742" t="str">
        <f t="shared" si="156"/>
        <v/>
      </c>
      <c r="GF804" s="742" t="str">
        <f t="shared" si="157"/>
        <v/>
      </c>
      <c r="GG804" s="742" t="str">
        <f t="shared" si="158"/>
        <v/>
      </c>
      <c r="GH804" s="742" t="str">
        <f t="shared" si="159"/>
        <v/>
      </c>
      <c r="GI804" s="742" t="str">
        <f t="shared" si="160"/>
        <v/>
      </c>
      <c r="GJ804" s="742" t="str">
        <f t="shared" si="161"/>
        <v/>
      </c>
      <c r="GK804" s="742" t="str">
        <f t="shared" si="162"/>
        <v/>
      </c>
      <c r="GL804" s="742" t="str">
        <f t="shared" si="163"/>
        <v/>
      </c>
      <c r="GM804" s="742" t="str">
        <f t="shared" si="164"/>
        <v/>
      </c>
      <c r="GN804" s="742" t="str">
        <f t="shared" si="165"/>
        <v/>
      </c>
      <c r="GO804" s="742" t="str">
        <f t="shared" si="166"/>
        <v/>
      </c>
      <c r="GP804" s="742" t="str">
        <f t="shared" si="167"/>
        <v/>
      </c>
      <c r="GQ804" s="742" t="str">
        <f t="shared" si="168"/>
        <v/>
      </c>
      <c r="GR804" s="742" t="str">
        <f t="shared" si="169"/>
        <v/>
      </c>
      <c r="GS804" s="742" t="str">
        <f t="shared" si="170"/>
        <v/>
      </c>
      <c r="GT804" s="742" t="str">
        <f t="shared" si="171"/>
        <v/>
      </c>
      <c r="GU804" s="742" t="str">
        <f t="shared" si="172"/>
        <v/>
      </c>
      <c r="GV804" s="742" t="str">
        <f t="shared" si="173"/>
        <v/>
      </c>
      <c r="GW804" s="742" t="str">
        <f t="shared" si="174"/>
        <v/>
      </c>
      <c r="GX804" s="742" t="str">
        <f t="shared" si="175"/>
        <v/>
      </c>
      <c r="GY804" s="742" t="str">
        <f t="shared" si="176"/>
        <v/>
      </c>
      <c r="GZ804" s="742" t="str">
        <f t="shared" si="177"/>
        <v/>
      </c>
      <c r="HA804" s="742" t="str">
        <f t="shared" si="178"/>
        <v/>
      </c>
      <c r="HB804" s="742" t="str">
        <f t="shared" si="179"/>
        <v/>
      </c>
      <c r="HC804" s="742" t="str">
        <f t="shared" si="180"/>
        <v/>
      </c>
      <c r="HD804" s="742" t="str">
        <f t="shared" si="181"/>
        <v/>
      </c>
      <c r="HE804" s="742" t="str">
        <f t="shared" si="182"/>
        <v/>
      </c>
      <c r="HF804" s="742" t="str">
        <f t="shared" si="183"/>
        <v/>
      </c>
      <c r="HG804" s="742" t="str">
        <f t="shared" si="184"/>
        <v/>
      </c>
      <c r="HH804" s="742" t="str">
        <f t="shared" si="185"/>
        <v/>
      </c>
      <c r="HI804" s="742" t="str">
        <f t="shared" si="186"/>
        <v/>
      </c>
      <c r="HJ804" s="742" t="str">
        <f t="shared" si="187"/>
        <v/>
      </c>
      <c r="HK804" s="742" t="str">
        <f t="shared" si="188"/>
        <v/>
      </c>
      <c r="HL804" s="742" t="str">
        <f t="shared" si="189"/>
        <v/>
      </c>
      <c r="HM804" s="742" t="str">
        <f t="shared" si="190"/>
        <v/>
      </c>
      <c r="HN804" s="742" t="str">
        <f t="shared" si="191"/>
        <v/>
      </c>
      <c r="HO804" s="742" t="str">
        <f t="shared" si="192"/>
        <v/>
      </c>
      <c r="HP804" s="742" t="str">
        <f t="shared" si="193"/>
        <v/>
      </c>
      <c r="HQ804" s="742" t="str">
        <f t="shared" si="194"/>
        <v/>
      </c>
      <c r="HR804" s="742" t="str">
        <f t="shared" si="195"/>
        <v/>
      </c>
      <c r="HS804" s="742" t="str">
        <f t="shared" si="196"/>
        <v/>
      </c>
      <c r="HT804" s="742" t="str">
        <f t="shared" si="197"/>
        <v/>
      </c>
      <c r="HU804" s="742" t="str">
        <f t="shared" si="198"/>
        <v/>
      </c>
      <c r="HV804" s="742" t="str">
        <f t="shared" si="199"/>
        <v/>
      </c>
      <c r="HW804" s="742" t="str">
        <f t="shared" si="200"/>
        <v/>
      </c>
      <c r="HX804" s="742" t="str">
        <f t="shared" si="201"/>
        <v/>
      </c>
      <c r="HY804" s="1638" t="str">
        <f t="shared" si="202"/>
        <v/>
      </c>
      <c r="HZ804" s="1638" t="str">
        <f t="shared" si="203"/>
        <v/>
      </c>
      <c r="IA804" s="1638" t="str">
        <f t="shared" si="204"/>
        <v/>
      </c>
      <c r="IB804" s="1638" t="str">
        <f t="shared" si="205"/>
        <v/>
      </c>
      <c r="IC804" s="1638" t="str">
        <f t="shared" si="206"/>
        <v/>
      </c>
      <c r="ID804" s="1638" t="str">
        <f t="shared" si="207"/>
        <v/>
      </c>
      <c r="IE804" s="1638" t="str">
        <f t="shared" si="208"/>
        <v/>
      </c>
      <c r="IF804" s="1638" t="str">
        <f t="shared" si="209"/>
        <v/>
      </c>
      <c r="IG804" s="1638" t="str">
        <f t="shared" si="210"/>
        <v/>
      </c>
      <c r="IH804" s="1638" t="str">
        <f t="shared" si="211"/>
        <v/>
      </c>
      <c r="II804" s="1638" t="str">
        <f t="shared" si="212"/>
        <v/>
      </c>
      <c r="IJ804" s="1638" t="str">
        <f t="shared" si="213"/>
        <v/>
      </c>
      <c r="IK804" s="1638" t="str">
        <f t="shared" si="214"/>
        <v/>
      </c>
      <c r="IL804" s="1638" t="str">
        <f t="shared" si="215"/>
        <v/>
      </c>
      <c r="IM804" s="1638" t="str">
        <f t="shared" si="216"/>
        <v/>
      </c>
      <c r="IN804" s="1638" t="str">
        <f t="shared" si="217"/>
        <v/>
      </c>
      <c r="IO804" s="1638" t="str">
        <f t="shared" si="218"/>
        <v/>
      </c>
      <c r="IP804" s="1638" t="str">
        <f t="shared" si="219"/>
        <v/>
      </c>
      <c r="IQ804" s="1638" t="str">
        <f t="shared" si="220"/>
        <v/>
      </c>
      <c r="IR804" s="1638" t="str">
        <f t="shared" si="221"/>
        <v/>
      </c>
      <c r="IS804" s="1638" t="str">
        <f t="shared" si="222"/>
        <v/>
      </c>
      <c r="IT804" s="1638" t="str">
        <f t="shared" si="223"/>
        <v/>
      </c>
      <c r="IU804" s="1638" t="str">
        <f t="shared" si="224"/>
        <v/>
      </c>
      <c r="IV804" s="1638" t="str">
        <f t="shared" si="225"/>
        <v/>
      </c>
      <c r="IW804" s="1638" t="str">
        <f t="shared" si="226"/>
        <v/>
      </c>
      <c r="IX804" s="1638" t="str">
        <f t="shared" si="227"/>
        <v/>
      </c>
      <c r="IY804" s="1638" t="str">
        <f t="shared" si="228"/>
        <v/>
      </c>
      <c r="IZ804" s="1638" t="str">
        <f t="shared" si="229"/>
        <v/>
      </c>
      <c r="JA804" s="1638" t="str">
        <f t="shared" si="230"/>
        <v/>
      </c>
      <c r="JB804" s="1638" t="str">
        <f t="shared" si="231"/>
        <v/>
      </c>
      <c r="JC804" s="1638" t="str">
        <f t="shared" si="232"/>
        <v/>
      </c>
      <c r="JD804" s="1638" t="str">
        <f t="shared" si="233"/>
        <v/>
      </c>
      <c r="JE804" s="1638" t="str">
        <f t="shared" si="234"/>
        <v/>
      </c>
      <c r="JF804" s="1638" t="str">
        <f t="shared" si="235"/>
        <v/>
      </c>
      <c r="JG804" s="1638" t="str">
        <f t="shared" si="236"/>
        <v/>
      </c>
      <c r="JH804" s="1638" t="str">
        <f t="shared" si="237"/>
        <v/>
      </c>
      <c r="JI804" s="1638" t="str">
        <f t="shared" si="238"/>
        <v/>
      </c>
      <c r="JJ804" s="1638" t="str">
        <f t="shared" si="239"/>
        <v/>
      </c>
      <c r="JK804" s="1638" t="str">
        <f t="shared" si="240"/>
        <v/>
      </c>
      <c r="JL804" s="1638" t="str">
        <f t="shared" si="241"/>
        <v/>
      </c>
      <c r="JM804" s="1638" t="str">
        <f t="shared" si="242"/>
        <v/>
      </c>
      <c r="JN804" s="1638" t="str">
        <f t="shared" si="243"/>
        <v/>
      </c>
      <c r="JO804" s="1638" t="str">
        <f t="shared" si="244"/>
        <v/>
      </c>
      <c r="JP804" s="1638" t="str">
        <f t="shared" si="245"/>
        <v/>
      </c>
      <c r="JQ804" s="1638" t="str">
        <f t="shared" si="246"/>
        <v/>
      </c>
      <c r="JR804" s="1638" t="str">
        <f t="shared" si="247"/>
        <v/>
      </c>
      <c r="JS804" s="1638" t="str">
        <f t="shared" si="248"/>
        <v/>
      </c>
      <c r="JT804" s="1638" t="str">
        <f t="shared" si="249"/>
        <v/>
      </c>
      <c r="JU804" s="1638" t="str">
        <f t="shared" si="250"/>
        <v/>
      </c>
      <c r="JV804" s="1638" t="str">
        <f t="shared" si="251"/>
        <v/>
      </c>
      <c r="JW804" s="1638" t="str">
        <f t="shared" si="252"/>
        <v/>
      </c>
      <c r="JX804" s="1638" t="str">
        <f t="shared" si="253"/>
        <v/>
      </c>
      <c r="JY804" s="1638" t="str">
        <f t="shared" si="254"/>
        <v/>
      </c>
      <c r="JZ804" s="1638" t="str">
        <f t="shared" si="255"/>
        <v/>
      </c>
      <c r="KA804" s="1638" t="str">
        <f t="shared" si="256"/>
        <v/>
      </c>
      <c r="KB804" s="1638" t="str">
        <f t="shared" si="257"/>
        <v/>
      </c>
      <c r="KC804" s="1638" t="str">
        <f t="shared" si="258"/>
        <v/>
      </c>
      <c r="KD804" s="1638" t="str">
        <f t="shared" si="259"/>
        <v/>
      </c>
      <c r="KE804" s="1638" t="str">
        <f t="shared" si="260"/>
        <v/>
      </c>
      <c r="KF804" s="1638" t="str">
        <f t="shared" si="261"/>
        <v/>
      </c>
      <c r="KG804" s="1638" t="str">
        <f t="shared" si="262"/>
        <v/>
      </c>
      <c r="KH804" s="1638" t="str">
        <f t="shared" si="263"/>
        <v/>
      </c>
      <c r="KI804" s="1638" t="str">
        <f t="shared" si="264"/>
        <v/>
      </c>
      <c r="KJ804" s="1638" t="str">
        <f t="shared" si="265"/>
        <v/>
      </c>
      <c r="KK804" s="1638" t="str">
        <f t="shared" si="266"/>
        <v/>
      </c>
      <c r="KL804" s="1638" t="str">
        <f t="shared" si="267"/>
        <v/>
      </c>
      <c r="KM804" s="1638" t="str">
        <f t="shared" si="268"/>
        <v/>
      </c>
      <c r="KN804" s="1638" t="str">
        <f t="shared" si="269"/>
        <v/>
      </c>
      <c r="KO804" s="1638" t="str">
        <f t="shared" si="270"/>
        <v/>
      </c>
      <c r="KP804" s="1638" t="str">
        <f t="shared" si="271"/>
        <v/>
      </c>
      <c r="KQ804" s="1638" t="str">
        <f t="shared" si="272"/>
        <v/>
      </c>
      <c r="KR804" s="1638" t="str">
        <f t="shared" si="273"/>
        <v/>
      </c>
      <c r="KS804" s="1638" t="str">
        <f t="shared" si="274"/>
        <v/>
      </c>
      <c r="KT804" s="1638" t="str">
        <f t="shared" si="275"/>
        <v/>
      </c>
      <c r="KU804" s="1638" t="str">
        <f t="shared" si="276"/>
        <v/>
      </c>
      <c r="KV804" s="1638" t="str">
        <f t="shared" si="277"/>
        <v/>
      </c>
      <c r="KW804" s="1638" t="str">
        <f t="shared" si="278"/>
        <v/>
      </c>
      <c r="KX804" s="1638" t="str">
        <f t="shared" si="279"/>
        <v/>
      </c>
      <c r="KY804" s="1638" t="str">
        <f t="shared" si="280"/>
        <v/>
      </c>
      <c r="KZ804" s="1638" t="str">
        <f t="shared" si="281"/>
        <v/>
      </c>
      <c r="LA804" s="1638" t="str">
        <f t="shared" si="282"/>
        <v/>
      </c>
      <c r="LB804" s="1638" t="str">
        <f t="shared" si="283"/>
        <v/>
      </c>
      <c r="LC804" s="1638" t="str">
        <f t="shared" si="284"/>
        <v/>
      </c>
      <c r="LD804" s="1638" t="str">
        <f t="shared" si="285"/>
        <v/>
      </c>
      <c r="LE804" s="1638" t="str">
        <f t="shared" si="286"/>
        <v/>
      </c>
      <c r="LF804" s="1637" t="str">
        <f t="shared" si="287"/>
        <v/>
      </c>
      <c r="LG804" s="1637" t="str">
        <f t="shared" si="288"/>
        <v/>
      </c>
      <c r="LH804" s="1637" t="str">
        <f t="shared" si="289"/>
        <v/>
      </c>
      <c r="LI804" s="1637" t="str">
        <f t="shared" si="290"/>
        <v/>
      </c>
      <c r="LJ804" s="1637" t="str">
        <f t="shared" si="291"/>
        <v/>
      </c>
      <c r="LK804" s="742" t="str">
        <f t="shared" si="292"/>
        <v/>
      </c>
      <c r="LL804" s="742" t="str">
        <f t="shared" si="293"/>
        <v/>
      </c>
      <c r="LM804" s="742" t="str">
        <f t="shared" si="294"/>
        <v/>
      </c>
      <c r="LN804" s="742" t="str">
        <f t="shared" si="295"/>
        <v/>
      </c>
      <c r="LO804" s="742" t="str">
        <f t="shared" si="296"/>
        <v/>
      </c>
      <c r="LP804" s="742" t="str">
        <f t="shared" si="297"/>
        <v/>
      </c>
      <c r="LQ804" s="742" t="str">
        <f t="shared" si="298"/>
        <v/>
      </c>
      <c r="LR804" s="742" t="str">
        <f t="shared" si="299"/>
        <v/>
      </c>
      <c r="LS804" s="742" t="str">
        <f t="shared" si="300"/>
        <v/>
      </c>
      <c r="LT804" s="742" t="str">
        <f t="shared" si="301"/>
        <v/>
      </c>
      <c r="LU804" s="742" t="str">
        <f t="shared" si="302"/>
        <v/>
      </c>
      <c r="LV804" s="742" t="str">
        <f t="shared" si="303"/>
        <v/>
      </c>
      <c r="LW804" s="742" t="str">
        <f t="shared" si="304"/>
        <v/>
      </c>
      <c r="LX804" s="742" t="str">
        <f t="shared" si="305"/>
        <v/>
      </c>
      <c r="LY804" s="742" t="str">
        <f t="shared" si="306"/>
        <v/>
      </c>
      <c r="LZ804" s="742" t="str">
        <f t="shared" si="307"/>
        <v/>
      </c>
      <c r="MA804" s="742" t="str">
        <f t="shared" si="308"/>
        <v/>
      </c>
      <c r="MB804" s="742" t="str">
        <f t="shared" si="309"/>
        <v/>
      </c>
      <c r="MC804" s="742" t="str">
        <f t="shared" si="310"/>
        <v/>
      </c>
      <c r="MD804" s="742" t="str">
        <f t="shared" si="311"/>
        <v/>
      </c>
      <c r="ME804" s="1637">
        <f t="shared" si="323"/>
        <v>0</v>
      </c>
      <c r="MF804" s="1637">
        <f t="shared" si="324"/>
        <v>0</v>
      </c>
      <c r="MG804" s="1637">
        <f t="shared" si="325"/>
        <v>0</v>
      </c>
      <c r="MH804" s="1637">
        <f t="shared" si="326"/>
        <v>0</v>
      </c>
      <c r="MI804" s="1637">
        <f t="shared" si="327"/>
        <v>0</v>
      </c>
      <c r="MJ804" s="1637">
        <f t="shared" si="328"/>
        <v>0</v>
      </c>
      <c r="MK804" s="1637">
        <f t="shared" si="329"/>
        <v>0</v>
      </c>
      <c r="ML804" s="1637">
        <f t="shared" si="330"/>
        <v>0</v>
      </c>
      <c r="MM804" s="1637">
        <f t="shared" si="331"/>
        <v>0</v>
      </c>
      <c r="MN804" s="1637">
        <f t="shared" si="332"/>
        <v>0</v>
      </c>
      <c r="MO804" s="1637">
        <f t="shared" si="333"/>
        <v>0</v>
      </c>
      <c r="MP804" s="1637">
        <f t="shared" si="334"/>
        <v>0</v>
      </c>
      <c r="MQ804" s="1637">
        <f t="shared" si="335"/>
        <v>0</v>
      </c>
      <c r="MR804" s="1637">
        <f t="shared" si="336"/>
        <v>0</v>
      </c>
      <c r="MS804" s="1637">
        <f t="shared" si="337"/>
        <v>0</v>
      </c>
    </row>
    <row r="805" spans="1:357" ht="13.5">
      <c r="A805" s="1630" t="str">
        <f t="shared" si="0"/>
        <v/>
      </c>
      <c r="B805" s="2757">
        <f>'Part VI-Revenues &amp; Expenses'!B43</f>
        <v>0</v>
      </c>
      <c r="C805" s="2146">
        <f>'Part VI-Revenues &amp; Expenses'!C43</f>
        <v>0</v>
      </c>
      <c r="D805" s="2147">
        <f>'Part VI-Revenues &amp; Expenses'!D43</f>
        <v>0</v>
      </c>
      <c r="E805" s="2148">
        <f>'Part VI-Revenues &amp; Expenses'!E43</f>
        <v>0</v>
      </c>
      <c r="F805" s="2148">
        <f>'Part VI-Revenues &amp; Expenses'!F43</f>
        <v>0</v>
      </c>
      <c r="G805" s="2148">
        <f>'Part VI-Revenues &amp; Expenses'!G43</f>
        <v>0</v>
      </c>
      <c r="H805" s="2148">
        <f>'Part VI-Revenues &amp; Expenses'!H43</f>
        <v>0</v>
      </c>
      <c r="I805" s="2148">
        <f>'Part VI-Revenues &amp; Expenses'!I43</f>
        <v>0</v>
      </c>
      <c r="J805" s="2149">
        <f>'Part VI-Revenues &amp; Expenses'!J43</f>
        <v>0</v>
      </c>
      <c r="K805" s="1822">
        <f t="shared" si="1"/>
        <v>0</v>
      </c>
      <c r="L805" s="1822">
        <f t="shared" si="2"/>
        <v>0</v>
      </c>
      <c r="M805" s="2133">
        <f>'Part VI-Revenues &amp; Expenses'!M43</f>
        <v>0</v>
      </c>
      <c r="N805" s="2133">
        <f>'Part VI-Revenues &amp; Expenses'!N43</f>
        <v>0</v>
      </c>
      <c r="O805" s="2133">
        <f>'Part VI-Revenues &amp; Expenses'!O43</f>
        <v>0</v>
      </c>
      <c r="P805" s="1633">
        <f>'Part VI-Revenues &amp; Expenses'!P43</f>
        <v>0</v>
      </c>
      <c r="Q805" s="1823" t="str">
        <f>'Part VI-Revenues &amp; Expenses'!Q43</f>
        <v/>
      </c>
      <c r="R805" s="1824" t="str">
        <f>'Part VI-Revenues &amp; Expenses'!R43</f>
        <v/>
      </c>
      <c r="S805" s="1823">
        <f>'Part VI-Revenues &amp; Expenses'!S43</f>
        <v>0</v>
      </c>
      <c r="T805" s="1824">
        <f>'Part VI-Revenues &amp; Expenses'!T43</f>
        <v>0</v>
      </c>
      <c r="U805" s="1838">
        <f>'Part VI-Revenues &amp; Expenses'!U43:V43</f>
        <v>0</v>
      </c>
      <c r="V805" s="1838"/>
      <c r="W805" s="742" t="str">
        <f t="shared" si="3"/>
        <v/>
      </c>
      <c r="X805" s="742" t="str">
        <f t="shared" si="4"/>
        <v/>
      </c>
      <c r="Y805" s="742" t="str">
        <f t="shared" si="5"/>
        <v/>
      </c>
      <c r="Z805" s="742" t="str">
        <f t="shared" si="6"/>
        <v/>
      </c>
      <c r="AA805" s="742" t="str">
        <f t="shared" si="7"/>
        <v/>
      </c>
      <c r="AB805" s="742" t="str">
        <f t="shared" si="8"/>
        <v/>
      </c>
      <c r="AC805" s="742" t="str">
        <f t="shared" si="9"/>
        <v/>
      </c>
      <c r="AD805" s="742" t="str">
        <f t="shared" si="10"/>
        <v/>
      </c>
      <c r="AE805" s="742" t="str">
        <f t="shared" si="11"/>
        <v/>
      </c>
      <c r="AF805" s="742" t="str">
        <f t="shared" si="12"/>
        <v/>
      </c>
      <c r="AG805" s="742" t="str">
        <f t="shared" si="13"/>
        <v/>
      </c>
      <c r="AH805" s="742" t="str">
        <f t="shared" si="14"/>
        <v/>
      </c>
      <c r="AI805" s="742" t="str">
        <f t="shared" si="15"/>
        <v/>
      </c>
      <c r="AJ805" s="742" t="str">
        <f t="shared" si="16"/>
        <v/>
      </c>
      <c r="AK805" s="742" t="str">
        <f t="shared" si="17"/>
        <v/>
      </c>
      <c r="AL805" s="742" t="str">
        <f t="shared" si="18"/>
        <v/>
      </c>
      <c r="AM805" s="742" t="str">
        <f t="shared" si="19"/>
        <v/>
      </c>
      <c r="AN805" s="742" t="str">
        <f t="shared" si="20"/>
        <v/>
      </c>
      <c r="AO805" s="742" t="str">
        <f t="shared" si="21"/>
        <v/>
      </c>
      <c r="AP805" s="742" t="str">
        <f t="shared" si="22"/>
        <v/>
      </c>
      <c r="AQ805" s="742" t="str">
        <f t="shared" si="23"/>
        <v/>
      </c>
      <c r="AR805" s="742" t="str">
        <f t="shared" si="24"/>
        <v/>
      </c>
      <c r="AS805" s="742" t="str">
        <f t="shared" si="25"/>
        <v/>
      </c>
      <c r="AT805" s="742" t="str">
        <f t="shared" si="26"/>
        <v/>
      </c>
      <c r="AU805" s="742" t="str">
        <f t="shared" si="27"/>
        <v/>
      </c>
      <c r="AV805" s="742" t="str">
        <f t="shared" si="28"/>
        <v/>
      </c>
      <c r="AW805" s="742" t="str">
        <f t="shared" si="29"/>
        <v/>
      </c>
      <c r="AX805" s="742" t="str">
        <f t="shared" si="30"/>
        <v/>
      </c>
      <c r="AY805" s="742" t="str">
        <f t="shared" si="31"/>
        <v/>
      </c>
      <c r="AZ805" s="742" t="str">
        <f t="shared" si="32"/>
        <v/>
      </c>
      <c r="BA805" s="742" t="str">
        <f t="shared" si="33"/>
        <v/>
      </c>
      <c r="BB805" s="742" t="str">
        <f t="shared" si="34"/>
        <v/>
      </c>
      <c r="BC805" s="742" t="str">
        <f t="shared" si="35"/>
        <v/>
      </c>
      <c r="BD805" s="742" t="str">
        <f t="shared" si="36"/>
        <v/>
      </c>
      <c r="BE805" s="742" t="str">
        <f t="shared" si="37"/>
        <v/>
      </c>
      <c r="BF805" s="742" t="str">
        <f t="shared" si="38"/>
        <v/>
      </c>
      <c r="BG805" s="742" t="str">
        <f t="shared" si="39"/>
        <v/>
      </c>
      <c r="BH805" s="742" t="str">
        <f t="shared" si="40"/>
        <v/>
      </c>
      <c r="BI805" s="742" t="str">
        <f t="shared" si="41"/>
        <v/>
      </c>
      <c r="BJ805" s="742" t="str">
        <f t="shared" si="42"/>
        <v/>
      </c>
      <c r="BK805" s="742" t="str">
        <f t="shared" si="43"/>
        <v/>
      </c>
      <c r="BL805" s="742" t="str">
        <f t="shared" si="44"/>
        <v/>
      </c>
      <c r="BM805" s="742" t="str">
        <f t="shared" si="45"/>
        <v/>
      </c>
      <c r="BN805" s="742" t="str">
        <f t="shared" si="46"/>
        <v/>
      </c>
      <c r="BO805" s="742" t="str">
        <f t="shared" si="47"/>
        <v/>
      </c>
      <c r="BP805" s="742" t="str">
        <f t="shared" si="48"/>
        <v/>
      </c>
      <c r="BQ805" s="742" t="str">
        <f t="shared" si="49"/>
        <v/>
      </c>
      <c r="BR805" s="742" t="str">
        <f t="shared" si="50"/>
        <v/>
      </c>
      <c r="BS805" s="742" t="str">
        <f t="shared" si="51"/>
        <v/>
      </c>
      <c r="BT805" s="742" t="str">
        <f t="shared" si="52"/>
        <v/>
      </c>
      <c r="BU805" s="742" t="str">
        <f t="shared" si="53"/>
        <v/>
      </c>
      <c r="BV805" s="742" t="str">
        <f t="shared" si="54"/>
        <v/>
      </c>
      <c r="BW805" s="742" t="str">
        <f t="shared" si="55"/>
        <v/>
      </c>
      <c r="BX805" s="742" t="str">
        <f t="shared" si="56"/>
        <v/>
      </c>
      <c r="BY805" s="742" t="str">
        <f t="shared" si="57"/>
        <v/>
      </c>
      <c r="BZ805" s="742" t="str">
        <f t="shared" si="58"/>
        <v/>
      </c>
      <c r="CA805" s="742" t="str">
        <f t="shared" si="59"/>
        <v/>
      </c>
      <c r="CB805" s="742" t="str">
        <f t="shared" si="60"/>
        <v/>
      </c>
      <c r="CC805" s="742" t="str">
        <f t="shared" si="61"/>
        <v/>
      </c>
      <c r="CD805" s="742" t="str">
        <f t="shared" si="62"/>
        <v/>
      </c>
      <c r="CE805" s="742" t="str">
        <f t="shared" si="63"/>
        <v/>
      </c>
      <c r="CF805" s="742" t="str">
        <f t="shared" si="64"/>
        <v/>
      </c>
      <c r="CG805" s="742" t="str">
        <f t="shared" si="65"/>
        <v/>
      </c>
      <c r="CH805" s="742" t="str">
        <f t="shared" si="66"/>
        <v/>
      </c>
      <c r="CI805" s="742" t="str">
        <f t="shared" si="67"/>
        <v/>
      </c>
      <c r="CJ805" s="742" t="str">
        <f t="shared" si="68"/>
        <v/>
      </c>
      <c r="CK805" s="742" t="str">
        <f t="shared" si="69"/>
        <v/>
      </c>
      <c r="CL805" s="742" t="str">
        <f t="shared" si="70"/>
        <v/>
      </c>
      <c r="CM805" s="742" t="str">
        <f t="shared" si="71"/>
        <v/>
      </c>
      <c r="CN805" s="742" t="str">
        <f t="shared" si="72"/>
        <v/>
      </c>
      <c r="CO805" s="742" t="str">
        <f t="shared" si="73"/>
        <v/>
      </c>
      <c r="CP805" s="742" t="str">
        <f t="shared" si="74"/>
        <v/>
      </c>
      <c r="CQ805" s="742" t="str">
        <f t="shared" si="75"/>
        <v/>
      </c>
      <c r="CR805" s="742" t="str">
        <f t="shared" si="76"/>
        <v/>
      </c>
      <c r="CS805" s="742" t="str">
        <f t="shared" si="77"/>
        <v/>
      </c>
      <c r="CT805" s="742" t="str">
        <f t="shared" si="78"/>
        <v/>
      </c>
      <c r="CU805" s="742" t="str">
        <f t="shared" si="79"/>
        <v/>
      </c>
      <c r="CV805" s="742" t="str">
        <f t="shared" si="80"/>
        <v/>
      </c>
      <c r="CW805" s="742" t="str">
        <f t="shared" si="81"/>
        <v/>
      </c>
      <c r="CX805" s="742" t="str">
        <f t="shared" si="82"/>
        <v/>
      </c>
      <c r="CY805" s="742" t="str">
        <f t="shared" si="83"/>
        <v/>
      </c>
      <c r="CZ805" s="742" t="str">
        <f t="shared" si="84"/>
        <v/>
      </c>
      <c r="DA805" s="742" t="str">
        <f t="shared" si="85"/>
        <v/>
      </c>
      <c r="DB805" s="742" t="str">
        <f t="shared" si="86"/>
        <v/>
      </c>
      <c r="DC805" s="742" t="str">
        <f t="shared" si="87"/>
        <v/>
      </c>
      <c r="DD805" s="742" t="str">
        <f t="shared" si="88"/>
        <v/>
      </c>
      <c r="DE805" s="742" t="str">
        <f t="shared" si="89"/>
        <v/>
      </c>
      <c r="DF805" s="742" t="str">
        <f t="shared" si="90"/>
        <v/>
      </c>
      <c r="DG805" s="742" t="str">
        <f t="shared" si="91"/>
        <v/>
      </c>
      <c r="DH805" s="742" t="str">
        <f t="shared" si="92"/>
        <v/>
      </c>
      <c r="DI805" s="742" t="str">
        <f t="shared" si="93"/>
        <v/>
      </c>
      <c r="DJ805" s="742" t="str">
        <f t="shared" si="94"/>
        <v/>
      </c>
      <c r="DK805" s="742" t="str">
        <f t="shared" si="95"/>
        <v/>
      </c>
      <c r="DL805" s="742" t="str">
        <f t="shared" si="96"/>
        <v/>
      </c>
      <c r="DM805" s="742" t="str">
        <f t="shared" si="97"/>
        <v/>
      </c>
      <c r="DN805" s="742" t="str">
        <f t="shared" si="98"/>
        <v/>
      </c>
      <c r="DO805" s="742" t="str">
        <f t="shared" si="99"/>
        <v/>
      </c>
      <c r="DP805" s="742" t="str">
        <f t="shared" si="100"/>
        <v/>
      </c>
      <c r="DQ805" s="742" t="str">
        <f t="shared" si="101"/>
        <v/>
      </c>
      <c r="DR805" s="742" t="str">
        <f t="shared" si="102"/>
        <v/>
      </c>
      <c r="DS805" s="742" t="str">
        <f t="shared" si="103"/>
        <v/>
      </c>
      <c r="DT805" s="742" t="str">
        <f t="shared" si="104"/>
        <v/>
      </c>
      <c r="DU805" s="742" t="str">
        <f t="shared" si="105"/>
        <v/>
      </c>
      <c r="DV805" s="742" t="str">
        <f t="shared" si="106"/>
        <v/>
      </c>
      <c r="DW805" s="742" t="str">
        <f t="shared" si="107"/>
        <v/>
      </c>
      <c r="DX805" s="742" t="str">
        <f t="shared" si="108"/>
        <v/>
      </c>
      <c r="DY805" s="742" t="str">
        <f t="shared" si="109"/>
        <v/>
      </c>
      <c r="DZ805" s="742" t="str">
        <f t="shared" si="110"/>
        <v/>
      </c>
      <c r="EA805" s="742" t="str">
        <f t="shared" si="111"/>
        <v/>
      </c>
      <c r="EB805" s="742" t="str">
        <f t="shared" si="112"/>
        <v/>
      </c>
      <c r="EC805" s="742" t="str">
        <f t="shared" si="113"/>
        <v/>
      </c>
      <c r="ED805" s="742" t="str">
        <f t="shared" si="114"/>
        <v/>
      </c>
      <c r="EE805" s="742" t="str">
        <f t="shared" si="115"/>
        <v/>
      </c>
      <c r="EF805" s="742" t="str">
        <f t="shared" si="116"/>
        <v/>
      </c>
      <c r="EG805" s="742" t="str">
        <f t="shared" si="312"/>
        <v/>
      </c>
      <c r="EH805" s="742" t="str">
        <f t="shared" si="117"/>
        <v/>
      </c>
      <c r="EI805" s="742" t="str">
        <f t="shared" si="118"/>
        <v/>
      </c>
      <c r="EJ805" s="742" t="str">
        <f t="shared" si="119"/>
        <v/>
      </c>
      <c r="EK805" s="742" t="str">
        <f t="shared" si="120"/>
        <v/>
      </c>
      <c r="EL805" s="742" t="str">
        <f t="shared" si="121"/>
        <v/>
      </c>
      <c r="EM805" s="742" t="str">
        <f t="shared" si="122"/>
        <v/>
      </c>
      <c r="EN805" s="742" t="str">
        <f t="shared" si="123"/>
        <v/>
      </c>
      <c r="EO805" s="742" t="str">
        <f t="shared" si="124"/>
        <v/>
      </c>
      <c r="EP805" s="742" t="str">
        <f t="shared" si="125"/>
        <v/>
      </c>
      <c r="EQ805" s="742" t="str">
        <f t="shared" si="126"/>
        <v/>
      </c>
      <c r="ER805" s="742" t="str">
        <f t="shared" si="127"/>
        <v/>
      </c>
      <c r="ES805" s="742" t="str">
        <f t="shared" si="128"/>
        <v/>
      </c>
      <c r="ET805" s="742" t="str">
        <f t="shared" si="129"/>
        <v/>
      </c>
      <c r="EU805" s="742" t="str">
        <f t="shared" si="130"/>
        <v/>
      </c>
      <c r="EV805" s="742" t="str">
        <f t="shared" si="131"/>
        <v/>
      </c>
      <c r="EW805" s="742" t="str">
        <f t="shared" si="313"/>
        <v/>
      </c>
      <c r="EX805" s="742" t="str">
        <f t="shared" si="314"/>
        <v/>
      </c>
      <c r="EY805" s="742" t="str">
        <f t="shared" si="315"/>
        <v/>
      </c>
      <c r="EZ805" s="742" t="str">
        <f t="shared" si="316"/>
        <v/>
      </c>
      <c r="FA805" s="742" t="str">
        <f t="shared" si="317"/>
        <v/>
      </c>
      <c r="FB805" s="742" t="str">
        <f t="shared" si="132"/>
        <v/>
      </c>
      <c r="FC805" s="742" t="str">
        <f t="shared" si="133"/>
        <v/>
      </c>
      <c r="FD805" s="742" t="str">
        <f t="shared" si="134"/>
        <v/>
      </c>
      <c r="FE805" s="742" t="str">
        <f t="shared" si="135"/>
        <v/>
      </c>
      <c r="FF805" s="742" t="str">
        <f t="shared" si="136"/>
        <v/>
      </c>
      <c r="FG805" s="742" t="str">
        <f t="shared" si="318"/>
        <v/>
      </c>
      <c r="FH805" s="742" t="str">
        <f t="shared" si="319"/>
        <v/>
      </c>
      <c r="FI805" s="742" t="str">
        <f t="shared" si="320"/>
        <v/>
      </c>
      <c r="FJ805" s="742" t="str">
        <f t="shared" si="321"/>
        <v/>
      </c>
      <c r="FK805" s="742" t="str">
        <f t="shared" si="322"/>
        <v/>
      </c>
      <c r="FL805" s="742" t="str">
        <f t="shared" si="137"/>
        <v/>
      </c>
      <c r="FM805" s="742" t="str">
        <f t="shared" si="138"/>
        <v/>
      </c>
      <c r="FN805" s="742" t="str">
        <f t="shared" si="139"/>
        <v/>
      </c>
      <c r="FO805" s="742" t="str">
        <f t="shared" si="140"/>
        <v/>
      </c>
      <c r="FP805" s="742" t="str">
        <f t="shared" si="141"/>
        <v/>
      </c>
      <c r="FQ805" s="742" t="str">
        <f t="shared" si="142"/>
        <v/>
      </c>
      <c r="FR805" s="742" t="str">
        <f t="shared" si="143"/>
        <v/>
      </c>
      <c r="FS805" s="742" t="str">
        <f t="shared" si="144"/>
        <v/>
      </c>
      <c r="FT805" s="742" t="str">
        <f t="shared" si="145"/>
        <v/>
      </c>
      <c r="FU805" s="742" t="str">
        <f t="shared" si="146"/>
        <v/>
      </c>
      <c r="FV805" s="742" t="str">
        <f t="shared" si="147"/>
        <v/>
      </c>
      <c r="FW805" s="742" t="str">
        <f t="shared" si="148"/>
        <v/>
      </c>
      <c r="FX805" s="742" t="str">
        <f t="shared" si="149"/>
        <v/>
      </c>
      <c r="FY805" s="742" t="str">
        <f t="shared" si="150"/>
        <v/>
      </c>
      <c r="FZ805" s="742" t="str">
        <f t="shared" si="151"/>
        <v/>
      </c>
      <c r="GA805" s="742" t="str">
        <f t="shared" si="152"/>
        <v/>
      </c>
      <c r="GB805" s="742" t="str">
        <f t="shared" si="153"/>
        <v/>
      </c>
      <c r="GC805" s="742" t="str">
        <f t="shared" si="154"/>
        <v/>
      </c>
      <c r="GD805" s="742" t="str">
        <f t="shared" si="155"/>
        <v/>
      </c>
      <c r="GE805" s="742" t="str">
        <f t="shared" si="156"/>
        <v/>
      </c>
      <c r="GF805" s="742" t="str">
        <f t="shared" si="157"/>
        <v/>
      </c>
      <c r="GG805" s="742" t="str">
        <f t="shared" si="158"/>
        <v/>
      </c>
      <c r="GH805" s="742" t="str">
        <f t="shared" si="159"/>
        <v/>
      </c>
      <c r="GI805" s="742" t="str">
        <f t="shared" si="160"/>
        <v/>
      </c>
      <c r="GJ805" s="742" t="str">
        <f t="shared" si="161"/>
        <v/>
      </c>
      <c r="GK805" s="742" t="str">
        <f t="shared" si="162"/>
        <v/>
      </c>
      <c r="GL805" s="742" t="str">
        <f t="shared" si="163"/>
        <v/>
      </c>
      <c r="GM805" s="742" t="str">
        <f t="shared" si="164"/>
        <v/>
      </c>
      <c r="GN805" s="742" t="str">
        <f t="shared" si="165"/>
        <v/>
      </c>
      <c r="GO805" s="742" t="str">
        <f t="shared" si="166"/>
        <v/>
      </c>
      <c r="GP805" s="742" t="str">
        <f t="shared" si="167"/>
        <v/>
      </c>
      <c r="GQ805" s="742" t="str">
        <f t="shared" si="168"/>
        <v/>
      </c>
      <c r="GR805" s="742" t="str">
        <f t="shared" si="169"/>
        <v/>
      </c>
      <c r="GS805" s="742" t="str">
        <f t="shared" si="170"/>
        <v/>
      </c>
      <c r="GT805" s="742" t="str">
        <f t="shared" si="171"/>
        <v/>
      </c>
      <c r="GU805" s="742" t="str">
        <f t="shared" si="172"/>
        <v/>
      </c>
      <c r="GV805" s="742" t="str">
        <f t="shared" si="173"/>
        <v/>
      </c>
      <c r="GW805" s="742" t="str">
        <f t="shared" si="174"/>
        <v/>
      </c>
      <c r="GX805" s="742" t="str">
        <f t="shared" si="175"/>
        <v/>
      </c>
      <c r="GY805" s="742" t="str">
        <f t="shared" si="176"/>
        <v/>
      </c>
      <c r="GZ805" s="742" t="str">
        <f t="shared" si="177"/>
        <v/>
      </c>
      <c r="HA805" s="742" t="str">
        <f t="shared" si="178"/>
        <v/>
      </c>
      <c r="HB805" s="742" t="str">
        <f t="shared" si="179"/>
        <v/>
      </c>
      <c r="HC805" s="742" t="str">
        <f t="shared" si="180"/>
        <v/>
      </c>
      <c r="HD805" s="742" t="str">
        <f t="shared" si="181"/>
        <v/>
      </c>
      <c r="HE805" s="742" t="str">
        <f t="shared" si="182"/>
        <v/>
      </c>
      <c r="HF805" s="742" t="str">
        <f t="shared" si="183"/>
        <v/>
      </c>
      <c r="HG805" s="742" t="str">
        <f t="shared" si="184"/>
        <v/>
      </c>
      <c r="HH805" s="742" t="str">
        <f t="shared" si="185"/>
        <v/>
      </c>
      <c r="HI805" s="742" t="str">
        <f t="shared" si="186"/>
        <v/>
      </c>
      <c r="HJ805" s="742" t="str">
        <f t="shared" si="187"/>
        <v/>
      </c>
      <c r="HK805" s="742" t="str">
        <f t="shared" si="188"/>
        <v/>
      </c>
      <c r="HL805" s="742" t="str">
        <f t="shared" si="189"/>
        <v/>
      </c>
      <c r="HM805" s="742" t="str">
        <f t="shared" si="190"/>
        <v/>
      </c>
      <c r="HN805" s="742" t="str">
        <f t="shared" si="191"/>
        <v/>
      </c>
      <c r="HO805" s="742" t="str">
        <f t="shared" si="192"/>
        <v/>
      </c>
      <c r="HP805" s="742" t="str">
        <f t="shared" si="193"/>
        <v/>
      </c>
      <c r="HQ805" s="742" t="str">
        <f t="shared" si="194"/>
        <v/>
      </c>
      <c r="HR805" s="742" t="str">
        <f t="shared" si="195"/>
        <v/>
      </c>
      <c r="HS805" s="742" t="str">
        <f t="shared" si="196"/>
        <v/>
      </c>
      <c r="HT805" s="742" t="str">
        <f t="shared" si="197"/>
        <v/>
      </c>
      <c r="HU805" s="742" t="str">
        <f t="shared" si="198"/>
        <v/>
      </c>
      <c r="HV805" s="742" t="str">
        <f t="shared" si="199"/>
        <v/>
      </c>
      <c r="HW805" s="742" t="str">
        <f t="shared" si="200"/>
        <v/>
      </c>
      <c r="HX805" s="742" t="str">
        <f t="shared" si="201"/>
        <v/>
      </c>
      <c r="HY805" s="1638" t="str">
        <f t="shared" si="202"/>
        <v/>
      </c>
      <c r="HZ805" s="1638" t="str">
        <f t="shared" si="203"/>
        <v/>
      </c>
      <c r="IA805" s="1638" t="str">
        <f t="shared" si="204"/>
        <v/>
      </c>
      <c r="IB805" s="1638" t="str">
        <f t="shared" si="205"/>
        <v/>
      </c>
      <c r="IC805" s="1638" t="str">
        <f t="shared" si="206"/>
        <v/>
      </c>
      <c r="ID805" s="1638" t="str">
        <f t="shared" si="207"/>
        <v/>
      </c>
      <c r="IE805" s="1638" t="str">
        <f t="shared" si="208"/>
        <v/>
      </c>
      <c r="IF805" s="1638" t="str">
        <f t="shared" si="209"/>
        <v/>
      </c>
      <c r="IG805" s="1638" t="str">
        <f t="shared" si="210"/>
        <v/>
      </c>
      <c r="IH805" s="1638" t="str">
        <f t="shared" si="211"/>
        <v/>
      </c>
      <c r="II805" s="1638" t="str">
        <f t="shared" si="212"/>
        <v/>
      </c>
      <c r="IJ805" s="1638" t="str">
        <f t="shared" si="213"/>
        <v/>
      </c>
      <c r="IK805" s="1638" t="str">
        <f t="shared" si="214"/>
        <v/>
      </c>
      <c r="IL805" s="1638" t="str">
        <f t="shared" si="215"/>
        <v/>
      </c>
      <c r="IM805" s="1638" t="str">
        <f t="shared" si="216"/>
        <v/>
      </c>
      <c r="IN805" s="1638" t="str">
        <f t="shared" si="217"/>
        <v/>
      </c>
      <c r="IO805" s="1638" t="str">
        <f t="shared" si="218"/>
        <v/>
      </c>
      <c r="IP805" s="1638" t="str">
        <f t="shared" si="219"/>
        <v/>
      </c>
      <c r="IQ805" s="1638" t="str">
        <f t="shared" si="220"/>
        <v/>
      </c>
      <c r="IR805" s="1638" t="str">
        <f t="shared" si="221"/>
        <v/>
      </c>
      <c r="IS805" s="1638" t="str">
        <f t="shared" si="222"/>
        <v/>
      </c>
      <c r="IT805" s="1638" t="str">
        <f t="shared" si="223"/>
        <v/>
      </c>
      <c r="IU805" s="1638" t="str">
        <f t="shared" si="224"/>
        <v/>
      </c>
      <c r="IV805" s="1638" t="str">
        <f t="shared" si="225"/>
        <v/>
      </c>
      <c r="IW805" s="1638" t="str">
        <f t="shared" si="226"/>
        <v/>
      </c>
      <c r="IX805" s="1638" t="str">
        <f t="shared" si="227"/>
        <v/>
      </c>
      <c r="IY805" s="1638" t="str">
        <f t="shared" si="228"/>
        <v/>
      </c>
      <c r="IZ805" s="1638" t="str">
        <f t="shared" si="229"/>
        <v/>
      </c>
      <c r="JA805" s="1638" t="str">
        <f t="shared" si="230"/>
        <v/>
      </c>
      <c r="JB805" s="1638" t="str">
        <f t="shared" si="231"/>
        <v/>
      </c>
      <c r="JC805" s="1638" t="str">
        <f t="shared" si="232"/>
        <v/>
      </c>
      <c r="JD805" s="1638" t="str">
        <f t="shared" si="233"/>
        <v/>
      </c>
      <c r="JE805" s="1638" t="str">
        <f t="shared" si="234"/>
        <v/>
      </c>
      <c r="JF805" s="1638" t="str">
        <f t="shared" si="235"/>
        <v/>
      </c>
      <c r="JG805" s="1638" t="str">
        <f t="shared" si="236"/>
        <v/>
      </c>
      <c r="JH805" s="1638" t="str">
        <f t="shared" si="237"/>
        <v/>
      </c>
      <c r="JI805" s="1638" t="str">
        <f t="shared" si="238"/>
        <v/>
      </c>
      <c r="JJ805" s="1638" t="str">
        <f t="shared" si="239"/>
        <v/>
      </c>
      <c r="JK805" s="1638" t="str">
        <f t="shared" si="240"/>
        <v/>
      </c>
      <c r="JL805" s="1638" t="str">
        <f t="shared" si="241"/>
        <v/>
      </c>
      <c r="JM805" s="1638" t="str">
        <f t="shared" si="242"/>
        <v/>
      </c>
      <c r="JN805" s="1638" t="str">
        <f t="shared" si="243"/>
        <v/>
      </c>
      <c r="JO805" s="1638" t="str">
        <f t="shared" si="244"/>
        <v/>
      </c>
      <c r="JP805" s="1638" t="str">
        <f t="shared" si="245"/>
        <v/>
      </c>
      <c r="JQ805" s="1638" t="str">
        <f t="shared" si="246"/>
        <v/>
      </c>
      <c r="JR805" s="1638" t="str">
        <f t="shared" si="247"/>
        <v/>
      </c>
      <c r="JS805" s="1638" t="str">
        <f t="shared" si="248"/>
        <v/>
      </c>
      <c r="JT805" s="1638" t="str">
        <f t="shared" si="249"/>
        <v/>
      </c>
      <c r="JU805" s="1638" t="str">
        <f t="shared" si="250"/>
        <v/>
      </c>
      <c r="JV805" s="1638" t="str">
        <f t="shared" si="251"/>
        <v/>
      </c>
      <c r="JW805" s="1638" t="str">
        <f t="shared" si="252"/>
        <v/>
      </c>
      <c r="JX805" s="1638" t="str">
        <f t="shared" si="253"/>
        <v/>
      </c>
      <c r="JY805" s="1638" t="str">
        <f t="shared" si="254"/>
        <v/>
      </c>
      <c r="JZ805" s="1638" t="str">
        <f t="shared" si="255"/>
        <v/>
      </c>
      <c r="KA805" s="1638" t="str">
        <f t="shared" si="256"/>
        <v/>
      </c>
      <c r="KB805" s="1638" t="str">
        <f t="shared" si="257"/>
        <v/>
      </c>
      <c r="KC805" s="1638" t="str">
        <f t="shared" si="258"/>
        <v/>
      </c>
      <c r="KD805" s="1638" t="str">
        <f t="shared" si="259"/>
        <v/>
      </c>
      <c r="KE805" s="1638" t="str">
        <f t="shared" si="260"/>
        <v/>
      </c>
      <c r="KF805" s="1638" t="str">
        <f t="shared" si="261"/>
        <v/>
      </c>
      <c r="KG805" s="1638" t="str">
        <f t="shared" si="262"/>
        <v/>
      </c>
      <c r="KH805" s="1638" t="str">
        <f t="shared" si="263"/>
        <v/>
      </c>
      <c r="KI805" s="1638" t="str">
        <f t="shared" si="264"/>
        <v/>
      </c>
      <c r="KJ805" s="1638" t="str">
        <f t="shared" si="265"/>
        <v/>
      </c>
      <c r="KK805" s="1638" t="str">
        <f t="shared" si="266"/>
        <v/>
      </c>
      <c r="KL805" s="1638" t="str">
        <f t="shared" si="267"/>
        <v/>
      </c>
      <c r="KM805" s="1638" t="str">
        <f t="shared" si="268"/>
        <v/>
      </c>
      <c r="KN805" s="1638" t="str">
        <f t="shared" si="269"/>
        <v/>
      </c>
      <c r="KO805" s="1638" t="str">
        <f t="shared" si="270"/>
        <v/>
      </c>
      <c r="KP805" s="1638" t="str">
        <f t="shared" si="271"/>
        <v/>
      </c>
      <c r="KQ805" s="1638" t="str">
        <f t="shared" si="272"/>
        <v/>
      </c>
      <c r="KR805" s="1638" t="str">
        <f t="shared" si="273"/>
        <v/>
      </c>
      <c r="KS805" s="1638" t="str">
        <f t="shared" si="274"/>
        <v/>
      </c>
      <c r="KT805" s="1638" t="str">
        <f t="shared" si="275"/>
        <v/>
      </c>
      <c r="KU805" s="1638" t="str">
        <f t="shared" si="276"/>
        <v/>
      </c>
      <c r="KV805" s="1638" t="str">
        <f t="shared" si="277"/>
        <v/>
      </c>
      <c r="KW805" s="1638" t="str">
        <f t="shared" si="278"/>
        <v/>
      </c>
      <c r="KX805" s="1638" t="str">
        <f t="shared" si="279"/>
        <v/>
      </c>
      <c r="KY805" s="1638" t="str">
        <f t="shared" si="280"/>
        <v/>
      </c>
      <c r="KZ805" s="1638" t="str">
        <f t="shared" si="281"/>
        <v/>
      </c>
      <c r="LA805" s="1638" t="str">
        <f t="shared" si="282"/>
        <v/>
      </c>
      <c r="LB805" s="1638" t="str">
        <f t="shared" si="283"/>
        <v/>
      </c>
      <c r="LC805" s="1638" t="str">
        <f t="shared" si="284"/>
        <v/>
      </c>
      <c r="LD805" s="1638" t="str">
        <f t="shared" si="285"/>
        <v/>
      </c>
      <c r="LE805" s="1638" t="str">
        <f t="shared" si="286"/>
        <v/>
      </c>
      <c r="LF805" s="1637" t="str">
        <f t="shared" si="287"/>
        <v/>
      </c>
      <c r="LG805" s="1637" t="str">
        <f t="shared" si="288"/>
        <v/>
      </c>
      <c r="LH805" s="1637" t="str">
        <f t="shared" si="289"/>
        <v/>
      </c>
      <c r="LI805" s="1637" t="str">
        <f t="shared" si="290"/>
        <v/>
      </c>
      <c r="LJ805" s="1637" t="str">
        <f t="shared" si="291"/>
        <v/>
      </c>
      <c r="LK805" s="742" t="str">
        <f t="shared" si="292"/>
        <v/>
      </c>
      <c r="LL805" s="742" t="str">
        <f t="shared" si="293"/>
        <v/>
      </c>
      <c r="LM805" s="742" t="str">
        <f t="shared" si="294"/>
        <v/>
      </c>
      <c r="LN805" s="742" t="str">
        <f t="shared" si="295"/>
        <v/>
      </c>
      <c r="LO805" s="742" t="str">
        <f t="shared" si="296"/>
        <v/>
      </c>
      <c r="LP805" s="742" t="str">
        <f t="shared" si="297"/>
        <v/>
      </c>
      <c r="LQ805" s="742" t="str">
        <f t="shared" si="298"/>
        <v/>
      </c>
      <c r="LR805" s="742" t="str">
        <f t="shared" si="299"/>
        <v/>
      </c>
      <c r="LS805" s="742" t="str">
        <f t="shared" si="300"/>
        <v/>
      </c>
      <c r="LT805" s="742" t="str">
        <f t="shared" si="301"/>
        <v/>
      </c>
      <c r="LU805" s="742" t="str">
        <f t="shared" si="302"/>
        <v/>
      </c>
      <c r="LV805" s="742" t="str">
        <f t="shared" si="303"/>
        <v/>
      </c>
      <c r="LW805" s="742" t="str">
        <f t="shared" si="304"/>
        <v/>
      </c>
      <c r="LX805" s="742" t="str">
        <f t="shared" si="305"/>
        <v/>
      </c>
      <c r="LY805" s="742" t="str">
        <f t="shared" si="306"/>
        <v/>
      </c>
      <c r="LZ805" s="742" t="str">
        <f t="shared" si="307"/>
        <v/>
      </c>
      <c r="MA805" s="742" t="str">
        <f t="shared" si="308"/>
        <v/>
      </c>
      <c r="MB805" s="742" t="str">
        <f t="shared" si="309"/>
        <v/>
      </c>
      <c r="MC805" s="742" t="str">
        <f t="shared" si="310"/>
        <v/>
      </c>
      <c r="MD805" s="742" t="str">
        <f t="shared" si="311"/>
        <v/>
      </c>
      <c r="ME805" s="1637">
        <f t="shared" si="323"/>
        <v>0</v>
      </c>
      <c r="MF805" s="1637">
        <f t="shared" si="324"/>
        <v>0</v>
      </c>
      <c r="MG805" s="1637">
        <f t="shared" si="325"/>
        <v>0</v>
      </c>
      <c r="MH805" s="1637">
        <f t="shared" si="326"/>
        <v>0</v>
      </c>
      <c r="MI805" s="1637">
        <f t="shared" si="327"/>
        <v>0</v>
      </c>
      <c r="MJ805" s="1637">
        <f t="shared" si="328"/>
        <v>0</v>
      </c>
      <c r="MK805" s="1637">
        <f t="shared" si="329"/>
        <v>0</v>
      </c>
      <c r="ML805" s="1637">
        <f t="shared" si="330"/>
        <v>0</v>
      </c>
      <c r="MM805" s="1637">
        <f t="shared" si="331"/>
        <v>0</v>
      </c>
      <c r="MN805" s="1637">
        <f t="shared" si="332"/>
        <v>0</v>
      </c>
      <c r="MO805" s="1637">
        <f t="shared" si="333"/>
        <v>0</v>
      </c>
      <c r="MP805" s="1637">
        <f t="shared" si="334"/>
        <v>0</v>
      </c>
      <c r="MQ805" s="1637">
        <f t="shared" si="335"/>
        <v>0</v>
      </c>
      <c r="MR805" s="1637">
        <f t="shared" si="336"/>
        <v>0</v>
      </c>
      <c r="MS805" s="1637">
        <f t="shared" si="337"/>
        <v>0</v>
      </c>
    </row>
    <row r="806" spans="1:357" ht="13.5">
      <c r="A806" s="1630" t="str">
        <f t="shared" si="0"/>
        <v/>
      </c>
      <c r="B806" s="2757">
        <f>'Part VI-Revenues &amp; Expenses'!B44</f>
        <v>0</v>
      </c>
      <c r="C806" s="2146">
        <f>'Part VI-Revenues &amp; Expenses'!C44</f>
        <v>0</v>
      </c>
      <c r="D806" s="2147">
        <f>'Part VI-Revenues &amp; Expenses'!D44</f>
        <v>0</v>
      </c>
      <c r="E806" s="2148">
        <f>'Part VI-Revenues &amp; Expenses'!E44</f>
        <v>0</v>
      </c>
      <c r="F806" s="2148">
        <f>'Part VI-Revenues &amp; Expenses'!F44</f>
        <v>0</v>
      </c>
      <c r="G806" s="2148">
        <f>'Part VI-Revenues &amp; Expenses'!G44</f>
        <v>0</v>
      </c>
      <c r="H806" s="2148">
        <f>'Part VI-Revenues &amp; Expenses'!H44</f>
        <v>0</v>
      </c>
      <c r="I806" s="2148">
        <f>'Part VI-Revenues &amp; Expenses'!I44</f>
        <v>0</v>
      </c>
      <c r="J806" s="2149">
        <f>'Part VI-Revenues &amp; Expenses'!J44</f>
        <v>0</v>
      </c>
      <c r="K806" s="1822">
        <f t="shared" si="1"/>
        <v>0</v>
      </c>
      <c r="L806" s="1822">
        <f t="shared" si="2"/>
        <v>0</v>
      </c>
      <c r="M806" s="2133">
        <f>'Part VI-Revenues &amp; Expenses'!M44</f>
        <v>0</v>
      </c>
      <c r="N806" s="2133">
        <f>'Part VI-Revenues &amp; Expenses'!N44</f>
        <v>0</v>
      </c>
      <c r="O806" s="2133">
        <f>'Part VI-Revenues &amp; Expenses'!O44</f>
        <v>0</v>
      </c>
      <c r="P806" s="1633">
        <f>'Part VI-Revenues &amp; Expenses'!P44</f>
        <v>0</v>
      </c>
      <c r="Q806" s="1823" t="str">
        <f>'Part VI-Revenues &amp; Expenses'!Q44</f>
        <v/>
      </c>
      <c r="R806" s="1824" t="str">
        <f>'Part VI-Revenues &amp; Expenses'!R44</f>
        <v/>
      </c>
      <c r="S806" s="1823">
        <f>'Part VI-Revenues &amp; Expenses'!S44</f>
        <v>0</v>
      </c>
      <c r="T806" s="1824">
        <f>'Part VI-Revenues &amp; Expenses'!T44</f>
        <v>0</v>
      </c>
      <c r="U806" s="1838">
        <f>'Part VI-Revenues &amp; Expenses'!U44:V44</f>
        <v>0</v>
      </c>
      <c r="V806" s="1838"/>
      <c r="W806" s="742" t="str">
        <f t="shared" si="3"/>
        <v/>
      </c>
      <c r="X806" s="742" t="str">
        <f t="shared" si="4"/>
        <v/>
      </c>
      <c r="Y806" s="742" t="str">
        <f t="shared" si="5"/>
        <v/>
      </c>
      <c r="Z806" s="742" t="str">
        <f t="shared" si="6"/>
        <v/>
      </c>
      <c r="AA806" s="742" t="str">
        <f t="shared" si="7"/>
        <v/>
      </c>
      <c r="AB806" s="742" t="str">
        <f t="shared" si="8"/>
        <v/>
      </c>
      <c r="AC806" s="742" t="str">
        <f t="shared" si="9"/>
        <v/>
      </c>
      <c r="AD806" s="742" t="str">
        <f t="shared" si="10"/>
        <v/>
      </c>
      <c r="AE806" s="742" t="str">
        <f t="shared" si="11"/>
        <v/>
      </c>
      <c r="AF806" s="742" t="str">
        <f t="shared" si="12"/>
        <v/>
      </c>
      <c r="AG806" s="742" t="str">
        <f t="shared" si="13"/>
        <v/>
      </c>
      <c r="AH806" s="742" t="str">
        <f t="shared" si="14"/>
        <v/>
      </c>
      <c r="AI806" s="742" t="str">
        <f t="shared" si="15"/>
        <v/>
      </c>
      <c r="AJ806" s="742" t="str">
        <f t="shared" si="16"/>
        <v/>
      </c>
      <c r="AK806" s="742" t="str">
        <f t="shared" si="17"/>
        <v/>
      </c>
      <c r="AL806" s="742" t="str">
        <f t="shared" si="18"/>
        <v/>
      </c>
      <c r="AM806" s="742" t="str">
        <f t="shared" si="19"/>
        <v/>
      </c>
      <c r="AN806" s="742" t="str">
        <f t="shared" si="20"/>
        <v/>
      </c>
      <c r="AO806" s="742" t="str">
        <f t="shared" si="21"/>
        <v/>
      </c>
      <c r="AP806" s="742" t="str">
        <f t="shared" si="22"/>
        <v/>
      </c>
      <c r="AQ806" s="742" t="str">
        <f t="shared" si="23"/>
        <v/>
      </c>
      <c r="AR806" s="742" t="str">
        <f t="shared" si="24"/>
        <v/>
      </c>
      <c r="AS806" s="742" t="str">
        <f t="shared" si="25"/>
        <v/>
      </c>
      <c r="AT806" s="742" t="str">
        <f t="shared" si="26"/>
        <v/>
      </c>
      <c r="AU806" s="742" t="str">
        <f t="shared" si="27"/>
        <v/>
      </c>
      <c r="AV806" s="742" t="str">
        <f t="shared" si="28"/>
        <v/>
      </c>
      <c r="AW806" s="742" t="str">
        <f t="shared" si="29"/>
        <v/>
      </c>
      <c r="AX806" s="742" t="str">
        <f t="shared" si="30"/>
        <v/>
      </c>
      <c r="AY806" s="742" t="str">
        <f t="shared" si="31"/>
        <v/>
      </c>
      <c r="AZ806" s="742" t="str">
        <f t="shared" si="32"/>
        <v/>
      </c>
      <c r="BA806" s="742" t="str">
        <f t="shared" si="33"/>
        <v/>
      </c>
      <c r="BB806" s="742" t="str">
        <f t="shared" si="34"/>
        <v/>
      </c>
      <c r="BC806" s="742" t="str">
        <f t="shared" si="35"/>
        <v/>
      </c>
      <c r="BD806" s="742" t="str">
        <f t="shared" si="36"/>
        <v/>
      </c>
      <c r="BE806" s="742" t="str">
        <f t="shared" si="37"/>
        <v/>
      </c>
      <c r="BF806" s="742" t="str">
        <f t="shared" si="38"/>
        <v/>
      </c>
      <c r="BG806" s="742" t="str">
        <f t="shared" si="39"/>
        <v/>
      </c>
      <c r="BH806" s="742" t="str">
        <f t="shared" si="40"/>
        <v/>
      </c>
      <c r="BI806" s="742" t="str">
        <f t="shared" si="41"/>
        <v/>
      </c>
      <c r="BJ806" s="742" t="str">
        <f t="shared" si="42"/>
        <v/>
      </c>
      <c r="BK806" s="742" t="str">
        <f t="shared" si="43"/>
        <v/>
      </c>
      <c r="BL806" s="742" t="str">
        <f t="shared" si="44"/>
        <v/>
      </c>
      <c r="BM806" s="742" t="str">
        <f t="shared" si="45"/>
        <v/>
      </c>
      <c r="BN806" s="742" t="str">
        <f t="shared" si="46"/>
        <v/>
      </c>
      <c r="BO806" s="742" t="str">
        <f t="shared" si="47"/>
        <v/>
      </c>
      <c r="BP806" s="742" t="str">
        <f t="shared" si="48"/>
        <v/>
      </c>
      <c r="BQ806" s="742" t="str">
        <f t="shared" si="49"/>
        <v/>
      </c>
      <c r="BR806" s="742" t="str">
        <f t="shared" si="50"/>
        <v/>
      </c>
      <c r="BS806" s="742" t="str">
        <f t="shared" si="51"/>
        <v/>
      </c>
      <c r="BT806" s="742" t="str">
        <f t="shared" si="52"/>
        <v/>
      </c>
      <c r="BU806" s="742" t="str">
        <f t="shared" si="53"/>
        <v/>
      </c>
      <c r="BV806" s="742" t="str">
        <f t="shared" si="54"/>
        <v/>
      </c>
      <c r="BW806" s="742" t="str">
        <f t="shared" si="55"/>
        <v/>
      </c>
      <c r="BX806" s="742" t="str">
        <f t="shared" si="56"/>
        <v/>
      </c>
      <c r="BY806" s="742" t="str">
        <f t="shared" si="57"/>
        <v/>
      </c>
      <c r="BZ806" s="742" t="str">
        <f t="shared" si="58"/>
        <v/>
      </c>
      <c r="CA806" s="742" t="str">
        <f t="shared" si="59"/>
        <v/>
      </c>
      <c r="CB806" s="742" t="str">
        <f t="shared" si="60"/>
        <v/>
      </c>
      <c r="CC806" s="742" t="str">
        <f t="shared" si="61"/>
        <v/>
      </c>
      <c r="CD806" s="742" t="str">
        <f t="shared" si="62"/>
        <v/>
      </c>
      <c r="CE806" s="742" t="str">
        <f t="shared" si="63"/>
        <v/>
      </c>
      <c r="CF806" s="742" t="str">
        <f t="shared" si="64"/>
        <v/>
      </c>
      <c r="CG806" s="742" t="str">
        <f t="shared" si="65"/>
        <v/>
      </c>
      <c r="CH806" s="742" t="str">
        <f t="shared" si="66"/>
        <v/>
      </c>
      <c r="CI806" s="742" t="str">
        <f t="shared" si="67"/>
        <v/>
      </c>
      <c r="CJ806" s="742" t="str">
        <f t="shared" si="68"/>
        <v/>
      </c>
      <c r="CK806" s="742" t="str">
        <f t="shared" si="69"/>
        <v/>
      </c>
      <c r="CL806" s="742" t="str">
        <f t="shared" si="70"/>
        <v/>
      </c>
      <c r="CM806" s="742" t="str">
        <f t="shared" si="71"/>
        <v/>
      </c>
      <c r="CN806" s="742" t="str">
        <f t="shared" si="72"/>
        <v/>
      </c>
      <c r="CO806" s="742" t="str">
        <f t="shared" si="73"/>
        <v/>
      </c>
      <c r="CP806" s="742" t="str">
        <f t="shared" si="74"/>
        <v/>
      </c>
      <c r="CQ806" s="742" t="str">
        <f t="shared" si="75"/>
        <v/>
      </c>
      <c r="CR806" s="742" t="str">
        <f t="shared" si="76"/>
        <v/>
      </c>
      <c r="CS806" s="742" t="str">
        <f t="shared" si="77"/>
        <v/>
      </c>
      <c r="CT806" s="742" t="str">
        <f t="shared" si="78"/>
        <v/>
      </c>
      <c r="CU806" s="742" t="str">
        <f t="shared" si="79"/>
        <v/>
      </c>
      <c r="CV806" s="742" t="str">
        <f t="shared" si="80"/>
        <v/>
      </c>
      <c r="CW806" s="742" t="str">
        <f t="shared" si="81"/>
        <v/>
      </c>
      <c r="CX806" s="742" t="str">
        <f t="shared" si="82"/>
        <v/>
      </c>
      <c r="CY806" s="742" t="str">
        <f t="shared" si="83"/>
        <v/>
      </c>
      <c r="CZ806" s="742" t="str">
        <f t="shared" si="84"/>
        <v/>
      </c>
      <c r="DA806" s="742" t="str">
        <f t="shared" si="85"/>
        <v/>
      </c>
      <c r="DB806" s="742" t="str">
        <f t="shared" si="86"/>
        <v/>
      </c>
      <c r="DC806" s="742" t="str">
        <f t="shared" si="87"/>
        <v/>
      </c>
      <c r="DD806" s="742" t="str">
        <f t="shared" si="88"/>
        <v/>
      </c>
      <c r="DE806" s="742" t="str">
        <f t="shared" si="89"/>
        <v/>
      </c>
      <c r="DF806" s="742" t="str">
        <f t="shared" si="90"/>
        <v/>
      </c>
      <c r="DG806" s="742" t="str">
        <f t="shared" si="91"/>
        <v/>
      </c>
      <c r="DH806" s="742" t="str">
        <f t="shared" si="92"/>
        <v/>
      </c>
      <c r="DI806" s="742" t="str">
        <f t="shared" si="93"/>
        <v/>
      </c>
      <c r="DJ806" s="742" t="str">
        <f t="shared" si="94"/>
        <v/>
      </c>
      <c r="DK806" s="742" t="str">
        <f t="shared" si="95"/>
        <v/>
      </c>
      <c r="DL806" s="742" t="str">
        <f t="shared" si="96"/>
        <v/>
      </c>
      <c r="DM806" s="742" t="str">
        <f t="shared" si="97"/>
        <v/>
      </c>
      <c r="DN806" s="742" t="str">
        <f t="shared" si="98"/>
        <v/>
      </c>
      <c r="DO806" s="742" t="str">
        <f t="shared" si="99"/>
        <v/>
      </c>
      <c r="DP806" s="742" t="str">
        <f t="shared" si="100"/>
        <v/>
      </c>
      <c r="DQ806" s="742" t="str">
        <f t="shared" si="101"/>
        <v/>
      </c>
      <c r="DR806" s="742" t="str">
        <f t="shared" si="102"/>
        <v/>
      </c>
      <c r="DS806" s="742" t="str">
        <f t="shared" si="103"/>
        <v/>
      </c>
      <c r="DT806" s="742" t="str">
        <f t="shared" si="104"/>
        <v/>
      </c>
      <c r="DU806" s="742" t="str">
        <f t="shared" si="105"/>
        <v/>
      </c>
      <c r="DV806" s="742" t="str">
        <f t="shared" si="106"/>
        <v/>
      </c>
      <c r="DW806" s="742" t="str">
        <f t="shared" si="107"/>
        <v/>
      </c>
      <c r="DX806" s="742" t="str">
        <f t="shared" si="108"/>
        <v/>
      </c>
      <c r="DY806" s="742" t="str">
        <f t="shared" si="109"/>
        <v/>
      </c>
      <c r="DZ806" s="742" t="str">
        <f t="shared" si="110"/>
        <v/>
      </c>
      <c r="EA806" s="742" t="str">
        <f t="shared" si="111"/>
        <v/>
      </c>
      <c r="EB806" s="742" t="str">
        <f t="shared" si="112"/>
        <v/>
      </c>
      <c r="EC806" s="742" t="str">
        <f t="shared" si="113"/>
        <v/>
      </c>
      <c r="ED806" s="742" t="str">
        <f t="shared" si="114"/>
        <v/>
      </c>
      <c r="EE806" s="742" t="str">
        <f t="shared" si="115"/>
        <v/>
      </c>
      <c r="EF806" s="742" t="str">
        <f t="shared" si="116"/>
        <v/>
      </c>
      <c r="EG806" s="742" t="str">
        <f t="shared" si="312"/>
        <v/>
      </c>
      <c r="EH806" s="742" t="str">
        <f t="shared" si="117"/>
        <v/>
      </c>
      <c r="EI806" s="742" t="str">
        <f t="shared" si="118"/>
        <v/>
      </c>
      <c r="EJ806" s="742" t="str">
        <f t="shared" si="119"/>
        <v/>
      </c>
      <c r="EK806" s="742" t="str">
        <f t="shared" si="120"/>
        <v/>
      </c>
      <c r="EL806" s="742" t="str">
        <f t="shared" si="121"/>
        <v/>
      </c>
      <c r="EM806" s="742" t="str">
        <f t="shared" si="122"/>
        <v/>
      </c>
      <c r="EN806" s="742" t="str">
        <f t="shared" si="123"/>
        <v/>
      </c>
      <c r="EO806" s="742" t="str">
        <f t="shared" si="124"/>
        <v/>
      </c>
      <c r="EP806" s="742" t="str">
        <f t="shared" si="125"/>
        <v/>
      </c>
      <c r="EQ806" s="742" t="str">
        <f t="shared" si="126"/>
        <v/>
      </c>
      <c r="ER806" s="742" t="str">
        <f t="shared" si="127"/>
        <v/>
      </c>
      <c r="ES806" s="742" t="str">
        <f t="shared" si="128"/>
        <v/>
      </c>
      <c r="ET806" s="742" t="str">
        <f t="shared" si="129"/>
        <v/>
      </c>
      <c r="EU806" s="742" t="str">
        <f t="shared" si="130"/>
        <v/>
      </c>
      <c r="EV806" s="742" t="str">
        <f t="shared" si="131"/>
        <v/>
      </c>
      <c r="EW806" s="742" t="str">
        <f t="shared" si="313"/>
        <v/>
      </c>
      <c r="EX806" s="742" t="str">
        <f t="shared" si="314"/>
        <v/>
      </c>
      <c r="EY806" s="742" t="str">
        <f t="shared" si="315"/>
        <v/>
      </c>
      <c r="EZ806" s="742" t="str">
        <f t="shared" si="316"/>
        <v/>
      </c>
      <c r="FA806" s="742" t="str">
        <f t="shared" si="317"/>
        <v/>
      </c>
      <c r="FB806" s="742" t="str">
        <f t="shared" si="132"/>
        <v/>
      </c>
      <c r="FC806" s="742" t="str">
        <f t="shared" si="133"/>
        <v/>
      </c>
      <c r="FD806" s="742" t="str">
        <f t="shared" si="134"/>
        <v/>
      </c>
      <c r="FE806" s="742" t="str">
        <f t="shared" si="135"/>
        <v/>
      </c>
      <c r="FF806" s="742" t="str">
        <f t="shared" si="136"/>
        <v/>
      </c>
      <c r="FG806" s="742" t="str">
        <f t="shared" si="318"/>
        <v/>
      </c>
      <c r="FH806" s="742" t="str">
        <f t="shared" si="319"/>
        <v/>
      </c>
      <c r="FI806" s="742" t="str">
        <f t="shared" si="320"/>
        <v/>
      </c>
      <c r="FJ806" s="742" t="str">
        <f t="shared" si="321"/>
        <v/>
      </c>
      <c r="FK806" s="742" t="str">
        <f t="shared" si="322"/>
        <v/>
      </c>
      <c r="FL806" s="742" t="str">
        <f t="shared" si="137"/>
        <v/>
      </c>
      <c r="FM806" s="742" t="str">
        <f t="shared" si="138"/>
        <v/>
      </c>
      <c r="FN806" s="742" t="str">
        <f t="shared" si="139"/>
        <v/>
      </c>
      <c r="FO806" s="742" t="str">
        <f t="shared" si="140"/>
        <v/>
      </c>
      <c r="FP806" s="742" t="str">
        <f t="shared" si="141"/>
        <v/>
      </c>
      <c r="FQ806" s="742" t="str">
        <f t="shared" si="142"/>
        <v/>
      </c>
      <c r="FR806" s="742" t="str">
        <f t="shared" si="143"/>
        <v/>
      </c>
      <c r="FS806" s="742" t="str">
        <f t="shared" si="144"/>
        <v/>
      </c>
      <c r="FT806" s="742" t="str">
        <f t="shared" si="145"/>
        <v/>
      </c>
      <c r="FU806" s="742" t="str">
        <f t="shared" si="146"/>
        <v/>
      </c>
      <c r="FV806" s="742" t="str">
        <f t="shared" si="147"/>
        <v/>
      </c>
      <c r="FW806" s="742" t="str">
        <f t="shared" si="148"/>
        <v/>
      </c>
      <c r="FX806" s="742" t="str">
        <f t="shared" si="149"/>
        <v/>
      </c>
      <c r="FY806" s="742" t="str">
        <f t="shared" si="150"/>
        <v/>
      </c>
      <c r="FZ806" s="742" t="str">
        <f t="shared" si="151"/>
        <v/>
      </c>
      <c r="GA806" s="742" t="str">
        <f t="shared" si="152"/>
        <v/>
      </c>
      <c r="GB806" s="742" t="str">
        <f t="shared" si="153"/>
        <v/>
      </c>
      <c r="GC806" s="742" t="str">
        <f t="shared" si="154"/>
        <v/>
      </c>
      <c r="GD806" s="742" t="str">
        <f t="shared" si="155"/>
        <v/>
      </c>
      <c r="GE806" s="742" t="str">
        <f t="shared" si="156"/>
        <v/>
      </c>
      <c r="GF806" s="742" t="str">
        <f t="shared" si="157"/>
        <v/>
      </c>
      <c r="GG806" s="742" t="str">
        <f t="shared" si="158"/>
        <v/>
      </c>
      <c r="GH806" s="742" t="str">
        <f t="shared" si="159"/>
        <v/>
      </c>
      <c r="GI806" s="742" t="str">
        <f t="shared" si="160"/>
        <v/>
      </c>
      <c r="GJ806" s="742" t="str">
        <f t="shared" si="161"/>
        <v/>
      </c>
      <c r="GK806" s="742" t="str">
        <f t="shared" si="162"/>
        <v/>
      </c>
      <c r="GL806" s="742" t="str">
        <f t="shared" si="163"/>
        <v/>
      </c>
      <c r="GM806" s="742" t="str">
        <f t="shared" si="164"/>
        <v/>
      </c>
      <c r="GN806" s="742" t="str">
        <f t="shared" si="165"/>
        <v/>
      </c>
      <c r="GO806" s="742" t="str">
        <f t="shared" si="166"/>
        <v/>
      </c>
      <c r="GP806" s="742" t="str">
        <f t="shared" si="167"/>
        <v/>
      </c>
      <c r="GQ806" s="742" t="str">
        <f t="shared" si="168"/>
        <v/>
      </c>
      <c r="GR806" s="742" t="str">
        <f t="shared" si="169"/>
        <v/>
      </c>
      <c r="GS806" s="742" t="str">
        <f t="shared" si="170"/>
        <v/>
      </c>
      <c r="GT806" s="742" t="str">
        <f t="shared" si="171"/>
        <v/>
      </c>
      <c r="GU806" s="742" t="str">
        <f t="shared" si="172"/>
        <v/>
      </c>
      <c r="GV806" s="742" t="str">
        <f t="shared" si="173"/>
        <v/>
      </c>
      <c r="GW806" s="742" t="str">
        <f t="shared" si="174"/>
        <v/>
      </c>
      <c r="GX806" s="742" t="str">
        <f t="shared" si="175"/>
        <v/>
      </c>
      <c r="GY806" s="742" t="str">
        <f t="shared" si="176"/>
        <v/>
      </c>
      <c r="GZ806" s="742" t="str">
        <f t="shared" si="177"/>
        <v/>
      </c>
      <c r="HA806" s="742" t="str">
        <f t="shared" si="178"/>
        <v/>
      </c>
      <c r="HB806" s="742" t="str">
        <f t="shared" si="179"/>
        <v/>
      </c>
      <c r="HC806" s="742" t="str">
        <f t="shared" si="180"/>
        <v/>
      </c>
      <c r="HD806" s="742" t="str">
        <f t="shared" si="181"/>
        <v/>
      </c>
      <c r="HE806" s="742" t="str">
        <f t="shared" si="182"/>
        <v/>
      </c>
      <c r="HF806" s="742" t="str">
        <f t="shared" si="183"/>
        <v/>
      </c>
      <c r="HG806" s="742" t="str">
        <f t="shared" si="184"/>
        <v/>
      </c>
      <c r="HH806" s="742" t="str">
        <f t="shared" si="185"/>
        <v/>
      </c>
      <c r="HI806" s="742" t="str">
        <f t="shared" si="186"/>
        <v/>
      </c>
      <c r="HJ806" s="742" t="str">
        <f t="shared" si="187"/>
        <v/>
      </c>
      <c r="HK806" s="742" t="str">
        <f t="shared" si="188"/>
        <v/>
      </c>
      <c r="HL806" s="742" t="str">
        <f t="shared" si="189"/>
        <v/>
      </c>
      <c r="HM806" s="742" t="str">
        <f t="shared" si="190"/>
        <v/>
      </c>
      <c r="HN806" s="742" t="str">
        <f t="shared" si="191"/>
        <v/>
      </c>
      <c r="HO806" s="742" t="str">
        <f t="shared" si="192"/>
        <v/>
      </c>
      <c r="HP806" s="742" t="str">
        <f t="shared" si="193"/>
        <v/>
      </c>
      <c r="HQ806" s="742" t="str">
        <f t="shared" si="194"/>
        <v/>
      </c>
      <c r="HR806" s="742" t="str">
        <f t="shared" si="195"/>
        <v/>
      </c>
      <c r="HS806" s="742" t="str">
        <f t="shared" si="196"/>
        <v/>
      </c>
      <c r="HT806" s="742" t="str">
        <f t="shared" si="197"/>
        <v/>
      </c>
      <c r="HU806" s="742" t="str">
        <f t="shared" si="198"/>
        <v/>
      </c>
      <c r="HV806" s="742" t="str">
        <f t="shared" si="199"/>
        <v/>
      </c>
      <c r="HW806" s="742" t="str">
        <f t="shared" si="200"/>
        <v/>
      </c>
      <c r="HX806" s="742" t="str">
        <f t="shared" si="201"/>
        <v/>
      </c>
      <c r="HY806" s="1638" t="str">
        <f t="shared" si="202"/>
        <v/>
      </c>
      <c r="HZ806" s="1638" t="str">
        <f t="shared" si="203"/>
        <v/>
      </c>
      <c r="IA806" s="1638" t="str">
        <f t="shared" si="204"/>
        <v/>
      </c>
      <c r="IB806" s="1638" t="str">
        <f t="shared" si="205"/>
        <v/>
      </c>
      <c r="IC806" s="1638" t="str">
        <f t="shared" si="206"/>
        <v/>
      </c>
      <c r="ID806" s="1638" t="str">
        <f t="shared" si="207"/>
        <v/>
      </c>
      <c r="IE806" s="1638" t="str">
        <f t="shared" si="208"/>
        <v/>
      </c>
      <c r="IF806" s="1638" t="str">
        <f t="shared" si="209"/>
        <v/>
      </c>
      <c r="IG806" s="1638" t="str">
        <f t="shared" si="210"/>
        <v/>
      </c>
      <c r="IH806" s="1638" t="str">
        <f t="shared" si="211"/>
        <v/>
      </c>
      <c r="II806" s="1638" t="str">
        <f t="shared" si="212"/>
        <v/>
      </c>
      <c r="IJ806" s="1638" t="str">
        <f t="shared" si="213"/>
        <v/>
      </c>
      <c r="IK806" s="1638" t="str">
        <f t="shared" si="214"/>
        <v/>
      </c>
      <c r="IL806" s="1638" t="str">
        <f t="shared" si="215"/>
        <v/>
      </c>
      <c r="IM806" s="1638" t="str">
        <f t="shared" si="216"/>
        <v/>
      </c>
      <c r="IN806" s="1638" t="str">
        <f t="shared" si="217"/>
        <v/>
      </c>
      <c r="IO806" s="1638" t="str">
        <f t="shared" si="218"/>
        <v/>
      </c>
      <c r="IP806" s="1638" t="str">
        <f t="shared" si="219"/>
        <v/>
      </c>
      <c r="IQ806" s="1638" t="str">
        <f t="shared" si="220"/>
        <v/>
      </c>
      <c r="IR806" s="1638" t="str">
        <f t="shared" si="221"/>
        <v/>
      </c>
      <c r="IS806" s="1638" t="str">
        <f t="shared" si="222"/>
        <v/>
      </c>
      <c r="IT806" s="1638" t="str">
        <f t="shared" si="223"/>
        <v/>
      </c>
      <c r="IU806" s="1638" t="str">
        <f t="shared" si="224"/>
        <v/>
      </c>
      <c r="IV806" s="1638" t="str">
        <f t="shared" si="225"/>
        <v/>
      </c>
      <c r="IW806" s="1638" t="str">
        <f t="shared" si="226"/>
        <v/>
      </c>
      <c r="IX806" s="1638" t="str">
        <f t="shared" si="227"/>
        <v/>
      </c>
      <c r="IY806" s="1638" t="str">
        <f t="shared" si="228"/>
        <v/>
      </c>
      <c r="IZ806" s="1638" t="str">
        <f t="shared" si="229"/>
        <v/>
      </c>
      <c r="JA806" s="1638" t="str">
        <f t="shared" si="230"/>
        <v/>
      </c>
      <c r="JB806" s="1638" t="str">
        <f t="shared" si="231"/>
        <v/>
      </c>
      <c r="JC806" s="1638" t="str">
        <f t="shared" si="232"/>
        <v/>
      </c>
      <c r="JD806" s="1638" t="str">
        <f t="shared" si="233"/>
        <v/>
      </c>
      <c r="JE806" s="1638" t="str">
        <f t="shared" si="234"/>
        <v/>
      </c>
      <c r="JF806" s="1638" t="str">
        <f t="shared" si="235"/>
        <v/>
      </c>
      <c r="JG806" s="1638" t="str">
        <f t="shared" si="236"/>
        <v/>
      </c>
      <c r="JH806" s="1638" t="str">
        <f t="shared" si="237"/>
        <v/>
      </c>
      <c r="JI806" s="1638" t="str">
        <f t="shared" si="238"/>
        <v/>
      </c>
      <c r="JJ806" s="1638" t="str">
        <f t="shared" si="239"/>
        <v/>
      </c>
      <c r="JK806" s="1638" t="str">
        <f t="shared" si="240"/>
        <v/>
      </c>
      <c r="JL806" s="1638" t="str">
        <f t="shared" si="241"/>
        <v/>
      </c>
      <c r="JM806" s="1638" t="str">
        <f t="shared" si="242"/>
        <v/>
      </c>
      <c r="JN806" s="1638" t="str">
        <f t="shared" si="243"/>
        <v/>
      </c>
      <c r="JO806" s="1638" t="str">
        <f t="shared" si="244"/>
        <v/>
      </c>
      <c r="JP806" s="1638" t="str">
        <f t="shared" si="245"/>
        <v/>
      </c>
      <c r="JQ806" s="1638" t="str">
        <f t="shared" si="246"/>
        <v/>
      </c>
      <c r="JR806" s="1638" t="str">
        <f t="shared" si="247"/>
        <v/>
      </c>
      <c r="JS806" s="1638" t="str">
        <f t="shared" si="248"/>
        <v/>
      </c>
      <c r="JT806" s="1638" t="str">
        <f t="shared" si="249"/>
        <v/>
      </c>
      <c r="JU806" s="1638" t="str">
        <f t="shared" si="250"/>
        <v/>
      </c>
      <c r="JV806" s="1638" t="str">
        <f t="shared" si="251"/>
        <v/>
      </c>
      <c r="JW806" s="1638" t="str">
        <f t="shared" si="252"/>
        <v/>
      </c>
      <c r="JX806" s="1638" t="str">
        <f t="shared" si="253"/>
        <v/>
      </c>
      <c r="JY806" s="1638" t="str">
        <f t="shared" si="254"/>
        <v/>
      </c>
      <c r="JZ806" s="1638" t="str">
        <f t="shared" si="255"/>
        <v/>
      </c>
      <c r="KA806" s="1638" t="str">
        <f t="shared" si="256"/>
        <v/>
      </c>
      <c r="KB806" s="1638" t="str">
        <f t="shared" si="257"/>
        <v/>
      </c>
      <c r="KC806" s="1638" t="str">
        <f t="shared" si="258"/>
        <v/>
      </c>
      <c r="KD806" s="1638" t="str">
        <f t="shared" si="259"/>
        <v/>
      </c>
      <c r="KE806" s="1638" t="str">
        <f t="shared" si="260"/>
        <v/>
      </c>
      <c r="KF806" s="1638" t="str">
        <f t="shared" si="261"/>
        <v/>
      </c>
      <c r="KG806" s="1638" t="str">
        <f t="shared" si="262"/>
        <v/>
      </c>
      <c r="KH806" s="1638" t="str">
        <f t="shared" si="263"/>
        <v/>
      </c>
      <c r="KI806" s="1638" t="str">
        <f t="shared" si="264"/>
        <v/>
      </c>
      <c r="KJ806" s="1638" t="str">
        <f t="shared" si="265"/>
        <v/>
      </c>
      <c r="KK806" s="1638" t="str">
        <f t="shared" si="266"/>
        <v/>
      </c>
      <c r="KL806" s="1638" t="str">
        <f t="shared" si="267"/>
        <v/>
      </c>
      <c r="KM806" s="1638" t="str">
        <f t="shared" si="268"/>
        <v/>
      </c>
      <c r="KN806" s="1638" t="str">
        <f t="shared" si="269"/>
        <v/>
      </c>
      <c r="KO806" s="1638" t="str">
        <f t="shared" si="270"/>
        <v/>
      </c>
      <c r="KP806" s="1638" t="str">
        <f t="shared" si="271"/>
        <v/>
      </c>
      <c r="KQ806" s="1638" t="str">
        <f t="shared" si="272"/>
        <v/>
      </c>
      <c r="KR806" s="1638" t="str">
        <f t="shared" si="273"/>
        <v/>
      </c>
      <c r="KS806" s="1638" t="str">
        <f t="shared" si="274"/>
        <v/>
      </c>
      <c r="KT806" s="1638" t="str">
        <f t="shared" si="275"/>
        <v/>
      </c>
      <c r="KU806" s="1638" t="str">
        <f t="shared" si="276"/>
        <v/>
      </c>
      <c r="KV806" s="1638" t="str">
        <f t="shared" si="277"/>
        <v/>
      </c>
      <c r="KW806" s="1638" t="str">
        <f t="shared" si="278"/>
        <v/>
      </c>
      <c r="KX806" s="1638" t="str">
        <f t="shared" si="279"/>
        <v/>
      </c>
      <c r="KY806" s="1638" t="str">
        <f t="shared" si="280"/>
        <v/>
      </c>
      <c r="KZ806" s="1638" t="str">
        <f t="shared" si="281"/>
        <v/>
      </c>
      <c r="LA806" s="1638" t="str">
        <f t="shared" si="282"/>
        <v/>
      </c>
      <c r="LB806" s="1638" t="str">
        <f t="shared" si="283"/>
        <v/>
      </c>
      <c r="LC806" s="1638" t="str">
        <f t="shared" si="284"/>
        <v/>
      </c>
      <c r="LD806" s="1638" t="str">
        <f t="shared" si="285"/>
        <v/>
      </c>
      <c r="LE806" s="1638" t="str">
        <f t="shared" si="286"/>
        <v/>
      </c>
      <c r="LF806" s="1637" t="str">
        <f t="shared" si="287"/>
        <v/>
      </c>
      <c r="LG806" s="1637" t="str">
        <f t="shared" si="288"/>
        <v/>
      </c>
      <c r="LH806" s="1637" t="str">
        <f t="shared" si="289"/>
        <v/>
      </c>
      <c r="LI806" s="1637" t="str">
        <f t="shared" si="290"/>
        <v/>
      </c>
      <c r="LJ806" s="1637" t="str">
        <f t="shared" si="291"/>
        <v/>
      </c>
      <c r="LK806" s="742" t="str">
        <f t="shared" si="292"/>
        <v/>
      </c>
      <c r="LL806" s="742" t="str">
        <f t="shared" si="293"/>
        <v/>
      </c>
      <c r="LM806" s="742" t="str">
        <f t="shared" si="294"/>
        <v/>
      </c>
      <c r="LN806" s="742" t="str">
        <f t="shared" si="295"/>
        <v/>
      </c>
      <c r="LO806" s="742" t="str">
        <f t="shared" si="296"/>
        <v/>
      </c>
      <c r="LP806" s="742" t="str">
        <f t="shared" si="297"/>
        <v/>
      </c>
      <c r="LQ806" s="742" t="str">
        <f t="shared" si="298"/>
        <v/>
      </c>
      <c r="LR806" s="742" t="str">
        <f t="shared" si="299"/>
        <v/>
      </c>
      <c r="LS806" s="742" t="str">
        <f t="shared" si="300"/>
        <v/>
      </c>
      <c r="LT806" s="742" t="str">
        <f t="shared" si="301"/>
        <v/>
      </c>
      <c r="LU806" s="742" t="str">
        <f t="shared" si="302"/>
        <v/>
      </c>
      <c r="LV806" s="742" t="str">
        <f t="shared" si="303"/>
        <v/>
      </c>
      <c r="LW806" s="742" t="str">
        <f t="shared" si="304"/>
        <v/>
      </c>
      <c r="LX806" s="742" t="str">
        <f t="shared" si="305"/>
        <v/>
      </c>
      <c r="LY806" s="742" t="str">
        <f t="shared" si="306"/>
        <v/>
      </c>
      <c r="LZ806" s="742" t="str">
        <f t="shared" si="307"/>
        <v/>
      </c>
      <c r="MA806" s="742" t="str">
        <f t="shared" si="308"/>
        <v/>
      </c>
      <c r="MB806" s="742" t="str">
        <f t="shared" si="309"/>
        <v/>
      </c>
      <c r="MC806" s="742" t="str">
        <f t="shared" si="310"/>
        <v/>
      </c>
      <c r="MD806" s="742" t="str">
        <f t="shared" si="311"/>
        <v/>
      </c>
      <c r="ME806" s="1637">
        <f t="shared" si="323"/>
        <v>0</v>
      </c>
      <c r="MF806" s="1637">
        <f t="shared" si="324"/>
        <v>0</v>
      </c>
      <c r="MG806" s="1637">
        <f t="shared" si="325"/>
        <v>0</v>
      </c>
      <c r="MH806" s="1637">
        <f t="shared" si="326"/>
        <v>0</v>
      </c>
      <c r="MI806" s="1637">
        <f t="shared" si="327"/>
        <v>0</v>
      </c>
      <c r="MJ806" s="1637">
        <f t="shared" si="328"/>
        <v>0</v>
      </c>
      <c r="MK806" s="1637">
        <f t="shared" si="329"/>
        <v>0</v>
      </c>
      <c r="ML806" s="1637">
        <f t="shared" si="330"/>
        <v>0</v>
      </c>
      <c r="MM806" s="1637">
        <f t="shared" si="331"/>
        <v>0</v>
      </c>
      <c r="MN806" s="1637">
        <f t="shared" si="332"/>
        <v>0</v>
      </c>
      <c r="MO806" s="1637">
        <f t="shared" si="333"/>
        <v>0</v>
      </c>
      <c r="MP806" s="1637">
        <f t="shared" si="334"/>
        <v>0</v>
      </c>
      <c r="MQ806" s="1637">
        <f t="shared" si="335"/>
        <v>0</v>
      </c>
      <c r="MR806" s="1637">
        <f t="shared" si="336"/>
        <v>0</v>
      </c>
      <c r="MS806" s="1637">
        <f t="shared" si="337"/>
        <v>0</v>
      </c>
    </row>
    <row r="807" spans="1:357" ht="13.5">
      <c r="A807" s="1630" t="str">
        <f t="shared" si="0"/>
        <v/>
      </c>
      <c r="B807" s="2757">
        <f>'Part VI-Revenues &amp; Expenses'!B45</f>
        <v>0</v>
      </c>
      <c r="C807" s="2146">
        <f>'Part VI-Revenues &amp; Expenses'!C45</f>
        <v>0</v>
      </c>
      <c r="D807" s="2147">
        <f>'Part VI-Revenues &amp; Expenses'!D45</f>
        <v>0</v>
      </c>
      <c r="E807" s="2148">
        <f>'Part VI-Revenues &amp; Expenses'!E45</f>
        <v>0</v>
      </c>
      <c r="F807" s="2148">
        <f>'Part VI-Revenues &amp; Expenses'!F45</f>
        <v>0</v>
      </c>
      <c r="G807" s="2148">
        <f>'Part VI-Revenues &amp; Expenses'!G45</f>
        <v>0</v>
      </c>
      <c r="H807" s="2148">
        <f>'Part VI-Revenues &amp; Expenses'!H45</f>
        <v>0</v>
      </c>
      <c r="I807" s="2148">
        <f>'Part VI-Revenues &amp; Expenses'!I45</f>
        <v>0</v>
      </c>
      <c r="J807" s="2149">
        <f>'Part VI-Revenues &amp; Expenses'!J45</f>
        <v>0</v>
      </c>
      <c r="K807" s="1822">
        <f t="shared" si="1"/>
        <v>0</v>
      </c>
      <c r="L807" s="1822">
        <f t="shared" si="2"/>
        <v>0</v>
      </c>
      <c r="M807" s="2133">
        <f>'Part VI-Revenues &amp; Expenses'!M45</f>
        <v>0</v>
      </c>
      <c r="N807" s="2133">
        <f>'Part VI-Revenues &amp; Expenses'!N45</f>
        <v>0</v>
      </c>
      <c r="O807" s="2133">
        <f>'Part VI-Revenues &amp; Expenses'!O45</f>
        <v>0</v>
      </c>
      <c r="P807" s="1633">
        <f>'Part VI-Revenues &amp; Expenses'!P45</f>
        <v>0</v>
      </c>
      <c r="Q807" s="1823" t="str">
        <f>'Part VI-Revenues &amp; Expenses'!Q45</f>
        <v/>
      </c>
      <c r="R807" s="1824" t="str">
        <f>'Part VI-Revenues &amp; Expenses'!R45</f>
        <v/>
      </c>
      <c r="S807" s="1823">
        <f>'Part VI-Revenues &amp; Expenses'!S45</f>
        <v>0</v>
      </c>
      <c r="T807" s="1824">
        <f>'Part VI-Revenues &amp; Expenses'!T45</f>
        <v>0</v>
      </c>
      <c r="U807" s="1838">
        <f>'Part VI-Revenues &amp; Expenses'!U45:V45</f>
        <v>0</v>
      </c>
      <c r="V807" s="1838"/>
      <c r="W807" s="742" t="str">
        <f t="shared" si="3"/>
        <v/>
      </c>
      <c r="X807" s="742" t="str">
        <f t="shared" si="4"/>
        <v/>
      </c>
      <c r="Y807" s="742" t="str">
        <f t="shared" si="5"/>
        <v/>
      </c>
      <c r="Z807" s="742" t="str">
        <f t="shared" si="6"/>
        <v/>
      </c>
      <c r="AA807" s="742" t="str">
        <f t="shared" si="7"/>
        <v/>
      </c>
      <c r="AB807" s="742" t="str">
        <f t="shared" si="8"/>
        <v/>
      </c>
      <c r="AC807" s="742" t="str">
        <f t="shared" si="9"/>
        <v/>
      </c>
      <c r="AD807" s="742" t="str">
        <f t="shared" si="10"/>
        <v/>
      </c>
      <c r="AE807" s="742" t="str">
        <f t="shared" si="11"/>
        <v/>
      </c>
      <c r="AF807" s="742" t="str">
        <f t="shared" si="12"/>
        <v/>
      </c>
      <c r="AG807" s="742" t="str">
        <f t="shared" si="13"/>
        <v/>
      </c>
      <c r="AH807" s="742" t="str">
        <f t="shared" si="14"/>
        <v/>
      </c>
      <c r="AI807" s="742" t="str">
        <f t="shared" si="15"/>
        <v/>
      </c>
      <c r="AJ807" s="742" t="str">
        <f t="shared" si="16"/>
        <v/>
      </c>
      <c r="AK807" s="742" t="str">
        <f t="shared" si="17"/>
        <v/>
      </c>
      <c r="AL807" s="742" t="str">
        <f t="shared" si="18"/>
        <v/>
      </c>
      <c r="AM807" s="742" t="str">
        <f t="shared" si="19"/>
        <v/>
      </c>
      <c r="AN807" s="742" t="str">
        <f t="shared" si="20"/>
        <v/>
      </c>
      <c r="AO807" s="742" t="str">
        <f t="shared" si="21"/>
        <v/>
      </c>
      <c r="AP807" s="742" t="str">
        <f t="shared" si="22"/>
        <v/>
      </c>
      <c r="AQ807" s="742" t="str">
        <f t="shared" si="23"/>
        <v/>
      </c>
      <c r="AR807" s="742" t="str">
        <f t="shared" si="24"/>
        <v/>
      </c>
      <c r="AS807" s="742" t="str">
        <f t="shared" si="25"/>
        <v/>
      </c>
      <c r="AT807" s="742" t="str">
        <f t="shared" si="26"/>
        <v/>
      </c>
      <c r="AU807" s="742" t="str">
        <f t="shared" si="27"/>
        <v/>
      </c>
      <c r="AV807" s="742" t="str">
        <f t="shared" si="28"/>
        <v/>
      </c>
      <c r="AW807" s="742" t="str">
        <f t="shared" si="29"/>
        <v/>
      </c>
      <c r="AX807" s="742" t="str">
        <f t="shared" si="30"/>
        <v/>
      </c>
      <c r="AY807" s="742" t="str">
        <f t="shared" si="31"/>
        <v/>
      </c>
      <c r="AZ807" s="742" t="str">
        <f t="shared" si="32"/>
        <v/>
      </c>
      <c r="BA807" s="742" t="str">
        <f t="shared" si="33"/>
        <v/>
      </c>
      <c r="BB807" s="742" t="str">
        <f t="shared" si="34"/>
        <v/>
      </c>
      <c r="BC807" s="742" t="str">
        <f t="shared" si="35"/>
        <v/>
      </c>
      <c r="BD807" s="742" t="str">
        <f t="shared" si="36"/>
        <v/>
      </c>
      <c r="BE807" s="742" t="str">
        <f t="shared" si="37"/>
        <v/>
      </c>
      <c r="BF807" s="742" t="str">
        <f t="shared" si="38"/>
        <v/>
      </c>
      <c r="BG807" s="742" t="str">
        <f t="shared" si="39"/>
        <v/>
      </c>
      <c r="BH807" s="742" t="str">
        <f t="shared" si="40"/>
        <v/>
      </c>
      <c r="BI807" s="742" t="str">
        <f t="shared" si="41"/>
        <v/>
      </c>
      <c r="BJ807" s="742" t="str">
        <f t="shared" si="42"/>
        <v/>
      </c>
      <c r="BK807" s="742" t="str">
        <f t="shared" si="43"/>
        <v/>
      </c>
      <c r="BL807" s="742" t="str">
        <f t="shared" si="44"/>
        <v/>
      </c>
      <c r="BM807" s="742" t="str">
        <f t="shared" si="45"/>
        <v/>
      </c>
      <c r="BN807" s="742" t="str">
        <f t="shared" si="46"/>
        <v/>
      </c>
      <c r="BO807" s="742" t="str">
        <f t="shared" si="47"/>
        <v/>
      </c>
      <c r="BP807" s="742" t="str">
        <f t="shared" si="48"/>
        <v/>
      </c>
      <c r="BQ807" s="742" t="str">
        <f t="shared" si="49"/>
        <v/>
      </c>
      <c r="BR807" s="742" t="str">
        <f t="shared" si="50"/>
        <v/>
      </c>
      <c r="BS807" s="742" t="str">
        <f t="shared" si="51"/>
        <v/>
      </c>
      <c r="BT807" s="742" t="str">
        <f t="shared" si="52"/>
        <v/>
      </c>
      <c r="BU807" s="742" t="str">
        <f t="shared" si="53"/>
        <v/>
      </c>
      <c r="BV807" s="742" t="str">
        <f t="shared" si="54"/>
        <v/>
      </c>
      <c r="BW807" s="742" t="str">
        <f t="shared" si="55"/>
        <v/>
      </c>
      <c r="BX807" s="742" t="str">
        <f t="shared" si="56"/>
        <v/>
      </c>
      <c r="BY807" s="742" t="str">
        <f t="shared" si="57"/>
        <v/>
      </c>
      <c r="BZ807" s="742" t="str">
        <f t="shared" si="58"/>
        <v/>
      </c>
      <c r="CA807" s="742" t="str">
        <f t="shared" si="59"/>
        <v/>
      </c>
      <c r="CB807" s="742" t="str">
        <f t="shared" si="60"/>
        <v/>
      </c>
      <c r="CC807" s="742" t="str">
        <f t="shared" si="61"/>
        <v/>
      </c>
      <c r="CD807" s="742" t="str">
        <f t="shared" si="62"/>
        <v/>
      </c>
      <c r="CE807" s="742" t="str">
        <f t="shared" si="63"/>
        <v/>
      </c>
      <c r="CF807" s="742" t="str">
        <f t="shared" si="64"/>
        <v/>
      </c>
      <c r="CG807" s="742" t="str">
        <f t="shared" si="65"/>
        <v/>
      </c>
      <c r="CH807" s="742" t="str">
        <f t="shared" si="66"/>
        <v/>
      </c>
      <c r="CI807" s="742" t="str">
        <f t="shared" si="67"/>
        <v/>
      </c>
      <c r="CJ807" s="742" t="str">
        <f t="shared" si="68"/>
        <v/>
      </c>
      <c r="CK807" s="742" t="str">
        <f t="shared" si="69"/>
        <v/>
      </c>
      <c r="CL807" s="742" t="str">
        <f t="shared" si="70"/>
        <v/>
      </c>
      <c r="CM807" s="742" t="str">
        <f t="shared" si="71"/>
        <v/>
      </c>
      <c r="CN807" s="742" t="str">
        <f t="shared" si="72"/>
        <v/>
      </c>
      <c r="CO807" s="742" t="str">
        <f t="shared" si="73"/>
        <v/>
      </c>
      <c r="CP807" s="742" t="str">
        <f t="shared" si="74"/>
        <v/>
      </c>
      <c r="CQ807" s="742" t="str">
        <f t="shared" si="75"/>
        <v/>
      </c>
      <c r="CR807" s="742" t="str">
        <f t="shared" si="76"/>
        <v/>
      </c>
      <c r="CS807" s="742" t="str">
        <f t="shared" si="77"/>
        <v/>
      </c>
      <c r="CT807" s="742" t="str">
        <f t="shared" si="78"/>
        <v/>
      </c>
      <c r="CU807" s="742" t="str">
        <f t="shared" si="79"/>
        <v/>
      </c>
      <c r="CV807" s="742" t="str">
        <f t="shared" si="80"/>
        <v/>
      </c>
      <c r="CW807" s="742" t="str">
        <f t="shared" si="81"/>
        <v/>
      </c>
      <c r="CX807" s="742" t="str">
        <f t="shared" si="82"/>
        <v/>
      </c>
      <c r="CY807" s="742" t="str">
        <f t="shared" si="83"/>
        <v/>
      </c>
      <c r="CZ807" s="742" t="str">
        <f t="shared" si="84"/>
        <v/>
      </c>
      <c r="DA807" s="742" t="str">
        <f t="shared" si="85"/>
        <v/>
      </c>
      <c r="DB807" s="742" t="str">
        <f t="shared" si="86"/>
        <v/>
      </c>
      <c r="DC807" s="742" t="str">
        <f t="shared" si="87"/>
        <v/>
      </c>
      <c r="DD807" s="742" t="str">
        <f t="shared" si="88"/>
        <v/>
      </c>
      <c r="DE807" s="742" t="str">
        <f t="shared" si="89"/>
        <v/>
      </c>
      <c r="DF807" s="742" t="str">
        <f t="shared" si="90"/>
        <v/>
      </c>
      <c r="DG807" s="742" t="str">
        <f t="shared" si="91"/>
        <v/>
      </c>
      <c r="DH807" s="742" t="str">
        <f t="shared" si="92"/>
        <v/>
      </c>
      <c r="DI807" s="742" t="str">
        <f t="shared" si="93"/>
        <v/>
      </c>
      <c r="DJ807" s="742" t="str">
        <f t="shared" si="94"/>
        <v/>
      </c>
      <c r="DK807" s="742" t="str">
        <f t="shared" si="95"/>
        <v/>
      </c>
      <c r="DL807" s="742" t="str">
        <f t="shared" si="96"/>
        <v/>
      </c>
      <c r="DM807" s="742" t="str">
        <f t="shared" si="97"/>
        <v/>
      </c>
      <c r="DN807" s="742" t="str">
        <f t="shared" si="98"/>
        <v/>
      </c>
      <c r="DO807" s="742" t="str">
        <f t="shared" si="99"/>
        <v/>
      </c>
      <c r="DP807" s="742" t="str">
        <f t="shared" si="100"/>
        <v/>
      </c>
      <c r="DQ807" s="742" t="str">
        <f t="shared" si="101"/>
        <v/>
      </c>
      <c r="DR807" s="742" t="str">
        <f t="shared" si="102"/>
        <v/>
      </c>
      <c r="DS807" s="742" t="str">
        <f t="shared" si="103"/>
        <v/>
      </c>
      <c r="DT807" s="742" t="str">
        <f t="shared" si="104"/>
        <v/>
      </c>
      <c r="DU807" s="742" t="str">
        <f t="shared" si="105"/>
        <v/>
      </c>
      <c r="DV807" s="742" t="str">
        <f t="shared" si="106"/>
        <v/>
      </c>
      <c r="DW807" s="742" t="str">
        <f t="shared" si="107"/>
        <v/>
      </c>
      <c r="DX807" s="742" t="str">
        <f t="shared" si="108"/>
        <v/>
      </c>
      <c r="DY807" s="742" t="str">
        <f t="shared" si="109"/>
        <v/>
      </c>
      <c r="DZ807" s="742" t="str">
        <f t="shared" si="110"/>
        <v/>
      </c>
      <c r="EA807" s="742" t="str">
        <f t="shared" si="111"/>
        <v/>
      </c>
      <c r="EB807" s="742" t="str">
        <f t="shared" si="112"/>
        <v/>
      </c>
      <c r="EC807" s="742" t="str">
        <f t="shared" si="113"/>
        <v/>
      </c>
      <c r="ED807" s="742" t="str">
        <f t="shared" si="114"/>
        <v/>
      </c>
      <c r="EE807" s="742" t="str">
        <f t="shared" si="115"/>
        <v/>
      </c>
      <c r="EF807" s="742" t="str">
        <f t="shared" si="116"/>
        <v/>
      </c>
      <c r="EG807" s="742" t="str">
        <f t="shared" si="312"/>
        <v/>
      </c>
      <c r="EH807" s="742" t="str">
        <f t="shared" si="117"/>
        <v/>
      </c>
      <c r="EI807" s="742" t="str">
        <f t="shared" si="118"/>
        <v/>
      </c>
      <c r="EJ807" s="742" t="str">
        <f t="shared" si="119"/>
        <v/>
      </c>
      <c r="EK807" s="742" t="str">
        <f t="shared" si="120"/>
        <v/>
      </c>
      <c r="EL807" s="742" t="str">
        <f t="shared" si="121"/>
        <v/>
      </c>
      <c r="EM807" s="742" t="str">
        <f t="shared" si="122"/>
        <v/>
      </c>
      <c r="EN807" s="742" t="str">
        <f t="shared" si="123"/>
        <v/>
      </c>
      <c r="EO807" s="742" t="str">
        <f t="shared" si="124"/>
        <v/>
      </c>
      <c r="EP807" s="742" t="str">
        <f t="shared" si="125"/>
        <v/>
      </c>
      <c r="EQ807" s="742" t="str">
        <f t="shared" si="126"/>
        <v/>
      </c>
      <c r="ER807" s="742" t="str">
        <f t="shared" si="127"/>
        <v/>
      </c>
      <c r="ES807" s="742" t="str">
        <f t="shared" si="128"/>
        <v/>
      </c>
      <c r="ET807" s="742" t="str">
        <f t="shared" si="129"/>
        <v/>
      </c>
      <c r="EU807" s="742" t="str">
        <f t="shared" si="130"/>
        <v/>
      </c>
      <c r="EV807" s="742" t="str">
        <f t="shared" si="131"/>
        <v/>
      </c>
      <c r="EW807" s="742" t="str">
        <f t="shared" si="313"/>
        <v/>
      </c>
      <c r="EX807" s="742" t="str">
        <f t="shared" si="314"/>
        <v/>
      </c>
      <c r="EY807" s="742" t="str">
        <f t="shared" si="315"/>
        <v/>
      </c>
      <c r="EZ807" s="742" t="str">
        <f t="shared" si="316"/>
        <v/>
      </c>
      <c r="FA807" s="742" t="str">
        <f t="shared" si="317"/>
        <v/>
      </c>
      <c r="FB807" s="742" t="str">
        <f t="shared" si="132"/>
        <v/>
      </c>
      <c r="FC807" s="742" t="str">
        <f t="shared" si="133"/>
        <v/>
      </c>
      <c r="FD807" s="742" t="str">
        <f t="shared" si="134"/>
        <v/>
      </c>
      <c r="FE807" s="742" t="str">
        <f t="shared" si="135"/>
        <v/>
      </c>
      <c r="FF807" s="742" t="str">
        <f t="shared" si="136"/>
        <v/>
      </c>
      <c r="FG807" s="742" t="str">
        <f t="shared" si="318"/>
        <v/>
      </c>
      <c r="FH807" s="742" t="str">
        <f t="shared" si="319"/>
        <v/>
      </c>
      <c r="FI807" s="742" t="str">
        <f t="shared" si="320"/>
        <v/>
      </c>
      <c r="FJ807" s="742" t="str">
        <f t="shared" si="321"/>
        <v/>
      </c>
      <c r="FK807" s="742" t="str">
        <f t="shared" si="322"/>
        <v/>
      </c>
      <c r="FL807" s="742" t="str">
        <f t="shared" si="137"/>
        <v/>
      </c>
      <c r="FM807" s="742" t="str">
        <f t="shared" si="138"/>
        <v/>
      </c>
      <c r="FN807" s="742" t="str">
        <f t="shared" si="139"/>
        <v/>
      </c>
      <c r="FO807" s="742" t="str">
        <f t="shared" si="140"/>
        <v/>
      </c>
      <c r="FP807" s="742" t="str">
        <f t="shared" si="141"/>
        <v/>
      </c>
      <c r="FQ807" s="742" t="str">
        <f t="shared" si="142"/>
        <v/>
      </c>
      <c r="FR807" s="742" t="str">
        <f t="shared" si="143"/>
        <v/>
      </c>
      <c r="FS807" s="742" t="str">
        <f t="shared" si="144"/>
        <v/>
      </c>
      <c r="FT807" s="742" t="str">
        <f t="shared" si="145"/>
        <v/>
      </c>
      <c r="FU807" s="742" t="str">
        <f t="shared" si="146"/>
        <v/>
      </c>
      <c r="FV807" s="742" t="str">
        <f t="shared" si="147"/>
        <v/>
      </c>
      <c r="FW807" s="742" t="str">
        <f t="shared" si="148"/>
        <v/>
      </c>
      <c r="FX807" s="742" t="str">
        <f t="shared" si="149"/>
        <v/>
      </c>
      <c r="FY807" s="742" t="str">
        <f t="shared" si="150"/>
        <v/>
      </c>
      <c r="FZ807" s="742" t="str">
        <f t="shared" si="151"/>
        <v/>
      </c>
      <c r="GA807" s="742" t="str">
        <f t="shared" si="152"/>
        <v/>
      </c>
      <c r="GB807" s="742" t="str">
        <f t="shared" si="153"/>
        <v/>
      </c>
      <c r="GC807" s="742" t="str">
        <f t="shared" si="154"/>
        <v/>
      </c>
      <c r="GD807" s="742" t="str">
        <f t="shared" si="155"/>
        <v/>
      </c>
      <c r="GE807" s="742" t="str">
        <f t="shared" si="156"/>
        <v/>
      </c>
      <c r="GF807" s="742" t="str">
        <f t="shared" si="157"/>
        <v/>
      </c>
      <c r="GG807" s="742" t="str">
        <f t="shared" si="158"/>
        <v/>
      </c>
      <c r="GH807" s="742" t="str">
        <f t="shared" si="159"/>
        <v/>
      </c>
      <c r="GI807" s="742" t="str">
        <f t="shared" si="160"/>
        <v/>
      </c>
      <c r="GJ807" s="742" t="str">
        <f t="shared" si="161"/>
        <v/>
      </c>
      <c r="GK807" s="742" t="str">
        <f t="shared" si="162"/>
        <v/>
      </c>
      <c r="GL807" s="742" t="str">
        <f t="shared" si="163"/>
        <v/>
      </c>
      <c r="GM807" s="742" t="str">
        <f t="shared" si="164"/>
        <v/>
      </c>
      <c r="GN807" s="742" t="str">
        <f t="shared" si="165"/>
        <v/>
      </c>
      <c r="GO807" s="742" t="str">
        <f t="shared" si="166"/>
        <v/>
      </c>
      <c r="GP807" s="742" t="str">
        <f t="shared" si="167"/>
        <v/>
      </c>
      <c r="GQ807" s="742" t="str">
        <f t="shared" si="168"/>
        <v/>
      </c>
      <c r="GR807" s="742" t="str">
        <f t="shared" si="169"/>
        <v/>
      </c>
      <c r="GS807" s="742" t="str">
        <f t="shared" si="170"/>
        <v/>
      </c>
      <c r="GT807" s="742" t="str">
        <f t="shared" si="171"/>
        <v/>
      </c>
      <c r="GU807" s="742" t="str">
        <f t="shared" si="172"/>
        <v/>
      </c>
      <c r="GV807" s="742" t="str">
        <f t="shared" si="173"/>
        <v/>
      </c>
      <c r="GW807" s="742" t="str">
        <f t="shared" si="174"/>
        <v/>
      </c>
      <c r="GX807" s="742" t="str">
        <f t="shared" si="175"/>
        <v/>
      </c>
      <c r="GY807" s="742" t="str">
        <f t="shared" si="176"/>
        <v/>
      </c>
      <c r="GZ807" s="742" t="str">
        <f t="shared" si="177"/>
        <v/>
      </c>
      <c r="HA807" s="742" t="str">
        <f t="shared" si="178"/>
        <v/>
      </c>
      <c r="HB807" s="742" t="str">
        <f t="shared" si="179"/>
        <v/>
      </c>
      <c r="HC807" s="742" t="str">
        <f t="shared" si="180"/>
        <v/>
      </c>
      <c r="HD807" s="742" t="str">
        <f t="shared" si="181"/>
        <v/>
      </c>
      <c r="HE807" s="742" t="str">
        <f t="shared" si="182"/>
        <v/>
      </c>
      <c r="HF807" s="742" t="str">
        <f t="shared" si="183"/>
        <v/>
      </c>
      <c r="HG807" s="742" t="str">
        <f t="shared" si="184"/>
        <v/>
      </c>
      <c r="HH807" s="742" t="str">
        <f t="shared" si="185"/>
        <v/>
      </c>
      <c r="HI807" s="742" t="str">
        <f t="shared" si="186"/>
        <v/>
      </c>
      <c r="HJ807" s="742" t="str">
        <f t="shared" si="187"/>
        <v/>
      </c>
      <c r="HK807" s="742" t="str">
        <f t="shared" si="188"/>
        <v/>
      </c>
      <c r="HL807" s="742" t="str">
        <f t="shared" si="189"/>
        <v/>
      </c>
      <c r="HM807" s="742" t="str">
        <f t="shared" si="190"/>
        <v/>
      </c>
      <c r="HN807" s="742" t="str">
        <f t="shared" si="191"/>
        <v/>
      </c>
      <c r="HO807" s="742" t="str">
        <f t="shared" si="192"/>
        <v/>
      </c>
      <c r="HP807" s="742" t="str">
        <f t="shared" si="193"/>
        <v/>
      </c>
      <c r="HQ807" s="742" t="str">
        <f t="shared" si="194"/>
        <v/>
      </c>
      <c r="HR807" s="742" t="str">
        <f t="shared" si="195"/>
        <v/>
      </c>
      <c r="HS807" s="742" t="str">
        <f t="shared" si="196"/>
        <v/>
      </c>
      <c r="HT807" s="742" t="str">
        <f t="shared" si="197"/>
        <v/>
      </c>
      <c r="HU807" s="742" t="str">
        <f t="shared" si="198"/>
        <v/>
      </c>
      <c r="HV807" s="742" t="str">
        <f t="shared" si="199"/>
        <v/>
      </c>
      <c r="HW807" s="742" t="str">
        <f t="shared" si="200"/>
        <v/>
      </c>
      <c r="HX807" s="742" t="str">
        <f t="shared" si="201"/>
        <v/>
      </c>
      <c r="HY807" s="1638" t="str">
        <f t="shared" si="202"/>
        <v/>
      </c>
      <c r="HZ807" s="1638" t="str">
        <f t="shared" si="203"/>
        <v/>
      </c>
      <c r="IA807" s="1638" t="str">
        <f t="shared" si="204"/>
        <v/>
      </c>
      <c r="IB807" s="1638" t="str">
        <f t="shared" si="205"/>
        <v/>
      </c>
      <c r="IC807" s="1638" t="str">
        <f t="shared" si="206"/>
        <v/>
      </c>
      <c r="ID807" s="1638" t="str">
        <f t="shared" si="207"/>
        <v/>
      </c>
      <c r="IE807" s="1638" t="str">
        <f t="shared" si="208"/>
        <v/>
      </c>
      <c r="IF807" s="1638" t="str">
        <f t="shared" si="209"/>
        <v/>
      </c>
      <c r="IG807" s="1638" t="str">
        <f t="shared" si="210"/>
        <v/>
      </c>
      <c r="IH807" s="1638" t="str">
        <f t="shared" si="211"/>
        <v/>
      </c>
      <c r="II807" s="1638" t="str">
        <f t="shared" si="212"/>
        <v/>
      </c>
      <c r="IJ807" s="1638" t="str">
        <f t="shared" si="213"/>
        <v/>
      </c>
      <c r="IK807" s="1638" t="str">
        <f t="shared" si="214"/>
        <v/>
      </c>
      <c r="IL807" s="1638" t="str">
        <f t="shared" si="215"/>
        <v/>
      </c>
      <c r="IM807" s="1638" t="str">
        <f t="shared" si="216"/>
        <v/>
      </c>
      <c r="IN807" s="1638" t="str">
        <f t="shared" si="217"/>
        <v/>
      </c>
      <c r="IO807" s="1638" t="str">
        <f t="shared" si="218"/>
        <v/>
      </c>
      <c r="IP807" s="1638" t="str">
        <f t="shared" si="219"/>
        <v/>
      </c>
      <c r="IQ807" s="1638" t="str">
        <f t="shared" si="220"/>
        <v/>
      </c>
      <c r="IR807" s="1638" t="str">
        <f t="shared" si="221"/>
        <v/>
      </c>
      <c r="IS807" s="1638" t="str">
        <f t="shared" si="222"/>
        <v/>
      </c>
      <c r="IT807" s="1638" t="str">
        <f t="shared" si="223"/>
        <v/>
      </c>
      <c r="IU807" s="1638" t="str">
        <f t="shared" si="224"/>
        <v/>
      </c>
      <c r="IV807" s="1638" t="str">
        <f t="shared" si="225"/>
        <v/>
      </c>
      <c r="IW807" s="1638" t="str">
        <f t="shared" si="226"/>
        <v/>
      </c>
      <c r="IX807" s="1638" t="str">
        <f t="shared" si="227"/>
        <v/>
      </c>
      <c r="IY807" s="1638" t="str">
        <f t="shared" si="228"/>
        <v/>
      </c>
      <c r="IZ807" s="1638" t="str">
        <f t="shared" si="229"/>
        <v/>
      </c>
      <c r="JA807" s="1638" t="str">
        <f t="shared" si="230"/>
        <v/>
      </c>
      <c r="JB807" s="1638" t="str">
        <f t="shared" si="231"/>
        <v/>
      </c>
      <c r="JC807" s="1638" t="str">
        <f t="shared" si="232"/>
        <v/>
      </c>
      <c r="JD807" s="1638" t="str">
        <f t="shared" si="233"/>
        <v/>
      </c>
      <c r="JE807" s="1638" t="str">
        <f t="shared" si="234"/>
        <v/>
      </c>
      <c r="JF807" s="1638" t="str">
        <f t="shared" si="235"/>
        <v/>
      </c>
      <c r="JG807" s="1638" t="str">
        <f t="shared" si="236"/>
        <v/>
      </c>
      <c r="JH807" s="1638" t="str">
        <f t="shared" si="237"/>
        <v/>
      </c>
      <c r="JI807" s="1638" t="str">
        <f t="shared" si="238"/>
        <v/>
      </c>
      <c r="JJ807" s="1638" t="str">
        <f t="shared" si="239"/>
        <v/>
      </c>
      <c r="JK807" s="1638" t="str">
        <f t="shared" si="240"/>
        <v/>
      </c>
      <c r="JL807" s="1638" t="str">
        <f t="shared" si="241"/>
        <v/>
      </c>
      <c r="JM807" s="1638" t="str">
        <f t="shared" si="242"/>
        <v/>
      </c>
      <c r="JN807" s="1638" t="str">
        <f t="shared" si="243"/>
        <v/>
      </c>
      <c r="JO807" s="1638" t="str">
        <f t="shared" si="244"/>
        <v/>
      </c>
      <c r="JP807" s="1638" t="str">
        <f t="shared" si="245"/>
        <v/>
      </c>
      <c r="JQ807" s="1638" t="str">
        <f t="shared" si="246"/>
        <v/>
      </c>
      <c r="JR807" s="1638" t="str">
        <f t="shared" si="247"/>
        <v/>
      </c>
      <c r="JS807" s="1638" t="str">
        <f t="shared" si="248"/>
        <v/>
      </c>
      <c r="JT807" s="1638" t="str">
        <f t="shared" si="249"/>
        <v/>
      </c>
      <c r="JU807" s="1638" t="str">
        <f t="shared" si="250"/>
        <v/>
      </c>
      <c r="JV807" s="1638" t="str">
        <f t="shared" si="251"/>
        <v/>
      </c>
      <c r="JW807" s="1638" t="str">
        <f t="shared" si="252"/>
        <v/>
      </c>
      <c r="JX807" s="1638" t="str">
        <f t="shared" si="253"/>
        <v/>
      </c>
      <c r="JY807" s="1638" t="str">
        <f t="shared" si="254"/>
        <v/>
      </c>
      <c r="JZ807" s="1638" t="str">
        <f t="shared" si="255"/>
        <v/>
      </c>
      <c r="KA807" s="1638" t="str">
        <f t="shared" si="256"/>
        <v/>
      </c>
      <c r="KB807" s="1638" t="str">
        <f t="shared" si="257"/>
        <v/>
      </c>
      <c r="KC807" s="1638" t="str">
        <f t="shared" si="258"/>
        <v/>
      </c>
      <c r="KD807" s="1638" t="str">
        <f t="shared" si="259"/>
        <v/>
      </c>
      <c r="KE807" s="1638" t="str">
        <f t="shared" si="260"/>
        <v/>
      </c>
      <c r="KF807" s="1638" t="str">
        <f t="shared" si="261"/>
        <v/>
      </c>
      <c r="KG807" s="1638" t="str">
        <f t="shared" si="262"/>
        <v/>
      </c>
      <c r="KH807" s="1638" t="str">
        <f t="shared" si="263"/>
        <v/>
      </c>
      <c r="KI807" s="1638" t="str">
        <f t="shared" si="264"/>
        <v/>
      </c>
      <c r="KJ807" s="1638" t="str">
        <f t="shared" si="265"/>
        <v/>
      </c>
      <c r="KK807" s="1638" t="str">
        <f t="shared" si="266"/>
        <v/>
      </c>
      <c r="KL807" s="1638" t="str">
        <f t="shared" si="267"/>
        <v/>
      </c>
      <c r="KM807" s="1638" t="str">
        <f t="shared" si="268"/>
        <v/>
      </c>
      <c r="KN807" s="1638" t="str">
        <f t="shared" si="269"/>
        <v/>
      </c>
      <c r="KO807" s="1638" t="str">
        <f t="shared" si="270"/>
        <v/>
      </c>
      <c r="KP807" s="1638" t="str">
        <f t="shared" si="271"/>
        <v/>
      </c>
      <c r="KQ807" s="1638" t="str">
        <f t="shared" si="272"/>
        <v/>
      </c>
      <c r="KR807" s="1638" t="str">
        <f t="shared" si="273"/>
        <v/>
      </c>
      <c r="KS807" s="1638" t="str">
        <f t="shared" si="274"/>
        <v/>
      </c>
      <c r="KT807" s="1638" t="str">
        <f t="shared" si="275"/>
        <v/>
      </c>
      <c r="KU807" s="1638" t="str">
        <f t="shared" si="276"/>
        <v/>
      </c>
      <c r="KV807" s="1638" t="str">
        <f t="shared" si="277"/>
        <v/>
      </c>
      <c r="KW807" s="1638" t="str">
        <f t="shared" si="278"/>
        <v/>
      </c>
      <c r="KX807" s="1638" t="str">
        <f t="shared" si="279"/>
        <v/>
      </c>
      <c r="KY807" s="1638" t="str">
        <f t="shared" si="280"/>
        <v/>
      </c>
      <c r="KZ807" s="1638" t="str">
        <f t="shared" si="281"/>
        <v/>
      </c>
      <c r="LA807" s="1638" t="str">
        <f t="shared" si="282"/>
        <v/>
      </c>
      <c r="LB807" s="1638" t="str">
        <f t="shared" si="283"/>
        <v/>
      </c>
      <c r="LC807" s="1638" t="str">
        <f t="shared" si="284"/>
        <v/>
      </c>
      <c r="LD807" s="1638" t="str">
        <f t="shared" si="285"/>
        <v/>
      </c>
      <c r="LE807" s="1638" t="str">
        <f t="shared" si="286"/>
        <v/>
      </c>
      <c r="LF807" s="1637" t="str">
        <f t="shared" si="287"/>
        <v/>
      </c>
      <c r="LG807" s="1637" t="str">
        <f t="shared" si="288"/>
        <v/>
      </c>
      <c r="LH807" s="1637" t="str">
        <f t="shared" si="289"/>
        <v/>
      </c>
      <c r="LI807" s="1637" t="str">
        <f t="shared" si="290"/>
        <v/>
      </c>
      <c r="LJ807" s="1637" t="str">
        <f t="shared" si="291"/>
        <v/>
      </c>
      <c r="LK807" s="742" t="str">
        <f t="shared" si="292"/>
        <v/>
      </c>
      <c r="LL807" s="742" t="str">
        <f t="shared" si="293"/>
        <v/>
      </c>
      <c r="LM807" s="742" t="str">
        <f t="shared" si="294"/>
        <v/>
      </c>
      <c r="LN807" s="742" t="str">
        <f t="shared" si="295"/>
        <v/>
      </c>
      <c r="LO807" s="742" t="str">
        <f t="shared" si="296"/>
        <v/>
      </c>
      <c r="LP807" s="742" t="str">
        <f t="shared" si="297"/>
        <v/>
      </c>
      <c r="LQ807" s="742" t="str">
        <f t="shared" si="298"/>
        <v/>
      </c>
      <c r="LR807" s="742" t="str">
        <f t="shared" si="299"/>
        <v/>
      </c>
      <c r="LS807" s="742" t="str">
        <f t="shared" si="300"/>
        <v/>
      </c>
      <c r="LT807" s="742" t="str">
        <f t="shared" si="301"/>
        <v/>
      </c>
      <c r="LU807" s="742" t="str">
        <f t="shared" si="302"/>
        <v/>
      </c>
      <c r="LV807" s="742" t="str">
        <f t="shared" si="303"/>
        <v/>
      </c>
      <c r="LW807" s="742" t="str">
        <f t="shared" si="304"/>
        <v/>
      </c>
      <c r="LX807" s="742" t="str">
        <f t="shared" si="305"/>
        <v/>
      </c>
      <c r="LY807" s="742" t="str">
        <f t="shared" si="306"/>
        <v/>
      </c>
      <c r="LZ807" s="742" t="str">
        <f t="shared" si="307"/>
        <v/>
      </c>
      <c r="MA807" s="742" t="str">
        <f t="shared" si="308"/>
        <v/>
      </c>
      <c r="MB807" s="742" t="str">
        <f t="shared" si="309"/>
        <v/>
      </c>
      <c r="MC807" s="742" t="str">
        <f t="shared" si="310"/>
        <v/>
      </c>
      <c r="MD807" s="742" t="str">
        <f t="shared" si="311"/>
        <v/>
      </c>
      <c r="ME807" s="1637">
        <f t="shared" si="323"/>
        <v>0</v>
      </c>
      <c r="MF807" s="1637">
        <f t="shared" si="324"/>
        <v>0</v>
      </c>
      <c r="MG807" s="1637">
        <f t="shared" si="325"/>
        <v>0</v>
      </c>
      <c r="MH807" s="1637">
        <f t="shared" si="326"/>
        <v>0</v>
      </c>
      <c r="MI807" s="1637">
        <f t="shared" si="327"/>
        <v>0</v>
      </c>
      <c r="MJ807" s="1637">
        <f t="shared" si="328"/>
        <v>0</v>
      </c>
      <c r="MK807" s="1637">
        <f t="shared" si="329"/>
        <v>0</v>
      </c>
      <c r="ML807" s="1637">
        <f t="shared" si="330"/>
        <v>0</v>
      </c>
      <c r="MM807" s="1637">
        <f t="shared" si="331"/>
        <v>0</v>
      </c>
      <c r="MN807" s="1637">
        <f t="shared" si="332"/>
        <v>0</v>
      </c>
      <c r="MO807" s="1637">
        <f t="shared" si="333"/>
        <v>0</v>
      </c>
      <c r="MP807" s="1637">
        <f t="shared" si="334"/>
        <v>0</v>
      </c>
      <c r="MQ807" s="1637">
        <f t="shared" si="335"/>
        <v>0</v>
      </c>
      <c r="MR807" s="1637">
        <f t="shared" si="336"/>
        <v>0</v>
      </c>
      <c r="MS807" s="1637">
        <f t="shared" si="337"/>
        <v>0</v>
      </c>
    </row>
    <row r="808" spans="1:357" ht="13.5">
      <c r="A808" s="1630" t="str">
        <f t="shared" si="0"/>
        <v/>
      </c>
      <c r="B808" s="2757">
        <f>'Part VI-Revenues &amp; Expenses'!B46</f>
        <v>0</v>
      </c>
      <c r="C808" s="2146">
        <f>'Part VI-Revenues &amp; Expenses'!C46</f>
        <v>0</v>
      </c>
      <c r="D808" s="2147">
        <f>'Part VI-Revenues &amp; Expenses'!D46</f>
        <v>0</v>
      </c>
      <c r="E808" s="2148">
        <f>'Part VI-Revenues &amp; Expenses'!E46</f>
        <v>0</v>
      </c>
      <c r="F808" s="2148">
        <f>'Part VI-Revenues &amp; Expenses'!F46</f>
        <v>0</v>
      </c>
      <c r="G808" s="2148">
        <f>'Part VI-Revenues &amp; Expenses'!G46</f>
        <v>0</v>
      </c>
      <c r="H808" s="2148">
        <f>'Part VI-Revenues &amp; Expenses'!H46</f>
        <v>0</v>
      </c>
      <c r="I808" s="2148">
        <f>'Part VI-Revenues &amp; Expenses'!I46</f>
        <v>0</v>
      </c>
      <c r="J808" s="2149">
        <f>'Part VI-Revenues &amp; Expenses'!J46</f>
        <v>0</v>
      </c>
      <c r="K808" s="1822">
        <f t="shared" si="1"/>
        <v>0</v>
      </c>
      <c r="L808" s="1822">
        <f t="shared" si="2"/>
        <v>0</v>
      </c>
      <c r="M808" s="2133">
        <f>'Part VI-Revenues &amp; Expenses'!M46</f>
        <v>0</v>
      </c>
      <c r="N808" s="2133">
        <f>'Part VI-Revenues &amp; Expenses'!N46</f>
        <v>0</v>
      </c>
      <c r="O808" s="2133">
        <f>'Part VI-Revenues &amp; Expenses'!O46</f>
        <v>0</v>
      </c>
      <c r="P808" s="1633">
        <f>'Part VI-Revenues &amp; Expenses'!P46</f>
        <v>0</v>
      </c>
      <c r="Q808" s="1823" t="str">
        <f>'Part VI-Revenues &amp; Expenses'!Q46</f>
        <v/>
      </c>
      <c r="R808" s="1824" t="str">
        <f>'Part VI-Revenues &amp; Expenses'!R46</f>
        <v/>
      </c>
      <c r="S808" s="1823">
        <f>'Part VI-Revenues &amp; Expenses'!S46</f>
        <v>0</v>
      </c>
      <c r="T808" s="1824">
        <f>'Part VI-Revenues &amp; Expenses'!T46</f>
        <v>0</v>
      </c>
      <c r="U808" s="1838">
        <f>'Part VI-Revenues &amp; Expenses'!U46:V46</f>
        <v>0</v>
      </c>
      <c r="V808" s="1838"/>
      <c r="W808" s="742" t="str">
        <f t="shared" si="3"/>
        <v/>
      </c>
      <c r="X808" s="742" t="str">
        <f t="shared" si="4"/>
        <v/>
      </c>
      <c r="Y808" s="742" t="str">
        <f t="shared" si="5"/>
        <v/>
      </c>
      <c r="Z808" s="742" t="str">
        <f t="shared" si="6"/>
        <v/>
      </c>
      <c r="AA808" s="742" t="str">
        <f t="shared" si="7"/>
        <v/>
      </c>
      <c r="AB808" s="742" t="str">
        <f t="shared" si="8"/>
        <v/>
      </c>
      <c r="AC808" s="742" t="str">
        <f t="shared" si="9"/>
        <v/>
      </c>
      <c r="AD808" s="742" t="str">
        <f t="shared" si="10"/>
        <v/>
      </c>
      <c r="AE808" s="742" t="str">
        <f t="shared" si="11"/>
        <v/>
      </c>
      <c r="AF808" s="742" t="str">
        <f t="shared" si="12"/>
        <v/>
      </c>
      <c r="AG808" s="742" t="str">
        <f t="shared" si="13"/>
        <v/>
      </c>
      <c r="AH808" s="742" t="str">
        <f t="shared" si="14"/>
        <v/>
      </c>
      <c r="AI808" s="742" t="str">
        <f t="shared" si="15"/>
        <v/>
      </c>
      <c r="AJ808" s="742" t="str">
        <f t="shared" si="16"/>
        <v/>
      </c>
      <c r="AK808" s="742" t="str">
        <f t="shared" si="17"/>
        <v/>
      </c>
      <c r="AL808" s="742" t="str">
        <f t="shared" si="18"/>
        <v/>
      </c>
      <c r="AM808" s="742" t="str">
        <f t="shared" si="19"/>
        <v/>
      </c>
      <c r="AN808" s="742" t="str">
        <f t="shared" si="20"/>
        <v/>
      </c>
      <c r="AO808" s="742" t="str">
        <f t="shared" si="21"/>
        <v/>
      </c>
      <c r="AP808" s="742" t="str">
        <f t="shared" si="22"/>
        <v/>
      </c>
      <c r="AQ808" s="742" t="str">
        <f t="shared" si="23"/>
        <v/>
      </c>
      <c r="AR808" s="742" t="str">
        <f t="shared" si="24"/>
        <v/>
      </c>
      <c r="AS808" s="742" t="str">
        <f t="shared" si="25"/>
        <v/>
      </c>
      <c r="AT808" s="742" t="str">
        <f t="shared" si="26"/>
        <v/>
      </c>
      <c r="AU808" s="742" t="str">
        <f t="shared" si="27"/>
        <v/>
      </c>
      <c r="AV808" s="742" t="str">
        <f t="shared" si="28"/>
        <v/>
      </c>
      <c r="AW808" s="742" t="str">
        <f t="shared" si="29"/>
        <v/>
      </c>
      <c r="AX808" s="742" t="str">
        <f t="shared" si="30"/>
        <v/>
      </c>
      <c r="AY808" s="742" t="str">
        <f t="shared" si="31"/>
        <v/>
      </c>
      <c r="AZ808" s="742" t="str">
        <f t="shared" si="32"/>
        <v/>
      </c>
      <c r="BA808" s="742" t="str">
        <f t="shared" si="33"/>
        <v/>
      </c>
      <c r="BB808" s="742" t="str">
        <f t="shared" si="34"/>
        <v/>
      </c>
      <c r="BC808" s="742" t="str">
        <f t="shared" si="35"/>
        <v/>
      </c>
      <c r="BD808" s="742" t="str">
        <f t="shared" si="36"/>
        <v/>
      </c>
      <c r="BE808" s="742" t="str">
        <f t="shared" si="37"/>
        <v/>
      </c>
      <c r="BF808" s="742" t="str">
        <f t="shared" si="38"/>
        <v/>
      </c>
      <c r="BG808" s="742" t="str">
        <f t="shared" si="39"/>
        <v/>
      </c>
      <c r="BH808" s="742" t="str">
        <f t="shared" si="40"/>
        <v/>
      </c>
      <c r="BI808" s="742" t="str">
        <f t="shared" si="41"/>
        <v/>
      </c>
      <c r="BJ808" s="742" t="str">
        <f t="shared" si="42"/>
        <v/>
      </c>
      <c r="BK808" s="742" t="str">
        <f t="shared" si="43"/>
        <v/>
      </c>
      <c r="BL808" s="742" t="str">
        <f t="shared" si="44"/>
        <v/>
      </c>
      <c r="BM808" s="742" t="str">
        <f t="shared" si="45"/>
        <v/>
      </c>
      <c r="BN808" s="742" t="str">
        <f t="shared" si="46"/>
        <v/>
      </c>
      <c r="BO808" s="742" t="str">
        <f t="shared" si="47"/>
        <v/>
      </c>
      <c r="BP808" s="742" t="str">
        <f t="shared" si="48"/>
        <v/>
      </c>
      <c r="BQ808" s="742" t="str">
        <f t="shared" si="49"/>
        <v/>
      </c>
      <c r="BR808" s="742" t="str">
        <f t="shared" si="50"/>
        <v/>
      </c>
      <c r="BS808" s="742" t="str">
        <f t="shared" si="51"/>
        <v/>
      </c>
      <c r="BT808" s="742" t="str">
        <f t="shared" si="52"/>
        <v/>
      </c>
      <c r="BU808" s="742" t="str">
        <f t="shared" si="53"/>
        <v/>
      </c>
      <c r="BV808" s="742" t="str">
        <f t="shared" si="54"/>
        <v/>
      </c>
      <c r="BW808" s="742" t="str">
        <f t="shared" si="55"/>
        <v/>
      </c>
      <c r="BX808" s="742" t="str">
        <f t="shared" si="56"/>
        <v/>
      </c>
      <c r="BY808" s="742" t="str">
        <f t="shared" si="57"/>
        <v/>
      </c>
      <c r="BZ808" s="742" t="str">
        <f t="shared" si="58"/>
        <v/>
      </c>
      <c r="CA808" s="742" t="str">
        <f t="shared" si="59"/>
        <v/>
      </c>
      <c r="CB808" s="742" t="str">
        <f t="shared" si="60"/>
        <v/>
      </c>
      <c r="CC808" s="742" t="str">
        <f t="shared" si="61"/>
        <v/>
      </c>
      <c r="CD808" s="742" t="str">
        <f t="shared" si="62"/>
        <v/>
      </c>
      <c r="CE808" s="742" t="str">
        <f t="shared" si="63"/>
        <v/>
      </c>
      <c r="CF808" s="742" t="str">
        <f t="shared" si="64"/>
        <v/>
      </c>
      <c r="CG808" s="742" t="str">
        <f t="shared" si="65"/>
        <v/>
      </c>
      <c r="CH808" s="742" t="str">
        <f t="shared" si="66"/>
        <v/>
      </c>
      <c r="CI808" s="742" t="str">
        <f t="shared" si="67"/>
        <v/>
      </c>
      <c r="CJ808" s="742" t="str">
        <f t="shared" si="68"/>
        <v/>
      </c>
      <c r="CK808" s="742" t="str">
        <f t="shared" si="69"/>
        <v/>
      </c>
      <c r="CL808" s="742" t="str">
        <f t="shared" si="70"/>
        <v/>
      </c>
      <c r="CM808" s="742" t="str">
        <f t="shared" si="71"/>
        <v/>
      </c>
      <c r="CN808" s="742" t="str">
        <f t="shared" si="72"/>
        <v/>
      </c>
      <c r="CO808" s="742" t="str">
        <f t="shared" si="73"/>
        <v/>
      </c>
      <c r="CP808" s="742" t="str">
        <f t="shared" si="74"/>
        <v/>
      </c>
      <c r="CQ808" s="742" t="str">
        <f t="shared" si="75"/>
        <v/>
      </c>
      <c r="CR808" s="742" t="str">
        <f t="shared" si="76"/>
        <v/>
      </c>
      <c r="CS808" s="742" t="str">
        <f t="shared" si="77"/>
        <v/>
      </c>
      <c r="CT808" s="742" t="str">
        <f t="shared" si="78"/>
        <v/>
      </c>
      <c r="CU808" s="742" t="str">
        <f t="shared" si="79"/>
        <v/>
      </c>
      <c r="CV808" s="742" t="str">
        <f t="shared" si="80"/>
        <v/>
      </c>
      <c r="CW808" s="742" t="str">
        <f t="shared" si="81"/>
        <v/>
      </c>
      <c r="CX808" s="742" t="str">
        <f t="shared" si="82"/>
        <v/>
      </c>
      <c r="CY808" s="742" t="str">
        <f t="shared" si="83"/>
        <v/>
      </c>
      <c r="CZ808" s="742" t="str">
        <f t="shared" si="84"/>
        <v/>
      </c>
      <c r="DA808" s="742" t="str">
        <f t="shared" si="85"/>
        <v/>
      </c>
      <c r="DB808" s="742" t="str">
        <f t="shared" si="86"/>
        <v/>
      </c>
      <c r="DC808" s="742" t="str">
        <f t="shared" si="87"/>
        <v/>
      </c>
      <c r="DD808" s="742" t="str">
        <f t="shared" si="88"/>
        <v/>
      </c>
      <c r="DE808" s="742" t="str">
        <f t="shared" si="89"/>
        <v/>
      </c>
      <c r="DF808" s="742" t="str">
        <f t="shared" si="90"/>
        <v/>
      </c>
      <c r="DG808" s="742" t="str">
        <f t="shared" si="91"/>
        <v/>
      </c>
      <c r="DH808" s="742" t="str">
        <f t="shared" si="92"/>
        <v/>
      </c>
      <c r="DI808" s="742" t="str">
        <f t="shared" si="93"/>
        <v/>
      </c>
      <c r="DJ808" s="742" t="str">
        <f t="shared" si="94"/>
        <v/>
      </c>
      <c r="DK808" s="742" t="str">
        <f t="shared" si="95"/>
        <v/>
      </c>
      <c r="DL808" s="742" t="str">
        <f t="shared" si="96"/>
        <v/>
      </c>
      <c r="DM808" s="742" t="str">
        <f t="shared" si="97"/>
        <v/>
      </c>
      <c r="DN808" s="742" t="str">
        <f t="shared" si="98"/>
        <v/>
      </c>
      <c r="DO808" s="742" t="str">
        <f t="shared" si="99"/>
        <v/>
      </c>
      <c r="DP808" s="742" t="str">
        <f t="shared" si="100"/>
        <v/>
      </c>
      <c r="DQ808" s="742" t="str">
        <f t="shared" si="101"/>
        <v/>
      </c>
      <c r="DR808" s="742" t="str">
        <f t="shared" si="102"/>
        <v/>
      </c>
      <c r="DS808" s="742" t="str">
        <f t="shared" si="103"/>
        <v/>
      </c>
      <c r="DT808" s="742" t="str">
        <f t="shared" si="104"/>
        <v/>
      </c>
      <c r="DU808" s="742" t="str">
        <f t="shared" si="105"/>
        <v/>
      </c>
      <c r="DV808" s="742" t="str">
        <f t="shared" si="106"/>
        <v/>
      </c>
      <c r="DW808" s="742" t="str">
        <f t="shared" si="107"/>
        <v/>
      </c>
      <c r="DX808" s="742" t="str">
        <f t="shared" si="108"/>
        <v/>
      </c>
      <c r="DY808" s="742" t="str">
        <f t="shared" si="109"/>
        <v/>
      </c>
      <c r="DZ808" s="742" t="str">
        <f t="shared" si="110"/>
        <v/>
      </c>
      <c r="EA808" s="742" t="str">
        <f t="shared" si="111"/>
        <v/>
      </c>
      <c r="EB808" s="742" t="str">
        <f t="shared" si="112"/>
        <v/>
      </c>
      <c r="EC808" s="742" t="str">
        <f t="shared" si="113"/>
        <v/>
      </c>
      <c r="ED808" s="742" t="str">
        <f t="shared" si="114"/>
        <v/>
      </c>
      <c r="EE808" s="742" t="str">
        <f t="shared" si="115"/>
        <v/>
      </c>
      <c r="EF808" s="742" t="str">
        <f t="shared" si="116"/>
        <v/>
      </c>
      <c r="EG808" s="742" t="str">
        <f t="shared" si="312"/>
        <v/>
      </c>
      <c r="EH808" s="742" t="str">
        <f t="shared" si="117"/>
        <v/>
      </c>
      <c r="EI808" s="742" t="str">
        <f t="shared" si="118"/>
        <v/>
      </c>
      <c r="EJ808" s="742" t="str">
        <f t="shared" si="119"/>
        <v/>
      </c>
      <c r="EK808" s="742" t="str">
        <f t="shared" si="120"/>
        <v/>
      </c>
      <c r="EL808" s="742" t="str">
        <f t="shared" si="121"/>
        <v/>
      </c>
      <c r="EM808" s="742" t="str">
        <f t="shared" si="122"/>
        <v/>
      </c>
      <c r="EN808" s="742" t="str">
        <f t="shared" si="123"/>
        <v/>
      </c>
      <c r="EO808" s="742" t="str">
        <f t="shared" si="124"/>
        <v/>
      </c>
      <c r="EP808" s="742" t="str">
        <f t="shared" si="125"/>
        <v/>
      </c>
      <c r="EQ808" s="742" t="str">
        <f t="shared" si="126"/>
        <v/>
      </c>
      <c r="ER808" s="742" t="str">
        <f t="shared" si="127"/>
        <v/>
      </c>
      <c r="ES808" s="742" t="str">
        <f t="shared" si="128"/>
        <v/>
      </c>
      <c r="ET808" s="742" t="str">
        <f t="shared" si="129"/>
        <v/>
      </c>
      <c r="EU808" s="742" t="str">
        <f t="shared" si="130"/>
        <v/>
      </c>
      <c r="EV808" s="742" t="str">
        <f t="shared" si="131"/>
        <v/>
      </c>
      <c r="EW808" s="742" t="str">
        <f t="shared" si="313"/>
        <v/>
      </c>
      <c r="EX808" s="742" t="str">
        <f t="shared" si="314"/>
        <v/>
      </c>
      <c r="EY808" s="742" t="str">
        <f t="shared" si="315"/>
        <v/>
      </c>
      <c r="EZ808" s="742" t="str">
        <f t="shared" si="316"/>
        <v/>
      </c>
      <c r="FA808" s="742" t="str">
        <f t="shared" si="317"/>
        <v/>
      </c>
      <c r="FB808" s="742" t="str">
        <f t="shared" si="132"/>
        <v/>
      </c>
      <c r="FC808" s="742" t="str">
        <f t="shared" si="133"/>
        <v/>
      </c>
      <c r="FD808" s="742" t="str">
        <f t="shared" si="134"/>
        <v/>
      </c>
      <c r="FE808" s="742" t="str">
        <f t="shared" si="135"/>
        <v/>
      </c>
      <c r="FF808" s="742" t="str">
        <f t="shared" si="136"/>
        <v/>
      </c>
      <c r="FG808" s="742" t="str">
        <f t="shared" si="318"/>
        <v/>
      </c>
      <c r="FH808" s="742" t="str">
        <f t="shared" si="319"/>
        <v/>
      </c>
      <c r="FI808" s="742" t="str">
        <f t="shared" si="320"/>
        <v/>
      </c>
      <c r="FJ808" s="742" t="str">
        <f t="shared" si="321"/>
        <v/>
      </c>
      <c r="FK808" s="742" t="str">
        <f t="shared" si="322"/>
        <v/>
      </c>
      <c r="FL808" s="742" t="str">
        <f t="shared" si="137"/>
        <v/>
      </c>
      <c r="FM808" s="742" t="str">
        <f t="shared" si="138"/>
        <v/>
      </c>
      <c r="FN808" s="742" t="str">
        <f t="shared" si="139"/>
        <v/>
      </c>
      <c r="FO808" s="742" t="str">
        <f t="shared" si="140"/>
        <v/>
      </c>
      <c r="FP808" s="742" t="str">
        <f t="shared" si="141"/>
        <v/>
      </c>
      <c r="FQ808" s="742" t="str">
        <f t="shared" si="142"/>
        <v/>
      </c>
      <c r="FR808" s="742" t="str">
        <f t="shared" si="143"/>
        <v/>
      </c>
      <c r="FS808" s="742" t="str">
        <f t="shared" si="144"/>
        <v/>
      </c>
      <c r="FT808" s="742" t="str">
        <f t="shared" si="145"/>
        <v/>
      </c>
      <c r="FU808" s="742" t="str">
        <f t="shared" si="146"/>
        <v/>
      </c>
      <c r="FV808" s="742" t="str">
        <f t="shared" si="147"/>
        <v/>
      </c>
      <c r="FW808" s="742" t="str">
        <f t="shared" si="148"/>
        <v/>
      </c>
      <c r="FX808" s="742" t="str">
        <f t="shared" si="149"/>
        <v/>
      </c>
      <c r="FY808" s="742" t="str">
        <f t="shared" si="150"/>
        <v/>
      </c>
      <c r="FZ808" s="742" t="str">
        <f t="shared" si="151"/>
        <v/>
      </c>
      <c r="GA808" s="742" t="str">
        <f t="shared" si="152"/>
        <v/>
      </c>
      <c r="GB808" s="742" t="str">
        <f t="shared" si="153"/>
        <v/>
      </c>
      <c r="GC808" s="742" t="str">
        <f t="shared" si="154"/>
        <v/>
      </c>
      <c r="GD808" s="742" t="str">
        <f t="shared" si="155"/>
        <v/>
      </c>
      <c r="GE808" s="742" t="str">
        <f t="shared" si="156"/>
        <v/>
      </c>
      <c r="GF808" s="742" t="str">
        <f t="shared" si="157"/>
        <v/>
      </c>
      <c r="GG808" s="742" t="str">
        <f t="shared" si="158"/>
        <v/>
      </c>
      <c r="GH808" s="742" t="str">
        <f t="shared" si="159"/>
        <v/>
      </c>
      <c r="GI808" s="742" t="str">
        <f t="shared" si="160"/>
        <v/>
      </c>
      <c r="GJ808" s="742" t="str">
        <f t="shared" si="161"/>
        <v/>
      </c>
      <c r="GK808" s="742" t="str">
        <f t="shared" si="162"/>
        <v/>
      </c>
      <c r="GL808" s="742" t="str">
        <f t="shared" si="163"/>
        <v/>
      </c>
      <c r="GM808" s="742" t="str">
        <f t="shared" si="164"/>
        <v/>
      </c>
      <c r="GN808" s="742" t="str">
        <f t="shared" si="165"/>
        <v/>
      </c>
      <c r="GO808" s="742" t="str">
        <f t="shared" si="166"/>
        <v/>
      </c>
      <c r="GP808" s="742" t="str">
        <f t="shared" si="167"/>
        <v/>
      </c>
      <c r="GQ808" s="742" t="str">
        <f t="shared" si="168"/>
        <v/>
      </c>
      <c r="GR808" s="742" t="str">
        <f t="shared" si="169"/>
        <v/>
      </c>
      <c r="GS808" s="742" t="str">
        <f t="shared" si="170"/>
        <v/>
      </c>
      <c r="GT808" s="742" t="str">
        <f t="shared" si="171"/>
        <v/>
      </c>
      <c r="GU808" s="742" t="str">
        <f t="shared" si="172"/>
        <v/>
      </c>
      <c r="GV808" s="742" t="str">
        <f t="shared" si="173"/>
        <v/>
      </c>
      <c r="GW808" s="742" t="str">
        <f t="shared" si="174"/>
        <v/>
      </c>
      <c r="GX808" s="742" t="str">
        <f t="shared" si="175"/>
        <v/>
      </c>
      <c r="GY808" s="742" t="str">
        <f t="shared" si="176"/>
        <v/>
      </c>
      <c r="GZ808" s="742" t="str">
        <f t="shared" si="177"/>
        <v/>
      </c>
      <c r="HA808" s="742" t="str">
        <f t="shared" si="178"/>
        <v/>
      </c>
      <c r="HB808" s="742" t="str">
        <f t="shared" si="179"/>
        <v/>
      </c>
      <c r="HC808" s="742" t="str">
        <f t="shared" si="180"/>
        <v/>
      </c>
      <c r="HD808" s="742" t="str">
        <f t="shared" si="181"/>
        <v/>
      </c>
      <c r="HE808" s="742" t="str">
        <f t="shared" si="182"/>
        <v/>
      </c>
      <c r="HF808" s="742" t="str">
        <f t="shared" si="183"/>
        <v/>
      </c>
      <c r="HG808" s="742" t="str">
        <f t="shared" si="184"/>
        <v/>
      </c>
      <c r="HH808" s="742" t="str">
        <f t="shared" si="185"/>
        <v/>
      </c>
      <c r="HI808" s="742" t="str">
        <f t="shared" si="186"/>
        <v/>
      </c>
      <c r="HJ808" s="742" t="str">
        <f t="shared" si="187"/>
        <v/>
      </c>
      <c r="HK808" s="742" t="str">
        <f t="shared" si="188"/>
        <v/>
      </c>
      <c r="HL808" s="742" t="str">
        <f t="shared" si="189"/>
        <v/>
      </c>
      <c r="HM808" s="742" t="str">
        <f t="shared" si="190"/>
        <v/>
      </c>
      <c r="HN808" s="742" t="str">
        <f t="shared" si="191"/>
        <v/>
      </c>
      <c r="HO808" s="742" t="str">
        <f t="shared" si="192"/>
        <v/>
      </c>
      <c r="HP808" s="742" t="str">
        <f t="shared" si="193"/>
        <v/>
      </c>
      <c r="HQ808" s="742" t="str">
        <f t="shared" si="194"/>
        <v/>
      </c>
      <c r="HR808" s="742" t="str">
        <f t="shared" si="195"/>
        <v/>
      </c>
      <c r="HS808" s="742" t="str">
        <f t="shared" si="196"/>
        <v/>
      </c>
      <c r="HT808" s="742" t="str">
        <f t="shared" si="197"/>
        <v/>
      </c>
      <c r="HU808" s="742" t="str">
        <f t="shared" si="198"/>
        <v/>
      </c>
      <c r="HV808" s="742" t="str">
        <f t="shared" si="199"/>
        <v/>
      </c>
      <c r="HW808" s="742" t="str">
        <f t="shared" si="200"/>
        <v/>
      </c>
      <c r="HX808" s="742" t="str">
        <f t="shared" si="201"/>
        <v/>
      </c>
      <c r="HY808" s="1638" t="str">
        <f t="shared" si="202"/>
        <v/>
      </c>
      <c r="HZ808" s="1638" t="str">
        <f t="shared" si="203"/>
        <v/>
      </c>
      <c r="IA808" s="1638" t="str">
        <f t="shared" si="204"/>
        <v/>
      </c>
      <c r="IB808" s="1638" t="str">
        <f t="shared" si="205"/>
        <v/>
      </c>
      <c r="IC808" s="1638" t="str">
        <f t="shared" si="206"/>
        <v/>
      </c>
      <c r="ID808" s="1638" t="str">
        <f t="shared" si="207"/>
        <v/>
      </c>
      <c r="IE808" s="1638" t="str">
        <f t="shared" si="208"/>
        <v/>
      </c>
      <c r="IF808" s="1638" t="str">
        <f t="shared" si="209"/>
        <v/>
      </c>
      <c r="IG808" s="1638" t="str">
        <f t="shared" si="210"/>
        <v/>
      </c>
      <c r="IH808" s="1638" t="str">
        <f t="shared" si="211"/>
        <v/>
      </c>
      <c r="II808" s="1638" t="str">
        <f t="shared" si="212"/>
        <v/>
      </c>
      <c r="IJ808" s="1638" t="str">
        <f t="shared" si="213"/>
        <v/>
      </c>
      <c r="IK808" s="1638" t="str">
        <f t="shared" si="214"/>
        <v/>
      </c>
      <c r="IL808" s="1638" t="str">
        <f t="shared" si="215"/>
        <v/>
      </c>
      <c r="IM808" s="1638" t="str">
        <f t="shared" si="216"/>
        <v/>
      </c>
      <c r="IN808" s="1638" t="str">
        <f t="shared" si="217"/>
        <v/>
      </c>
      <c r="IO808" s="1638" t="str">
        <f t="shared" si="218"/>
        <v/>
      </c>
      <c r="IP808" s="1638" t="str">
        <f t="shared" si="219"/>
        <v/>
      </c>
      <c r="IQ808" s="1638" t="str">
        <f t="shared" si="220"/>
        <v/>
      </c>
      <c r="IR808" s="1638" t="str">
        <f t="shared" si="221"/>
        <v/>
      </c>
      <c r="IS808" s="1638" t="str">
        <f t="shared" si="222"/>
        <v/>
      </c>
      <c r="IT808" s="1638" t="str">
        <f t="shared" si="223"/>
        <v/>
      </c>
      <c r="IU808" s="1638" t="str">
        <f t="shared" si="224"/>
        <v/>
      </c>
      <c r="IV808" s="1638" t="str">
        <f t="shared" si="225"/>
        <v/>
      </c>
      <c r="IW808" s="1638" t="str">
        <f t="shared" si="226"/>
        <v/>
      </c>
      <c r="IX808" s="1638" t="str">
        <f t="shared" si="227"/>
        <v/>
      </c>
      <c r="IY808" s="1638" t="str">
        <f t="shared" si="228"/>
        <v/>
      </c>
      <c r="IZ808" s="1638" t="str">
        <f t="shared" si="229"/>
        <v/>
      </c>
      <c r="JA808" s="1638" t="str">
        <f t="shared" si="230"/>
        <v/>
      </c>
      <c r="JB808" s="1638" t="str">
        <f t="shared" si="231"/>
        <v/>
      </c>
      <c r="JC808" s="1638" t="str">
        <f t="shared" si="232"/>
        <v/>
      </c>
      <c r="JD808" s="1638" t="str">
        <f t="shared" si="233"/>
        <v/>
      </c>
      <c r="JE808" s="1638" t="str">
        <f t="shared" si="234"/>
        <v/>
      </c>
      <c r="JF808" s="1638" t="str">
        <f t="shared" si="235"/>
        <v/>
      </c>
      <c r="JG808" s="1638" t="str">
        <f t="shared" si="236"/>
        <v/>
      </c>
      <c r="JH808" s="1638" t="str">
        <f t="shared" si="237"/>
        <v/>
      </c>
      <c r="JI808" s="1638" t="str">
        <f t="shared" si="238"/>
        <v/>
      </c>
      <c r="JJ808" s="1638" t="str">
        <f t="shared" si="239"/>
        <v/>
      </c>
      <c r="JK808" s="1638" t="str">
        <f t="shared" si="240"/>
        <v/>
      </c>
      <c r="JL808" s="1638" t="str">
        <f t="shared" si="241"/>
        <v/>
      </c>
      <c r="JM808" s="1638" t="str">
        <f t="shared" si="242"/>
        <v/>
      </c>
      <c r="JN808" s="1638" t="str">
        <f t="shared" si="243"/>
        <v/>
      </c>
      <c r="JO808" s="1638" t="str">
        <f t="shared" si="244"/>
        <v/>
      </c>
      <c r="JP808" s="1638" t="str">
        <f t="shared" si="245"/>
        <v/>
      </c>
      <c r="JQ808" s="1638" t="str">
        <f t="shared" si="246"/>
        <v/>
      </c>
      <c r="JR808" s="1638" t="str">
        <f t="shared" si="247"/>
        <v/>
      </c>
      <c r="JS808" s="1638" t="str">
        <f t="shared" si="248"/>
        <v/>
      </c>
      <c r="JT808" s="1638" t="str">
        <f t="shared" si="249"/>
        <v/>
      </c>
      <c r="JU808" s="1638" t="str">
        <f t="shared" si="250"/>
        <v/>
      </c>
      <c r="JV808" s="1638" t="str">
        <f t="shared" si="251"/>
        <v/>
      </c>
      <c r="JW808" s="1638" t="str">
        <f t="shared" si="252"/>
        <v/>
      </c>
      <c r="JX808" s="1638" t="str">
        <f t="shared" si="253"/>
        <v/>
      </c>
      <c r="JY808" s="1638" t="str">
        <f t="shared" si="254"/>
        <v/>
      </c>
      <c r="JZ808" s="1638" t="str">
        <f t="shared" si="255"/>
        <v/>
      </c>
      <c r="KA808" s="1638" t="str">
        <f t="shared" si="256"/>
        <v/>
      </c>
      <c r="KB808" s="1638" t="str">
        <f t="shared" si="257"/>
        <v/>
      </c>
      <c r="KC808" s="1638" t="str">
        <f t="shared" si="258"/>
        <v/>
      </c>
      <c r="KD808" s="1638" t="str">
        <f t="shared" si="259"/>
        <v/>
      </c>
      <c r="KE808" s="1638" t="str">
        <f t="shared" si="260"/>
        <v/>
      </c>
      <c r="KF808" s="1638" t="str">
        <f t="shared" si="261"/>
        <v/>
      </c>
      <c r="KG808" s="1638" t="str">
        <f t="shared" si="262"/>
        <v/>
      </c>
      <c r="KH808" s="1638" t="str">
        <f t="shared" si="263"/>
        <v/>
      </c>
      <c r="KI808" s="1638" t="str">
        <f t="shared" si="264"/>
        <v/>
      </c>
      <c r="KJ808" s="1638" t="str">
        <f t="shared" si="265"/>
        <v/>
      </c>
      <c r="KK808" s="1638" t="str">
        <f t="shared" si="266"/>
        <v/>
      </c>
      <c r="KL808" s="1638" t="str">
        <f t="shared" si="267"/>
        <v/>
      </c>
      <c r="KM808" s="1638" t="str">
        <f t="shared" si="268"/>
        <v/>
      </c>
      <c r="KN808" s="1638" t="str">
        <f t="shared" si="269"/>
        <v/>
      </c>
      <c r="KO808" s="1638" t="str">
        <f t="shared" si="270"/>
        <v/>
      </c>
      <c r="KP808" s="1638" t="str">
        <f t="shared" si="271"/>
        <v/>
      </c>
      <c r="KQ808" s="1638" t="str">
        <f t="shared" si="272"/>
        <v/>
      </c>
      <c r="KR808" s="1638" t="str">
        <f t="shared" si="273"/>
        <v/>
      </c>
      <c r="KS808" s="1638" t="str">
        <f t="shared" si="274"/>
        <v/>
      </c>
      <c r="KT808" s="1638" t="str">
        <f t="shared" si="275"/>
        <v/>
      </c>
      <c r="KU808" s="1638" t="str">
        <f t="shared" si="276"/>
        <v/>
      </c>
      <c r="KV808" s="1638" t="str">
        <f t="shared" si="277"/>
        <v/>
      </c>
      <c r="KW808" s="1638" t="str">
        <f t="shared" si="278"/>
        <v/>
      </c>
      <c r="KX808" s="1638" t="str">
        <f t="shared" si="279"/>
        <v/>
      </c>
      <c r="KY808" s="1638" t="str">
        <f t="shared" si="280"/>
        <v/>
      </c>
      <c r="KZ808" s="1638" t="str">
        <f t="shared" si="281"/>
        <v/>
      </c>
      <c r="LA808" s="1638" t="str">
        <f t="shared" si="282"/>
        <v/>
      </c>
      <c r="LB808" s="1638" t="str">
        <f t="shared" si="283"/>
        <v/>
      </c>
      <c r="LC808" s="1638" t="str">
        <f t="shared" si="284"/>
        <v/>
      </c>
      <c r="LD808" s="1638" t="str">
        <f t="shared" si="285"/>
        <v/>
      </c>
      <c r="LE808" s="1638" t="str">
        <f t="shared" si="286"/>
        <v/>
      </c>
      <c r="LF808" s="1637" t="str">
        <f t="shared" si="287"/>
        <v/>
      </c>
      <c r="LG808" s="1637" t="str">
        <f t="shared" si="288"/>
        <v/>
      </c>
      <c r="LH808" s="1637" t="str">
        <f t="shared" si="289"/>
        <v/>
      </c>
      <c r="LI808" s="1637" t="str">
        <f t="shared" si="290"/>
        <v/>
      </c>
      <c r="LJ808" s="1637" t="str">
        <f t="shared" si="291"/>
        <v/>
      </c>
      <c r="LK808" s="742" t="str">
        <f t="shared" si="292"/>
        <v/>
      </c>
      <c r="LL808" s="742" t="str">
        <f t="shared" si="293"/>
        <v/>
      </c>
      <c r="LM808" s="742" t="str">
        <f t="shared" si="294"/>
        <v/>
      </c>
      <c r="LN808" s="742" t="str">
        <f t="shared" si="295"/>
        <v/>
      </c>
      <c r="LO808" s="742" t="str">
        <f t="shared" si="296"/>
        <v/>
      </c>
      <c r="LP808" s="742" t="str">
        <f t="shared" si="297"/>
        <v/>
      </c>
      <c r="LQ808" s="742" t="str">
        <f t="shared" si="298"/>
        <v/>
      </c>
      <c r="LR808" s="742" t="str">
        <f t="shared" si="299"/>
        <v/>
      </c>
      <c r="LS808" s="742" t="str">
        <f t="shared" si="300"/>
        <v/>
      </c>
      <c r="LT808" s="742" t="str">
        <f t="shared" si="301"/>
        <v/>
      </c>
      <c r="LU808" s="742" t="str">
        <f t="shared" si="302"/>
        <v/>
      </c>
      <c r="LV808" s="742" t="str">
        <f t="shared" si="303"/>
        <v/>
      </c>
      <c r="LW808" s="742" t="str">
        <f t="shared" si="304"/>
        <v/>
      </c>
      <c r="LX808" s="742" t="str">
        <f t="shared" si="305"/>
        <v/>
      </c>
      <c r="LY808" s="742" t="str">
        <f t="shared" si="306"/>
        <v/>
      </c>
      <c r="LZ808" s="742" t="str">
        <f t="shared" si="307"/>
        <v/>
      </c>
      <c r="MA808" s="742" t="str">
        <f t="shared" si="308"/>
        <v/>
      </c>
      <c r="MB808" s="742" t="str">
        <f t="shared" si="309"/>
        <v/>
      </c>
      <c r="MC808" s="742" t="str">
        <f t="shared" si="310"/>
        <v/>
      </c>
      <c r="MD808" s="742" t="str">
        <f t="shared" si="311"/>
        <v/>
      </c>
      <c r="ME808" s="1637">
        <f t="shared" si="323"/>
        <v>0</v>
      </c>
      <c r="MF808" s="1637">
        <f t="shared" si="324"/>
        <v>0</v>
      </c>
      <c r="MG808" s="1637">
        <f t="shared" si="325"/>
        <v>0</v>
      </c>
      <c r="MH808" s="1637">
        <f t="shared" si="326"/>
        <v>0</v>
      </c>
      <c r="MI808" s="1637">
        <f t="shared" si="327"/>
        <v>0</v>
      </c>
      <c r="MJ808" s="1637">
        <f t="shared" si="328"/>
        <v>0</v>
      </c>
      <c r="MK808" s="1637">
        <f t="shared" si="329"/>
        <v>0</v>
      </c>
      <c r="ML808" s="1637">
        <f t="shared" si="330"/>
        <v>0</v>
      </c>
      <c r="MM808" s="1637">
        <f t="shared" si="331"/>
        <v>0</v>
      </c>
      <c r="MN808" s="1637">
        <f t="shared" si="332"/>
        <v>0</v>
      </c>
      <c r="MO808" s="1637">
        <f t="shared" si="333"/>
        <v>0</v>
      </c>
      <c r="MP808" s="1637">
        <f t="shared" si="334"/>
        <v>0</v>
      </c>
      <c r="MQ808" s="1637">
        <f t="shared" si="335"/>
        <v>0</v>
      </c>
      <c r="MR808" s="1637">
        <f t="shared" si="336"/>
        <v>0</v>
      </c>
      <c r="MS808" s="1637">
        <f t="shared" si="337"/>
        <v>0</v>
      </c>
    </row>
    <row r="809" spans="1:357" ht="13.5">
      <c r="A809" s="1630" t="str">
        <f t="shared" si="0"/>
        <v/>
      </c>
      <c r="B809" s="2757">
        <f>'Part VI-Revenues &amp; Expenses'!B47</f>
        <v>0</v>
      </c>
      <c r="C809" s="2146">
        <f>'Part VI-Revenues &amp; Expenses'!C47</f>
        <v>0</v>
      </c>
      <c r="D809" s="2147">
        <f>'Part VI-Revenues &amp; Expenses'!D47</f>
        <v>0</v>
      </c>
      <c r="E809" s="2148">
        <f>'Part VI-Revenues &amp; Expenses'!E47</f>
        <v>0</v>
      </c>
      <c r="F809" s="2148">
        <f>'Part VI-Revenues &amp; Expenses'!F47</f>
        <v>0</v>
      </c>
      <c r="G809" s="2148">
        <f>'Part VI-Revenues &amp; Expenses'!G47</f>
        <v>0</v>
      </c>
      <c r="H809" s="2148">
        <f>'Part VI-Revenues &amp; Expenses'!H47</f>
        <v>0</v>
      </c>
      <c r="I809" s="2148">
        <f>'Part VI-Revenues &amp; Expenses'!I47</f>
        <v>0</v>
      </c>
      <c r="J809" s="2149">
        <f>'Part VI-Revenues &amp; Expenses'!J47</f>
        <v>0</v>
      </c>
      <c r="K809" s="1822">
        <f t="shared" si="1"/>
        <v>0</v>
      </c>
      <c r="L809" s="1822">
        <f t="shared" si="2"/>
        <v>0</v>
      </c>
      <c r="M809" s="2133">
        <f>'Part VI-Revenues &amp; Expenses'!M47</f>
        <v>0</v>
      </c>
      <c r="N809" s="2133">
        <f>'Part VI-Revenues &amp; Expenses'!N47</f>
        <v>0</v>
      </c>
      <c r="O809" s="2133">
        <f>'Part VI-Revenues &amp; Expenses'!O47</f>
        <v>0</v>
      </c>
      <c r="P809" s="1633">
        <f>'Part VI-Revenues &amp; Expenses'!P47</f>
        <v>0</v>
      </c>
      <c r="Q809" s="1823" t="str">
        <f>'Part VI-Revenues &amp; Expenses'!Q47</f>
        <v/>
      </c>
      <c r="R809" s="1824" t="str">
        <f>'Part VI-Revenues &amp; Expenses'!R47</f>
        <v/>
      </c>
      <c r="S809" s="1823">
        <f>'Part VI-Revenues &amp; Expenses'!S47</f>
        <v>0</v>
      </c>
      <c r="T809" s="1824">
        <f>'Part VI-Revenues &amp; Expenses'!T47</f>
        <v>0</v>
      </c>
      <c r="U809" s="1838">
        <f>'Part VI-Revenues &amp; Expenses'!U47:V47</f>
        <v>0</v>
      </c>
      <c r="V809" s="1838"/>
      <c r="W809" s="742" t="str">
        <f t="shared" si="3"/>
        <v/>
      </c>
      <c r="X809" s="742" t="str">
        <f t="shared" si="4"/>
        <v/>
      </c>
      <c r="Y809" s="742" t="str">
        <f t="shared" si="5"/>
        <v/>
      </c>
      <c r="Z809" s="742" t="str">
        <f t="shared" si="6"/>
        <v/>
      </c>
      <c r="AA809" s="742" t="str">
        <f t="shared" si="7"/>
        <v/>
      </c>
      <c r="AB809" s="742" t="str">
        <f t="shared" si="8"/>
        <v/>
      </c>
      <c r="AC809" s="742" t="str">
        <f t="shared" si="9"/>
        <v/>
      </c>
      <c r="AD809" s="742" t="str">
        <f t="shared" si="10"/>
        <v/>
      </c>
      <c r="AE809" s="742" t="str">
        <f t="shared" si="11"/>
        <v/>
      </c>
      <c r="AF809" s="742" t="str">
        <f t="shared" si="12"/>
        <v/>
      </c>
      <c r="AG809" s="742" t="str">
        <f t="shared" si="13"/>
        <v/>
      </c>
      <c r="AH809" s="742" t="str">
        <f t="shared" si="14"/>
        <v/>
      </c>
      <c r="AI809" s="742" t="str">
        <f t="shared" si="15"/>
        <v/>
      </c>
      <c r="AJ809" s="742" t="str">
        <f t="shared" si="16"/>
        <v/>
      </c>
      <c r="AK809" s="742" t="str">
        <f t="shared" si="17"/>
        <v/>
      </c>
      <c r="AL809" s="742" t="str">
        <f t="shared" si="18"/>
        <v/>
      </c>
      <c r="AM809" s="742" t="str">
        <f t="shared" si="19"/>
        <v/>
      </c>
      <c r="AN809" s="742" t="str">
        <f t="shared" si="20"/>
        <v/>
      </c>
      <c r="AO809" s="742" t="str">
        <f t="shared" si="21"/>
        <v/>
      </c>
      <c r="AP809" s="742" t="str">
        <f t="shared" si="22"/>
        <v/>
      </c>
      <c r="AQ809" s="742" t="str">
        <f t="shared" si="23"/>
        <v/>
      </c>
      <c r="AR809" s="742" t="str">
        <f t="shared" si="24"/>
        <v/>
      </c>
      <c r="AS809" s="742" t="str">
        <f t="shared" si="25"/>
        <v/>
      </c>
      <c r="AT809" s="742" t="str">
        <f t="shared" si="26"/>
        <v/>
      </c>
      <c r="AU809" s="742" t="str">
        <f t="shared" si="27"/>
        <v/>
      </c>
      <c r="AV809" s="742" t="str">
        <f t="shared" si="28"/>
        <v/>
      </c>
      <c r="AW809" s="742" t="str">
        <f t="shared" si="29"/>
        <v/>
      </c>
      <c r="AX809" s="742" t="str">
        <f t="shared" si="30"/>
        <v/>
      </c>
      <c r="AY809" s="742" t="str">
        <f t="shared" si="31"/>
        <v/>
      </c>
      <c r="AZ809" s="742" t="str">
        <f t="shared" si="32"/>
        <v/>
      </c>
      <c r="BA809" s="742" t="str">
        <f t="shared" si="33"/>
        <v/>
      </c>
      <c r="BB809" s="742" t="str">
        <f t="shared" si="34"/>
        <v/>
      </c>
      <c r="BC809" s="742" t="str">
        <f t="shared" si="35"/>
        <v/>
      </c>
      <c r="BD809" s="742" t="str">
        <f t="shared" si="36"/>
        <v/>
      </c>
      <c r="BE809" s="742" t="str">
        <f t="shared" si="37"/>
        <v/>
      </c>
      <c r="BF809" s="742" t="str">
        <f t="shared" si="38"/>
        <v/>
      </c>
      <c r="BG809" s="742" t="str">
        <f t="shared" si="39"/>
        <v/>
      </c>
      <c r="BH809" s="742" t="str">
        <f t="shared" si="40"/>
        <v/>
      </c>
      <c r="BI809" s="742" t="str">
        <f t="shared" si="41"/>
        <v/>
      </c>
      <c r="BJ809" s="742" t="str">
        <f t="shared" si="42"/>
        <v/>
      </c>
      <c r="BK809" s="742" t="str">
        <f t="shared" si="43"/>
        <v/>
      </c>
      <c r="BL809" s="742" t="str">
        <f t="shared" si="44"/>
        <v/>
      </c>
      <c r="BM809" s="742" t="str">
        <f t="shared" si="45"/>
        <v/>
      </c>
      <c r="BN809" s="742" t="str">
        <f t="shared" si="46"/>
        <v/>
      </c>
      <c r="BO809" s="742" t="str">
        <f t="shared" si="47"/>
        <v/>
      </c>
      <c r="BP809" s="742" t="str">
        <f t="shared" si="48"/>
        <v/>
      </c>
      <c r="BQ809" s="742" t="str">
        <f t="shared" si="49"/>
        <v/>
      </c>
      <c r="BR809" s="742" t="str">
        <f t="shared" si="50"/>
        <v/>
      </c>
      <c r="BS809" s="742" t="str">
        <f t="shared" si="51"/>
        <v/>
      </c>
      <c r="BT809" s="742" t="str">
        <f t="shared" si="52"/>
        <v/>
      </c>
      <c r="BU809" s="742" t="str">
        <f t="shared" si="53"/>
        <v/>
      </c>
      <c r="BV809" s="742" t="str">
        <f t="shared" si="54"/>
        <v/>
      </c>
      <c r="BW809" s="742" t="str">
        <f t="shared" si="55"/>
        <v/>
      </c>
      <c r="BX809" s="742" t="str">
        <f t="shared" si="56"/>
        <v/>
      </c>
      <c r="BY809" s="742" t="str">
        <f t="shared" si="57"/>
        <v/>
      </c>
      <c r="BZ809" s="742" t="str">
        <f t="shared" si="58"/>
        <v/>
      </c>
      <c r="CA809" s="742" t="str">
        <f t="shared" si="59"/>
        <v/>
      </c>
      <c r="CB809" s="742" t="str">
        <f t="shared" si="60"/>
        <v/>
      </c>
      <c r="CC809" s="742" t="str">
        <f t="shared" si="61"/>
        <v/>
      </c>
      <c r="CD809" s="742" t="str">
        <f t="shared" si="62"/>
        <v/>
      </c>
      <c r="CE809" s="742" t="str">
        <f t="shared" si="63"/>
        <v/>
      </c>
      <c r="CF809" s="742" t="str">
        <f t="shared" si="64"/>
        <v/>
      </c>
      <c r="CG809" s="742" t="str">
        <f t="shared" si="65"/>
        <v/>
      </c>
      <c r="CH809" s="742" t="str">
        <f t="shared" si="66"/>
        <v/>
      </c>
      <c r="CI809" s="742" t="str">
        <f t="shared" si="67"/>
        <v/>
      </c>
      <c r="CJ809" s="742" t="str">
        <f t="shared" si="68"/>
        <v/>
      </c>
      <c r="CK809" s="742" t="str">
        <f t="shared" si="69"/>
        <v/>
      </c>
      <c r="CL809" s="742" t="str">
        <f t="shared" si="70"/>
        <v/>
      </c>
      <c r="CM809" s="742" t="str">
        <f t="shared" si="71"/>
        <v/>
      </c>
      <c r="CN809" s="742" t="str">
        <f t="shared" si="72"/>
        <v/>
      </c>
      <c r="CO809" s="742" t="str">
        <f t="shared" si="73"/>
        <v/>
      </c>
      <c r="CP809" s="742" t="str">
        <f t="shared" si="74"/>
        <v/>
      </c>
      <c r="CQ809" s="742" t="str">
        <f t="shared" si="75"/>
        <v/>
      </c>
      <c r="CR809" s="742" t="str">
        <f t="shared" si="76"/>
        <v/>
      </c>
      <c r="CS809" s="742" t="str">
        <f t="shared" si="77"/>
        <v/>
      </c>
      <c r="CT809" s="742" t="str">
        <f t="shared" si="78"/>
        <v/>
      </c>
      <c r="CU809" s="742" t="str">
        <f t="shared" si="79"/>
        <v/>
      </c>
      <c r="CV809" s="742" t="str">
        <f t="shared" si="80"/>
        <v/>
      </c>
      <c r="CW809" s="742" t="str">
        <f t="shared" si="81"/>
        <v/>
      </c>
      <c r="CX809" s="742" t="str">
        <f t="shared" si="82"/>
        <v/>
      </c>
      <c r="CY809" s="742" t="str">
        <f t="shared" si="83"/>
        <v/>
      </c>
      <c r="CZ809" s="742" t="str">
        <f t="shared" si="84"/>
        <v/>
      </c>
      <c r="DA809" s="742" t="str">
        <f t="shared" si="85"/>
        <v/>
      </c>
      <c r="DB809" s="742" t="str">
        <f t="shared" si="86"/>
        <v/>
      </c>
      <c r="DC809" s="742" t="str">
        <f t="shared" si="87"/>
        <v/>
      </c>
      <c r="DD809" s="742" t="str">
        <f t="shared" si="88"/>
        <v/>
      </c>
      <c r="DE809" s="742" t="str">
        <f t="shared" si="89"/>
        <v/>
      </c>
      <c r="DF809" s="742" t="str">
        <f t="shared" si="90"/>
        <v/>
      </c>
      <c r="DG809" s="742" t="str">
        <f t="shared" si="91"/>
        <v/>
      </c>
      <c r="DH809" s="742" t="str">
        <f t="shared" si="92"/>
        <v/>
      </c>
      <c r="DI809" s="742" t="str">
        <f t="shared" si="93"/>
        <v/>
      </c>
      <c r="DJ809" s="742" t="str">
        <f t="shared" si="94"/>
        <v/>
      </c>
      <c r="DK809" s="742" t="str">
        <f t="shared" si="95"/>
        <v/>
      </c>
      <c r="DL809" s="742" t="str">
        <f t="shared" si="96"/>
        <v/>
      </c>
      <c r="DM809" s="742" t="str">
        <f t="shared" si="97"/>
        <v/>
      </c>
      <c r="DN809" s="742" t="str">
        <f t="shared" si="98"/>
        <v/>
      </c>
      <c r="DO809" s="742" t="str">
        <f t="shared" si="99"/>
        <v/>
      </c>
      <c r="DP809" s="742" t="str">
        <f t="shared" si="100"/>
        <v/>
      </c>
      <c r="DQ809" s="742" t="str">
        <f t="shared" si="101"/>
        <v/>
      </c>
      <c r="DR809" s="742" t="str">
        <f t="shared" si="102"/>
        <v/>
      </c>
      <c r="DS809" s="742" t="str">
        <f t="shared" si="103"/>
        <v/>
      </c>
      <c r="DT809" s="742" t="str">
        <f t="shared" si="104"/>
        <v/>
      </c>
      <c r="DU809" s="742" t="str">
        <f t="shared" si="105"/>
        <v/>
      </c>
      <c r="DV809" s="742" t="str">
        <f t="shared" si="106"/>
        <v/>
      </c>
      <c r="DW809" s="742" t="str">
        <f t="shared" si="107"/>
        <v/>
      </c>
      <c r="DX809" s="742" t="str">
        <f t="shared" si="108"/>
        <v/>
      </c>
      <c r="DY809" s="742" t="str">
        <f t="shared" si="109"/>
        <v/>
      </c>
      <c r="DZ809" s="742" t="str">
        <f t="shared" si="110"/>
        <v/>
      </c>
      <c r="EA809" s="742" t="str">
        <f t="shared" si="111"/>
        <v/>
      </c>
      <c r="EB809" s="742" t="str">
        <f t="shared" si="112"/>
        <v/>
      </c>
      <c r="EC809" s="742" t="str">
        <f t="shared" si="113"/>
        <v/>
      </c>
      <c r="ED809" s="742" t="str">
        <f t="shared" si="114"/>
        <v/>
      </c>
      <c r="EE809" s="742" t="str">
        <f t="shared" si="115"/>
        <v/>
      </c>
      <c r="EF809" s="742" t="str">
        <f t="shared" si="116"/>
        <v/>
      </c>
      <c r="EG809" s="742" t="str">
        <f t="shared" si="312"/>
        <v/>
      </c>
      <c r="EH809" s="742" t="str">
        <f t="shared" si="117"/>
        <v/>
      </c>
      <c r="EI809" s="742" t="str">
        <f t="shared" si="118"/>
        <v/>
      </c>
      <c r="EJ809" s="742" t="str">
        <f t="shared" si="119"/>
        <v/>
      </c>
      <c r="EK809" s="742" t="str">
        <f t="shared" si="120"/>
        <v/>
      </c>
      <c r="EL809" s="742" t="str">
        <f t="shared" si="121"/>
        <v/>
      </c>
      <c r="EM809" s="742" t="str">
        <f t="shared" si="122"/>
        <v/>
      </c>
      <c r="EN809" s="742" t="str">
        <f t="shared" si="123"/>
        <v/>
      </c>
      <c r="EO809" s="742" t="str">
        <f t="shared" si="124"/>
        <v/>
      </c>
      <c r="EP809" s="742" t="str">
        <f t="shared" si="125"/>
        <v/>
      </c>
      <c r="EQ809" s="742" t="str">
        <f t="shared" si="126"/>
        <v/>
      </c>
      <c r="ER809" s="742" t="str">
        <f t="shared" si="127"/>
        <v/>
      </c>
      <c r="ES809" s="742" t="str">
        <f t="shared" si="128"/>
        <v/>
      </c>
      <c r="ET809" s="742" t="str">
        <f t="shared" si="129"/>
        <v/>
      </c>
      <c r="EU809" s="742" t="str">
        <f t="shared" si="130"/>
        <v/>
      </c>
      <c r="EV809" s="742" t="str">
        <f t="shared" si="131"/>
        <v/>
      </c>
      <c r="EW809" s="742" t="str">
        <f t="shared" si="313"/>
        <v/>
      </c>
      <c r="EX809" s="742" t="str">
        <f t="shared" si="314"/>
        <v/>
      </c>
      <c r="EY809" s="742" t="str">
        <f t="shared" si="315"/>
        <v/>
      </c>
      <c r="EZ809" s="742" t="str">
        <f t="shared" si="316"/>
        <v/>
      </c>
      <c r="FA809" s="742" t="str">
        <f t="shared" si="317"/>
        <v/>
      </c>
      <c r="FB809" s="742" t="str">
        <f t="shared" si="132"/>
        <v/>
      </c>
      <c r="FC809" s="742" t="str">
        <f t="shared" si="133"/>
        <v/>
      </c>
      <c r="FD809" s="742" t="str">
        <f t="shared" si="134"/>
        <v/>
      </c>
      <c r="FE809" s="742" t="str">
        <f t="shared" si="135"/>
        <v/>
      </c>
      <c r="FF809" s="742" t="str">
        <f t="shared" si="136"/>
        <v/>
      </c>
      <c r="FG809" s="742" t="str">
        <f t="shared" si="318"/>
        <v/>
      </c>
      <c r="FH809" s="742" t="str">
        <f t="shared" si="319"/>
        <v/>
      </c>
      <c r="FI809" s="742" t="str">
        <f t="shared" si="320"/>
        <v/>
      </c>
      <c r="FJ809" s="742" t="str">
        <f t="shared" si="321"/>
        <v/>
      </c>
      <c r="FK809" s="742" t="str">
        <f t="shared" si="322"/>
        <v/>
      </c>
      <c r="FL809" s="742" t="str">
        <f t="shared" si="137"/>
        <v/>
      </c>
      <c r="FM809" s="742" t="str">
        <f t="shared" si="138"/>
        <v/>
      </c>
      <c r="FN809" s="742" t="str">
        <f t="shared" si="139"/>
        <v/>
      </c>
      <c r="FO809" s="742" t="str">
        <f t="shared" si="140"/>
        <v/>
      </c>
      <c r="FP809" s="742" t="str">
        <f t="shared" si="141"/>
        <v/>
      </c>
      <c r="FQ809" s="742" t="str">
        <f t="shared" si="142"/>
        <v/>
      </c>
      <c r="FR809" s="742" t="str">
        <f t="shared" si="143"/>
        <v/>
      </c>
      <c r="FS809" s="742" t="str">
        <f t="shared" si="144"/>
        <v/>
      </c>
      <c r="FT809" s="742" t="str">
        <f t="shared" si="145"/>
        <v/>
      </c>
      <c r="FU809" s="742" t="str">
        <f t="shared" si="146"/>
        <v/>
      </c>
      <c r="FV809" s="742" t="str">
        <f t="shared" si="147"/>
        <v/>
      </c>
      <c r="FW809" s="742" t="str">
        <f t="shared" si="148"/>
        <v/>
      </c>
      <c r="FX809" s="742" t="str">
        <f t="shared" si="149"/>
        <v/>
      </c>
      <c r="FY809" s="742" t="str">
        <f t="shared" si="150"/>
        <v/>
      </c>
      <c r="FZ809" s="742" t="str">
        <f t="shared" si="151"/>
        <v/>
      </c>
      <c r="GA809" s="742" t="str">
        <f t="shared" si="152"/>
        <v/>
      </c>
      <c r="GB809" s="742" t="str">
        <f t="shared" si="153"/>
        <v/>
      </c>
      <c r="GC809" s="742" t="str">
        <f t="shared" si="154"/>
        <v/>
      </c>
      <c r="GD809" s="742" t="str">
        <f t="shared" si="155"/>
        <v/>
      </c>
      <c r="GE809" s="742" t="str">
        <f t="shared" si="156"/>
        <v/>
      </c>
      <c r="GF809" s="742" t="str">
        <f t="shared" si="157"/>
        <v/>
      </c>
      <c r="GG809" s="742" t="str">
        <f t="shared" si="158"/>
        <v/>
      </c>
      <c r="GH809" s="742" t="str">
        <f t="shared" si="159"/>
        <v/>
      </c>
      <c r="GI809" s="742" t="str">
        <f t="shared" si="160"/>
        <v/>
      </c>
      <c r="GJ809" s="742" t="str">
        <f t="shared" si="161"/>
        <v/>
      </c>
      <c r="GK809" s="742" t="str">
        <f t="shared" si="162"/>
        <v/>
      </c>
      <c r="GL809" s="742" t="str">
        <f t="shared" si="163"/>
        <v/>
      </c>
      <c r="GM809" s="742" t="str">
        <f t="shared" si="164"/>
        <v/>
      </c>
      <c r="GN809" s="742" t="str">
        <f t="shared" si="165"/>
        <v/>
      </c>
      <c r="GO809" s="742" t="str">
        <f t="shared" si="166"/>
        <v/>
      </c>
      <c r="GP809" s="742" t="str">
        <f t="shared" si="167"/>
        <v/>
      </c>
      <c r="GQ809" s="742" t="str">
        <f t="shared" si="168"/>
        <v/>
      </c>
      <c r="GR809" s="742" t="str">
        <f t="shared" si="169"/>
        <v/>
      </c>
      <c r="GS809" s="742" t="str">
        <f t="shared" si="170"/>
        <v/>
      </c>
      <c r="GT809" s="742" t="str">
        <f t="shared" si="171"/>
        <v/>
      </c>
      <c r="GU809" s="742" t="str">
        <f t="shared" si="172"/>
        <v/>
      </c>
      <c r="GV809" s="742" t="str">
        <f t="shared" si="173"/>
        <v/>
      </c>
      <c r="GW809" s="742" t="str">
        <f t="shared" si="174"/>
        <v/>
      </c>
      <c r="GX809" s="742" t="str">
        <f t="shared" si="175"/>
        <v/>
      </c>
      <c r="GY809" s="742" t="str">
        <f t="shared" si="176"/>
        <v/>
      </c>
      <c r="GZ809" s="742" t="str">
        <f t="shared" si="177"/>
        <v/>
      </c>
      <c r="HA809" s="742" t="str">
        <f t="shared" si="178"/>
        <v/>
      </c>
      <c r="HB809" s="742" t="str">
        <f t="shared" si="179"/>
        <v/>
      </c>
      <c r="HC809" s="742" t="str">
        <f t="shared" si="180"/>
        <v/>
      </c>
      <c r="HD809" s="742" t="str">
        <f t="shared" si="181"/>
        <v/>
      </c>
      <c r="HE809" s="742" t="str">
        <f t="shared" si="182"/>
        <v/>
      </c>
      <c r="HF809" s="742" t="str">
        <f t="shared" si="183"/>
        <v/>
      </c>
      <c r="HG809" s="742" t="str">
        <f t="shared" si="184"/>
        <v/>
      </c>
      <c r="HH809" s="742" t="str">
        <f t="shared" si="185"/>
        <v/>
      </c>
      <c r="HI809" s="742" t="str">
        <f t="shared" si="186"/>
        <v/>
      </c>
      <c r="HJ809" s="742" t="str">
        <f t="shared" si="187"/>
        <v/>
      </c>
      <c r="HK809" s="742" t="str">
        <f t="shared" si="188"/>
        <v/>
      </c>
      <c r="HL809" s="742" t="str">
        <f t="shared" si="189"/>
        <v/>
      </c>
      <c r="HM809" s="742" t="str">
        <f t="shared" si="190"/>
        <v/>
      </c>
      <c r="HN809" s="742" t="str">
        <f t="shared" si="191"/>
        <v/>
      </c>
      <c r="HO809" s="742" t="str">
        <f t="shared" si="192"/>
        <v/>
      </c>
      <c r="HP809" s="742" t="str">
        <f t="shared" si="193"/>
        <v/>
      </c>
      <c r="HQ809" s="742" t="str">
        <f t="shared" si="194"/>
        <v/>
      </c>
      <c r="HR809" s="742" t="str">
        <f t="shared" si="195"/>
        <v/>
      </c>
      <c r="HS809" s="742" t="str">
        <f t="shared" si="196"/>
        <v/>
      </c>
      <c r="HT809" s="742" t="str">
        <f t="shared" si="197"/>
        <v/>
      </c>
      <c r="HU809" s="742" t="str">
        <f t="shared" si="198"/>
        <v/>
      </c>
      <c r="HV809" s="742" t="str">
        <f t="shared" si="199"/>
        <v/>
      </c>
      <c r="HW809" s="742" t="str">
        <f t="shared" si="200"/>
        <v/>
      </c>
      <c r="HX809" s="742" t="str">
        <f t="shared" si="201"/>
        <v/>
      </c>
      <c r="HY809" s="1638" t="str">
        <f t="shared" si="202"/>
        <v/>
      </c>
      <c r="HZ809" s="1638" t="str">
        <f t="shared" si="203"/>
        <v/>
      </c>
      <c r="IA809" s="1638" t="str">
        <f t="shared" si="204"/>
        <v/>
      </c>
      <c r="IB809" s="1638" t="str">
        <f t="shared" si="205"/>
        <v/>
      </c>
      <c r="IC809" s="1638" t="str">
        <f t="shared" si="206"/>
        <v/>
      </c>
      <c r="ID809" s="1638" t="str">
        <f t="shared" si="207"/>
        <v/>
      </c>
      <c r="IE809" s="1638" t="str">
        <f t="shared" si="208"/>
        <v/>
      </c>
      <c r="IF809" s="1638" t="str">
        <f t="shared" si="209"/>
        <v/>
      </c>
      <c r="IG809" s="1638" t="str">
        <f t="shared" si="210"/>
        <v/>
      </c>
      <c r="IH809" s="1638" t="str">
        <f t="shared" si="211"/>
        <v/>
      </c>
      <c r="II809" s="1638" t="str">
        <f t="shared" si="212"/>
        <v/>
      </c>
      <c r="IJ809" s="1638" t="str">
        <f t="shared" si="213"/>
        <v/>
      </c>
      <c r="IK809" s="1638" t="str">
        <f t="shared" si="214"/>
        <v/>
      </c>
      <c r="IL809" s="1638" t="str">
        <f t="shared" si="215"/>
        <v/>
      </c>
      <c r="IM809" s="1638" t="str">
        <f t="shared" si="216"/>
        <v/>
      </c>
      <c r="IN809" s="1638" t="str">
        <f t="shared" si="217"/>
        <v/>
      </c>
      <c r="IO809" s="1638" t="str">
        <f t="shared" si="218"/>
        <v/>
      </c>
      <c r="IP809" s="1638" t="str">
        <f t="shared" si="219"/>
        <v/>
      </c>
      <c r="IQ809" s="1638" t="str">
        <f t="shared" si="220"/>
        <v/>
      </c>
      <c r="IR809" s="1638" t="str">
        <f t="shared" si="221"/>
        <v/>
      </c>
      <c r="IS809" s="1638" t="str">
        <f t="shared" si="222"/>
        <v/>
      </c>
      <c r="IT809" s="1638" t="str">
        <f t="shared" si="223"/>
        <v/>
      </c>
      <c r="IU809" s="1638" t="str">
        <f t="shared" si="224"/>
        <v/>
      </c>
      <c r="IV809" s="1638" t="str">
        <f t="shared" si="225"/>
        <v/>
      </c>
      <c r="IW809" s="1638" t="str">
        <f t="shared" si="226"/>
        <v/>
      </c>
      <c r="IX809" s="1638" t="str">
        <f t="shared" si="227"/>
        <v/>
      </c>
      <c r="IY809" s="1638" t="str">
        <f t="shared" si="228"/>
        <v/>
      </c>
      <c r="IZ809" s="1638" t="str">
        <f t="shared" si="229"/>
        <v/>
      </c>
      <c r="JA809" s="1638" t="str">
        <f t="shared" si="230"/>
        <v/>
      </c>
      <c r="JB809" s="1638" t="str">
        <f t="shared" si="231"/>
        <v/>
      </c>
      <c r="JC809" s="1638" t="str">
        <f t="shared" si="232"/>
        <v/>
      </c>
      <c r="JD809" s="1638" t="str">
        <f t="shared" si="233"/>
        <v/>
      </c>
      <c r="JE809" s="1638" t="str">
        <f t="shared" si="234"/>
        <v/>
      </c>
      <c r="JF809" s="1638" t="str">
        <f t="shared" si="235"/>
        <v/>
      </c>
      <c r="JG809" s="1638" t="str">
        <f t="shared" si="236"/>
        <v/>
      </c>
      <c r="JH809" s="1638" t="str">
        <f t="shared" si="237"/>
        <v/>
      </c>
      <c r="JI809" s="1638" t="str">
        <f t="shared" si="238"/>
        <v/>
      </c>
      <c r="JJ809" s="1638" t="str">
        <f t="shared" si="239"/>
        <v/>
      </c>
      <c r="JK809" s="1638" t="str">
        <f t="shared" si="240"/>
        <v/>
      </c>
      <c r="JL809" s="1638" t="str">
        <f t="shared" si="241"/>
        <v/>
      </c>
      <c r="JM809" s="1638" t="str">
        <f t="shared" si="242"/>
        <v/>
      </c>
      <c r="JN809" s="1638" t="str">
        <f t="shared" si="243"/>
        <v/>
      </c>
      <c r="JO809" s="1638" t="str">
        <f t="shared" si="244"/>
        <v/>
      </c>
      <c r="JP809" s="1638" t="str">
        <f t="shared" si="245"/>
        <v/>
      </c>
      <c r="JQ809" s="1638" t="str">
        <f t="shared" si="246"/>
        <v/>
      </c>
      <c r="JR809" s="1638" t="str">
        <f t="shared" si="247"/>
        <v/>
      </c>
      <c r="JS809" s="1638" t="str">
        <f t="shared" si="248"/>
        <v/>
      </c>
      <c r="JT809" s="1638" t="str">
        <f t="shared" si="249"/>
        <v/>
      </c>
      <c r="JU809" s="1638" t="str">
        <f t="shared" si="250"/>
        <v/>
      </c>
      <c r="JV809" s="1638" t="str">
        <f t="shared" si="251"/>
        <v/>
      </c>
      <c r="JW809" s="1638" t="str">
        <f t="shared" si="252"/>
        <v/>
      </c>
      <c r="JX809" s="1638" t="str">
        <f t="shared" si="253"/>
        <v/>
      </c>
      <c r="JY809" s="1638" t="str">
        <f t="shared" si="254"/>
        <v/>
      </c>
      <c r="JZ809" s="1638" t="str">
        <f t="shared" si="255"/>
        <v/>
      </c>
      <c r="KA809" s="1638" t="str">
        <f t="shared" si="256"/>
        <v/>
      </c>
      <c r="KB809" s="1638" t="str">
        <f t="shared" si="257"/>
        <v/>
      </c>
      <c r="KC809" s="1638" t="str">
        <f t="shared" si="258"/>
        <v/>
      </c>
      <c r="KD809" s="1638" t="str">
        <f t="shared" si="259"/>
        <v/>
      </c>
      <c r="KE809" s="1638" t="str">
        <f t="shared" si="260"/>
        <v/>
      </c>
      <c r="KF809" s="1638" t="str">
        <f t="shared" si="261"/>
        <v/>
      </c>
      <c r="KG809" s="1638" t="str">
        <f t="shared" si="262"/>
        <v/>
      </c>
      <c r="KH809" s="1638" t="str">
        <f t="shared" si="263"/>
        <v/>
      </c>
      <c r="KI809" s="1638" t="str">
        <f t="shared" si="264"/>
        <v/>
      </c>
      <c r="KJ809" s="1638" t="str">
        <f t="shared" si="265"/>
        <v/>
      </c>
      <c r="KK809" s="1638" t="str">
        <f t="shared" si="266"/>
        <v/>
      </c>
      <c r="KL809" s="1638" t="str">
        <f t="shared" si="267"/>
        <v/>
      </c>
      <c r="KM809" s="1638" t="str">
        <f t="shared" si="268"/>
        <v/>
      </c>
      <c r="KN809" s="1638" t="str">
        <f t="shared" si="269"/>
        <v/>
      </c>
      <c r="KO809" s="1638" t="str">
        <f t="shared" si="270"/>
        <v/>
      </c>
      <c r="KP809" s="1638" t="str">
        <f t="shared" si="271"/>
        <v/>
      </c>
      <c r="KQ809" s="1638" t="str">
        <f t="shared" si="272"/>
        <v/>
      </c>
      <c r="KR809" s="1638" t="str">
        <f t="shared" si="273"/>
        <v/>
      </c>
      <c r="KS809" s="1638" t="str">
        <f t="shared" si="274"/>
        <v/>
      </c>
      <c r="KT809" s="1638" t="str">
        <f t="shared" si="275"/>
        <v/>
      </c>
      <c r="KU809" s="1638" t="str">
        <f t="shared" si="276"/>
        <v/>
      </c>
      <c r="KV809" s="1638" t="str">
        <f t="shared" si="277"/>
        <v/>
      </c>
      <c r="KW809" s="1638" t="str">
        <f t="shared" si="278"/>
        <v/>
      </c>
      <c r="KX809" s="1638" t="str">
        <f t="shared" si="279"/>
        <v/>
      </c>
      <c r="KY809" s="1638" t="str">
        <f t="shared" si="280"/>
        <v/>
      </c>
      <c r="KZ809" s="1638" t="str">
        <f t="shared" si="281"/>
        <v/>
      </c>
      <c r="LA809" s="1638" t="str">
        <f t="shared" si="282"/>
        <v/>
      </c>
      <c r="LB809" s="1638" t="str">
        <f t="shared" si="283"/>
        <v/>
      </c>
      <c r="LC809" s="1638" t="str">
        <f t="shared" si="284"/>
        <v/>
      </c>
      <c r="LD809" s="1638" t="str">
        <f t="shared" si="285"/>
        <v/>
      </c>
      <c r="LE809" s="1638" t="str">
        <f t="shared" si="286"/>
        <v/>
      </c>
      <c r="LF809" s="1637" t="str">
        <f t="shared" si="287"/>
        <v/>
      </c>
      <c r="LG809" s="1637" t="str">
        <f t="shared" si="288"/>
        <v/>
      </c>
      <c r="LH809" s="1637" t="str">
        <f t="shared" si="289"/>
        <v/>
      </c>
      <c r="LI809" s="1637" t="str">
        <f t="shared" si="290"/>
        <v/>
      </c>
      <c r="LJ809" s="1637" t="str">
        <f t="shared" si="291"/>
        <v/>
      </c>
      <c r="LK809" s="742" t="str">
        <f t="shared" si="292"/>
        <v/>
      </c>
      <c r="LL809" s="742" t="str">
        <f t="shared" si="293"/>
        <v/>
      </c>
      <c r="LM809" s="742" t="str">
        <f t="shared" si="294"/>
        <v/>
      </c>
      <c r="LN809" s="742" t="str">
        <f t="shared" si="295"/>
        <v/>
      </c>
      <c r="LO809" s="742" t="str">
        <f t="shared" si="296"/>
        <v/>
      </c>
      <c r="LP809" s="742" t="str">
        <f t="shared" si="297"/>
        <v/>
      </c>
      <c r="LQ809" s="742" t="str">
        <f t="shared" si="298"/>
        <v/>
      </c>
      <c r="LR809" s="742" t="str">
        <f t="shared" si="299"/>
        <v/>
      </c>
      <c r="LS809" s="742" t="str">
        <f t="shared" si="300"/>
        <v/>
      </c>
      <c r="LT809" s="742" t="str">
        <f t="shared" si="301"/>
        <v/>
      </c>
      <c r="LU809" s="742" t="str">
        <f t="shared" si="302"/>
        <v/>
      </c>
      <c r="LV809" s="742" t="str">
        <f t="shared" si="303"/>
        <v/>
      </c>
      <c r="LW809" s="742" t="str">
        <f t="shared" si="304"/>
        <v/>
      </c>
      <c r="LX809" s="742" t="str">
        <f t="shared" si="305"/>
        <v/>
      </c>
      <c r="LY809" s="742" t="str">
        <f t="shared" si="306"/>
        <v/>
      </c>
      <c r="LZ809" s="742" t="str">
        <f t="shared" si="307"/>
        <v/>
      </c>
      <c r="MA809" s="742" t="str">
        <f t="shared" si="308"/>
        <v/>
      </c>
      <c r="MB809" s="742" t="str">
        <f t="shared" si="309"/>
        <v/>
      </c>
      <c r="MC809" s="742" t="str">
        <f t="shared" si="310"/>
        <v/>
      </c>
      <c r="MD809" s="742" t="str">
        <f t="shared" si="311"/>
        <v/>
      </c>
      <c r="ME809" s="1637">
        <f t="shared" si="323"/>
        <v>0</v>
      </c>
      <c r="MF809" s="1637">
        <f t="shared" si="324"/>
        <v>0</v>
      </c>
      <c r="MG809" s="1637">
        <f t="shared" si="325"/>
        <v>0</v>
      </c>
      <c r="MH809" s="1637">
        <f t="shared" si="326"/>
        <v>0</v>
      </c>
      <c r="MI809" s="1637">
        <f t="shared" si="327"/>
        <v>0</v>
      </c>
      <c r="MJ809" s="1637">
        <f t="shared" si="328"/>
        <v>0</v>
      </c>
      <c r="MK809" s="1637">
        <f t="shared" si="329"/>
        <v>0</v>
      </c>
      <c r="ML809" s="1637">
        <f t="shared" si="330"/>
        <v>0</v>
      </c>
      <c r="MM809" s="1637">
        <f t="shared" si="331"/>
        <v>0</v>
      </c>
      <c r="MN809" s="1637">
        <f t="shared" si="332"/>
        <v>0</v>
      </c>
      <c r="MO809" s="1637">
        <f t="shared" si="333"/>
        <v>0</v>
      </c>
      <c r="MP809" s="1637">
        <f t="shared" si="334"/>
        <v>0</v>
      </c>
      <c r="MQ809" s="1637">
        <f t="shared" si="335"/>
        <v>0</v>
      </c>
      <c r="MR809" s="1637">
        <f t="shared" si="336"/>
        <v>0</v>
      </c>
      <c r="MS809" s="1637">
        <f t="shared" si="337"/>
        <v>0</v>
      </c>
    </row>
    <row r="810" spans="1:357" ht="12.75" customHeight="1">
      <c r="A810" s="1630">
        <f>COUNT(A772,A773,A774,A775,A776,A777,A778,A779,A780,A781,A782,A783,A784,A785,A786,A787,A788,A789,A790,A791,A792,A793,A794,A795,A796,A797,A798,A799,A800,A801)</f>
        <v>0</v>
      </c>
      <c r="B810" s="521" t="s">
        <v>4714</v>
      </c>
      <c r="C810" s="521"/>
      <c r="D810" s="1828" t="s">
        <v>1018</v>
      </c>
      <c r="E810" s="1827">
        <f>SUM(E772:E809)</f>
        <v>84</v>
      </c>
      <c r="F810" s="2758">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85704</v>
      </c>
      <c r="G810" s="2759" t="s">
        <v>4711</v>
      </c>
      <c r="H810" s="1895" t="s">
        <v>4712</v>
      </c>
      <c r="I810" s="2760" t="str">
        <f>IF(O829=0,"",IF(SUM(O818:O824)/O829&gt;=0.4,"Pass","Fail"))</f>
        <v>Pass</v>
      </c>
      <c r="J810" s="522"/>
      <c r="K810" s="1828" t="s">
        <v>1302</v>
      </c>
      <c r="L810" s="1826">
        <f>SUM(L772:L809)</f>
        <v>77840</v>
      </c>
      <c r="M810" s="1631"/>
      <c r="N810" s="1631"/>
      <c r="O810" s="1631"/>
      <c r="P810" s="1631"/>
      <c r="Q810" s="1631"/>
      <c r="R810" s="1631"/>
      <c r="S810" s="1631"/>
      <c r="T810" s="1631"/>
      <c r="U810" s="1633"/>
      <c r="V810" s="1638"/>
      <c r="W810" s="1638">
        <f t="shared" ref="W810:EZ810" si="338">SUM(W772:W809)</f>
        <v>0</v>
      </c>
      <c r="X810" s="1638">
        <f t="shared" si="338"/>
        <v>0</v>
      </c>
      <c r="Y810" s="1638">
        <f t="shared" si="338"/>
        <v>0</v>
      </c>
      <c r="Z810" s="1638">
        <f t="shared" si="338"/>
        <v>0</v>
      </c>
      <c r="AA810" s="1638">
        <f t="shared" si="338"/>
        <v>0</v>
      </c>
      <c r="AB810" s="1638">
        <f t="shared" si="338"/>
        <v>0</v>
      </c>
      <c r="AC810" s="1638">
        <f t="shared" si="338"/>
        <v>0</v>
      </c>
      <c r="AD810" s="1638">
        <f t="shared" si="338"/>
        <v>0</v>
      </c>
      <c r="AE810" s="1638">
        <f t="shared" si="338"/>
        <v>0</v>
      </c>
      <c r="AF810" s="1638">
        <f t="shared" si="338"/>
        <v>0</v>
      </c>
      <c r="AG810" s="1638">
        <f t="shared" si="338"/>
        <v>0</v>
      </c>
      <c r="AH810" s="1638">
        <f t="shared" si="338"/>
        <v>12</v>
      </c>
      <c r="AI810" s="1638">
        <f t="shared" si="338"/>
        <v>56</v>
      </c>
      <c r="AJ810" s="1638">
        <f t="shared" si="338"/>
        <v>8</v>
      </c>
      <c r="AK810" s="1638">
        <f t="shared" si="338"/>
        <v>8</v>
      </c>
      <c r="AL810" s="1638">
        <f>SUM(AL772:AL809)</f>
        <v>0</v>
      </c>
      <c r="AM810" s="1638">
        <f>SUM(AM772:AM809)</f>
        <v>0</v>
      </c>
      <c r="AN810" s="1638">
        <f>SUM(AN772:AN809)</f>
        <v>0</v>
      </c>
      <c r="AO810" s="1638">
        <f>SUM(AO772:AO809)</f>
        <v>0</v>
      </c>
      <c r="AP810" s="1638">
        <f>SUM(AP772:AP809)</f>
        <v>0</v>
      </c>
      <c r="AQ810" s="1638">
        <f t="shared" si="338"/>
        <v>0</v>
      </c>
      <c r="AR810" s="1638">
        <f t="shared" si="338"/>
        <v>0</v>
      </c>
      <c r="AS810" s="1638">
        <f t="shared" si="338"/>
        <v>0</v>
      </c>
      <c r="AT810" s="1638">
        <f t="shared" si="338"/>
        <v>0</v>
      </c>
      <c r="AU810" s="1638">
        <f t="shared" si="338"/>
        <v>0</v>
      </c>
      <c r="AV810" s="1638">
        <f t="shared" si="338"/>
        <v>0</v>
      </c>
      <c r="AW810" s="1638">
        <f t="shared" si="338"/>
        <v>0</v>
      </c>
      <c r="AX810" s="1638">
        <f t="shared" si="338"/>
        <v>0</v>
      </c>
      <c r="AY810" s="1638">
        <f t="shared" si="338"/>
        <v>0</v>
      </c>
      <c r="AZ810" s="1638">
        <f t="shared" si="338"/>
        <v>0</v>
      </c>
      <c r="BA810" s="1638">
        <f>SUM(BA772:BA809)</f>
        <v>0</v>
      </c>
      <c r="BB810" s="1638">
        <f>SUM(BB772:BB809)</f>
        <v>0</v>
      </c>
      <c r="BC810" s="1638">
        <f>SUM(BC772:BC809)</f>
        <v>0</v>
      </c>
      <c r="BD810" s="1638">
        <f>SUM(BD772:BD809)</f>
        <v>0</v>
      </c>
      <c r="BE810" s="1638">
        <f>SUM(BE772:BE809)</f>
        <v>0</v>
      </c>
      <c r="BF810" s="1638">
        <f t="shared" si="338"/>
        <v>0</v>
      </c>
      <c r="BG810" s="1638">
        <f t="shared" si="338"/>
        <v>0</v>
      </c>
      <c r="BH810" s="1638">
        <f t="shared" si="338"/>
        <v>0</v>
      </c>
      <c r="BI810" s="1638">
        <f t="shared" si="338"/>
        <v>0</v>
      </c>
      <c r="BJ810" s="1638">
        <f t="shared" si="338"/>
        <v>0</v>
      </c>
      <c r="BK810" s="1638">
        <f>SUM(BK772:BK809)</f>
        <v>0</v>
      </c>
      <c r="BL810" s="1638">
        <f>SUM(BL772:BL809)</f>
        <v>0</v>
      </c>
      <c r="BM810" s="1638">
        <f>SUM(BM772:BM809)</f>
        <v>0</v>
      </c>
      <c r="BN810" s="1638">
        <f>SUM(BN772:BN809)</f>
        <v>0</v>
      </c>
      <c r="BO810" s="1638">
        <f>SUM(BO772:BO809)</f>
        <v>0</v>
      </c>
      <c r="BP810" s="1638">
        <f t="shared" si="338"/>
        <v>0</v>
      </c>
      <c r="BQ810" s="1638">
        <f t="shared" si="338"/>
        <v>0</v>
      </c>
      <c r="BR810" s="1638">
        <f t="shared" si="338"/>
        <v>0</v>
      </c>
      <c r="BS810" s="1638">
        <f t="shared" si="338"/>
        <v>0</v>
      </c>
      <c r="BT810" s="1638">
        <f t="shared" si="338"/>
        <v>0</v>
      </c>
      <c r="BU810" s="1638">
        <f>SUM(BU772:BU809)</f>
        <v>0</v>
      </c>
      <c r="BV810" s="1638">
        <f>SUM(BV772:BV809)</f>
        <v>0</v>
      </c>
      <c r="BW810" s="1638">
        <f>SUM(BW772:BW809)</f>
        <v>0</v>
      </c>
      <c r="BX810" s="1638">
        <f>SUM(BX772:BX809)</f>
        <v>0</v>
      </c>
      <c r="BY810" s="1638">
        <f>SUM(BY772:BY809)</f>
        <v>0</v>
      </c>
      <c r="BZ810" s="1638">
        <f t="shared" si="338"/>
        <v>0</v>
      </c>
      <c r="CA810" s="1638">
        <f t="shared" si="338"/>
        <v>0</v>
      </c>
      <c r="CB810" s="1638">
        <f t="shared" si="338"/>
        <v>0</v>
      </c>
      <c r="CC810" s="1638">
        <f t="shared" si="338"/>
        <v>0</v>
      </c>
      <c r="CD810" s="1638">
        <f t="shared" si="338"/>
        <v>0</v>
      </c>
      <c r="CE810" s="1638">
        <f t="shared" si="338"/>
        <v>0</v>
      </c>
      <c r="CF810" s="1638">
        <f t="shared" si="338"/>
        <v>0</v>
      </c>
      <c r="CG810" s="1638">
        <f t="shared" si="338"/>
        <v>0</v>
      </c>
      <c r="CH810" s="1638">
        <f t="shared" si="338"/>
        <v>0</v>
      </c>
      <c r="CI810" s="1638">
        <f t="shared" si="338"/>
        <v>0</v>
      </c>
      <c r="CJ810" s="1638">
        <f>SUM(CJ772:CJ809)</f>
        <v>0</v>
      </c>
      <c r="CK810" s="1638">
        <f>SUM(CK772:CK809)</f>
        <v>0</v>
      </c>
      <c r="CL810" s="1638">
        <f>SUM(CL772:CL809)</f>
        <v>0</v>
      </c>
      <c r="CM810" s="1638">
        <f>SUM(CM772:CM809)</f>
        <v>0</v>
      </c>
      <c r="CN810" s="1638">
        <f>SUM(CN772:CN809)</f>
        <v>0</v>
      </c>
      <c r="CO810" s="1638">
        <f t="shared" ref="CO810:CX810" si="339">SUM(CO772:CO809)</f>
        <v>0</v>
      </c>
      <c r="CP810" s="1638">
        <f t="shared" si="339"/>
        <v>0</v>
      </c>
      <c r="CQ810" s="1638">
        <f t="shared" si="339"/>
        <v>0</v>
      </c>
      <c r="CR810" s="1638">
        <f t="shared" si="339"/>
        <v>0</v>
      </c>
      <c r="CS810" s="1638">
        <f t="shared" si="339"/>
        <v>0</v>
      </c>
      <c r="CT810" s="1638">
        <f t="shared" si="339"/>
        <v>0</v>
      </c>
      <c r="CU810" s="1638">
        <f t="shared" si="339"/>
        <v>0</v>
      </c>
      <c r="CV810" s="1638">
        <f t="shared" si="339"/>
        <v>0</v>
      </c>
      <c r="CW810" s="1638">
        <f t="shared" si="339"/>
        <v>0</v>
      </c>
      <c r="CX810" s="1638">
        <f t="shared" si="339"/>
        <v>0</v>
      </c>
      <c r="CY810" s="1638">
        <f t="shared" si="338"/>
        <v>0</v>
      </c>
      <c r="CZ810" s="1638">
        <f t="shared" si="338"/>
        <v>0</v>
      </c>
      <c r="DA810" s="1638">
        <f t="shared" si="338"/>
        <v>0</v>
      </c>
      <c r="DB810" s="1638">
        <f t="shared" si="338"/>
        <v>0</v>
      </c>
      <c r="DC810" s="1638">
        <f t="shared" si="338"/>
        <v>0</v>
      </c>
      <c r="DD810" s="1638">
        <f t="shared" si="338"/>
        <v>0</v>
      </c>
      <c r="DE810" s="1638">
        <f t="shared" si="338"/>
        <v>0</v>
      </c>
      <c r="DF810" s="1638">
        <f t="shared" si="338"/>
        <v>0</v>
      </c>
      <c r="DG810" s="1638">
        <f t="shared" si="338"/>
        <v>0</v>
      </c>
      <c r="DH810" s="1638">
        <f t="shared" si="338"/>
        <v>0</v>
      </c>
      <c r="DI810" s="1638">
        <f t="shared" si="338"/>
        <v>0</v>
      </c>
      <c r="DJ810" s="1638">
        <f t="shared" si="338"/>
        <v>0</v>
      </c>
      <c r="DK810" s="1638">
        <f t="shared" si="338"/>
        <v>0</v>
      </c>
      <c r="DL810" s="1638">
        <f t="shared" si="338"/>
        <v>0</v>
      </c>
      <c r="DM810" s="1638">
        <f t="shared" si="338"/>
        <v>0</v>
      </c>
      <c r="DN810" s="1638">
        <f t="shared" si="338"/>
        <v>0</v>
      </c>
      <c r="DO810" s="1638">
        <f t="shared" si="338"/>
        <v>0</v>
      </c>
      <c r="DP810" s="1638">
        <f t="shared" si="338"/>
        <v>0</v>
      </c>
      <c r="DQ810" s="1638">
        <f t="shared" si="338"/>
        <v>0</v>
      </c>
      <c r="DR810" s="1638">
        <f t="shared" si="338"/>
        <v>0</v>
      </c>
      <c r="DS810" s="1638">
        <f t="shared" si="338"/>
        <v>0</v>
      </c>
      <c r="DT810" s="1638">
        <f t="shared" si="338"/>
        <v>0</v>
      </c>
      <c r="DU810" s="1638">
        <f t="shared" si="338"/>
        <v>0</v>
      </c>
      <c r="DV810" s="1638">
        <f t="shared" si="338"/>
        <v>0</v>
      </c>
      <c r="DW810" s="1638">
        <f t="shared" si="338"/>
        <v>0</v>
      </c>
      <c r="DX810" s="1638">
        <f t="shared" si="338"/>
        <v>0</v>
      </c>
      <c r="DY810" s="1638">
        <f t="shared" si="338"/>
        <v>0</v>
      </c>
      <c r="DZ810" s="1638">
        <f t="shared" si="338"/>
        <v>0</v>
      </c>
      <c r="EA810" s="1638">
        <f t="shared" si="338"/>
        <v>0</v>
      </c>
      <c r="EB810" s="1638">
        <f t="shared" si="338"/>
        <v>0</v>
      </c>
      <c r="EC810" s="1638">
        <f t="shared" si="338"/>
        <v>0</v>
      </c>
      <c r="ED810" s="1638">
        <f t="shared" si="338"/>
        <v>0</v>
      </c>
      <c r="EE810" s="1638">
        <f t="shared" si="338"/>
        <v>0</v>
      </c>
      <c r="EF810" s="1638">
        <f t="shared" si="338"/>
        <v>0</v>
      </c>
      <c r="EG810" s="1638">
        <f t="shared" si="338"/>
        <v>0</v>
      </c>
      <c r="EH810" s="1638">
        <f t="shared" si="338"/>
        <v>0</v>
      </c>
      <c r="EI810" s="1638">
        <f t="shared" si="338"/>
        <v>0</v>
      </c>
      <c r="EJ810" s="1638">
        <f t="shared" si="338"/>
        <v>0</v>
      </c>
      <c r="EK810" s="1638">
        <f t="shared" si="338"/>
        <v>0</v>
      </c>
      <c r="EL810" s="1638">
        <f t="shared" si="338"/>
        <v>0</v>
      </c>
      <c r="EM810" s="1638">
        <f t="shared" si="338"/>
        <v>0</v>
      </c>
      <c r="EN810" s="1638">
        <f t="shared" si="338"/>
        <v>0</v>
      </c>
      <c r="EO810" s="1638">
        <f t="shared" si="338"/>
        <v>0</v>
      </c>
      <c r="EP810" s="1638">
        <f t="shared" si="338"/>
        <v>0</v>
      </c>
      <c r="EQ810" s="1638">
        <f t="shared" si="338"/>
        <v>0</v>
      </c>
      <c r="ER810" s="1638">
        <f t="shared" si="338"/>
        <v>0</v>
      </c>
      <c r="ES810" s="1638">
        <f t="shared" si="338"/>
        <v>9440</v>
      </c>
      <c r="ET810" s="1638">
        <f t="shared" si="338"/>
        <v>54936</v>
      </c>
      <c r="EU810" s="1638">
        <f t="shared" si="338"/>
        <v>9848</v>
      </c>
      <c r="EV810" s="1638">
        <f t="shared" si="338"/>
        <v>11480</v>
      </c>
      <c r="EW810" s="1638">
        <f t="shared" si="338"/>
        <v>0</v>
      </c>
      <c r="EX810" s="1638">
        <f t="shared" si="338"/>
        <v>0</v>
      </c>
      <c r="EY810" s="1638">
        <f t="shared" si="338"/>
        <v>0</v>
      </c>
      <c r="EZ810" s="1638">
        <f t="shared" si="338"/>
        <v>0</v>
      </c>
      <c r="FA810" s="1638">
        <f t="shared" ref="FA810:HV810" si="340">SUM(FA772:FA809)</f>
        <v>0</v>
      </c>
      <c r="FB810" s="1638">
        <f>SUM(FB772:FB809)</f>
        <v>0</v>
      </c>
      <c r="FC810" s="1638">
        <f>SUM(FC772:FC809)</f>
        <v>0</v>
      </c>
      <c r="FD810" s="1638">
        <f>SUM(FD772:FD809)</f>
        <v>0</v>
      </c>
      <c r="FE810" s="1638">
        <f>SUM(FE772:FE809)</f>
        <v>0</v>
      </c>
      <c r="FF810" s="1638">
        <f>SUM(FF772:FF809)</f>
        <v>0</v>
      </c>
      <c r="FG810" s="1638">
        <f t="shared" si="340"/>
        <v>0</v>
      </c>
      <c r="FH810" s="1638">
        <f t="shared" si="340"/>
        <v>0</v>
      </c>
      <c r="FI810" s="1638">
        <f t="shared" si="340"/>
        <v>0</v>
      </c>
      <c r="FJ810" s="1638">
        <f t="shared" si="340"/>
        <v>0</v>
      </c>
      <c r="FK810" s="1638">
        <f t="shared" si="340"/>
        <v>0</v>
      </c>
      <c r="FL810" s="1638">
        <f>SUM(FL772:FL809)</f>
        <v>0</v>
      </c>
      <c r="FM810" s="1638">
        <f>SUM(FM772:FM809)</f>
        <v>0</v>
      </c>
      <c r="FN810" s="1638">
        <f>SUM(FN772:FN809)</f>
        <v>0</v>
      </c>
      <c r="FO810" s="1638">
        <f>SUM(FO772:FO809)</f>
        <v>0</v>
      </c>
      <c r="FP810" s="1638">
        <f>SUM(FP772:FP809)</f>
        <v>0</v>
      </c>
      <c r="FQ810" s="1638">
        <f t="shared" si="340"/>
        <v>0</v>
      </c>
      <c r="FR810" s="1638">
        <f t="shared" si="340"/>
        <v>0</v>
      </c>
      <c r="FS810" s="1638">
        <f t="shared" si="340"/>
        <v>0</v>
      </c>
      <c r="FT810" s="1638">
        <f t="shared" si="340"/>
        <v>0</v>
      </c>
      <c r="FU810" s="1638">
        <f t="shared" si="340"/>
        <v>0</v>
      </c>
      <c r="FV810" s="1638">
        <f t="shared" si="340"/>
        <v>0</v>
      </c>
      <c r="FW810" s="1638">
        <f t="shared" si="340"/>
        <v>0</v>
      </c>
      <c r="FX810" s="1638">
        <f t="shared" si="340"/>
        <v>0</v>
      </c>
      <c r="FY810" s="1638">
        <f t="shared" si="340"/>
        <v>0</v>
      </c>
      <c r="FZ810" s="1638">
        <f t="shared" si="340"/>
        <v>0</v>
      </c>
      <c r="GA810" s="1638">
        <f t="shared" si="340"/>
        <v>0</v>
      </c>
      <c r="GB810" s="1638">
        <f t="shared" si="340"/>
        <v>0</v>
      </c>
      <c r="GC810" s="1638">
        <f t="shared" si="340"/>
        <v>0</v>
      </c>
      <c r="GD810" s="1638">
        <f t="shared" si="340"/>
        <v>0</v>
      </c>
      <c r="GE810" s="1638">
        <f t="shared" si="340"/>
        <v>0</v>
      </c>
      <c r="GF810" s="1638">
        <f t="shared" si="340"/>
        <v>0</v>
      </c>
      <c r="GG810" s="1638">
        <f t="shared" si="340"/>
        <v>12</v>
      </c>
      <c r="GH810" s="1638">
        <f t="shared" si="340"/>
        <v>56</v>
      </c>
      <c r="GI810" s="1638">
        <f t="shared" si="340"/>
        <v>8</v>
      </c>
      <c r="GJ810" s="1638">
        <f t="shared" si="340"/>
        <v>8</v>
      </c>
      <c r="GK810" s="1638">
        <f t="shared" si="340"/>
        <v>0</v>
      </c>
      <c r="GL810" s="1638">
        <f t="shared" si="340"/>
        <v>0</v>
      </c>
      <c r="GM810" s="1638">
        <f t="shared" si="340"/>
        <v>0</v>
      </c>
      <c r="GN810" s="1638">
        <f t="shared" si="340"/>
        <v>0</v>
      </c>
      <c r="GO810" s="1638">
        <f t="shared" si="340"/>
        <v>0</v>
      </c>
      <c r="GP810" s="1638">
        <f t="shared" si="340"/>
        <v>0</v>
      </c>
      <c r="GQ810" s="1638">
        <f t="shared" si="340"/>
        <v>0</v>
      </c>
      <c r="GR810" s="1638">
        <f t="shared" si="340"/>
        <v>0</v>
      </c>
      <c r="GS810" s="1638">
        <f t="shared" si="340"/>
        <v>0</v>
      </c>
      <c r="GT810" s="1638">
        <f t="shared" si="340"/>
        <v>0</v>
      </c>
      <c r="GU810" s="1638">
        <f t="shared" si="340"/>
        <v>0</v>
      </c>
      <c r="GV810" s="1638">
        <f t="shared" si="340"/>
        <v>0</v>
      </c>
      <c r="GW810" s="1638">
        <f t="shared" si="340"/>
        <v>0</v>
      </c>
      <c r="GX810" s="1638">
        <f t="shared" si="340"/>
        <v>0</v>
      </c>
      <c r="GY810" s="1638">
        <f t="shared" si="340"/>
        <v>0</v>
      </c>
      <c r="GZ810" s="1638">
        <f t="shared" si="340"/>
        <v>0</v>
      </c>
      <c r="HA810" s="1638">
        <f t="shared" si="340"/>
        <v>0</v>
      </c>
      <c r="HB810" s="1638">
        <f t="shared" si="340"/>
        <v>0</v>
      </c>
      <c r="HC810" s="1638">
        <f t="shared" si="340"/>
        <v>0</v>
      </c>
      <c r="HD810" s="1638">
        <f t="shared" si="340"/>
        <v>0</v>
      </c>
      <c r="HE810" s="1638">
        <f t="shared" si="340"/>
        <v>0</v>
      </c>
      <c r="HF810" s="1638">
        <f t="shared" si="340"/>
        <v>0</v>
      </c>
      <c r="HG810" s="1638">
        <f t="shared" si="340"/>
        <v>0</v>
      </c>
      <c r="HH810" s="1638">
        <f t="shared" si="340"/>
        <v>0</v>
      </c>
      <c r="HI810" s="1638">
        <f t="shared" si="340"/>
        <v>0</v>
      </c>
      <c r="HJ810" s="1638">
        <f t="shared" si="340"/>
        <v>0</v>
      </c>
      <c r="HK810" s="1638">
        <f t="shared" si="340"/>
        <v>0</v>
      </c>
      <c r="HL810" s="1638">
        <f t="shared" si="340"/>
        <v>0</v>
      </c>
      <c r="HM810" s="1638">
        <f t="shared" si="340"/>
        <v>0</v>
      </c>
      <c r="HN810" s="1638">
        <f t="shared" si="340"/>
        <v>0</v>
      </c>
      <c r="HO810" s="1638">
        <f t="shared" si="340"/>
        <v>0</v>
      </c>
      <c r="HP810" s="1638">
        <f t="shared" si="340"/>
        <v>0</v>
      </c>
      <c r="HQ810" s="1638">
        <f t="shared" si="340"/>
        <v>0</v>
      </c>
      <c r="HR810" s="1638">
        <f t="shared" si="340"/>
        <v>0</v>
      </c>
      <c r="HS810" s="1638">
        <f t="shared" si="340"/>
        <v>0</v>
      </c>
      <c r="HT810" s="1638">
        <f t="shared" si="340"/>
        <v>0</v>
      </c>
      <c r="HU810" s="1638">
        <f t="shared" si="340"/>
        <v>0</v>
      </c>
      <c r="HV810" s="1638">
        <f t="shared" si="340"/>
        <v>0</v>
      </c>
      <c r="HW810" s="1638">
        <f t="shared" ref="HW810:KH810" si="341">SUM(HW772:HW809)</f>
        <v>0</v>
      </c>
      <c r="HX810" s="1638">
        <f t="shared" si="341"/>
        <v>0</v>
      </c>
      <c r="HY810" s="1638">
        <f t="shared" si="341"/>
        <v>0</v>
      </c>
      <c r="HZ810" s="1638">
        <f t="shared" si="341"/>
        <v>12</v>
      </c>
      <c r="IA810" s="1638">
        <f t="shared" si="341"/>
        <v>56</v>
      </c>
      <c r="IB810" s="1638">
        <f t="shared" si="341"/>
        <v>8</v>
      </c>
      <c r="IC810" s="1638">
        <f t="shared" si="341"/>
        <v>8</v>
      </c>
      <c r="ID810" s="1638">
        <f t="shared" si="341"/>
        <v>0</v>
      </c>
      <c r="IE810" s="1638">
        <f t="shared" si="341"/>
        <v>0</v>
      </c>
      <c r="IF810" s="1638">
        <f t="shared" si="341"/>
        <v>0</v>
      </c>
      <c r="IG810" s="1638">
        <f t="shared" si="341"/>
        <v>0</v>
      </c>
      <c r="IH810" s="1638">
        <f t="shared" si="341"/>
        <v>0</v>
      </c>
      <c r="II810" s="1638">
        <f t="shared" si="341"/>
        <v>0</v>
      </c>
      <c r="IJ810" s="1638">
        <f t="shared" si="341"/>
        <v>0</v>
      </c>
      <c r="IK810" s="1638">
        <f t="shared" si="341"/>
        <v>0</v>
      </c>
      <c r="IL810" s="1638">
        <f t="shared" si="341"/>
        <v>0</v>
      </c>
      <c r="IM810" s="1638">
        <f t="shared" si="341"/>
        <v>0</v>
      </c>
      <c r="IN810" s="1638">
        <f t="shared" si="341"/>
        <v>0</v>
      </c>
      <c r="IO810" s="1638">
        <f t="shared" si="341"/>
        <v>0</v>
      </c>
      <c r="IP810" s="1638">
        <f t="shared" si="341"/>
        <v>0</v>
      </c>
      <c r="IQ810" s="1638">
        <f t="shared" si="341"/>
        <v>0</v>
      </c>
      <c r="IR810" s="1638">
        <f t="shared" si="341"/>
        <v>0</v>
      </c>
      <c r="IS810" s="1638">
        <f t="shared" si="341"/>
        <v>0</v>
      </c>
      <c r="IT810" s="1638">
        <f t="shared" si="341"/>
        <v>0</v>
      </c>
      <c r="IU810" s="1638">
        <f t="shared" si="341"/>
        <v>0</v>
      </c>
      <c r="IV810" s="1638">
        <f t="shared" si="341"/>
        <v>0</v>
      </c>
      <c r="IW810" s="1638">
        <f t="shared" si="341"/>
        <v>0</v>
      </c>
      <c r="IX810" s="1638">
        <f t="shared" si="341"/>
        <v>0</v>
      </c>
      <c r="IY810" s="1638">
        <f t="shared" si="341"/>
        <v>0</v>
      </c>
      <c r="IZ810" s="1638">
        <f t="shared" si="341"/>
        <v>0</v>
      </c>
      <c r="JA810" s="1638">
        <f t="shared" si="341"/>
        <v>0</v>
      </c>
      <c r="JB810" s="1638">
        <f t="shared" si="341"/>
        <v>0</v>
      </c>
      <c r="JC810" s="1638">
        <f t="shared" si="341"/>
        <v>0</v>
      </c>
      <c r="JD810" s="1638">
        <f t="shared" si="341"/>
        <v>0</v>
      </c>
      <c r="JE810" s="1638">
        <f t="shared" si="341"/>
        <v>0</v>
      </c>
      <c r="JF810" s="1638">
        <f t="shared" si="341"/>
        <v>0</v>
      </c>
      <c r="JG810" s="1638">
        <f t="shared" si="341"/>
        <v>0</v>
      </c>
      <c r="JH810" s="1638">
        <f t="shared" si="341"/>
        <v>0</v>
      </c>
      <c r="JI810" s="1638">
        <f t="shared" si="341"/>
        <v>0</v>
      </c>
      <c r="JJ810" s="1638">
        <f t="shared" si="341"/>
        <v>0</v>
      </c>
      <c r="JK810" s="1638">
        <f t="shared" si="341"/>
        <v>0</v>
      </c>
      <c r="JL810" s="1638">
        <f t="shared" si="341"/>
        <v>0</v>
      </c>
      <c r="JM810" s="1638">
        <f t="shared" si="341"/>
        <v>0</v>
      </c>
      <c r="JN810" s="1638">
        <f t="shared" si="341"/>
        <v>0</v>
      </c>
      <c r="JO810" s="1638">
        <f t="shared" si="341"/>
        <v>0</v>
      </c>
      <c r="JP810" s="1638">
        <f t="shared" si="341"/>
        <v>0</v>
      </c>
      <c r="JQ810" s="1638">
        <f t="shared" si="341"/>
        <v>0</v>
      </c>
      <c r="JR810" s="1638">
        <f t="shared" si="341"/>
        <v>0</v>
      </c>
      <c r="JS810" s="1638">
        <f t="shared" si="341"/>
        <v>0</v>
      </c>
      <c r="JT810" s="1638">
        <f t="shared" si="341"/>
        <v>0</v>
      </c>
      <c r="JU810" s="1638">
        <f t="shared" si="341"/>
        <v>0</v>
      </c>
      <c r="JV810" s="1638">
        <f t="shared" si="341"/>
        <v>0</v>
      </c>
      <c r="JW810" s="1638">
        <f t="shared" si="341"/>
        <v>0</v>
      </c>
      <c r="JX810" s="1638">
        <f t="shared" si="341"/>
        <v>0</v>
      </c>
      <c r="JY810" s="1638">
        <f t="shared" si="341"/>
        <v>0</v>
      </c>
      <c r="JZ810" s="1638">
        <f t="shared" si="341"/>
        <v>0</v>
      </c>
      <c r="KA810" s="1638">
        <f t="shared" si="341"/>
        <v>0</v>
      </c>
      <c r="KB810" s="1638">
        <f t="shared" si="341"/>
        <v>0</v>
      </c>
      <c r="KC810" s="1638">
        <f t="shared" si="341"/>
        <v>0</v>
      </c>
      <c r="KD810" s="1638">
        <f t="shared" si="341"/>
        <v>0</v>
      </c>
      <c r="KE810" s="1638">
        <f t="shared" si="341"/>
        <v>0</v>
      </c>
      <c r="KF810" s="1638">
        <f t="shared" si="341"/>
        <v>0</v>
      </c>
      <c r="KG810" s="1638">
        <f t="shared" si="341"/>
        <v>0</v>
      </c>
      <c r="KH810" s="1638">
        <f t="shared" si="341"/>
        <v>0</v>
      </c>
      <c r="KI810" s="1638">
        <f t="shared" ref="KI810:MS810" si="342">SUM(KI772:KI809)</f>
        <v>0</v>
      </c>
      <c r="KJ810" s="1638">
        <f t="shared" si="342"/>
        <v>0</v>
      </c>
      <c r="KK810" s="1638">
        <f t="shared" si="342"/>
        <v>0</v>
      </c>
      <c r="KL810" s="1638">
        <f t="shared" si="342"/>
        <v>0</v>
      </c>
      <c r="KM810" s="1638">
        <f t="shared" si="342"/>
        <v>0</v>
      </c>
      <c r="KN810" s="1638">
        <f t="shared" si="342"/>
        <v>0</v>
      </c>
      <c r="KO810" s="1638">
        <f t="shared" si="342"/>
        <v>0</v>
      </c>
      <c r="KP810" s="1638">
        <f t="shared" si="342"/>
        <v>0</v>
      </c>
      <c r="KQ810" s="1638">
        <f t="shared" si="342"/>
        <v>0</v>
      </c>
      <c r="KR810" s="1638">
        <f t="shared" si="342"/>
        <v>0</v>
      </c>
      <c r="KS810" s="1638">
        <f t="shared" si="342"/>
        <v>0</v>
      </c>
      <c r="KT810" s="1638">
        <f t="shared" si="342"/>
        <v>0</v>
      </c>
      <c r="KU810" s="1638">
        <f t="shared" si="342"/>
        <v>0</v>
      </c>
      <c r="KV810" s="1638">
        <f t="shared" si="342"/>
        <v>0</v>
      </c>
      <c r="KW810" s="1638">
        <f t="shared" si="342"/>
        <v>12</v>
      </c>
      <c r="KX810" s="1638">
        <f t="shared" si="342"/>
        <v>56</v>
      </c>
      <c r="KY810" s="1638">
        <f t="shared" si="342"/>
        <v>8</v>
      </c>
      <c r="KZ810" s="1638">
        <f t="shared" si="342"/>
        <v>8</v>
      </c>
      <c r="LA810" s="1638">
        <f t="shared" si="342"/>
        <v>0</v>
      </c>
      <c r="LB810" s="1638">
        <f t="shared" si="342"/>
        <v>0</v>
      </c>
      <c r="LC810" s="1638">
        <f t="shared" si="342"/>
        <v>0</v>
      </c>
      <c r="LD810" s="1638">
        <f t="shared" si="342"/>
        <v>0</v>
      </c>
      <c r="LE810" s="1638">
        <f t="shared" si="342"/>
        <v>0</v>
      </c>
      <c r="LF810" s="1638">
        <f t="shared" si="342"/>
        <v>0</v>
      </c>
      <c r="LG810" s="1638">
        <f t="shared" si="342"/>
        <v>0</v>
      </c>
      <c r="LH810" s="1638">
        <f t="shared" si="342"/>
        <v>0</v>
      </c>
      <c r="LI810" s="1638">
        <f t="shared" si="342"/>
        <v>0</v>
      </c>
      <c r="LJ810" s="1638">
        <f t="shared" si="342"/>
        <v>0</v>
      </c>
      <c r="LK810" s="1638">
        <f t="shared" si="342"/>
        <v>0</v>
      </c>
      <c r="LL810" s="1638">
        <f t="shared" si="342"/>
        <v>0</v>
      </c>
      <c r="LM810" s="1638">
        <f t="shared" si="342"/>
        <v>0</v>
      </c>
      <c r="LN810" s="1638">
        <f t="shared" si="342"/>
        <v>0</v>
      </c>
      <c r="LO810" s="1638">
        <f t="shared" si="342"/>
        <v>0</v>
      </c>
      <c r="LP810" s="1638">
        <f t="shared" si="342"/>
        <v>0</v>
      </c>
      <c r="LQ810" s="1638">
        <f t="shared" si="342"/>
        <v>0</v>
      </c>
      <c r="LR810" s="1638">
        <f t="shared" si="342"/>
        <v>0</v>
      </c>
      <c r="LS810" s="1638">
        <f t="shared" si="342"/>
        <v>0</v>
      </c>
      <c r="LT810" s="1638">
        <f t="shared" si="342"/>
        <v>0</v>
      </c>
      <c r="LU810" s="1638">
        <f t="shared" si="342"/>
        <v>0</v>
      </c>
      <c r="LV810" s="1638">
        <f t="shared" si="342"/>
        <v>0</v>
      </c>
      <c r="LW810" s="1638">
        <f t="shared" si="342"/>
        <v>0</v>
      </c>
      <c r="LX810" s="1638">
        <f t="shared" si="342"/>
        <v>0</v>
      </c>
      <c r="LY810" s="1638">
        <f t="shared" si="342"/>
        <v>0</v>
      </c>
      <c r="LZ810" s="1638">
        <f t="shared" si="342"/>
        <v>0</v>
      </c>
      <c r="MA810" s="1638">
        <f t="shared" si="342"/>
        <v>0</v>
      </c>
      <c r="MB810" s="1638">
        <f t="shared" si="342"/>
        <v>0</v>
      </c>
      <c r="MC810" s="1638">
        <f t="shared" si="342"/>
        <v>0</v>
      </c>
      <c r="MD810" s="1638">
        <f t="shared" si="342"/>
        <v>0</v>
      </c>
      <c r="ME810" s="1638">
        <f t="shared" si="342"/>
        <v>0</v>
      </c>
      <c r="MF810" s="1638">
        <f t="shared" si="342"/>
        <v>0</v>
      </c>
      <c r="MG810" s="1638">
        <f t="shared" si="342"/>
        <v>0</v>
      </c>
      <c r="MH810" s="1638">
        <f t="shared" si="342"/>
        <v>0</v>
      </c>
      <c r="MI810" s="1638">
        <f t="shared" si="342"/>
        <v>0</v>
      </c>
      <c r="MJ810" s="1638">
        <f t="shared" si="342"/>
        <v>0</v>
      </c>
      <c r="MK810" s="1638">
        <f t="shared" si="342"/>
        <v>12</v>
      </c>
      <c r="ML810" s="1638">
        <f t="shared" si="342"/>
        <v>56</v>
      </c>
      <c r="MM810" s="1638">
        <f t="shared" si="342"/>
        <v>8</v>
      </c>
      <c r="MN810" s="1638">
        <f t="shared" si="342"/>
        <v>8</v>
      </c>
      <c r="MO810" s="1638">
        <f t="shared" si="342"/>
        <v>0</v>
      </c>
      <c r="MP810" s="1638">
        <f t="shared" si="342"/>
        <v>0</v>
      </c>
      <c r="MQ810" s="1638">
        <f t="shared" si="342"/>
        <v>0</v>
      </c>
      <c r="MR810" s="1638">
        <f t="shared" si="342"/>
        <v>0</v>
      </c>
      <c r="MS810" s="1638">
        <f t="shared" si="342"/>
        <v>0</v>
      </c>
    </row>
    <row r="811" spans="1:357">
      <c r="B811" s="2761">
        <f>'Part VI-Revenues &amp; Expenses'!B49</f>
        <v>60</v>
      </c>
      <c r="C811" s="2761"/>
      <c r="D811" s="1630" t="s">
        <v>4621</v>
      </c>
      <c r="E811" s="1827">
        <f>SUM(E779:E809)</f>
        <v>84</v>
      </c>
      <c r="F811" s="2758">
        <f>(E779*F779+E780*F780+E781*F781+E782*F782+E783*F783+E784*F784+E785*F785+E786*F786+E787*F787+E788*F788+E789*F789+E790*F790+E791*F791+E792*F792+E793*F793+E794*F794+E795*F795+E796*F796+E797*F797+E798*F798+E799*F799+E800*F800+E801*F801+E802*F802+E803*F803+E804*F804+E805*F805+E806*F806+E807*F807+E808*F808+E809*F809)</f>
        <v>85704</v>
      </c>
      <c r="G811" s="2759"/>
      <c r="H811" s="1895" t="s">
        <v>4713</v>
      </c>
      <c r="I811" s="2760" t="str">
        <f>IF(O829=0,"",IF(SUM(O818:O824)/O829&gt;=0.2,"Pass","Fail"))</f>
        <v>Pass</v>
      </c>
      <c r="J811" s="522"/>
      <c r="K811" s="1828" t="s">
        <v>814</v>
      </c>
      <c r="L811" s="1826">
        <f>L810*12</f>
        <v>934080</v>
      </c>
      <c r="M811" s="1631"/>
      <c r="N811" s="1631"/>
      <c r="O811" s="1631"/>
      <c r="P811" s="1631"/>
      <c r="Q811" s="1631"/>
      <c r="R811" s="1631"/>
      <c r="S811" s="1631"/>
      <c r="T811" s="1631"/>
      <c r="U811" s="1631"/>
      <c r="V811" s="1638"/>
      <c r="W811" s="1638"/>
      <c r="X811" s="1638"/>
      <c r="Y811" s="1638"/>
      <c r="Z811" s="1638"/>
      <c r="AA811" s="1638"/>
      <c r="AB811" s="1638"/>
      <c r="AC811" s="1638"/>
      <c r="AD811" s="1638"/>
      <c r="AE811" s="1638"/>
      <c r="AF811" s="1638"/>
      <c r="AG811" s="1638"/>
      <c r="AH811" s="1638"/>
      <c r="AI811" s="1638"/>
      <c r="AJ811" s="1638"/>
      <c r="AK811" s="1638"/>
      <c r="AL811" s="1638"/>
      <c r="AM811" s="1638"/>
      <c r="AN811" s="1638"/>
      <c r="AO811" s="1638"/>
      <c r="AP811" s="1638"/>
      <c r="AQ811" s="1638"/>
      <c r="AR811" s="1638"/>
      <c r="AS811" s="1638"/>
      <c r="AT811" s="1638"/>
      <c r="AU811" s="1638"/>
      <c r="AV811" s="1638"/>
      <c r="AW811" s="1638"/>
      <c r="AX811" s="1638"/>
      <c r="AY811" s="1638"/>
      <c r="AZ811" s="1638"/>
      <c r="BA811" s="1638"/>
      <c r="BB811" s="1638"/>
      <c r="BC811" s="1638"/>
      <c r="BD811" s="1638"/>
      <c r="BE811" s="1638"/>
      <c r="BF811" s="1638"/>
      <c r="BG811" s="1638"/>
      <c r="BH811" s="1638"/>
      <c r="BI811" s="1638"/>
      <c r="BJ811" s="1638"/>
      <c r="BK811" s="1638"/>
      <c r="BL811" s="1638"/>
      <c r="BM811" s="1638"/>
      <c r="BN811" s="1638"/>
      <c r="BO811" s="1638"/>
      <c r="BP811" s="1638"/>
      <c r="BQ811" s="1638"/>
      <c r="BR811" s="1638"/>
      <c r="BS811" s="1638"/>
      <c r="BT811" s="1638"/>
      <c r="BU811" s="1638"/>
      <c r="BV811" s="1638"/>
      <c r="BW811" s="1638"/>
      <c r="BX811" s="1638"/>
      <c r="BY811" s="1638"/>
      <c r="BZ811" s="1638"/>
      <c r="CA811" s="1638"/>
      <c r="CB811" s="1638"/>
      <c r="CC811" s="1638"/>
      <c r="CD811" s="1638"/>
      <c r="CE811" s="1638"/>
      <c r="CF811" s="1638"/>
      <c r="CG811" s="1638"/>
      <c r="CH811" s="1638"/>
      <c r="CI811" s="1638"/>
      <c r="CJ811" s="1638"/>
      <c r="CK811" s="1638"/>
      <c r="CL811" s="1638"/>
      <c r="CM811" s="1638"/>
      <c r="CN811" s="1638"/>
      <c r="CO811" s="1638"/>
      <c r="CP811" s="1638"/>
      <c r="CQ811" s="1638"/>
      <c r="CR811" s="1638"/>
      <c r="CS811" s="1638"/>
      <c r="CT811" s="1638"/>
      <c r="CU811" s="1638"/>
      <c r="CV811" s="1638"/>
      <c r="CW811" s="1638"/>
      <c r="CX811" s="1638"/>
      <c r="CY811" s="1638"/>
      <c r="CZ811" s="1638"/>
      <c r="DA811" s="1638"/>
      <c r="DB811" s="1638"/>
      <c r="DC811" s="1638"/>
      <c r="DD811" s="1638"/>
      <c r="DE811" s="1638"/>
      <c r="DF811" s="1638"/>
      <c r="DG811" s="1638"/>
      <c r="DH811" s="1638"/>
      <c r="DI811" s="1638"/>
      <c r="DJ811" s="1638"/>
      <c r="DK811" s="1638"/>
      <c r="DL811" s="1638"/>
      <c r="DM811" s="1638"/>
      <c r="DN811" s="1638"/>
      <c r="DO811" s="1638"/>
      <c r="DP811" s="1638"/>
      <c r="DQ811" s="1638"/>
      <c r="DR811" s="1638"/>
      <c r="DS811" s="1638"/>
      <c r="DT811" s="1638"/>
      <c r="DU811" s="1638"/>
      <c r="DV811" s="1638"/>
      <c r="DW811" s="1638"/>
      <c r="DX811" s="1638"/>
      <c r="DY811" s="1638"/>
      <c r="DZ811" s="1638"/>
      <c r="EA811" s="1638"/>
      <c r="EB811" s="1638"/>
      <c r="EC811" s="1638"/>
      <c r="ED811" s="1638"/>
      <c r="EE811" s="1638"/>
      <c r="EF811" s="1638"/>
      <c r="EG811" s="1638"/>
      <c r="EH811" s="1638"/>
      <c r="EI811" s="1638"/>
      <c r="EJ811" s="1638"/>
      <c r="EK811" s="1638"/>
      <c r="EL811" s="1638"/>
      <c r="EM811" s="1638"/>
      <c r="EN811" s="1638"/>
      <c r="EO811" s="1638"/>
      <c r="EP811" s="1638"/>
      <c r="EQ811" s="1638"/>
      <c r="ER811" s="1638"/>
      <c r="ES811" s="1638"/>
      <c r="ET811" s="1638"/>
      <c r="EU811" s="1638"/>
      <c r="EV811" s="1638"/>
      <c r="EW811" s="1638"/>
      <c r="EX811" s="1638"/>
      <c r="EY811" s="1638"/>
      <c r="EZ811" s="1638"/>
      <c r="FA811" s="1638"/>
      <c r="FB811" s="1638"/>
      <c r="FC811" s="1638"/>
      <c r="FD811" s="1638"/>
      <c r="FE811" s="1638"/>
      <c r="FF811" s="1638"/>
      <c r="FG811" s="1638"/>
      <c r="FH811" s="1638"/>
      <c r="FI811" s="1638"/>
      <c r="FJ811" s="1638"/>
      <c r="FK811" s="1638"/>
      <c r="FL811" s="1638"/>
      <c r="FM811" s="1638"/>
      <c r="FN811" s="1638"/>
      <c r="FO811" s="1638"/>
      <c r="FP811" s="1638"/>
      <c r="FQ811" s="1638"/>
      <c r="FR811" s="1638"/>
      <c r="FS811" s="1638"/>
      <c r="FT811" s="1638"/>
      <c r="FU811" s="1638"/>
      <c r="FV811" s="1638"/>
      <c r="FW811" s="1638"/>
      <c r="FX811" s="1638"/>
      <c r="FY811" s="1638"/>
      <c r="FZ811" s="1638"/>
      <c r="GA811" s="1638"/>
      <c r="GB811" s="1638"/>
      <c r="GC811" s="1638"/>
      <c r="GD811" s="1638"/>
      <c r="GE811" s="1638"/>
      <c r="GF811" s="1638"/>
      <c r="GG811" s="1638"/>
      <c r="GH811" s="1638"/>
      <c r="GI811" s="1638"/>
      <c r="GJ811" s="1638"/>
      <c r="GK811" s="1638"/>
      <c r="GL811" s="1638"/>
      <c r="GM811" s="1638"/>
      <c r="GN811" s="1638"/>
      <c r="GO811" s="1638"/>
      <c r="GP811" s="1638"/>
      <c r="GQ811" s="1638"/>
      <c r="GR811" s="1638"/>
      <c r="GS811" s="1638"/>
      <c r="GT811" s="1638"/>
      <c r="GU811" s="1638"/>
      <c r="GV811" s="1638"/>
      <c r="GW811" s="1638"/>
      <c r="GX811" s="1638"/>
      <c r="GY811" s="1638"/>
      <c r="GZ811" s="1638"/>
      <c r="HA811" s="1638"/>
      <c r="HB811" s="1638"/>
      <c r="HC811" s="1638"/>
      <c r="HD811" s="1638"/>
      <c r="HE811" s="1638"/>
      <c r="HF811" s="1638"/>
      <c r="HG811" s="1638"/>
      <c r="HH811" s="1638"/>
      <c r="HI811" s="1638"/>
      <c r="HJ811" s="1638"/>
      <c r="HK811" s="1638"/>
      <c r="HL811" s="1638"/>
      <c r="HM811" s="1638"/>
      <c r="HN811" s="1638"/>
      <c r="HO811" s="1638"/>
      <c r="HP811" s="1638"/>
      <c r="HQ811" s="1638"/>
      <c r="HR811" s="1638"/>
      <c r="HS811" s="1638"/>
      <c r="HT811" s="1638"/>
      <c r="HU811" s="1638"/>
      <c r="HV811" s="1638"/>
      <c r="HW811" s="1638"/>
      <c r="HX811" s="1638"/>
      <c r="HY811" s="1638"/>
      <c r="HZ811" s="1638"/>
      <c r="IA811" s="1638"/>
      <c r="IB811" s="1638"/>
      <c r="IC811" s="1638"/>
      <c r="ID811" s="1638"/>
      <c r="IE811" s="1638"/>
      <c r="IF811" s="1638"/>
      <c r="IG811" s="1638"/>
      <c r="IH811" s="1638"/>
      <c r="II811" s="1638"/>
      <c r="IJ811" s="1638"/>
      <c r="IK811" s="1638"/>
      <c r="IL811" s="1638"/>
      <c r="IM811" s="1638"/>
      <c r="IN811" s="1638"/>
      <c r="IO811" s="1638"/>
      <c r="IP811" s="1638"/>
      <c r="IQ811" s="1638"/>
      <c r="IR811" s="1638"/>
      <c r="IS811" s="1638"/>
      <c r="IT811" s="1638"/>
      <c r="IU811" s="1638"/>
      <c r="IV811" s="1638"/>
      <c r="IW811" s="1638"/>
      <c r="IX811" s="1638"/>
      <c r="IY811" s="1638"/>
      <c r="IZ811" s="1638"/>
      <c r="JA811" s="1638"/>
      <c r="JB811" s="1638"/>
      <c r="JC811" s="1638"/>
      <c r="JD811" s="1638"/>
      <c r="JE811" s="1638"/>
      <c r="JF811" s="1638"/>
      <c r="JG811" s="1638"/>
      <c r="JH811" s="1638"/>
      <c r="JI811" s="1638"/>
      <c r="JJ811" s="1638"/>
      <c r="JK811" s="1638"/>
      <c r="JL811" s="1638"/>
      <c r="JM811" s="1638"/>
      <c r="JN811" s="1638"/>
      <c r="JO811" s="1638"/>
      <c r="JP811" s="1638"/>
      <c r="JQ811" s="1638"/>
      <c r="JR811" s="1638"/>
      <c r="JS811" s="1638"/>
      <c r="JT811" s="1638"/>
      <c r="JU811" s="1638"/>
      <c r="JV811" s="1638"/>
      <c r="JW811" s="1638"/>
      <c r="JX811" s="1638"/>
      <c r="JY811" s="1638"/>
      <c r="JZ811" s="1638"/>
      <c r="KA811" s="1638"/>
      <c r="KB811" s="1638"/>
      <c r="KC811" s="1638"/>
      <c r="KD811" s="1638"/>
      <c r="KE811" s="1638"/>
      <c r="KF811" s="1638"/>
      <c r="KG811" s="1638"/>
      <c r="KH811" s="1638"/>
      <c r="KI811" s="1638"/>
      <c r="KJ811" s="1638"/>
      <c r="KK811" s="1638"/>
      <c r="KL811" s="1638"/>
      <c r="KM811" s="1638"/>
      <c r="KN811" s="1638"/>
      <c r="KO811" s="1638"/>
      <c r="KP811" s="1638"/>
      <c r="KQ811" s="1638"/>
      <c r="KR811" s="1638"/>
      <c r="KS811" s="1638"/>
      <c r="KT811" s="1638"/>
      <c r="KU811" s="1638"/>
      <c r="KV811" s="1638"/>
      <c r="KW811" s="1638"/>
      <c r="KX811" s="1638"/>
      <c r="KY811" s="1638"/>
      <c r="KZ811" s="1638"/>
      <c r="LA811" s="1638"/>
      <c r="LB811" s="1638"/>
      <c r="LC811" s="1638"/>
      <c r="LD811" s="1638"/>
      <c r="LE811" s="1638"/>
      <c r="LF811" s="1638"/>
      <c r="LG811" s="1638"/>
      <c r="LH811" s="1638"/>
      <c r="LI811" s="1638"/>
      <c r="LJ811" s="1638"/>
      <c r="LK811" s="1638"/>
      <c r="LL811" s="1638"/>
      <c r="LM811" s="1638"/>
      <c r="LN811" s="1638"/>
      <c r="LO811" s="1638"/>
      <c r="LP811" s="1638"/>
      <c r="LQ811" s="1638"/>
      <c r="LR811" s="1638"/>
      <c r="LS811" s="1638"/>
      <c r="LT811" s="1638"/>
      <c r="LU811" s="1638"/>
      <c r="LV811" s="1638"/>
      <c r="LW811" s="1638"/>
      <c r="LX811" s="1638"/>
      <c r="LY811" s="1638"/>
      <c r="LZ811" s="1638"/>
      <c r="MA811" s="1638"/>
      <c r="MB811" s="1638"/>
      <c r="MC811" s="1638"/>
      <c r="MD811" s="1638"/>
    </row>
    <row r="812" spans="1:357">
      <c r="A812" s="521"/>
      <c r="B812" s="1631"/>
      <c r="D812" s="1941"/>
      <c r="E812" s="1826"/>
      <c r="F812" s="1826"/>
      <c r="G812" s="522"/>
      <c r="H812" s="522"/>
      <c r="I812" s="522"/>
      <c r="J812" s="522"/>
      <c r="K812" s="1941"/>
      <c r="L812" s="1826"/>
      <c r="M812" s="1631"/>
      <c r="N812" s="1631"/>
      <c r="O812" s="1631"/>
      <c r="P812" s="1631"/>
      <c r="Q812" s="1631"/>
      <c r="R812" s="1631"/>
      <c r="S812" s="1631"/>
      <c r="T812" s="1631"/>
      <c r="U812" s="1631"/>
      <c r="V812" s="1638"/>
      <c r="W812" s="1638"/>
      <c r="X812" s="1638"/>
      <c r="Y812" s="1638"/>
      <c r="Z812" s="1638"/>
      <c r="AA812" s="1638"/>
      <c r="AB812" s="1638"/>
      <c r="AC812" s="1638"/>
      <c r="AD812" s="1638"/>
      <c r="AE812" s="1638"/>
      <c r="AF812" s="1638"/>
      <c r="AG812" s="1638"/>
      <c r="AH812" s="1638"/>
      <c r="AI812" s="1638"/>
      <c r="AJ812" s="1638"/>
      <c r="AK812" s="1638"/>
      <c r="AL812" s="1638"/>
      <c r="AM812" s="1638"/>
      <c r="AN812" s="1638"/>
      <c r="AO812" s="1638"/>
      <c r="AP812" s="1638"/>
      <c r="AQ812" s="1638"/>
      <c r="AR812" s="1638"/>
      <c r="AS812" s="1638"/>
      <c r="AT812" s="1638"/>
      <c r="AU812" s="1638"/>
      <c r="AV812" s="1638"/>
      <c r="AW812" s="1638"/>
      <c r="AX812" s="1638"/>
      <c r="AY812" s="1638"/>
      <c r="AZ812" s="1638"/>
      <c r="BA812" s="1638"/>
      <c r="BB812" s="1638"/>
      <c r="BC812" s="1638"/>
      <c r="BD812" s="1638"/>
      <c r="BE812" s="1638"/>
      <c r="BF812" s="1638"/>
      <c r="BG812" s="1638"/>
      <c r="BH812" s="1638"/>
      <c r="BI812" s="1638"/>
      <c r="BJ812" s="1638"/>
      <c r="BK812" s="1638"/>
      <c r="BL812" s="1638"/>
      <c r="BM812" s="1638"/>
      <c r="BN812" s="1638"/>
      <c r="BO812" s="1638"/>
      <c r="BP812" s="1638"/>
      <c r="BQ812" s="1638"/>
      <c r="BR812" s="1638"/>
      <c r="BS812" s="1638"/>
      <c r="BT812" s="1638"/>
      <c r="BU812" s="1638"/>
      <c r="BV812" s="1638"/>
      <c r="BW812" s="1638"/>
      <c r="BX812" s="1638"/>
      <c r="BY812" s="1638"/>
      <c r="BZ812" s="1638"/>
      <c r="CA812" s="1638"/>
      <c r="CB812" s="1638"/>
      <c r="CC812" s="1638"/>
      <c r="CD812" s="1638"/>
      <c r="CE812" s="1638"/>
      <c r="CF812" s="1638"/>
      <c r="CG812" s="1638"/>
      <c r="CH812" s="1638"/>
      <c r="CI812" s="1638"/>
      <c r="CJ812" s="1638"/>
      <c r="CK812" s="1638"/>
      <c r="CL812" s="1638"/>
      <c r="CM812" s="1638"/>
      <c r="CN812" s="1638"/>
      <c r="CO812" s="1638"/>
      <c r="CP812" s="1638"/>
      <c r="CQ812" s="1638"/>
      <c r="CR812" s="1638"/>
      <c r="CS812" s="1638"/>
      <c r="CT812" s="1638"/>
      <c r="CU812" s="1638"/>
      <c r="CV812" s="1638"/>
      <c r="CW812" s="1638"/>
      <c r="CX812" s="1638"/>
      <c r="CY812" s="1638"/>
      <c r="CZ812" s="1638"/>
      <c r="DA812" s="1638"/>
      <c r="DB812" s="1638"/>
      <c r="DC812" s="1638"/>
      <c r="DD812" s="1638"/>
      <c r="DE812" s="1638"/>
      <c r="DF812" s="1638"/>
      <c r="DG812" s="1638"/>
      <c r="DH812" s="1638"/>
      <c r="DI812" s="1638"/>
      <c r="DJ812" s="1638"/>
      <c r="DK812" s="1638"/>
      <c r="DL812" s="1638"/>
      <c r="DM812" s="1638"/>
      <c r="DN812" s="1638"/>
      <c r="DO812" s="1638"/>
      <c r="DP812" s="1638"/>
      <c r="DQ812" s="1638"/>
      <c r="DR812" s="1638"/>
      <c r="DS812" s="1638"/>
      <c r="DT812" s="1638"/>
      <c r="DU812" s="1638"/>
      <c r="DV812" s="1638"/>
      <c r="DW812" s="1638"/>
      <c r="DX812" s="1638"/>
      <c r="DY812" s="1638"/>
      <c r="DZ812" s="1638"/>
      <c r="EA812" s="1638"/>
      <c r="EB812" s="1638"/>
      <c r="EC812" s="1638"/>
      <c r="ED812" s="1638"/>
      <c r="EE812" s="1638"/>
      <c r="EF812" s="1638"/>
      <c r="EG812" s="1638"/>
      <c r="EH812" s="1638"/>
      <c r="EI812" s="1638"/>
      <c r="EJ812" s="1638"/>
      <c r="EK812" s="1638"/>
      <c r="EL812" s="1638"/>
      <c r="EM812" s="1638"/>
      <c r="EN812" s="1638"/>
      <c r="EO812" s="1638"/>
      <c r="EP812" s="1638"/>
      <c r="EQ812" s="1638"/>
      <c r="ER812" s="1638"/>
      <c r="ES812" s="1638"/>
      <c r="ET812" s="1638"/>
      <c r="EU812" s="1638"/>
      <c r="EV812" s="1638"/>
      <c r="EW812" s="1638"/>
      <c r="EX812" s="1638"/>
      <c r="EY812" s="1638"/>
      <c r="EZ812" s="1638"/>
      <c r="FA812" s="1638"/>
      <c r="FB812" s="1638"/>
      <c r="FC812" s="1638"/>
      <c r="FD812" s="1638"/>
      <c r="FE812" s="1638"/>
      <c r="FF812" s="1638"/>
      <c r="FG812" s="1638"/>
      <c r="FH812" s="1638"/>
      <c r="FI812" s="1638"/>
      <c r="FJ812" s="1638"/>
      <c r="FK812" s="1638"/>
      <c r="FL812" s="1638"/>
      <c r="FM812" s="1638"/>
      <c r="FN812" s="1638"/>
      <c r="FO812" s="1638"/>
      <c r="FP812" s="1638"/>
      <c r="FQ812" s="1638"/>
      <c r="FR812" s="1638"/>
      <c r="FS812" s="1638"/>
      <c r="FT812" s="1638"/>
      <c r="FU812" s="1638"/>
      <c r="FV812" s="1638"/>
      <c r="FW812" s="1638"/>
      <c r="FX812" s="1638"/>
      <c r="FY812" s="1638"/>
      <c r="FZ812" s="1638"/>
      <c r="GA812" s="1638"/>
      <c r="GB812" s="1638"/>
      <c r="GC812" s="1638"/>
      <c r="GD812" s="1638"/>
      <c r="GE812" s="1638"/>
      <c r="GF812" s="1638"/>
      <c r="GG812" s="1638"/>
      <c r="GH812" s="1638"/>
      <c r="GI812" s="1638"/>
      <c r="GJ812" s="1638"/>
      <c r="GK812" s="1638"/>
      <c r="GL812" s="1638"/>
      <c r="GM812" s="1638"/>
      <c r="GN812" s="1638"/>
      <c r="GO812" s="1638"/>
      <c r="GP812" s="1638"/>
      <c r="GQ812" s="1638"/>
      <c r="GR812" s="1638"/>
      <c r="GS812" s="1638"/>
      <c r="GT812" s="1638"/>
      <c r="GU812" s="1638"/>
      <c r="GV812" s="1638"/>
      <c r="GW812" s="1638"/>
      <c r="GX812" s="1638"/>
      <c r="GY812" s="1638"/>
      <c r="GZ812" s="1638"/>
      <c r="HA812" s="1638"/>
      <c r="HB812" s="1638"/>
      <c r="HC812" s="1638"/>
      <c r="HD812" s="1638"/>
      <c r="HE812" s="1638"/>
      <c r="HF812" s="1638"/>
      <c r="HG812" s="1638"/>
      <c r="HH812" s="1638"/>
      <c r="HI812" s="1638"/>
      <c r="HJ812" s="1638"/>
      <c r="HK812" s="1638"/>
      <c r="HL812" s="1638"/>
      <c r="HM812" s="1638"/>
      <c r="HN812" s="1638"/>
      <c r="HO812" s="1638"/>
      <c r="HP812" s="1638"/>
      <c r="HQ812" s="1638"/>
      <c r="HR812" s="1638"/>
      <c r="HS812" s="1638"/>
      <c r="HT812" s="1638"/>
      <c r="HU812" s="1638"/>
      <c r="HV812" s="1638"/>
      <c r="HW812" s="1638"/>
      <c r="HX812" s="1638"/>
      <c r="HY812" s="1638"/>
      <c r="HZ812" s="1638"/>
      <c r="IA812" s="1638"/>
      <c r="IB812" s="1638"/>
      <c r="IC812" s="1638"/>
      <c r="ID812" s="1638"/>
      <c r="IE812" s="1638"/>
      <c r="IF812" s="1638"/>
      <c r="IG812" s="1638"/>
      <c r="IH812" s="1638"/>
      <c r="II812" s="1638"/>
      <c r="IJ812" s="1638"/>
      <c r="IK812" s="1638"/>
      <c r="IL812" s="1638"/>
      <c r="IM812" s="1638"/>
      <c r="IN812" s="1638"/>
      <c r="IO812" s="1638"/>
      <c r="IP812" s="1638"/>
      <c r="IQ812" s="1638"/>
      <c r="IR812" s="1638"/>
      <c r="IS812" s="1638"/>
      <c r="IT812" s="1638"/>
      <c r="IU812" s="1638"/>
      <c r="IV812" s="1638"/>
      <c r="IW812" s="1638"/>
      <c r="IX812" s="1638"/>
      <c r="IY812" s="1638"/>
      <c r="IZ812" s="1638"/>
      <c r="JA812" s="1638"/>
      <c r="JB812" s="1638"/>
      <c r="JC812" s="1638"/>
      <c r="JD812" s="1638"/>
      <c r="JE812" s="1638"/>
      <c r="JF812" s="1638"/>
      <c r="JG812" s="1638"/>
      <c r="JH812" s="1638"/>
      <c r="JI812" s="1638"/>
      <c r="JJ812" s="1638"/>
      <c r="JK812" s="1638"/>
      <c r="JL812" s="1638"/>
      <c r="JM812" s="1638"/>
      <c r="JN812" s="1638"/>
      <c r="JO812" s="1638"/>
      <c r="JP812" s="1638"/>
      <c r="JQ812" s="1638"/>
      <c r="JR812" s="1638"/>
      <c r="JS812" s="1638"/>
      <c r="JT812" s="1638"/>
      <c r="JU812" s="1638"/>
      <c r="JV812" s="1638"/>
      <c r="JW812" s="1638"/>
      <c r="JX812" s="1638"/>
      <c r="JY812" s="1638"/>
      <c r="JZ812" s="1638"/>
      <c r="KA812" s="1638"/>
      <c r="KB812" s="1638"/>
      <c r="KC812" s="1638"/>
      <c r="KD812" s="1638"/>
      <c r="KE812" s="1638"/>
      <c r="KF812" s="1638"/>
      <c r="KG812" s="1638"/>
      <c r="KH812" s="1638"/>
      <c r="KI812" s="1638"/>
      <c r="KJ812" s="1638"/>
      <c r="KK812" s="1638"/>
      <c r="KL812" s="1638"/>
      <c r="KM812" s="1638"/>
      <c r="KN812" s="1638"/>
      <c r="KO812" s="1638"/>
      <c r="KP812" s="1638"/>
      <c r="KQ812" s="1638"/>
      <c r="KR812" s="1638"/>
      <c r="KS812" s="1638"/>
      <c r="KT812" s="1638"/>
      <c r="KU812" s="1638"/>
      <c r="KV812" s="1638"/>
      <c r="KW812" s="1638"/>
      <c r="KX812" s="1638"/>
      <c r="KY812" s="1638"/>
      <c r="KZ812" s="1638"/>
      <c r="LA812" s="1638"/>
      <c r="LB812" s="1638"/>
      <c r="LC812" s="1638"/>
      <c r="LD812" s="1638"/>
      <c r="LE812" s="1638"/>
      <c r="LF812" s="1638"/>
      <c r="LG812" s="1638"/>
      <c r="LH812" s="1638"/>
      <c r="LI812" s="1638"/>
      <c r="LJ812" s="1638"/>
      <c r="LK812" s="1638"/>
      <c r="LL812" s="1638"/>
      <c r="LM812" s="1638"/>
      <c r="LN812" s="1638"/>
      <c r="LO812" s="1638"/>
      <c r="LP812" s="1638"/>
      <c r="LQ812" s="1638"/>
      <c r="LR812" s="1638"/>
      <c r="LS812" s="1638"/>
      <c r="LT812" s="1638"/>
      <c r="LU812" s="1638"/>
      <c r="LV812" s="1638"/>
      <c r="LW812" s="1638"/>
      <c r="LX812" s="1638"/>
      <c r="LY812" s="1638"/>
      <c r="LZ812" s="1638"/>
      <c r="MA812" s="1638"/>
      <c r="MB812" s="1638"/>
      <c r="MC812" s="1638"/>
      <c r="MD812" s="1638"/>
    </row>
    <row r="813" spans="1:357" ht="12.75" customHeight="1">
      <c r="A813" s="1785" t="s">
        <v>5160</v>
      </c>
      <c r="B813" s="1785"/>
      <c r="C813" s="1785"/>
      <c r="D813" s="1785"/>
      <c r="E813" s="1785"/>
      <c r="F813" s="1785"/>
      <c r="G813" s="1785"/>
      <c r="H813" s="1785"/>
      <c r="I813" s="1785"/>
      <c r="J813" s="1785"/>
      <c r="K813" s="1785"/>
      <c r="L813" s="1785"/>
      <c r="M813" s="1785"/>
      <c r="N813" s="1785"/>
      <c r="O813" s="1785"/>
      <c r="P813" s="1785"/>
      <c r="Q813" s="2150"/>
      <c r="R813" s="1631"/>
      <c r="S813" s="1631"/>
      <c r="T813" s="1631"/>
      <c r="U813" s="1631"/>
      <c r="V813" s="1638"/>
      <c r="W813" s="1638"/>
      <c r="X813" s="1638"/>
      <c r="Y813" s="1638"/>
      <c r="Z813" s="1638"/>
      <c r="AA813" s="1638"/>
      <c r="AB813" s="1638"/>
      <c r="AC813" s="1638"/>
      <c r="AD813" s="1638"/>
      <c r="AE813" s="1638"/>
      <c r="AF813" s="1638"/>
      <c r="AG813" s="1638"/>
      <c r="AH813" s="1638"/>
      <c r="AI813" s="1638"/>
      <c r="AJ813" s="1638"/>
      <c r="AK813" s="1638"/>
      <c r="AL813" s="1638"/>
      <c r="AM813" s="1638"/>
      <c r="AN813" s="1638"/>
      <c r="AO813" s="1638"/>
      <c r="AP813" s="1638"/>
      <c r="AQ813" s="1638"/>
      <c r="AR813" s="1638"/>
      <c r="AS813" s="1638"/>
      <c r="AT813" s="1638"/>
      <c r="AU813" s="1638"/>
      <c r="AV813" s="1638"/>
      <c r="AW813" s="1638"/>
      <c r="AX813" s="1638"/>
      <c r="AY813" s="1638"/>
      <c r="AZ813" s="1638"/>
      <c r="BA813" s="1638"/>
      <c r="BB813" s="1638"/>
      <c r="BC813" s="1638"/>
      <c r="BD813" s="1638"/>
      <c r="BE813" s="1638"/>
      <c r="BF813" s="1638"/>
      <c r="BG813" s="1638"/>
      <c r="BH813" s="1638"/>
      <c r="BI813" s="1638"/>
      <c r="BJ813" s="1638"/>
      <c r="BK813" s="1638"/>
      <c r="BL813" s="1638"/>
      <c r="BM813" s="1638"/>
      <c r="BN813" s="1638"/>
      <c r="BO813" s="1638"/>
      <c r="BP813" s="1638"/>
      <c r="BQ813" s="1638"/>
      <c r="BR813" s="1638"/>
      <c r="BS813" s="1638"/>
      <c r="BT813" s="1638"/>
      <c r="BU813" s="1638"/>
      <c r="BV813" s="1638"/>
      <c r="BW813" s="1638"/>
      <c r="BX813" s="1638"/>
      <c r="BY813" s="1638"/>
      <c r="BZ813" s="1638"/>
      <c r="CA813" s="1638"/>
      <c r="CB813" s="1638"/>
      <c r="CC813" s="1638"/>
      <c r="CD813" s="1638"/>
      <c r="CE813" s="1638"/>
      <c r="CF813" s="1638"/>
      <c r="CG813" s="1638"/>
      <c r="CH813" s="1638"/>
      <c r="CI813" s="1638"/>
      <c r="CJ813" s="1638"/>
      <c r="CK813" s="1638"/>
      <c r="CL813" s="1638"/>
      <c r="CM813" s="1638"/>
      <c r="CN813" s="1638"/>
      <c r="CO813" s="1638"/>
      <c r="CP813" s="1638"/>
      <c r="CQ813" s="1638"/>
      <c r="CR813" s="1638"/>
      <c r="CS813" s="1638"/>
      <c r="CT813" s="1638"/>
      <c r="CU813" s="1638"/>
      <c r="CV813" s="1638"/>
      <c r="CW813" s="1638"/>
      <c r="CX813" s="1638"/>
      <c r="CY813" s="1638"/>
      <c r="CZ813" s="1638"/>
      <c r="DA813" s="1638"/>
      <c r="DB813" s="1638"/>
      <c r="DC813" s="1638"/>
      <c r="DD813" s="1638"/>
      <c r="DE813" s="1638"/>
      <c r="DF813" s="1638"/>
      <c r="DG813" s="1638"/>
      <c r="DH813" s="1638"/>
      <c r="DI813" s="1638"/>
      <c r="DJ813" s="1638"/>
      <c r="DK813" s="1638"/>
      <c r="DL813" s="1638"/>
      <c r="DM813" s="1638"/>
      <c r="DN813" s="1638"/>
      <c r="DO813" s="1638"/>
      <c r="DP813" s="1638"/>
      <c r="DQ813" s="1638"/>
      <c r="DR813" s="1638"/>
      <c r="DS813" s="1638"/>
      <c r="DT813" s="1638"/>
      <c r="DU813" s="1638"/>
      <c r="DV813" s="1638"/>
      <c r="DW813" s="1638"/>
      <c r="DX813" s="1638"/>
      <c r="DY813" s="1638"/>
      <c r="DZ813" s="1638"/>
      <c r="EA813" s="1638"/>
      <c r="EB813" s="1638"/>
      <c r="EC813" s="1638"/>
      <c r="ED813" s="1638"/>
      <c r="EE813" s="1638"/>
      <c r="EF813" s="1638"/>
      <c r="EG813" s="1638"/>
      <c r="EH813" s="1638"/>
      <c r="EI813" s="1638"/>
      <c r="EJ813" s="1638"/>
      <c r="EK813" s="1638"/>
      <c r="EL813" s="1638"/>
      <c r="EM813" s="1638"/>
      <c r="EN813" s="1638"/>
      <c r="EO813" s="1638"/>
      <c r="EP813" s="1638"/>
      <c r="EQ813" s="1638"/>
      <c r="ER813" s="1638"/>
      <c r="ES813" s="1638"/>
      <c r="ET813" s="1638"/>
      <c r="EU813" s="1638"/>
      <c r="EV813" s="1638"/>
      <c r="EW813" s="1638"/>
      <c r="EX813" s="1638"/>
      <c r="EY813" s="1638"/>
      <c r="EZ813" s="1638"/>
      <c r="FA813" s="1638"/>
      <c r="FB813" s="1638"/>
      <c r="FC813" s="1638"/>
      <c r="FD813" s="1638"/>
      <c r="FE813" s="1638"/>
      <c r="FF813" s="1638"/>
      <c r="FG813" s="1638"/>
      <c r="FH813" s="1638"/>
      <c r="FI813" s="1638"/>
      <c r="FJ813" s="1638"/>
      <c r="FK813" s="1638"/>
      <c r="FL813" s="1638"/>
      <c r="FM813" s="1638"/>
      <c r="FN813" s="1638"/>
      <c r="FO813" s="1638"/>
      <c r="FP813" s="1638"/>
      <c r="FQ813" s="1638"/>
      <c r="FR813" s="1638"/>
      <c r="FS813" s="1638"/>
      <c r="FT813" s="1638"/>
      <c r="FU813" s="1638"/>
      <c r="FV813" s="1638"/>
      <c r="FW813" s="1638"/>
      <c r="FX813" s="1638"/>
      <c r="FY813" s="1638"/>
      <c r="FZ813" s="1638"/>
      <c r="GA813" s="1638"/>
      <c r="GB813" s="1638"/>
      <c r="GC813" s="1638"/>
      <c r="GD813" s="1638"/>
      <c r="GE813" s="1638"/>
      <c r="GF813" s="1638"/>
      <c r="GG813" s="1638"/>
      <c r="GH813" s="1638"/>
      <c r="GI813" s="1638"/>
      <c r="GJ813" s="1638"/>
      <c r="GK813" s="1638"/>
      <c r="GL813" s="1638"/>
      <c r="GM813" s="1638"/>
      <c r="GN813" s="1638"/>
      <c r="GO813" s="1638"/>
      <c r="GP813" s="1638"/>
      <c r="GQ813" s="1638"/>
      <c r="GR813" s="1638"/>
      <c r="GS813" s="1638"/>
      <c r="GT813" s="1638"/>
      <c r="GU813" s="1638"/>
      <c r="GV813" s="1638"/>
      <c r="GW813" s="1638"/>
      <c r="GX813" s="1638"/>
      <c r="GY813" s="1638"/>
      <c r="GZ813" s="1638"/>
      <c r="HA813" s="1638"/>
      <c r="HB813" s="1638"/>
      <c r="HC813" s="1638"/>
      <c r="HD813" s="1638"/>
      <c r="HE813" s="1638"/>
      <c r="HF813" s="1638"/>
      <c r="HG813" s="1638"/>
      <c r="HH813" s="1638"/>
      <c r="HI813" s="1638"/>
      <c r="HJ813" s="1638"/>
      <c r="HK813" s="1638"/>
      <c r="HL813" s="1638"/>
      <c r="HM813" s="1638"/>
      <c r="HN813" s="1638"/>
      <c r="HO813" s="1638"/>
      <c r="HP813" s="1638"/>
      <c r="HQ813" s="1638"/>
      <c r="HR813" s="1638"/>
      <c r="HS813" s="1638"/>
      <c r="HT813" s="1638"/>
      <c r="HU813" s="1638"/>
      <c r="HV813" s="1638"/>
      <c r="HW813" s="1638"/>
      <c r="HX813" s="1638"/>
      <c r="HY813" s="1638"/>
      <c r="HZ813" s="1638"/>
      <c r="IA813" s="1638"/>
      <c r="IB813" s="1638"/>
      <c r="IC813" s="1638"/>
      <c r="ID813" s="1638"/>
      <c r="IE813" s="1638"/>
      <c r="IF813" s="1638"/>
      <c r="IG813" s="1638"/>
      <c r="IH813" s="1638"/>
      <c r="II813" s="1638"/>
      <c r="IJ813" s="1638"/>
      <c r="IK813" s="1638"/>
      <c r="IL813" s="1638"/>
      <c r="IM813" s="1638"/>
      <c r="IN813" s="1638"/>
      <c r="IO813" s="1638"/>
      <c r="IP813" s="1638"/>
      <c r="IQ813" s="1638"/>
      <c r="IR813" s="1638"/>
      <c r="IS813" s="1638"/>
      <c r="IT813" s="1638"/>
      <c r="IU813" s="1638"/>
      <c r="IV813" s="1638"/>
      <c r="IW813" s="1638"/>
      <c r="IX813" s="1638"/>
      <c r="IY813" s="1638"/>
      <c r="IZ813" s="1638"/>
      <c r="JA813" s="1638"/>
      <c r="JB813" s="1638"/>
      <c r="JC813" s="1638"/>
      <c r="JD813" s="1638"/>
      <c r="JE813" s="1638"/>
      <c r="JF813" s="1638"/>
      <c r="JG813" s="1638"/>
      <c r="JH813" s="1638"/>
      <c r="JI813" s="1638"/>
      <c r="JJ813" s="1638"/>
      <c r="JK813" s="1638"/>
      <c r="JL813" s="1638"/>
      <c r="JM813" s="1638"/>
      <c r="JN813" s="1638"/>
      <c r="JO813" s="1638"/>
      <c r="JP813" s="1638"/>
      <c r="JQ813" s="1638"/>
      <c r="JR813" s="1638"/>
      <c r="JS813" s="1638"/>
      <c r="JT813" s="1638"/>
      <c r="JU813" s="1638"/>
      <c r="JV813" s="1638"/>
      <c r="JW813" s="1638"/>
      <c r="JX813" s="1638"/>
      <c r="JY813" s="1638"/>
      <c r="JZ813" s="1638"/>
      <c r="KA813" s="1638"/>
      <c r="KB813" s="1638"/>
      <c r="KC813" s="1638"/>
      <c r="KD813" s="1638"/>
      <c r="KE813" s="1638"/>
      <c r="KF813" s="1638"/>
      <c r="KG813" s="1638"/>
      <c r="KH813" s="1638"/>
      <c r="KI813" s="1638"/>
      <c r="KJ813" s="1638"/>
      <c r="KK813" s="1638"/>
      <c r="KL813" s="1638"/>
      <c r="KM813" s="1638"/>
      <c r="KN813" s="1638"/>
      <c r="KO813" s="1638"/>
      <c r="KP813" s="1638"/>
      <c r="KQ813" s="1638"/>
      <c r="KR813" s="1638"/>
      <c r="KS813" s="1638"/>
      <c r="KT813" s="1638"/>
      <c r="KU813" s="1638"/>
      <c r="KV813" s="1638"/>
      <c r="KW813" s="1638"/>
      <c r="KX813" s="1638"/>
      <c r="KY813" s="1638"/>
      <c r="KZ813" s="1638"/>
      <c r="LA813" s="1638"/>
      <c r="LB813" s="1638"/>
      <c r="LC813" s="1638"/>
      <c r="LD813" s="1638"/>
      <c r="LE813" s="1638"/>
      <c r="LF813" s="1638"/>
      <c r="LG813" s="1638"/>
      <c r="LH813" s="1638"/>
      <c r="LI813" s="1638"/>
      <c r="LJ813" s="1638"/>
      <c r="LK813" s="1638"/>
      <c r="LL813" s="1638"/>
      <c r="LM813" s="1638"/>
      <c r="LN813" s="1638"/>
      <c r="LO813" s="1638"/>
      <c r="LP813" s="1638"/>
      <c r="LQ813" s="1638"/>
      <c r="LR813" s="1638"/>
      <c r="LS813" s="1638"/>
      <c r="LT813" s="1638"/>
      <c r="LU813" s="1638"/>
      <c r="LV813" s="1638"/>
      <c r="LW813" s="1638"/>
      <c r="LX813" s="1638"/>
      <c r="LY813" s="1638"/>
      <c r="LZ813" s="1638"/>
      <c r="MA813" s="1638"/>
      <c r="MB813" s="1638"/>
      <c r="MC813" s="1638"/>
      <c r="MD813" s="1638"/>
    </row>
    <row r="814" spans="1:357">
      <c r="A814" s="1785"/>
      <c r="B814" s="1785"/>
      <c r="C814" s="1785"/>
      <c r="D814" s="1785"/>
      <c r="E814" s="1785"/>
      <c r="F814" s="1785"/>
      <c r="G814" s="1785"/>
      <c r="H814" s="1785"/>
      <c r="I814" s="1785"/>
      <c r="J814" s="1785"/>
      <c r="K814" s="1785"/>
      <c r="L814" s="1785"/>
      <c r="M814" s="1785"/>
      <c r="N814" s="1785"/>
      <c r="O814" s="1785"/>
      <c r="P814" s="1785"/>
      <c r="Q814" s="2150"/>
      <c r="R814" s="1631"/>
      <c r="S814" s="1631"/>
      <c r="T814" s="1631"/>
      <c r="U814" s="1631"/>
      <c r="V814" s="1638"/>
      <c r="W814" s="1638"/>
      <c r="X814" s="1638"/>
      <c r="Y814" s="1638"/>
      <c r="Z814" s="1638"/>
      <c r="AA814" s="1638"/>
      <c r="AB814" s="1638"/>
      <c r="AC814" s="1638"/>
      <c r="AD814" s="1638"/>
      <c r="AE814" s="1638"/>
      <c r="AF814" s="1638"/>
      <c r="AG814" s="1638"/>
      <c r="AH814" s="1638"/>
      <c r="AI814" s="1638"/>
      <c r="AJ814" s="1638"/>
      <c r="AK814" s="1638"/>
      <c r="AL814" s="1638"/>
      <c r="AM814" s="1638"/>
      <c r="AN814" s="1638"/>
      <c r="AO814" s="1638"/>
      <c r="AP814" s="1638"/>
      <c r="AQ814" s="1638"/>
      <c r="AR814" s="1638"/>
      <c r="AS814" s="1638"/>
      <c r="AT814" s="1638"/>
      <c r="AU814" s="1638"/>
      <c r="AV814" s="1638"/>
      <c r="AW814" s="1638"/>
      <c r="AX814" s="1638"/>
      <c r="AY814" s="1638"/>
      <c r="AZ814" s="1638"/>
      <c r="BA814" s="1638"/>
      <c r="BB814" s="1638"/>
      <c r="BC814" s="1638"/>
      <c r="BD814" s="1638"/>
      <c r="BE814" s="1638"/>
      <c r="BF814" s="1638"/>
      <c r="BG814" s="1638"/>
      <c r="BH814" s="1638"/>
      <c r="BI814" s="1638"/>
      <c r="BJ814" s="1638"/>
      <c r="BK814" s="1638"/>
      <c r="BL814" s="1638"/>
      <c r="BM814" s="1638"/>
      <c r="BN814" s="1638"/>
      <c r="BO814" s="1638"/>
      <c r="BP814" s="1638"/>
      <c r="BQ814" s="1638"/>
      <c r="BR814" s="1638"/>
      <c r="BS814" s="1638"/>
      <c r="BT814" s="1638"/>
      <c r="BU814" s="1638"/>
      <c r="BV814" s="1638"/>
      <c r="BW814" s="1638"/>
      <c r="BX814" s="1638"/>
      <c r="BY814" s="1638"/>
      <c r="BZ814" s="1638"/>
      <c r="CA814" s="1638"/>
      <c r="CB814" s="1638"/>
      <c r="CC814" s="1638"/>
      <c r="CD814" s="1638"/>
      <c r="CE814" s="1638"/>
      <c r="CF814" s="1638"/>
      <c r="CG814" s="1638"/>
      <c r="CH814" s="1638"/>
      <c r="CI814" s="1638"/>
      <c r="CJ814" s="1638"/>
      <c r="CK814" s="1638"/>
      <c r="CL814" s="1638"/>
      <c r="CM814" s="1638"/>
      <c r="CN814" s="1638"/>
      <c r="CO814" s="1638"/>
      <c r="CP814" s="1638"/>
      <c r="CQ814" s="1638"/>
      <c r="CR814" s="1638"/>
      <c r="CS814" s="1638"/>
      <c r="CT814" s="1638"/>
      <c r="CU814" s="1638"/>
      <c r="CV814" s="1638"/>
      <c r="CW814" s="1638"/>
      <c r="CX814" s="1638"/>
      <c r="CY814" s="1638"/>
      <c r="CZ814" s="1638"/>
      <c r="DA814" s="1638"/>
      <c r="DB814" s="1638"/>
      <c r="DC814" s="1638"/>
      <c r="DD814" s="1638"/>
      <c r="DE814" s="1638"/>
      <c r="DF814" s="1638"/>
      <c r="DG814" s="1638"/>
      <c r="DH814" s="1638"/>
      <c r="DI814" s="1638"/>
      <c r="DJ814" s="1638"/>
      <c r="DK814" s="1638"/>
      <c r="DL814" s="1638"/>
      <c r="DM814" s="1638"/>
      <c r="DN814" s="1638"/>
      <c r="DO814" s="1638"/>
      <c r="DP814" s="1638"/>
      <c r="DQ814" s="1638"/>
      <c r="DR814" s="1638"/>
      <c r="DS814" s="1638"/>
      <c r="DT814" s="1638"/>
      <c r="DU814" s="1638"/>
      <c r="DV814" s="1638"/>
      <c r="DW814" s="1638"/>
      <c r="DX814" s="1638"/>
      <c r="DY814" s="1638"/>
      <c r="DZ814" s="1638"/>
      <c r="EA814" s="1638"/>
      <c r="EB814" s="1638"/>
      <c r="EC814" s="1638"/>
      <c r="ED814" s="1638"/>
      <c r="EE814" s="1638"/>
      <c r="EF814" s="1638"/>
      <c r="EG814" s="1638"/>
      <c r="EH814" s="1638"/>
      <c r="EI814" s="1638"/>
      <c r="EJ814" s="1638"/>
      <c r="EK814" s="1638"/>
      <c r="EL814" s="1638"/>
      <c r="EM814" s="1638"/>
      <c r="EN814" s="1638"/>
      <c r="EO814" s="1638"/>
      <c r="EP814" s="1638"/>
      <c r="EQ814" s="1638"/>
      <c r="ER814" s="1638"/>
      <c r="ES814" s="1638"/>
      <c r="ET814" s="1638"/>
      <c r="EU814" s="1638"/>
      <c r="EV814" s="1638"/>
      <c r="EW814" s="1638"/>
      <c r="EX814" s="1638"/>
      <c r="EY814" s="1638"/>
      <c r="EZ814" s="1638"/>
      <c r="FA814" s="1638"/>
      <c r="FB814" s="1638"/>
      <c r="FC814" s="1638"/>
      <c r="FD814" s="1638"/>
      <c r="FE814" s="1638"/>
      <c r="FF814" s="1638"/>
      <c r="FG814" s="1638"/>
      <c r="FH814" s="1638"/>
      <c r="FI814" s="1638"/>
      <c r="FJ814" s="1638"/>
      <c r="FK814" s="1638"/>
      <c r="FL814" s="1638"/>
      <c r="FM814" s="1638"/>
      <c r="FN814" s="1638"/>
      <c r="FO814" s="1638"/>
      <c r="FP814" s="1638"/>
      <c r="FQ814" s="1638"/>
      <c r="FR814" s="1638"/>
      <c r="FS814" s="1638"/>
      <c r="FT814" s="1638"/>
      <c r="FU814" s="1638"/>
      <c r="FV814" s="1638"/>
      <c r="FW814" s="1638"/>
      <c r="FX814" s="1638"/>
      <c r="FY814" s="1638"/>
      <c r="FZ814" s="1638"/>
      <c r="GA814" s="1638"/>
      <c r="GB814" s="1638"/>
      <c r="GC814" s="1638"/>
      <c r="GD814" s="1638"/>
      <c r="GE814" s="1638"/>
      <c r="GF814" s="1638"/>
      <c r="GG814" s="1638"/>
      <c r="GH814" s="1638"/>
      <c r="GI814" s="1638"/>
      <c r="GJ814" s="1638"/>
      <c r="GK814" s="1638"/>
      <c r="GL814" s="1638"/>
      <c r="GM814" s="1638"/>
      <c r="GN814" s="1638"/>
      <c r="GO814" s="1638"/>
      <c r="GP814" s="1638"/>
      <c r="GQ814" s="1638"/>
      <c r="GR814" s="1638"/>
      <c r="GS814" s="1638"/>
      <c r="GT814" s="1638"/>
      <c r="GU814" s="1638"/>
      <c r="GV814" s="1638"/>
      <c r="GW814" s="1638"/>
      <c r="GX814" s="1638"/>
      <c r="GY814" s="1638"/>
      <c r="GZ814" s="1638"/>
      <c r="HA814" s="1638"/>
      <c r="HB814" s="1638"/>
      <c r="HC814" s="1638"/>
      <c r="HD814" s="1638"/>
      <c r="HE814" s="1638"/>
      <c r="HF814" s="1638"/>
      <c r="HG814" s="1638"/>
      <c r="HH814" s="1638"/>
      <c r="HI814" s="1638"/>
      <c r="HJ814" s="1638"/>
      <c r="HK814" s="1638"/>
      <c r="HL814" s="1638"/>
      <c r="HM814" s="1638"/>
      <c r="HN814" s="1638"/>
      <c r="HO814" s="1638"/>
      <c r="HP814" s="1638"/>
      <c r="HQ814" s="1638"/>
      <c r="HR814" s="1638"/>
      <c r="HS814" s="1638"/>
      <c r="HT814" s="1638"/>
      <c r="HU814" s="1638"/>
      <c r="HV814" s="1638"/>
      <c r="HW814" s="1638"/>
      <c r="HX814" s="1638"/>
      <c r="HY814" s="1638"/>
      <c r="HZ814" s="1638"/>
      <c r="IA814" s="1638"/>
      <c r="IB814" s="1638"/>
      <c r="IC814" s="1638"/>
      <c r="ID814" s="1638"/>
      <c r="IE814" s="1638"/>
      <c r="IF814" s="1638"/>
      <c r="IG814" s="1638"/>
      <c r="IH814" s="1638"/>
      <c r="II814" s="1638"/>
      <c r="IJ814" s="1638"/>
      <c r="IK814" s="1638"/>
      <c r="IL814" s="1638"/>
      <c r="IM814" s="1638"/>
      <c r="IN814" s="1638"/>
      <c r="IO814" s="1638"/>
      <c r="IP814" s="1638"/>
      <c r="IQ814" s="1638"/>
      <c r="IR814" s="1638"/>
      <c r="IS814" s="1638"/>
      <c r="IT814" s="1638"/>
      <c r="IU814" s="1638"/>
      <c r="IV814" s="1638"/>
      <c r="IW814" s="1638"/>
      <c r="IX814" s="1638"/>
      <c r="IY814" s="1638"/>
      <c r="IZ814" s="1638"/>
      <c r="JA814" s="1638"/>
      <c r="JB814" s="1638"/>
      <c r="JC814" s="1638"/>
      <c r="JD814" s="1638"/>
      <c r="JE814" s="1638"/>
      <c r="JF814" s="1638"/>
      <c r="JG814" s="1638"/>
      <c r="JH814" s="1638"/>
      <c r="JI814" s="1638"/>
      <c r="JJ814" s="1638"/>
      <c r="JK814" s="1638"/>
      <c r="JL814" s="1638"/>
      <c r="JM814" s="1638"/>
      <c r="JN814" s="1638"/>
      <c r="JO814" s="1638"/>
      <c r="JP814" s="1638"/>
      <c r="JQ814" s="1638"/>
      <c r="JR814" s="1638"/>
      <c r="JS814" s="1638"/>
      <c r="JT814" s="1638"/>
      <c r="JU814" s="1638"/>
      <c r="JV814" s="1638"/>
      <c r="JW814" s="1638"/>
      <c r="JX814" s="1638"/>
      <c r="JY814" s="1638"/>
      <c r="JZ814" s="1638"/>
      <c r="KA814" s="1638"/>
      <c r="KB814" s="1638"/>
      <c r="KC814" s="1638"/>
      <c r="KD814" s="1638"/>
      <c r="KE814" s="1638"/>
      <c r="KF814" s="1638"/>
      <c r="KG814" s="1638"/>
      <c r="KH814" s="1638"/>
      <c r="KI814" s="1638"/>
      <c r="KJ814" s="1638"/>
      <c r="KK814" s="1638"/>
      <c r="KL814" s="1638"/>
      <c r="KM814" s="1638"/>
      <c r="KN814" s="1638"/>
      <c r="KO814" s="1638"/>
      <c r="KP814" s="1638"/>
      <c r="KQ814" s="1638"/>
      <c r="KR814" s="1638"/>
      <c r="KS814" s="1638"/>
      <c r="KT814" s="1638"/>
      <c r="KU814" s="1638"/>
      <c r="KV814" s="1638"/>
      <c r="KW814" s="1638"/>
      <c r="KX814" s="1638"/>
      <c r="KY814" s="1638"/>
      <c r="KZ814" s="1638"/>
      <c r="LA814" s="1638"/>
      <c r="LB814" s="1638"/>
      <c r="LC814" s="1638"/>
      <c r="LD814" s="1638"/>
      <c r="LE814" s="1638"/>
      <c r="LF814" s="1638"/>
      <c r="LG814" s="1638"/>
      <c r="LH814" s="1638"/>
      <c r="LI814" s="1638"/>
      <c r="LJ814" s="1638"/>
      <c r="LK814" s="1638"/>
      <c r="LL814" s="1638"/>
      <c r="LM814" s="1638"/>
      <c r="LN814" s="1638"/>
      <c r="LO814" s="1638"/>
      <c r="LP814" s="1638"/>
      <c r="LQ814" s="1638"/>
      <c r="LR814" s="1638"/>
      <c r="LS814" s="1638"/>
      <c r="LT814" s="1638"/>
      <c r="LU814" s="1638"/>
      <c r="LV814" s="1638"/>
      <c r="LW814" s="1638"/>
      <c r="LX814" s="1638"/>
      <c r="LY814" s="1638"/>
      <c r="LZ814" s="1638"/>
      <c r="MA814" s="1638"/>
      <c r="MB814" s="1638"/>
      <c r="MC814" s="1638"/>
      <c r="MD814" s="1638"/>
    </row>
    <row r="815" spans="1:357">
      <c r="A815" s="742" t="s">
        <v>740</v>
      </c>
      <c r="B815" s="742" t="s">
        <v>534</v>
      </c>
      <c r="K815" s="1846" t="str">
        <f>'Part I-Project Information'!$K$94</f>
        <v>40% of Units at 60% of AMI</v>
      </c>
      <c r="L815" s="1846"/>
      <c r="M815" s="1846"/>
      <c r="N815" s="1846"/>
      <c r="R815" s="1631" t="str">
        <f>B815</f>
        <v>UNIT SUMMARY</v>
      </c>
      <c r="S815" s="1631"/>
      <c r="T815" s="1631"/>
      <c r="U815" s="1631"/>
      <c r="AX815" s="1631"/>
      <c r="BC815" s="1631"/>
      <c r="JV815" s="1637"/>
      <c r="KA815" s="1637"/>
      <c r="KB815" s="1637"/>
      <c r="KC815" s="1637"/>
      <c r="KD815" s="1637"/>
      <c r="KE815" s="1637"/>
      <c r="KF815" s="1637"/>
      <c r="KG815" s="1637"/>
      <c r="KH815" s="1637"/>
      <c r="KI815" s="1637"/>
      <c r="KJ815" s="1637"/>
      <c r="KK815" s="1637"/>
      <c r="KL815" s="1637"/>
      <c r="KM815" s="1637"/>
      <c r="KN815" s="1637"/>
      <c r="KO815" s="1637"/>
      <c r="KP815" s="1637"/>
      <c r="KQ815" s="1637"/>
      <c r="KR815" s="1637"/>
      <c r="KS815" s="1637"/>
      <c r="KT815" s="1637"/>
      <c r="KU815" s="1637"/>
      <c r="KV815" s="1637"/>
      <c r="KW815" s="1637"/>
      <c r="KX815" s="1637"/>
      <c r="KY815" s="1637"/>
      <c r="KZ815" s="1637"/>
      <c r="LA815" s="1637"/>
      <c r="LB815" s="1637"/>
      <c r="LC815" s="1637"/>
      <c r="LD815" s="1637"/>
      <c r="LE815" s="1637"/>
      <c r="LF815" s="1637"/>
    </row>
    <row r="816" spans="1:357">
      <c r="T816" s="2762"/>
      <c r="AX816" s="1631"/>
      <c r="BC816" s="1631"/>
      <c r="JV816" s="1637"/>
      <c r="KA816" s="1637"/>
      <c r="KB816" s="1637"/>
      <c r="KC816" s="1637"/>
      <c r="KD816" s="1637"/>
      <c r="KE816" s="1637"/>
      <c r="KF816" s="1637"/>
      <c r="KG816" s="1637"/>
      <c r="KH816" s="1637"/>
      <c r="KI816" s="1637"/>
      <c r="KJ816" s="1637"/>
      <c r="KK816" s="1637"/>
      <c r="KL816" s="1637"/>
      <c r="KM816" s="1637"/>
      <c r="KN816" s="1637"/>
      <c r="KO816" s="1637"/>
      <c r="KP816" s="1637"/>
      <c r="KQ816" s="1637"/>
      <c r="KR816" s="1637"/>
      <c r="KS816" s="1637"/>
      <c r="KT816" s="1637"/>
      <c r="KU816" s="1637"/>
      <c r="KV816" s="1637"/>
      <c r="KW816" s="1637"/>
      <c r="KX816" s="1637"/>
      <c r="KY816" s="1637"/>
      <c r="KZ816" s="1637"/>
      <c r="LA816" s="1637"/>
      <c r="LB816" s="1637"/>
      <c r="LC816" s="1637"/>
      <c r="LD816" s="1637"/>
      <c r="LE816" s="1637"/>
      <c r="LF816" s="1637"/>
    </row>
    <row r="817" spans="1:318" ht="14.25">
      <c r="B817" s="742" t="s">
        <v>1136</v>
      </c>
      <c r="H817" s="742" t="s">
        <v>1040</v>
      </c>
      <c r="J817" s="2763" t="s">
        <v>568</v>
      </c>
      <c r="K817" s="2763" t="s">
        <v>535</v>
      </c>
      <c r="L817" s="2763" t="s">
        <v>536</v>
      </c>
      <c r="M817" s="2763" t="s">
        <v>537</v>
      </c>
      <c r="N817" s="2763" t="s">
        <v>538</v>
      </c>
      <c r="O817" s="2763" t="s">
        <v>539</v>
      </c>
      <c r="R817" s="2111" t="s">
        <v>1845</v>
      </c>
      <c r="S817" s="2111"/>
      <c r="T817" s="2762"/>
      <c r="AQ817" s="2763"/>
      <c r="AR817" s="2763"/>
      <c r="AS817" s="2763"/>
      <c r="AT817" s="2763"/>
      <c r="AU817" s="2763"/>
      <c r="AV817" s="2763"/>
      <c r="AX817" s="1631"/>
      <c r="BA817" s="2763"/>
      <c r="BC817" s="1631"/>
      <c r="JV817" s="1637"/>
      <c r="KA817" s="1637"/>
      <c r="KB817" s="1637"/>
      <c r="KC817" s="1637"/>
      <c r="KD817" s="1637"/>
      <c r="KE817" s="1637"/>
      <c r="KF817" s="1637"/>
      <c r="KG817" s="1637"/>
      <c r="KH817" s="1637"/>
      <c r="KI817" s="1637"/>
      <c r="KJ817" s="1637"/>
      <c r="KK817" s="1637"/>
      <c r="KL817" s="1637"/>
      <c r="KM817" s="1637"/>
      <c r="KN817" s="1637"/>
      <c r="KO817" s="1637"/>
      <c r="KP817" s="1637"/>
      <c r="KQ817" s="1637"/>
      <c r="KR817" s="1637"/>
      <c r="KS817" s="1637"/>
      <c r="KT817" s="1637"/>
      <c r="KU817" s="1637"/>
      <c r="KV817" s="1637"/>
      <c r="KW817" s="1637"/>
      <c r="KX817" s="1637"/>
      <c r="KY817" s="1637"/>
      <c r="KZ817" s="1637"/>
      <c r="LA817" s="1637"/>
      <c r="LB817" s="1637"/>
      <c r="LC817" s="1637"/>
      <c r="LD817" s="1637"/>
      <c r="LE817" s="1637"/>
      <c r="LF817" s="1637"/>
    </row>
    <row r="818" spans="1:318" ht="12.75" customHeight="1">
      <c r="A818" s="1485" t="s">
        <v>442</v>
      </c>
      <c r="B818" s="1485"/>
      <c r="C818" s="1631" t="s">
        <v>1137</v>
      </c>
      <c r="D818" s="1631"/>
      <c r="E818" s="1631"/>
      <c r="F818" s="1631"/>
      <c r="H818" s="521" t="s">
        <v>4622</v>
      </c>
      <c r="J818" s="1833">
        <f>W810</f>
        <v>0</v>
      </c>
      <c r="K818" s="1833">
        <f>X810</f>
        <v>0</v>
      </c>
      <c r="L818" s="1833">
        <f>Y810</f>
        <v>0</v>
      </c>
      <c r="M818" s="1833">
        <f>Z810</f>
        <v>0</v>
      </c>
      <c r="N818" s="1833">
        <f>AA810</f>
        <v>0</v>
      </c>
      <c r="O818" s="1833">
        <f t="shared" ref="O818:O829" si="343">SUM(J818:N818)</f>
        <v>0</v>
      </c>
      <c r="P818" s="1785" t="s">
        <v>3670</v>
      </c>
      <c r="Q818" s="1834"/>
      <c r="R818" s="1838">
        <f>'Part VI-Revenues &amp; Expenses'!R56</f>
        <v>0</v>
      </c>
      <c r="S818" s="1838"/>
      <c r="T818" s="1838"/>
      <c r="U818" s="1838"/>
      <c r="V818" s="1838"/>
      <c r="W818" s="1631"/>
      <c r="Z818" s="1631"/>
      <c r="AA818" s="521"/>
      <c r="AB818" s="1631"/>
      <c r="AE818" s="1631"/>
      <c r="AF818" s="521"/>
      <c r="AG818" s="1631"/>
      <c r="AJ818" s="1631"/>
      <c r="AK818" s="521"/>
      <c r="AL818" s="1631"/>
      <c r="AO818" s="1631"/>
      <c r="AP818" s="521"/>
      <c r="AQ818" s="522"/>
      <c r="AR818" s="522"/>
      <c r="AS818" s="522"/>
      <c r="AT818" s="522"/>
      <c r="AU818" s="522"/>
      <c r="AV818" s="522"/>
      <c r="AW818" s="521"/>
      <c r="AX818" s="1631"/>
      <c r="BA818" s="522"/>
      <c r="BB818" s="521"/>
      <c r="BC818" s="1631"/>
      <c r="JV818" s="1637"/>
      <c r="KA818" s="1637"/>
      <c r="KB818" s="1637"/>
      <c r="KC818" s="1637"/>
      <c r="KD818" s="1637"/>
      <c r="KE818" s="1637"/>
      <c r="KF818" s="1637"/>
      <c r="KG818" s="1637"/>
      <c r="KH818" s="1637"/>
      <c r="KI818" s="1637"/>
      <c r="KJ818" s="1637"/>
      <c r="KK818" s="1637"/>
      <c r="KL818" s="1637"/>
      <c r="KM818" s="1637"/>
      <c r="KN818" s="1637"/>
      <c r="KO818" s="1637"/>
      <c r="KP818" s="1637"/>
      <c r="KQ818" s="1637"/>
      <c r="KR818" s="1637"/>
      <c r="KS818" s="1637"/>
      <c r="KT818" s="1637"/>
      <c r="KU818" s="1637"/>
      <c r="KV818" s="1637"/>
      <c r="KW818" s="1637"/>
      <c r="KX818" s="1637"/>
      <c r="KY818" s="1637"/>
      <c r="KZ818" s="1637"/>
      <c r="LA818" s="1637"/>
      <c r="LB818" s="1637"/>
      <c r="LC818" s="1637"/>
      <c r="LD818" s="1637"/>
      <c r="LE818" s="1637"/>
      <c r="LF818" s="1637"/>
    </row>
    <row r="819" spans="1:318">
      <c r="A819" s="1485"/>
      <c r="B819" s="1485"/>
      <c r="C819" s="1631"/>
      <c r="D819" s="1631"/>
      <c r="E819" s="1631"/>
      <c r="F819" s="1631"/>
      <c r="H819" s="521" t="s">
        <v>4623</v>
      </c>
      <c r="J819" s="1833">
        <f>AB810</f>
        <v>0</v>
      </c>
      <c r="K819" s="1833">
        <f>AC810</f>
        <v>0</v>
      </c>
      <c r="L819" s="1833">
        <f>AD810</f>
        <v>0</v>
      </c>
      <c r="M819" s="1833">
        <f>AE810</f>
        <v>0</v>
      </c>
      <c r="N819" s="1833">
        <f>AF810</f>
        <v>0</v>
      </c>
      <c r="O819" s="1833">
        <f t="shared" si="343"/>
        <v>0</v>
      </c>
      <c r="P819" s="1785"/>
      <c r="Q819" s="1834"/>
      <c r="R819" s="1838">
        <f>'Part VI-Revenues &amp; Expenses'!R57</f>
        <v>0</v>
      </c>
      <c r="S819" s="1838"/>
      <c r="T819" s="1838"/>
      <c r="U819" s="1838"/>
      <c r="V819" s="1838"/>
      <c r="W819" s="1631"/>
      <c r="Z819" s="1631"/>
      <c r="AA819" s="521"/>
      <c r="AB819" s="1631"/>
      <c r="AE819" s="1631"/>
      <c r="AF819" s="521"/>
      <c r="AG819" s="1631"/>
      <c r="AJ819" s="1631"/>
      <c r="AK819" s="521"/>
      <c r="AL819" s="1631"/>
      <c r="AO819" s="1631"/>
      <c r="AP819" s="521"/>
      <c r="AQ819" s="522"/>
      <c r="AR819" s="522"/>
      <c r="AS819" s="522"/>
      <c r="AT819" s="522"/>
      <c r="AU819" s="522"/>
      <c r="AV819" s="522"/>
      <c r="AW819" s="521"/>
      <c r="AX819" s="1631"/>
      <c r="BA819" s="522"/>
      <c r="BB819" s="521"/>
      <c r="BC819" s="1631"/>
      <c r="JV819" s="1637"/>
      <c r="KA819" s="1637"/>
      <c r="KB819" s="1637"/>
      <c r="KC819" s="1637"/>
      <c r="KD819" s="1637"/>
      <c r="KE819" s="1637"/>
      <c r="KF819" s="1637"/>
      <c r="KG819" s="1637"/>
      <c r="KH819" s="1637"/>
      <c r="KI819" s="1637"/>
      <c r="KJ819" s="1637"/>
      <c r="KK819" s="1637"/>
      <c r="KL819" s="1637"/>
      <c r="KM819" s="1637"/>
      <c r="KN819" s="1637"/>
      <c r="KO819" s="1637"/>
      <c r="KP819" s="1637"/>
      <c r="KQ819" s="1637"/>
      <c r="KR819" s="1637"/>
      <c r="KS819" s="1637"/>
      <c r="KT819" s="1637"/>
      <c r="KU819" s="1637"/>
      <c r="KV819" s="1637"/>
      <c r="KW819" s="1637"/>
      <c r="KX819" s="1637"/>
      <c r="KY819" s="1637"/>
      <c r="KZ819" s="1637"/>
      <c r="LA819" s="1637"/>
      <c r="LB819" s="1637"/>
      <c r="LC819" s="1637"/>
      <c r="LD819" s="1637"/>
      <c r="LE819" s="1637"/>
      <c r="LF819" s="1637"/>
    </row>
    <row r="820" spans="1:318">
      <c r="A820" s="1485"/>
      <c r="B820" s="1485"/>
      <c r="C820" s="1631"/>
      <c r="D820" s="1631"/>
      <c r="E820" s="1631"/>
      <c r="F820" s="1631"/>
      <c r="H820" s="521" t="s">
        <v>1149</v>
      </c>
      <c r="J820" s="1833">
        <f>AG810</f>
        <v>0</v>
      </c>
      <c r="K820" s="1833">
        <f>AH810</f>
        <v>12</v>
      </c>
      <c r="L820" s="1833">
        <f>AI810</f>
        <v>56</v>
      </c>
      <c r="M820" s="1833">
        <f>AJ810</f>
        <v>8</v>
      </c>
      <c r="N820" s="1833">
        <f>AK810</f>
        <v>8</v>
      </c>
      <c r="O820" s="1833">
        <f t="shared" si="343"/>
        <v>84</v>
      </c>
      <c r="P820" s="1785"/>
      <c r="Q820" s="1834"/>
      <c r="R820" s="1838">
        <f>'Part VI-Revenues &amp; Expenses'!R58</f>
        <v>0</v>
      </c>
      <c r="S820" s="1838"/>
      <c r="T820" s="1838"/>
      <c r="U820" s="1838"/>
      <c r="V820" s="1838"/>
      <c r="W820" s="1631"/>
      <c r="Z820" s="1631"/>
      <c r="AA820" s="521"/>
      <c r="AB820" s="1631"/>
      <c r="AE820" s="1631"/>
      <c r="AF820" s="521"/>
      <c r="AG820" s="1631"/>
      <c r="AJ820" s="1631"/>
      <c r="AK820" s="521"/>
      <c r="AL820" s="1631"/>
      <c r="AO820" s="1631"/>
      <c r="AP820" s="521"/>
      <c r="AQ820" s="522"/>
      <c r="AR820" s="522"/>
      <c r="AS820" s="522"/>
      <c r="AT820" s="522"/>
      <c r="AU820" s="522"/>
      <c r="AV820" s="522"/>
      <c r="AW820" s="521"/>
      <c r="AX820" s="1631"/>
      <c r="BA820" s="522"/>
      <c r="BB820" s="521"/>
      <c r="BC820" s="1631"/>
      <c r="JV820" s="1637"/>
      <c r="KA820" s="1637"/>
      <c r="KB820" s="1637"/>
      <c r="KC820" s="1637"/>
      <c r="KD820" s="1637"/>
      <c r="KE820" s="1637"/>
      <c r="KF820" s="1637"/>
      <c r="KG820" s="1637"/>
      <c r="KH820" s="1637"/>
      <c r="KI820" s="1637"/>
      <c r="KJ820" s="1637"/>
      <c r="KK820" s="1637"/>
      <c r="KL820" s="1637"/>
      <c r="KM820" s="1637"/>
      <c r="KN820" s="1637"/>
      <c r="KO820" s="1637"/>
      <c r="KP820" s="1637"/>
      <c r="KQ820" s="1637"/>
      <c r="KR820" s="1637"/>
      <c r="KS820" s="1637"/>
      <c r="KT820" s="1637"/>
      <c r="KU820" s="1637"/>
      <c r="KV820" s="1637"/>
      <c r="KW820" s="1637"/>
      <c r="KX820" s="1637"/>
      <c r="KY820" s="1637"/>
      <c r="KZ820" s="1637"/>
      <c r="LA820" s="1637"/>
      <c r="LB820" s="1637"/>
      <c r="LC820" s="1637"/>
      <c r="LD820" s="1637"/>
      <c r="LE820" s="1637"/>
      <c r="LF820" s="1637"/>
    </row>
    <row r="821" spans="1:318">
      <c r="A821" s="1485"/>
      <c r="B821" s="1485"/>
      <c r="C821" s="1631"/>
      <c r="D821" s="1631"/>
      <c r="E821" s="1631"/>
      <c r="F821" s="1631"/>
      <c r="H821" s="521" t="s">
        <v>118</v>
      </c>
      <c r="J821" s="1833">
        <f>AL810</f>
        <v>0</v>
      </c>
      <c r="K821" s="1833">
        <f>AM810</f>
        <v>0</v>
      </c>
      <c r="L821" s="1833">
        <f>AN810</f>
        <v>0</v>
      </c>
      <c r="M821" s="1833">
        <f>AO810</f>
        <v>0</v>
      </c>
      <c r="N821" s="1833">
        <f>AP810</f>
        <v>0</v>
      </c>
      <c r="O821" s="1833">
        <f t="shared" si="343"/>
        <v>0</v>
      </c>
      <c r="P821" s="1785"/>
      <c r="Q821" s="1834"/>
      <c r="R821" s="1838">
        <f>'Part VI-Revenues &amp; Expenses'!R59</f>
        <v>0</v>
      </c>
      <c r="S821" s="1838"/>
      <c r="T821" s="1838"/>
      <c r="U821" s="1838"/>
      <c r="V821" s="1838"/>
      <c r="W821" s="1631"/>
      <c r="Z821" s="1631"/>
      <c r="AA821" s="521"/>
      <c r="AB821" s="1631"/>
      <c r="AE821" s="1631"/>
      <c r="AF821" s="521"/>
      <c r="AG821" s="1631"/>
      <c r="AJ821" s="1631"/>
      <c r="AK821" s="521"/>
      <c r="AL821" s="1631"/>
      <c r="AO821" s="1631"/>
      <c r="AP821" s="521"/>
      <c r="AQ821" s="522"/>
      <c r="AR821" s="522"/>
      <c r="AS821" s="522"/>
      <c r="AT821" s="522"/>
      <c r="AU821" s="522"/>
      <c r="AV821" s="522"/>
      <c r="AW821" s="521"/>
      <c r="AX821" s="1631"/>
      <c r="BA821" s="522"/>
      <c r="BB821" s="521"/>
      <c r="BC821" s="1631"/>
      <c r="JV821" s="1637"/>
      <c r="KA821" s="1637"/>
      <c r="KB821" s="1637"/>
      <c r="KC821" s="1637"/>
      <c r="KD821" s="1637"/>
      <c r="KE821" s="1637"/>
      <c r="KF821" s="1637"/>
      <c r="KG821" s="1637"/>
      <c r="KH821" s="1637"/>
      <c r="KI821" s="1637"/>
      <c r="KJ821" s="1637"/>
      <c r="KK821" s="1637"/>
      <c r="KL821" s="1637"/>
      <c r="KM821" s="1637"/>
      <c r="KN821" s="1637"/>
      <c r="KO821" s="1637"/>
      <c r="KP821" s="1637"/>
      <c r="KQ821" s="1637"/>
      <c r="KR821" s="1637"/>
      <c r="KS821" s="1637"/>
      <c r="KT821" s="1637"/>
      <c r="KU821" s="1637"/>
      <c r="KV821" s="1637"/>
      <c r="KW821" s="1637"/>
      <c r="KX821" s="1637"/>
      <c r="KY821" s="1637"/>
      <c r="KZ821" s="1637"/>
      <c r="LA821" s="1637"/>
      <c r="LB821" s="1637"/>
      <c r="LC821" s="1637"/>
      <c r="LD821" s="1637"/>
      <c r="LE821" s="1637"/>
      <c r="LF821" s="1637"/>
    </row>
    <row r="822" spans="1:318">
      <c r="A822" s="1485"/>
      <c r="B822" s="1485"/>
      <c r="C822" s="1631"/>
      <c r="D822" s="1631"/>
      <c r="E822" s="1631"/>
      <c r="F822" s="1631"/>
      <c r="H822" s="521" t="s">
        <v>4624</v>
      </c>
      <c r="J822" s="1833">
        <f>AQ810</f>
        <v>0</v>
      </c>
      <c r="K822" s="1833">
        <f>AR810</f>
        <v>0</v>
      </c>
      <c r="L822" s="1833">
        <f>AS810</f>
        <v>0</v>
      </c>
      <c r="M822" s="1833">
        <f>AT810</f>
        <v>0</v>
      </c>
      <c r="N822" s="1833">
        <f>AU810</f>
        <v>0</v>
      </c>
      <c r="O822" s="1833">
        <f t="shared" si="343"/>
        <v>0</v>
      </c>
      <c r="P822" s="1785"/>
      <c r="Q822" s="1834"/>
      <c r="R822" s="1838">
        <f>'Part VI-Revenues &amp; Expenses'!R60</f>
        <v>0</v>
      </c>
      <c r="S822" s="1838"/>
      <c r="T822" s="1838"/>
      <c r="U822" s="1838"/>
      <c r="V822" s="1838"/>
      <c r="W822" s="1631"/>
      <c r="Z822" s="1631"/>
      <c r="AA822" s="521"/>
      <c r="AB822" s="1631"/>
      <c r="AE822" s="1631"/>
      <c r="AF822" s="521"/>
      <c r="AG822" s="1631"/>
      <c r="AJ822" s="1631"/>
      <c r="AK822" s="521"/>
      <c r="AL822" s="1631"/>
      <c r="AO822" s="1631"/>
      <c r="AP822" s="521"/>
      <c r="AQ822" s="522"/>
      <c r="AR822" s="522"/>
      <c r="AS822" s="522"/>
      <c r="AT822" s="522"/>
      <c r="AU822" s="522"/>
      <c r="AV822" s="522"/>
      <c r="AW822" s="521"/>
      <c r="AX822" s="1631"/>
      <c r="BA822" s="522"/>
      <c r="BB822" s="521"/>
      <c r="BC822" s="1631"/>
      <c r="JV822" s="1637"/>
      <c r="KA822" s="1637"/>
      <c r="KB822" s="1637"/>
      <c r="KC822" s="1637"/>
      <c r="KD822" s="1637"/>
      <c r="KE822" s="1637"/>
      <c r="KF822" s="1637"/>
      <c r="KG822" s="1637"/>
      <c r="KH822" s="1637"/>
      <c r="KI822" s="1637"/>
      <c r="KJ822" s="1637"/>
      <c r="KK822" s="1637"/>
      <c r="KL822" s="1637"/>
      <c r="KM822" s="1637"/>
      <c r="KN822" s="1637"/>
      <c r="KO822" s="1637"/>
      <c r="KP822" s="1637"/>
      <c r="KQ822" s="1637"/>
      <c r="KR822" s="1637"/>
      <c r="KS822" s="1637"/>
      <c r="KT822" s="1637"/>
      <c r="KU822" s="1637"/>
      <c r="KV822" s="1637"/>
      <c r="KW822" s="1637"/>
      <c r="KX822" s="1637"/>
      <c r="KY822" s="1637"/>
      <c r="KZ822" s="1637"/>
      <c r="LA822" s="1637"/>
      <c r="LB822" s="1637"/>
      <c r="LC822" s="1637"/>
      <c r="LD822" s="1637"/>
      <c r="LE822" s="1637"/>
      <c r="LF822" s="1637"/>
    </row>
    <row r="823" spans="1:318">
      <c r="A823" s="1485"/>
      <c r="B823" s="1485"/>
      <c r="C823" s="1631"/>
      <c r="D823" s="1631"/>
      <c r="E823" s="1631"/>
      <c r="F823" s="1631"/>
      <c r="H823" s="521" t="s">
        <v>4625</v>
      </c>
      <c r="J823" s="1833">
        <f>AV810</f>
        <v>0</v>
      </c>
      <c r="K823" s="1833">
        <f>AW810</f>
        <v>0</v>
      </c>
      <c r="L823" s="1833">
        <f>AX810</f>
        <v>0</v>
      </c>
      <c r="M823" s="1833">
        <f>AY810</f>
        <v>0</v>
      </c>
      <c r="N823" s="1833">
        <f>AZ810</f>
        <v>0</v>
      </c>
      <c r="O823" s="1833">
        <f t="shared" si="343"/>
        <v>0</v>
      </c>
      <c r="P823" s="1785"/>
      <c r="Q823" s="1834"/>
      <c r="R823" s="1838">
        <f>'Part VI-Revenues &amp; Expenses'!R61</f>
        <v>0</v>
      </c>
      <c r="S823" s="1838"/>
      <c r="T823" s="1838"/>
      <c r="U823" s="1838"/>
      <c r="V823" s="1838"/>
      <c r="W823" s="1631"/>
      <c r="Z823" s="1631"/>
      <c r="AA823" s="521"/>
      <c r="AB823" s="1631"/>
      <c r="AE823" s="1631"/>
      <c r="AF823" s="521"/>
      <c r="AG823" s="1631"/>
      <c r="AJ823" s="1631"/>
      <c r="AK823" s="521"/>
      <c r="AL823" s="1631"/>
      <c r="AO823" s="1631"/>
      <c r="AP823" s="521"/>
      <c r="AQ823" s="522"/>
      <c r="AR823" s="522"/>
      <c r="AS823" s="522"/>
      <c r="AT823" s="522"/>
      <c r="AU823" s="522"/>
      <c r="AV823" s="522"/>
      <c r="AW823" s="521"/>
      <c r="AX823" s="1631"/>
      <c r="BA823" s="522"/>
      <c r="BB823" s="521"/>
      <c r="BC823" s="1631"/>
      <c r="JV823" s="1637"/>
      <c r="KA823" s="1637"/>
      <c r="KB823" s="1637"/>
      <c r="KC823" s="1637"/>
      <c r="KD823" s="1637"/>
      <c r="KE823" s="1637"/>
      <c r="KF823" s="1637"/>
      <c r="KG823" s="1637"/>
      <c r="KH823" s="1637"/>
      <c r="KI823" s="1637"/>
      <c r="KJ823" s="1637"/>
      <c r="KK823" s="1637"/>
      <c r="KL823" s="1637"/>
      <c r="KM823" s="1637"/>
      <c r="KN823" s="1637"/>
      <c r="KO823" s="1637"/>
      <c r="KP823" s="1637"/>
      <c r="KQ823" s="1637"/>
      <c r="KR823" s="1637"/>
      <c r="KS823" s="1637"/>
      <c r="KT823" s="1637"/>
      <c r="KU823" s="1637"/>
      <c r="KV823" s="1637"/>
      <c r="KW823" s="1637"/>
      <c r="KX823" s="1637"/>
      <c r="KY823" s="1637"/>
      <c r="KZ823" s="1637"/>
      <c r="LA823" s="1637"/>
      <c r="LB823" s="1637"/>
      <c r="LC823" s="1637"/>
      <c r="LD823" s="1637"/>
      <c r="LE823" s="1637"/>
      <c r="LF823" s="1637"/>
    </row>
    <row r="824" spans="1:318">
      <c r="A824" s="1485"/>
      <c r="B824" s="1485"/>
      <c r="C824" s="1631"/>
      <c r="D824" s="1631"/>
      <c r="E824" s="1631"/>
      <c r="F824" s="1631"/>
      <c r="H824" s="521" t="s">
        <v>4626</v>
      </c>
      <c r="J824" s="1833">
        <f>BA810</f>
        <v>0</v>
      </c>
      <c r="K824" s="1833">
        <f>BB810</f>
        <v>0</v>
      </c>
      <c r="L824" s="1833">
        <f>BC810</f>
        <v>0</v>
      </c>
      <c r="M824" s="1833">
        <f>BD810</f>
        <v>0</v>
      </c>
      <c r="N824" s="1833">
        <f>BE810</f>
        <v>0</v>
      </c>
      <c r="O824" s="1833">
        <f t="shared" si="343"/>
        <v>0</v>
      </c>
      <c r="P824" s="1785"/>
      <c r="Q824" s="1834"/>
      <c r="R824" s="1838">
        <f>'Part VI-Revenues &amp; Expenses'!R62</f>
        <v>0</v>
      </c>
      <c r="S824" s="1838"/>
      <c r="T824" s="1838"/>
      <c r="U824" s="1838"/>
      <c r="V824" s="1838"/>
      <c r="W824" s="1631"/>
      <c r="Z824" s="1631"/>
      <c r="AA824" s="521"/>
      <c r="AB824" s="1631"/>
      <c r="AE824" s="1631"/>
      <c r="AF824" s="521"/>
      <c r="AG824" s="1631"/>
      <c r="AJ824" s="1631"/>
      <c r="AK824" s="521"/>
      <c r="AL824" s="1631"/>
      <c r="AO824" s="1631"/>
      <c r="AP824" s="521"/>
      <c r="AQ824" s="522"/>
      <c r="AR824" s="522"/>
      <c r="AS824" s="522"/>
      <c r="AT824" s="522"/>
      <c r="AU824" s="522"/>
      <c r="AV824" s="522"/>
      <c r="AW824" s="521"/>
      <c r="AX824" s="1631"/>
      <c r="BA824" s="522"/>
      <c r="BB824" s="521"/>
      <c r="BC824" s="1631"/>
      <c r="JV824" s="1637"/>
      <c r="KA824" s="1637"/>
      <c r="KB824" s="1637"/>
      <c r="KC824" s="1637"/>
      <c r="KD824" s="1637"/>
      <c r="KE824" s="1637"/>
      <c r="KF824" s="1637"/>
      <c r="KG824" s="1637"/>
      <c r="KH824" s="1637"/>
      <c r="KI824" s="1637"/>
      <c r="KJ824" s="1637"/>
      <c r="KK824" s="1637"/>
      <c r="KL824" s="1637"/>
      <c r="KM824" s="1637"/>
      <c r="KN824" s="1637"/>
      <c r="KO824" s="1637"/>
      <c r="KP824" s="1637"/>
      <c r="KQ824" s="1637"/>
      <c r="KR824" s="1637"/>
      <c r="KS824" s="1637"/>
      <c r="KT824" s="1637"/>
      <c r="KU824" s="1637"/>
      <c r="KV824" s="1637"/>
      <c r="KW824" s="1637"/>
      <c r="KX824" s="1637"/>
      <c r="KY824" s="1637"/>
      <c r="KZ824" s="1637"/>
      <c r="LA824" s="1637"/>
      <c r="LB824" s="1637"/>
      <c r="LC824" s="1637"/>
      <c r="LD824" s="1637"/>
      <c r="LE824" s="1637"/>
      <c r="LF824" s="1637"/>
    </row>
    <row r="825" spans="1:318">
      <c r="A825" s="1485"/>
      <c r="B825" s="1485"/>
      <c r="C825" s="1634" t="s">
        <v>4708</v>
      </c>
      <c r="D825" s="1631"/>
      <c r="E825" s="1631"/>
      <c r="F825" s="1631"/>
      <c r="H825" s="1216"/>
      <c r="J825" s="1833">
        <f>SUM(J818:J824)</f>
        <v>0</v>
      </c>
      <c r="K825" s="1833">
        <f>SUM(K818:K824)</f>
        <v>12</v>
      </c>
      <c r="L825" s="1833">
        <f>SUM(L818:L824)</f>
        <v>56</v>
      </c>
      <c r="M825" s="1833">
        <f>SUM(M818:M824)</f>
        <v>8</v>
      </c>
      <c r="N825" s="1833">
        <f>SUM(N818:N824)</f>
        <v>8</v>
      </c>
      <c r="O825" s="1833">
        <f t="shared" si="343"/>
        <v>84</v>
      </c>
      <c r="P825" s="1785"/>
      <c r="R825" s="1838">
        <f>'Part VI-Revenues &amp; Expenses'!R63</f>
        <v>0</v>
      </c>
      <c r="S825" s="1838"/>
      <c r="T825" s="1838"/>
      <c r="U825" s="1838"/>
      <c r="V825" s="1838"/>
      <c r="W825" s="1631"/>
      <c r="Z825" s="1631"/>
      <c r="AA825" s="521"/>
      <c r="AB825" s="1631"/>
      <c r="AE825" s="1631"/>
      <c r="AF825" s="521"/>
      <c r="AG825" s="1631"/>
      <c r="AJ825" s="1631"/>
      <c r="AK825" s="521"/>
      <c r="AL825" s="1631"/>
      <c r="AO825" s="1631"/>
      <c r="AP825" s="521"/>
      <c r="AQ825" s="522"/>
      <c r="AR825" s="522"/>
      <c r="AS825" s="522"/>
      <c r="AT825" s="522"/>
      <c r="AU825" s="522"/>
      <c r="AV825" s="522"/>
      <c r="AW825" s="521"/>
      <c r="AX825" s="1631"/>
      <c r="BA825" s="522"/>
      <c r="BB825" s="521"/>
      <c r="BC825" s="1631"/>
      <c r="JV825" s="1637"/>
      <c r="KA825" s="1637"/>
      <c r="KB825" s="1637"/>
      <c r="KC825" s="1637"/>
      <c r="KD825" s="1637"/>
      <c r="KE825" s="1637"/>
      <c r="KF825" s="1637"/>
      <c r="KG825" s="1637"/>
      <c r="KH825" s="1637"/>
      <c r="KI825" s="1637"/>
      <c r="KJ825" s="1637"/>
      <c r="KK825" s="1637"/>
      <c r="KL825" s="1637"/>
      <c r="KM825" s="1637"/>
      <c r="KN825" s="1637"/>
      <c r="KO825" s="1637"/>
      <c r="KP825" s="1637"/>
      <c r="KQ825" s="1637"/>
      <c r="KR825" s="1637"/>
      <c r="KS825" s="1637"/>
      <c r="KT825" s="1637"/>
      <c r="KU825" s="1637"/>
      <c r="KV825" s="1637"/>
      <c r="KW825" s="1637"/>
      <c r="KX825" s="1637"/>
      <c r="KY825" s="1637"/>
      <c r="KZ825" s="1637"/>
      <c r="LA825" s="1637"/>
      <c r="LB825" s="1637"/>
      <c r="LC825" s="1637"/>
      <c r="LD825" s="1637"/>
      <c r="LE825" s="1637"/>
      <c r="LF825" s="1637"/>
    </row>
    <row r="826" spans="1:318">
      <c r="A826" s="1485"/>
      <c r="B826" s="1485"/>
      <c r="D826" s="1631"/>
      <c r="E826" s="1631"/>
      <c r="F826" s="1631"/>
      <c r="H826" s="521" t="s">
        <v>303</v>
      </c>
      <c r="J826" s="1833">
        <f>BF810</f>
        <v>0</v>
      </c>
      <c r="K826" s="1833">
        <f>BG810</f>
        <v>0</v>
      </c>
      <c r="L826" s="1833">
        <f>BH810</f>
        <v>0</v>
      </c>
      <c r="M826" s="1833">
        <f>BI810</f>
        <v>0</v>
      </c>
      <c r="N826" s="1833">
        <f>BJ810</f>
        <v>0</v>
      </c>
      <c r="O826" s="1833">
        <f t="shared" si="343"/>
        <v>0</v>
      </c>
      <c r="R826" s="1838">
        <f>'Part VI-Revenues &amp; Expenses'!R64</f>
        <v>0</v>
      </c>
      <c r="S826" s="1838"/>
      <c r="T826" s="1838"/>
      <c r="U826" s="1838"/>
      <c r="V826" s="1838"/>
      <c r="W826" s="1631"/>
      <c r="Z826" s="1631"/>
      <c r="AA826" s="521"/>
      <c r="AB826" s="1631"/>
      <c r="AE826" s="1631"/>
      <c r="AF826" s="521"/>
      <c r="AG826" s="1631"/>
      <c r="AJ826" s="1631"/>
      <c r="AK826" s="521"/>
      <c r="AL826" s="1631"/>
      <c r="AO826" s="1631"/>
      <c r="AP826" s="521"/>
      <c r="AQ826" s="522"/>
      <c r="AR826" s="522"/>
      <c r="AS826" s="522"/>
      <c r="AT826" s="522"/>
      <c r="AU826" s="522"/>
      <c r="AV826" s="522"/>
      <c r="AW826" s="1216"/>
      <c r="AX826" s="1631"/>
      <c r="BA826" s="522"/>
      <c r="BB826" s="1216"/>
      <c r="BC826" s="1631"/>
      <c r="JV826" s="1637"/>
      <c r="KA826" s="1637"/>
      <c r="KB826" s="1637"/>
      <c r="KC826" s="1637"/>
      <c r="KD826" s="1637"/>
      <c r="KE826" s="1637"/>
      <c r="KF826" s="1637"/>
      <c r="KG826" s="1637"/>
      <c r="KH826" s="1637"/>
      <c r="KI826" s="1637"/>
      <c r="KJ826" s="1637"/>
      <c r="KK826" s="1637"/>
      <c r="KL826" s="1637"/>
      <c r="KM826" s="1637"/>
      <c r="KN826" s="1637"/>
      <c r="KO826" s="1637"/>
      <c r="KP826" s="1637"/>
      <c r="KQ826" s="1637"/>
      <c r="KR826" s="1637"/>
      <c r="KS826" s="1637"/>
      <c r="KT826" s="1637"/>
      <c r="KU826" s="1637"/>
      <c r="KV826" s="1637"/>
      <c r="KW826" s="1637"/>
      <c r="KX826" s="1637"/>
      <c r="KY826" s="1637"/>
      <c r="KZ826" s="1637"/>
      <c r="LA826" s="1637"/>
      <c r="LB826" s="1637"/>
      <c r="LC826" s="1637"/>
      <c r="LD826" s="1637"/>
      <c r="LE826" s="1637"/>
      <c r="LF826" s="1637"/>
    </row>
    <row r="827" spans="1:318">
      <c r="A827" s="1485"/>
      <c r="B827" s="1485"/>
      <c r="C827" s="2764" t="s">
        <v>1138</v>
      </c>
      <c r="D827" s="2764"/>
      <c r="E827" s="2764"/>
      <c r="F827" s="2764"/>
      <c r="G827" s="2765"/>
      <c r="H827" s="1866"/>
      <c r="I827" s="2765"/>
      <c r="J827" s="2766">
        <f>SUM(J825:J826)</f>
        <v>0</v>
      </c>
      <c r="K827" s="2766">
        <f>SUM(K825:K826)</f>
        <v>12</v>
      </c>
      <c r="L827" s="2766">
        <f>SUM(L825:L826)</f>
        <v>56</v>
      </c>
      <c r="M827" s="2766">
        <f>SUM(M825:M826)</f>
        <v>8</v>
      </c>
      <c r="N827" s="2766">
        <f>SUM(N825:N826)</f>
        <v>8</v>
      </c>
      <c r="O827" s="2766">
        <f t="shared" si="343"/>
        <v>84</v>
      </c>
      <c r="R827" s="1838">
        <f>'Part VI-Revenues &amp; Expenses'!R65</f>
        <v>0</v>
      </c>
      <c r="S827" s="1838"/>
      <c r="T827" s="1838"/>
      <c r="U827" s="1838"/>
      <c r="V827" s="1838"/>
      <c r="W827" s="1631"/>
      <c r="Z827" s="1631"/>
      <c r="AA827" s="521"/>
      <c r="AB827" s="1631"/>
      <c r="AE827" s="1631"/>
      <c r="AF827" s="521"/>
      <c r="AG827" s="1631"/>
      <c r="AJ827" s="1631"/>
      <c r="AK827" s="521"/>
      <c r="AL827" s="1631"/>
      <c r="AO827" s="1631"/>
      <c r="AP827" s="521"/>
      <c r="AQ827" s="522"/>
      <c r="AR827" s="522"/>
      <c r="AS827" s="522"/>
      <c r="AT827" s="522"/>
      <c r="AU827" s="522"/>
      <c r="AV827" s="522"/>
      <c r="AW827" s="1216"/>
      <c r="AX827" s="1631"/>
      <c r="BA827" s="522"/>
      <c r="BB827" s="1216"/>
      <c r="BC827" s="1631"/>
      <c r="JV827" s="1637"/>
      <c r="KA827" s="1637"/>
      <c r="KB827" s="1637"/>
      <c r="KC827" s="1637"/>
      <c r="KD827" s="1637"/>
      <c r="KE827" s="1637"/>
      <c r="KF827" s="1637"/>
      <c r="KG827" s="1637"/>
      <c r="KH827" s="1637"/>
      <c r="KI827" s="1637"/>
      <c r="KJ827" s="1637"/>
      <c r="KK827" s="1637"/>
      <c r="KL827" s="1637"/>
      <c r="KM827" s="1637"/>
      <c r="KN827" s="1637"/>
      <c r="KO827" s="1637"/>
      <c r="KP827" s="1637"/>
      <c r="KQ827" s="1637"/>
      <c r="KR827" s="1637"/>
      <c r="KS827" s="1637"/>
      <c r="KT827" s="1637"/>
      <c r="KU827" s="1637"/>
      <c r="KV827" s="1637"/>
      <c r="KW827" s="1637"/>
      <c r="KX827" s="1637"/>
      <c r="KY827" s="1637"/>
      <c r="KZ827" s="1637"/>
      <c r="LA827" s="1637"/>
      <c r="LB827" s="1637"/>
      <c r="LC827" s="1637"/>
      <c r="LD827" s="1637"/>
      <c r="LE827" s="1637"/>
      <c r="LF827" s="1637"/>
    </row>
    <row r="828" spans="1:318">
      <c r="A828" s="1485"/>
      <c r="B828" s="1485"/>
      <c r="D828" s="1631"/>
      <c r="E828" s="1631"/>
      <c r="F828" s="1631"/>
      <c r="H828" s="521" t="s">
        <v>2511</v>
      </c>
      <c r="J828" s="1833">
        <f>EC810</f>
        <v>0</v>
      </c>
      <c r="K828" s="1833">
        <f>ED810</f>
        <v>0</v>
      </c>
      <c r="L828" s="1833">
        <f>EE810</f>
        <v>0</v>
      </c>
      <c r="M828" s="1833">
        <f>EF810</f>
        <v>0</v>
      </c>
      <c r="N828" s="1833">
        <f>EG810</f>
        <v>0</v>
      </c>
      <c r="O828" s="1833">
        <f t="shared" si="343"/>
        <v>0</v>
      </c>
      <c r="P828" s="1652" t="s">
        <v>3671</v>
      </c>
      <c r="R828" s="1838">
        <f>'Part VI-Revenues &amp; Expenses'!R66</f>
        <v>0</v>
      </c>
      <c r="S828" s="1838"/>
      <c r="T828" s="1838"/>
      <c r="U828" s="1838"/>
      <c r="V828" s="1838"/>
      <c r="W828" s="1631"/>
      <c r="Z828" s="1631"/>
      <c r="AA828" s="521"/>
      <c r="AB828" s="1631"/>
      <c r="AE828" s="1631"/>
      <c r="AF828" s="521"/>
      <c r="AG828" s="1631"/>
      <c r="AJ828" s="1631"/>
      <c r="AK828" s="521"/>
      <c r="AL828" s="1631"/>
      <c r="AO828" s="1631"/>
      <c r="AP828" s="521"/>
      <c r="AQ828" s="522"/>
      <c r="AR828" s="522"/>
      <c r="AS828" s="522"/>
      <c r="AT828" s="522"/>
      <c r="AU828" s="522"/>
      <c r="AV828" s="522"/>
      <c r="AW828" s="521"/>
      <c r="AX828" s="1631"/>
      <c r="BA828" s="522"/>
      <c r="BB828" s="521"/>
      <c r="BC828" s="1631"/>
      <c r="JV828" s="1637"/>
      <c r="KA828" s="1637"/>
      <c r="KB828" s="1637"/>
      <c r="KC828" s="1637"/>
      <c r="KD828" s="1637"/>
      <c r="KE828" s="1637"/>
      <c r="KF828" s="1637"/>
      <c r="KG828" s="1637"/>
      <c r="KH828" s="1637"/>
      <c r="KI828" s="1637"/>
      <c r="KJ828" s="1637"/>
      <c r="KK828" s="1637"/>
      <c r="KL828" s="1637"/>
      <c r="KM828" s="1637"/>
      <c r="KN828" s="1637"/>
      <c r="KO828" s="1637"/>
      <c r="KP828" s="1637"/>
      <c r="KQ828" s="1637"/>
      <c r="KR828" s="1637"/>
      <c r="KS828" s="1637"/>
      <c r="KT828" s="1637"/>
      <c r="KU828" s="1637"/>
      <c r="KV828" s="1637"/>
      <c r="KW828" s="1637"/>
      <c r="KX828" s="1637"/>
      <c r="KY828" s="1637"/>
      <c r="KZ828" s="1637"/>
      <c r="LA828" s="1637"/>
      <c r="LB828" s="1637"/>
      <c r="LC828" s="1637"/>
      <c r="LD828" s="1637"/>
      <c r="LE828" s="1637"/>
      <c r="LF828" s="1637"/>
    </row>
    <row r="829" spans="1:318">
      <c r="A829" s="1485"/>
      <c r="B829" s="1485"/>
      <c r="C829" s="1631" t="s">
        <v>1793</v>
      </c>
      <c r="D829" s="1631"/>
      <c r="E829" s="1631"/>
      <c r="F829" s="1631"/>
      <c r="H829" s="521"/>
      <c r="J829" s="1833">
        <f>SUM(J827:J828)</f>
        <v>0</v>
      </c>
      <c r="K829" s="1833">
        <f>SUM(K827:K828)</f>
        <v>12</v>
      </c>
      <c r="L829" s="1833">
        <f>SUM(L827:L828)</f>
        <v>56</v>
      </c>
      <c r="M829" s="1833">
        <f>SUM(M827:M828)</f>
        <v>8</v>
      </c>
      <c r="N829" s="1833">
        <f>SUM(N827:N828)</f>
        <v>8</v>
      </c>
      <c r="O829" s="1833">
        <f t="shared" si="343"/>
        <v>84</v>
      </c>
      <c r="R829" s="1838">
        <f>'Part VI-Revenues &amp; Expenses'!R67</f>
        <v>0</v>
      </c>
      <c r="S829" s="1838"/>
      <c r="T829" s="1838"/>
      <c r="U829" s="1838"/>
      <c r="V829" s="1838"/>
      <c r="W829" s="1631"/>
      <c r="Z829" s="1631"/>
      <c r="AA829" s="521"/>
      <c r="AB829" s="1631"/>
      <c r="AE829" s="1631"/>
      <c r="AF829" s="521"/>
      <c r="AG829" s="1631"/>
      <c r="AJ829" s="1631"/>
      <c r="AK829" s="521"/>
      <c r="AL829" s="1631"/>
      <c r="AO829" s="1631"/>
      <c r="AP829" s="521"/>
      <c r="AQ829" s="522"/>
      <c r="AR829" s="522"/>
      <c r="AS829" s="522"/>
      <c r="AT829" s="522"/>
      <c r="AU829" s="522"/>
      <c r="AV829" s="522"/>
      <c r="AX829" s="1631"/>
      <c r="BA829" s="522"/>
      <c r="BC829" s="1631"/>
      <c r="JV829" s="1637"/>
      <c r="KA829" s="1637"/>
      <c r="KB829" s="1637"/>
      <c r="KC829" s="1637"/>
      <c r="KD829" s="1637"/>
      <c r="KE829" s="1637"/>
      <c r="KF829" s="1637"/>
      <c r="KG829" s="1637"/>
      <c r="KH829" s="1637"/>
      <c r="KI829" s="1637"/>
      <c r="KJ829" s="1637"/>
      <c r="KK829" s="1637"/>
      <c r="KL829" s="1637"/>
      <c r="KM829" s="1637"/>
      <c r="KN829" s="1637"/>
      <c r="KO829" s="1637"/>
      <c r="KP829" s="1637"/>
      <c r="KQ829" s="1637"/>
      <c r="KR829" s="1637"/>
      <c r="KS829" s="1637"/>
      <c r="KT829" s="1637"/>
      <c r="KU829" s="1637"/>
      <c r="KV829" s="1637"/>
      <c r="KW829" s="1637"/>
      <c r="KX829" s="1637"/>
      <c r="KY829" s="1637"/>
      <c r="KZ829" s="1637"/>
      <c r="LA829" s="1637"/>
      <c r="LB829" s="1637"/>
      <c r="LC829" s="1637"/>
      <c r="LD829" s="1637"/>
      <c r="LE829" s="1637"/>
      <c r="LF829" s="1637"/>
    </row>
    <row r="830" spans="1:318">
      <c r="A830" s="1485"/>
      <c r="B830" s="1485"/>
      <c r="C830" s="1838"/>
      <c r="D830" s="1838"/>
      <c r="E830" s="1838"/>
      <c r="F830" s="1838"/>
      <c r="G830" s="1838"/>
      <c r="H830" s="1838"/>
      <c r="I830" s="1838"/>
      <c r="J830" s="1838"/>
      <c r="K830" s="1838"/>
      <c r="L830" s="1838"/>
      <c r="M830" s="1838"/>
      <c r="N830" s="1838"/>
      <c r="O830" s="1838"/>
      <c r="W830" s="1631"/>
      <c r="Z830" s="1631"/>
      <c r="AA830" s="521"/>
      <c r="AB830" s="1631"/>
      <c r="AE830" s="1631"/>
      <c r="AF830" s="521"/>
      <c r="AG830" s="1631"/>
      <c r="AJ830" s="1631"/>
      <c r="AK830" s="521"/>
      <c r="AL830" s="1631"/>
      <c r="AO830" s="1631"/>
      <c r="AP830" s="521"/>
      <c r="AQ830" s="1631"/>
      <c r="AR830" s="1631"/>
      <c r="AS830" s="1631"/>
      <c r="AT830" s="1631"/>
      <c r="AU830" s="1631"/>
      <c r="AV830" s="1631"/>
      <c r="AX830" s="1631"/>
      <c r="BA830" s="1631"/>
      <c r="BC830" s="1631"/>
      <c r="JV830" s="1637"/>
      <c r="KA830" s="1637"/>
      <c r="KB830" s="1637"/>
      <c r="KC830" s="1637"/>
      <c r="KD830" s="1637"/>
      <c r="KE830" s="1637"/>
      <c r="KF830" s="1637"/>
      <c r="KG830" s="1637"/>
      <c r="KH830" s="1637"/>
      <c r="KI830" s="1637"/>
      <c r="KJ830" s="1637"/>
      <c r="KK830" s="1637"/>
      <c r="KL830" s="1637"/>
      <c r="KM830" s="1637"/>
      <c r="KN830" s="1637"/>
      <c r="KO830" s="1637"/>
      <c r="KP830" s="1637"/>
      <c r="KQ830" s="1637"/>
      <c r="KR830" s="1637"/>
      <c r="KS830" s="1637"/>
      <c r="KT830" s="1637"/>
      <c r="KU830" s="1637"/>
      <c r="KV830" s="1637"/>
      <c r="KW830" s="1637"/>
      <c r="KX830" s="1637"/>
      <c r="KY830" s="1637"/>
      <c r="KZ830" s="1637"/>
      <c r="LA830" s="1637"/>
      <c r="LB830" s="1637"/>
      <c r="LC830" s="1637"/>
      <c r="LD830" s="1637"/>
      <c r="LE830" s="1637"/>
      <c r="LF830" s="1637"/>
    </row>
    <row r="831" spans="1:318">
      <c r="A831" s="1485"/>
      <c r="B831" s="1485"/>
      <c r="C831" s="1631"/>
      <c r="D831" s="1631"/>
      <c r="E831" s="1631"/>
      <c r="F831" s="1631"/>
      <c r="H831" s="521"/>
      <c r="J831" s="1836"/>
      <c r="K831" s="1836"/>
      <c r="L831" s="1836"/>
      <c r="M831" s="1836"/>
      <c r="N831" s="1836"/>
      <c r="O831" s="1836"/>
      <c r="T831" s="1632"/>
      <c r="W831" s="1631"/>
      <c r="Z831" s="1631"/>
      <c r="AA831" s="521"/>
      <c r="AB831" s="1631"/>
      <c r="AE831" s="1631"/>
      <c r="AF831" s="521"/>
      <c r="AG831" s="1631"/>
      <c r="AJ831" s="1631"/>
      <c r="AK831" s="521"/>
      <c r="AL831" s="1631"/>
      <c r="AO831" s="1631"/>
      <c r="AP831" s="521"/>
      <c r="AQ831" s="1631"/>
      <c r="AR831" s="1631"/>
      <c r="AS831" s="1631"/>
      <c r="AT831" s="1631"/>
      <c r="AU831" s="1631"/>
      <c r="AV831" s="1631"/>
      <c r="AX831" s="1631"/>
      <c r="BA831" s="1631"/>
      <c r="BC831" s="1631"/>
      <c r="JV831" s="1637"/>
      <c r="KA831" s="1637"/>
      <c r="KB831" s="1637"/>
      <c r="KC831" s="1637"/>
      <c r="KD831" s="1637"/>
      <c r="KE831" s="1637"/>
      <c r="KF831" s="1637"/>
      <c r="KG831" s="1637"/>
      <c r="KH831" s="1637"/>
      <c r="KI831" s="1637"/>
      <c r="KJ831" s="1637"/>
      <c r="KK831" s="1637"/>
      <c r="KL831" s="1637"/>
      <c r="KM831" s="1637"/>
      <c r="KN831" s="1637"/>
      <c r="KO831" s="1637"/>
      <c r="KP831" s="1637"/>
      <c r="KQ831" s="1637"/>
      <c r="KR831" s="1637"/>
      <c r="KS831" s="1637"/>
      <c r="KT831" s="1637"/>
      <c r="KU831" s="1637"/>
      <c r="KV831" s="1637"/>
      <c r="KW831" s="1637"/>
      <c r="KX831" s="1637"/>
      <c r="KY831" s="1637"/>
      <c r="KZ831" s="1637"/>
      <c r="LA831" s="1637"/>
      <c r="LB831" s="1637"/>
      <c r="LC831" s="1637"/>
      <c r="LD831" s="1637"/>
      <c r="LE831" s="1637"/>
      <c r="LF831" s="1637"/>
    </row>
    <row r="832" spans="1:318" ht="12.75" customHeight="1">
      <c r="A832" s="1485"/>
      <c r="B832" s="1485"/>
      <c r="C832" s="1838" t="s">
        <v>4729</v>
      </c>
      <c r="D832" s="1838"/>
      <c r="E832" s="1838"/>
      <c r="F832" s="1838"/>
      <c r="G832" s="1634"/>
      <c r="H832" s="521"/>
      <c r="I832" s="2767" t="s">
        <v>4728</v>
      </c>
      <c r="J832" s="1836"/>
      <c r="O832" s="1836"/>
      <c r="P832" s="1216" t="s">
        <v>4727</v>
      </c>
      <c r="R832" s="1838">
        <f>'Part VI-Revenues &amp; Expenses'!R70</f>
        <v>0</v>
      </c>
      <c r="S832" s="1838"/>
      <c r="T832" s="1838"/>
      <c r="U832" s="1838"/>
      <c r="V832" s="1838"/>
      <c r="W832" s="1631"/>
      <c r="Z832" s="1631"/>
      <c r="AA832" s="521"/>
      <c r="AB832" s="1631"/>
      <c r="AE832" s="1631"/>
      <c r="AF832" s="521"/>
      <c r="AG832" s="1631"/>
      <c r="AJ832" s="1631"/>
      <c r="AK832" s="521"/>
      <c r="AL832" s="1631"/>
      <c r="AO832" s="1631"/>
      <c r="AP832" s="521"/>
      <c r="AQ832" s="1631"/>
      <c r="AR832" s="1631"/>
      <c r="AS832" s="1631"/>
      <c r="AT832" s="1631"/>
      <c r="AU832" s="1631"/>
      <c r="AV832" s="1631"/>
      <c r="AX832" s="1631"/>
      <c r="BA832" s="1631"/>
      <c r="BC832" s="1631"/>
      <c r="JV832" s="1637"/>
      <c r="KA832" s="1637"/>
      <c r="KB832" s="1637"/>
      <c r="KC832" s="1637"/>
      <c r="KD832" s="1637"/>
      <c r="KE832" s="1637"/>
      <c r="KF832" s="1637"/>
      <c r="KG832" s="1637"/>
      <c r="KH832" s="1637"/>
      <c r="KI832" s="1637"/>
      <c r="KJ832" s="1637"/>
      <c r="KK832" s="1637"/>
      <c r="KL832" s="1637"/>
      <c r="KM832" s="1637"/>
      <c r="KN832" s="1637"/>
      <c r="KO832" s="1637"/>
      <c r="KP832" s="1637"/>
      <c r="KQ832" s="1637"/>
      <c r="KR832" s="1637"/>
      <c r="KS832" s="1637"/>
      <c r="KT832" s="1637"/>
      <c r="KU832" s="1637"/>
      <c r="KV832" s="1637"/>
      <c r="KW832" s="1637"/>
      <c r="KX832" s="1637"/>
      <c r="KY832" s="1637"/>
      <c r="KZ832" s="1637"/>
      <c r="LA832" s="1637"/>
      <c r="LB832" s="1637"/>
      <c r="LC832" s="1637"/>
      <c r="LD832" s="1637"/>
      <c r="LE832" s="1637"/>
      <c r="LF832" s="1637"/>
    </row>
    <row r="833" spans="1:318">
      <c r="A833" s="1485"/>
      <c r="B833" s="1485"/>
      <c r="C833" s="1838"/>
      <c r="D833" s="1838"/>
      <c r="E833" s="1838"/>
      <c r="F833" s="1838"/>
      <c r="G833" s="1634"/>
      <c r="H833" s="521" t="s">
        <v>4622</v>
      </c>
      <c r="I833" s="2768" t="str">
        <f>'Part VI-Revenues &amp; Expenses'!I71</f>
        <v/>
      </c>
      <c r="J833" s="2769">
        <f>'Part VI-Revenues &amp; Expenses'!J71</f>
        <v>0</v>
      </c>
      <c r="K833" s="2769">
        <f>'Part VI-Revenues &amp; Expenses'!K71</f>
        <v>0</v>
      </c>
      <c r="L833" s="2769">
        <f>'Part VI-Revenues &amp; Expenses'!L71</f>
        <v>0</v>
      </c>
      <c r="M833" s="2769">
        <f>'Part VI-Revenues &amp; Expenses'!M71</f>
        <v>0</v>
      </c>
      <c r="N833" s="2769">
        <f>'Part VI-Revenues &amp; Expenses'!N71</f>
        <v>0</v>
      </c>
      <c r="O833" s="2769">
        <f>'Part VI-Revenues &amp; Expenses'!O71</f>
        <v>0</v>
      </c>
      <c r="P833" s="2770" t="str">
        <f>IF(O833=0,"",AVERAGEIF(J833:N833,"&gt;0"))</f>
        <v/>
      </c>
      <c r="R833" s="1838">
        <f>'Part VI-Revenues &amp; Expenses'!R71</f>
        <v>0</v>
      </c>
      <c r="S833" s="1838"/>
      <c r="T833" s="1838"/>
      <c r="U833" s="1838"/>
      <c r="V833" s="1838"/>
      <c r="W833" s="1631"/>
      <c r="Z833" s="1631"/>
      <c r="AA833" s="521"/>
      <c r="AB833" s="1631"/>
      <c r="AE833" s="1631"/>
      <c r="AF833" s="521"/>
      <c r="AG833" s="1631"/>
      <c r="AJ833" s="1631"/>
      <c r="AK833" s="521"/>
      <c r="AL833" s="1631"/>
      <c r="AO833" s="1631"/>
      <c r="AP833" s="521"/>
      <c r="AQ833" s="1631"/>
      <c r="AR833" s="1631"/>
      <c r="AS833" s="1631"/>
      <c r="AT833" s="1631"/>
      <c r="AU833" s="1631"/>
      <c r="AV833" s="1631"/>
      <c r="AX833" s="1631"/>
      <c r="BA833" s="1631"/>
      <c r="BC833" s="1631"/>
      <c r="JV833" s="1637"/>
      <c r="KA833" s="1637"/>
      <c r="KB833" s="1637"/>
      <c r="KC833" s="1637"/>
      <c r="KD833" s="1637"/>
      <c r="KE833" s="1637"/>
      <c r="KF833" s="1637"/>
      <c r="KG833" s="1637"/>
      <c r="KH833" s="1637"/>
      <c r="KI833" s="1637"/>
      <c r="KJ833" s="1637"/>
      <c r="KK833" s="1637"/>
      <c r="KL833" s="1637"/>
      <c r="KM833" s="1637"/>
      <c r="KN833" s="1637"/>
      <c r="KO833" s="1637"/>
      <c r="KP833" s="1637"/>
      <c r="KQ833" s="1637"/>
      <c r="KR833" s="1637"/>
      <c r="KS833" s="1637"/>
      <c r="KT833" s="1637"/>
      <c r="KU833" s="1637"/>
      <c r="KV833" s="1637"/>
      <c r="KW833" s="1637"/>
      <c r="KX833" s="1637"/>
      <c r="KY833" s="1637"/>
      <c r="KZ833" s="1637"/>
      <c r="LA833" s="1637"/>
      <c r="LB833" s="1637"/>
      <c r="LC833" s="1637"/>
      <c r="LD833" s="1637"/>
      <c r="LE833" s="1637"/>
      <c r="LF833" s="1637"/>
    </row>
    <row r="834" spans="1:318">
      <c r="A834" s="1485"/>
      <c r="B834" s="1485"/>
      <c r="C834" s="1838"/>
      <c r="D834" s="1838"/>
      <c r="E834" s="1838"/>
      <c r="F834" s="1838"/>
      <c r="G834" s="1634"/>
      <c r="H834" s="521" t="s">
        <v>4623</v>
      </c>
      <c r="I834" s="2768" t="str">
        <f>'Part VI-Revenues &amp; Expenses'!I72</f>
        <v/>
      </c>
      <c r="J834" s="2769">
        <f>'Part VI-Revenues &amp; Expenses'!J72</f>
        <v>0</v>
      </c>
      <c r="K834" s="2769">
        <f>'Part VI-Revenues &amp; Expenses'!K72</f>
        <v>0</v>
      </c>
      <c r="L834" s="2769">
        <f>'Part VI-Revenues &amp; Expenses'!L72</f>
        <v>0</v>
      </c>
      <c r="M834" s="2769">
        <f>'Part VI-Revenues &amp; Expenses'!M72</f>
        <v>0</v>
      </c>
      <c r="N834" s="2769">
        <f>'Part VI-Revenues &amp; Expenses'!N72</f>
        <v>0</v>
      </c>
      <c r="O834" s="2769">
        <f>'Part VI-Revenues &amp; Expenses'!O72</f>
        <v>0</v>
      </c>
      <c r="P834" s="2770" t="str">
        <f t="shared" ref="P834:P839" si="344">IF(O834=0,"",AVERAGEIF(J834:N834,"&gt;0"))</f>
        <v/>
      </c>
      <c r="R834" s="1838">
        <f>'Part VI-Revenues &amp; Expenses'!R72</f>
        <v>0</v>
      </c>
      <c r="S834" s="1838"/>
      <c r="T834" s="1838"/>
      <c r="U834" s="1838"/>
      <c r="V834" s="1838"/>
      <c r="W834" s="1631"/>
      <c r="Z834" s="1631"/>
      <c r="AA834" s="521"/>
      <c r="AB834" s="1631"/>
      <c r="AE834" s="1631"/>
      <c r="AF834" s="521"/>
      <c r="AG834" s="1631"/>
      <c r="AJ834" s="1631"/>
      <c r="AK834" s="521"/>
      <c r="AL834" s="1631"/>
      <c r="AO834" s="1631"/>
      <c r="AP834" s="521"/>
      <c r="AQ834" s="1631"/>
      <c r="AR834" s="1631"/>
      <c r="AS834" s="1631"/>
      <c r="AT834" s="1631"/>
      <c r="AU834" s="1631"/>
      <c r="AV834" s="1631"/>
      <c r="AX834" s="1631"/>
      <c r="BA834" s="1631"/>
      <c r="BC834" s="1631"/>
      <c r="JV834" s="1637"/>
      <c r="KA834" s="1637"/>
      <c r="KB834" s="1637"/>
      <c r="KC834" s="1637"/>
      <c r="KD834" s="1637"/>
      <c r="KE834" s="1637"/>
      <c r="KF834" s="1637"/>
      <c r="KG834" s="1637"/>
      <c r="KH834" s="1637"/>
      <c r="KI834" s="1637"/>
      <c r="KJ834" s="1637"/>
      <c r="KK834" s="1637"/>
      <c r="KL834" s="1637"/>
      <c r="KM834" s="1637"/>
      <c r="KN834" s="1637"/>
      <c r="KO834" s="1637"/>
      <c r="KP834" s="1637"/>
      <c r="KQ834" s="1637"/>
      <c r="KR834" s="1637"/>
      <c r="KS834" s="1637"/>
      <c r="KT834" s="1637"/>
      <c r="KU834" s="1637"/>
      <c r="KV834" s="1637"/>
      <c r="KW834" s="1637"/>
      <c r="KX834" s="1637"/>
      <c r="KY834" s="1637"/>
      <c r="KZ834" s="1637"/>
      <c r="LA834" s="1637"/>
      <c r="LB834" s="1637"/>
      <c r="LC834" s="1637"/>
      <c r="LD834" s="1637"/>
      <c r="LE834" s="1637"/>
      <c r="LF834" s="1637"/>
    </row>
    <row r="835" spans="1:318" ht="12.75" customHeight="1">
      <c r="A835" s="1485"/>
      <c r="B835" s="1485"/>
      <c r="C835" s="1838"/>
      <c r="D835" s="1838" t="s">
        <v>5161</v>
      </c>
      <c r="E835" s="1838"/>
      <c r="F835" s="1838"/>
      <c r="G835" s="1838"/>
      <c r="H835" s="521" t="s">
        <v>1149</v>
      </c>
      <c r="I835" s="2768" t="str">
        <f>'Part VI-Revenues &amp; Expenses'!I73</f>
        <v/>
      </c>
      <c r="J835" s="2769">
        <f>'Part VI-Revenues &amp; Expenses'!J73</f>
        <v>0</v>
      </c>
      <c r="K835" s="2769">
        <f>'Part VI-Revenues &amp; Expenses'!K73</f>
        <v>1</v>
      </c>
      <c r="L835" s="2769">
        <f>'Part VI-Revenues &amp; Expenses'!L73</f>
        <v>1</v>
      </c>
      <c r="M835" s="2769">
        <f>'Part VI-Revenues &amp; Expenses'!M73</f>
        <v>1</v>
      </c>
      <c r="N835" s="2769">
        <f>'Part VI-Revenues &amp; Expenses'!N73</f>
        <v>1</v>
      </c>
      <c r="O835" s="2769">
        <f>'Part VI-Revenues &amp; Expenses'!O73</f>
        <v>1</v>
      </c>
      <c r="P835" s="2770">
        <f t="shared" si="344"/>
        <v>1</v>
      </c>
      <c r="R835" s="1838">
        <f>'Part VI-Revenues &amp; Expenses'!R73</f>
        <v>0</v>
      </c>
      <c r="S835" s="1838"/>
      <c r="T835" s="1838"/>
      <c r="U835" s="1838"/>
      <c r="V835" s="1838"/>
      <c r="W835" s="1631"/>
      <c r="Z835" s="1631"/>
      <c r="AA835" s="521"/>
      <c r="AB835" s="1631"/>
      <c r="AE835" s="1631"/>
      <c r="AF835" s="521"/>
      <c r="AG835" s="1631"/>
      <c r="AJ835" s="1631"/>
      <c r="AK835" s="521"/>
      <c r="AL835" s="1631"/>
      <c r="AO835" s="1631"/>
      <c r="AP835" s="521"/>
      <c r="AQ835" s="1631"/>
      <c r="AR835" s="1631"/>
      <c r="AS835" s="1631"/>
      <c r="AT835" s="1631"/>
      <c r="AU835" s="1631"/>
      <c r="AV835" s="1631"/>
      <c r="AX835" s="1631"/>
      <c r="BA835" s="1631"/>
      <c r="BC835" s="1631"/>
      <c r="JV835" s="1637"/>
      <c r="KA835" s="1637"/>
      <c r="KB835" s="1637"/>
      <c r="KC835" s="1637"/>
      <c r="KD835" s="1637"/>
      <c r="KE835" s="1637"/>
      <c r="KF835" s="1637"/>
      <c r="KG835" s="1637"/>
      <c r="KH835" s="1637"/>
      <c r="KI835" s="1637"/>
      <c r="KJ835" s="1637"/>
      <c r="KK835" s="1637"/>
      <c r="KL835" s="1637"/>
      <c r="KM835" s="1637"/>
      <c r="KN835" s="1637"/>
      <c r="KO835" s="1637"/>
      <c r="KP835" s="1637"/>
      <c r="KQ835" s="1637"/>
      <c r="KR835" s="1637"/>
      <c r="KS835" s="1637"/>
      <c r="KT835" s="1637"/>
      <c r="KU835" s="1637"/>
      <c r="KV835" s="1637"/>
      <c r="KW835" s="1637"/>
      <c r="KX835" s="1637"/>
      <c r="KY835" s="1637"/>
      <c r="KZ835" s="1637"/>
      <c r="LA835" s="1637"/>
      <c r="LB835" s="1637"/>
      <c r="LC835" s="1637"/>
      <c r="LD835" s="1637"/>
      <c r="LE835" s="1637"/>
      <c r="LF835" s="1637"/>
    </row>
    <row r="836" spans="1:318">
      <c r="A836" s="1485"/>
      <c r="B836" s="1485"/>
      <c r="C836" s="1838"/>
      <c r="D836" s="1838"/>
      <c r="E836" s="1838"/>
      <c r="F836" s="1838"/>
      <c r="G836" s="1838"/>
      <c r="H836" s="521" t="s">
        <v>118</v>
      </c>
      <c r="I836" s="2768" t="str">
        <f>'Part VI-Revenues &amp; Expenses'!I74</f>
        <v/>
      </c>
      <c r="J836" s="2769">
        <f>'Part VI-Revenues &amp; Expenses'!J74</f>
        <v>0</v>
      </c>
      <c r="K836" s="2769">
        <f>'Part VI-Revenues &amp; Expenses'!K74</f>
        <v>0</v>
      </c>
      <c r="L836" s="2769">
        <f>'Part VI-Revenues &amp; Expenses'!L74</f>
        <v>0</v>
      </c>
      <c r="M836" s="2769">
        <f>'Part VI-Revenues &amp; Expenses'!M74</f>
        <v>0</v>
      </c>
      <c r="N836" s="2769">
        <f>'Part VI-Revenues &amp; Expenses'!N74</f>
        <v>0</v>
      </c>
      <c r="O836" s="2769">
        <f>'Part VI-Revenues &amp; Expenses'!O74</f>
        <v>0</v>
      </c>
      <c r="P836" s="2770" t="str">
        <f t="shared" si="344"/>
        <v/>
      </c>
      <c r="R836" s="1838">
        <f>'Part VI-Revenues &amp; Expenses'!R74</f>
        <v>0</v>
      </c>
      <c r="S836" s="1838"/>
      <c r="T836" s="1838"/>
      <c r="U836" s="1838"/>
      <c r="V836" s="1838"/>
      <c r="W836" s="1631"/>
      <c r="Z836" s="1631"/>
      <c r="AA836" s="521"/>
      <c r="AB836" s="1631"/>
      <c r="AE836" s="1631"/>
      <c r="AF836" s="521"/>
      <c r="AG836" s="1631"/>
      <c r="AJ836" s="1631"/>
      <c r="AK836" s="521"/>
      <c r="AL836" s="1631"/>
      <c r="AO836" s="1631"/>
      <c r="AP836" s="521"/>
      <c r="AQ836" s="1631"/>
      <c r="AR836" s="1631"/>
      <c r="AS836" s="1631"/>
      <c r="AT836" s="1631"/>
      <c r="AU836" s="1631"/>
      <c r="AV836" s="1631"/>
      <c r="AX836" s="1631"/>
      <c r="BA836" s="1631"/>
      <c r="BC836" s="1631"/>
      <c r="JV836" s="1637"/>
      <c r="KA836" s="1637"/>
      <c r="KB836" s="1637"/>
      <c r="KC836" s="1637"/>
      <c r="KD836" s="1637"/>
      <c r="KE836" s="1637"/>
      <c r="KF836" s="1637"/>
      <c r="KG836" s="1637"/>
      <c r="KH836" s="1637"/>
      <c r="KI836" s="1637"/>
      <c r="KJ836" s="1637"/>
      <c r="KK836" s="1637"/>
      <c r="KL836" s="1637"/>
      <c r="KM836" s="1637"/>
      <c r="KN836" s="1637"/>
      <c r="KO836" s="1637"/>
      <c r="KP836" s="1637"/>
      <c r="KQ836" s="1637"/>
      <c r="KR836" s="1637"/>
      <c r="KS836" s="1637"/>
      <c r="KT836" s="1637"/>
      <c r="KU836" s="1637"/>
      <c r="KV836" s="1637"/>
      <c r="KW836" s="1637"/>
      <c r="KX836" s="1637"/>
      <c r="KY836" s="1637"/>
      <c r="KZ836" s="1637"/>
      <c r="LA836" s="1637"/>
      <c r="LB836" s="1637"/>
      <c r="LC836" s="1637"/>
      <c r="LD836" s="1637"/>
      <c r="LE836" s="1637"/>
      <c r="LF836" s="1637"/>
    </row>
    <row r="837" spans="1:318">
      <c r="A837" s="1484"/>
      <c r="B837" s="1484"/>
      <c r="C837" s="1838"/>
      <c r="D837" s="1838"/>
      <c r="E837" s="1838"/>
      <c r="F837" s="1838"/>
      <c r="G837" s="1838"/>
      <c r="H837" s="521" t="s">
        <v>4624</v>
      </c>
      <c r="I837" s="2768" t="str">
        <f>'Part VI-Revenues &amp; Expenses'!I75</f>
        <v/>
      </c>
      <c r="J837" s="2769">
        <f>'Part VI-Revenues &amp; Expenses'!J75</f>
        <v>0</v>
      </c>
      <c r="K837" s="2769">
        <f>'Part VI-Revenues &amp; Expenses'!K75</f>
        <v>0</v>
      </c>
      <c r="L837" s="2769">
        <f>'Part VI-Revenues &amp; Expenses'!L75</f>
        <v>0</v>
      </c>
      <c r="M837" s="2769">
        <f>'Part VI-Revenues &amp; Expenses'!M75</f>
        <v>0</v>
      </c>
      <c r="N837" s="2769">
        <f>'Part VI-Revenues &amp; Expenses'!N75</f>
        <v>0</v>
      </c>
      <c r="O837" s="2769">
        <f>'Part VI-Revenues &amp; Expenses'!O75</f>
        <v>0</v>
      </c>
      <c r="P837" s="2770" t="str">
        <f t="shared" si="344"/>
        <v/>
      </c>
      <c r="R837" s="1838">
        <f>'Part VI-Revenues &amp; Expenses'!R75</f>
        <v>0</v>
      </c>
      <c r="S837" s="1838"/>
      <c r="T837" s="1838"/>
      <c r="U837" s="1838"/>
      <c r="V837" s="1838"/>
      <c r="W837" s="1631"/>
      <c r="Z837" s="1631"/>
      <c r="AA837" s="521"/>
      <c r="AB837" s="1631"/>
      <c r="AE837" s="1631"/>
      <c r="AF837" s="521"/>
      <c r="AG837" s="1631"/>
      <c r="AJ837" s="1631"/>
      <c r="AK837" s="521"/>
      <c r="AL837" s="1631"/>
      <c r="AO837" s="1631"/>
      <c r="AP837" s="521"/>
      <c r="AQ837" s="1631"/>
      <c r="AR837" s="1631"/>
      <c r="AS837" s="1631"/>
      <c r="AT837" s="1631"/>
      <c r="AU837" s="1631"/>
      <c r="AV837" s="1631"/>
      <c r="AX837" s="1631"/>
      <c r="BA837" s="1631"/>
      <c r="BC837" s="1631"/>
      <c r="JV837" s="1637"/>
      <c r="KA837" s="1637"/>
      <c r="KB837" s="1637"/>
      <c r="KC837" s="1637"/>
      <c r="KD837" s="1637"/>
      <c r="KE837" s="1637"/>
      <c r="KF837" s="1637"/>
      <c r="KG837" s="1637"/>
      <c r="KH837" s="1637"/>
      <c r="KI837" s="1637"/>
      <c r="KJ837" s="1637"/>
      <c r="KK837" s="1637"/>
      <c r="KL837" s="1637"/>
      <c r="KM837" s="1637"/>
      <c r="KN837" s="1637"/>
      <c r="KO837" s="1637"/>
      <c r="KP837" s="1637"/>
      <c r="KQ837" s="1637"/>
      <c r="KR837" s="1637"/>
      <c r="KS837" s="1637"/>
      <c r="KT837" s="1637"/>
      <c r="KU837" s="1637"/>
      <c r="KV837" s="1637"/>
      <c r="KW837" s="1637"/>
      <c r="KX837" s="1637"/>
      <c r="KY837" s="1637"/>
      <c r="KZ837" s="1637"/>
      <c r="LA837" s="1637"/>
      <c r="LB837" s="1637"/>
      <c r="LC837" s="1637"/>
      <c r="LD837" s="1637"/>
      <c r="LE837" s="1637"/>
      <c r="LF837" s="1637"/>
    </row>
    <row r="838" spans="1:318">
      <c r="A838" s="1484"/>
      <c r="B838" s="1484"/>
      <c r="C838" s="1838"/>
      <c r="D838" s="1838"/>
      <c r="E838" s="1838"/>
      <c r="F838" s="1838"/>
      <c r="G838" s="1838"/>
      <c r="H838" s="521" t="s">
        <v>4625</v>
      </c>
      <c r="I838" s="2768" t="str">
        <f>'Part VI-Revenues &amp; Expenses'!I76</f>
        <v/>
      </c>
      <c r="J838" s="2769">
        <f>'Part VI-Revenues &amp; Expenses'!J76</f>
        <v>0</v>
      </c>
      <c r="K838" s="2769">
        <f>'Part VI-Revenues &amp; Expenses'!K76</f>
        <v>0</v>
      </c>
      <c r="L838" s="2769">
        <f>'Part VI-Revenues &amp; Expenses'!L76</f>
        <v>0</v>
      </c>
      <c r="M838" s="2769">
        <f>'Part VI-Revenues &amp; Expenses'!M76</f>
        <v>0</v>
      </c>
      <c r="N838" s="2769">
        <f>'Part VI-Revenues &amp; Expenses'!N76</f>
        <v>0</v>
      </c>
      <c r="O838" s="2769">
        <f>'Part VI-Revenues &amp; Expenses'!O76</f>
        <v>0</v>
      </c>
      <c r="P838" s="2770" t="str">
        <f t="shared" si="344"/>
        <v/>
      </c>
      <c r="R838" s="1838">
        <f>'Part VI-Revenues &amp; Expenses'!R76</f>
        <v>0</v>
      </c>
      <c r="S838" s="1838"/>
      <c r="T838" s="1838"/>
      <c r="U838" s="1838"/>
      <c r="V838" s="1838"/>
      <c r="W838" s="1631"/>
      <c r="Z838" s="1631"/>
      <c r="AA838" s="521"/>
      <c r="AB838" s="1631"/>
      <c r="AE838" s="1631"/>
      <c r="AF838" s="521"/>
      <c r="AG838" s="1631"/>
      <c r="AJ838" s="1631"/>
      <c r="AK838" s="521"/>
      <c r="AL838" s="1631"/>
      <c r="AO838" s="1631"/>
      <c r="AP838" s="521"/>
      <c r="AQ838" s="1631"/>
      <c r="AR838" s="1631"/>
      <c r="AS838" s="1631"/>
      <c r="AT838" s="1631"/>
      <c r="AU838" s="1631"/>
      <c r="AV838" s="1631"/>
      <c r="AX838" s="1631"/>
      <c r="BA838" s="1631"/>
      <c r="BC838" s="1631"/>
      <c r="JV838" s="1637"/>
      <c r="KA838" s="1637"/>
      <c r="KB838" s="1637"/>
      <c r="KC838" s="1637"/>
      <c r="KD838" s="1637"/>
      <c r="KE838" s="1637"/>
      <c r="KF838" s="1637"/>
      <c r="KG838" s="1637"/>
      <c r="KH838" s="1637"/>
      <c r="KI838" s="1637"/>
      <c r="KJ838" s="1637"/>
      <c r="KK838" s="1637"/>
      <c r="KL838" s="1637"/>
      <c r="KM838" s="1637"/>
      <c r="KN838" s="1637"/>
      <c r="KO838" s="1637"/>
      <c r="KP838" s="1637"/>
      <c r="KQ838" s="1637"/>
      <c r="KR838" s="1637"/>
      <c r="KS838" s="1637"/>
      <c r="KT838" s="1637"/>
      <c r="KU838" s="1637"/>
      <c r="KV838" s="1637"/>
      <c r="KW838" s="1637"/>
      <c r="KX838" s="1637"/>
      <c r="KY838" s="1637"/>
      <c r="KZ838" s="1637"/>
      <c r="LA838" s="1637"/>
      <c r="LB838" s="1637"/>
      <c r="LC838" s="1637"/>
      <c r="LD838" s="1637"/>
      <c r="LE838" s="1637"/>
      <c r="LF838" s="1637"/>
    </row>
    <row r="839" spans="1:318">
      <c r="A839" s="1484"/>
      <c r="B839" s="1484"/>
      <c r="C839" s="1838"/>
      <c r="D839" s="1838"/>
      <c r="E839" s="1838"/>
      <c r="F839" s="1838"/>
      <c r="G839" s="1838"/>
      <c r="H839" s="521" t="s">
        <v>4626</v>
      </c>
      <c r="I839" s="2768" t="str">
        <f>'Part VI-Revenues &amp; Expenses'!I77</f>
        <v/>
      </c>
      <c r="J839" s="2769">
        <f>'Part VI-Revenues &amp; Expenses'!J77</f>
        <v>0</v>
      </c>
      <c r="K839" s="2769">
        <f>'Part VI-Revenues &amp; Expenses'!K77</f>
        <v>0</v>
      </c>
      <c r="L839" s="2769">
        <f>'Part VI-Revenues &amp; Expenses'!L77</f>
        <v>0</v>
      </c>
      <c r="M839" s="2769">
        <f>'Part VI-Revenues &amp; Expenses'!M77</f>
        <v>0</v>
      </c>
      <c r="N839" s="2769">
        <f>'Part VI-Revenues &amp; Expenses'!N77</f>
        <v>0</v>
      </c>
      <c r="O839" s="2769">
        <f>'Part VI-Revenues &amp; Expenses'!O77</f>
        <v>0</v>
      </c>
      <c r="P839" s="2770" t="str">
        <f t="shared" si="344"/>
        <v/>
      </c>
      <c r="R839" s="1838">
        <f>'Part VI-Revenues &amp; Expenses'!R77</f>
        <v>0</v>
      </c>
      <c r="S839" s="1838"/>
      <c r="T839" s="1838"/>
      <c r="U839" s="1838"/>
      <c r="V839" s="1838"/>
      <c r="W839" s="1631"/>
      <c r="Z839" s="1631"/>
      <c r="AA839" s="521"/>
      <c r="AB839" s="1631"/>
      <c r="AE839" s="1631"/>
      <c r="AF839" s="521"/>
      <c r="AG839" s="1631"/>
      <c r="AJ839" s="1631"/>
      <c r="AK839" s="521"/>
      <c r="AL839" s="1631"/>
      <c r="AO839" s="1631"/>
      <c r="AP839" s="521"/>
      <c r="AQ839" s="1631"/>
      <c r="AR839" s="1631"/>
      <c r="AS839" s="1631"/>
      <c r="AT839" s="1631"/>
      <c r="AU839" s="1631"/>
      <c r="AV839" s="1631"/>
      <c r="AX839" s="1631"/>
      <c r="BA839" s="1631"/>
      <c r="BC839" s="1631"/>
      <c r="JV839" s="1637"/>
      <c r="KA839" s="1637"/>
      <c r="KB839" s="1637"/>
      <c r="KC839" s="1637"/>
      <c r="KD839" s="1637"/>
      <c r="KE839" s="1637"/>
      <c r="KF839" s="1637"/>
      <c r="KG839" s="1637"/>
      <c r="KH839" s="1637"/>
      <c r="KI839" s="1637"/>
      <c r="KJ839" s="1637"/>
      <c r="KK839" s="1637"/>
      <c r="KL839" s="1637"/>
      <c r="KM839" s="1637"/>
      <c r="KN839" s="1637"/>
      <c r="KO839" s="1637"/>
      <c r="KP839" s="1637"/>
      <c r="KQ839" s="1637"/>
      <c r="KR839" s="1637"/>
      <c r="KS839" s="1637"/>
      <c r="KT839" s="1637"/>
      <c r="KU839" s="1637"/>
      <c r="KV839" s="1637"/>
      <c r="KW839" s="1637"/>
      <c r="KX839" s="1637"/>
      <c r="KY839" s="1637"/>
      <c r="KZ839" s="1637"/>
      <c r="LA839" s="1637"/>
      <c r="LB839" s="1637"/>
      <c r="LC839" s="1637"/>
      <c r="LD839" s="1637"/>
      <c r="LE839" s="1637"/>
      <c r="LF839" s="1637"/>
    </row>
    <row r="840" spans="1:318">
      <c r="A840" s="1484"/>
      <c r="B840" s="1484"/>
      <c r="C840" s="1838"/>
      <c r="D840" s="1838"/>
      <c r="E840" s="1838"/>
      <c r="F840" s="1838"/>
      <c r="G840" s="1838"/>
      <c r="H840" s="1838"/>
      <c r="I840" s="1838"/>
      <c r="J840" s="1838"/>
      <c r="K840" s="1838"/>
      <c r="L840" s="1838"/>
      <c r="M840" s="1838"/>
      <c r="N840" s="1838"/>
      <c r="O840" s="1838"/>
      <c r="W840" s="1631"/>
      <c r="Z840" s="1631"/>
      <c r="AA840" s="521"/>
      <c r="AB840" s="1631"/>
      <c r="AE840" s="1631"/>
      <c r="AF840" s="521"/>
      <c r="AG840" s="1631"/>
      <c r="AJ840" s="1631"/>
      <c r="AK840" s="521"/>
      <c r="AL840" s="1631"/>
      <c r="AO840" s="1631"/>
      <c r="AP840" s="521"/>
      <c r="AQ840" s="1631"/>
      <c r="AR840" s="1631"/>
      <c r="AS840" s="1631"/>
      <c r="AT840" s="1631"/>
      <c r="AU840" s="1631"/>
      <c r="AV840" s="1631"/>
      <c r="AX840" s="1631"/>
      <c r="BA840" s="1631"/>
      <c r="BC840" s="1631"/>
      <c r="JV840" s="1637"/>
      <c r="KA840" s="1637"/>
      <c r="KB840" s="1637"/>
      <c r="KC840" s="1637"/>
      <c r="KD840" s="1637"/>
      <c r="KE840" s="1637"/>
      <c r="KF840" s="1637"/>
      <c r="KG840" s="1637"/>
      <c r="KH840" s="1637"/>
      <c r="KI840" s="1637"/>
      <c r="KJ840" s="1637"/>
      <c r="KK840" s="1637"/>
      <c r="KL840" s="1637"/>
      <c r="KM840" s="1637"/>
      <c r="KN840" s="1637"/>
      <c r="KO840" s="1637"/>
      <c r="KP840" s="1637"/>
      <c r="KQ840" s="1637"/>
      <c r="KR840" s="1637"/>
      <c r="KS840" s="1637"/>
      <c r="KT840" s="1637"/>
      <c r="KU840" s="1637"/>
      <c r="KV840" s="1637"/>
      <c r="KW840" s="1637"/>
      <c r="KX840" s="1637"/>
      <c r="KY840" s="1637"/>
      <c r="KZ840" s="1637"/>
      <c r="LA840" s="1637"/>
      <c r="LB840" s="1637"/>
      <c r="LC840" s="1637"/>
      <c r="LD840" s="1637"/>
      <c r="LE840" s="1637"/>
      <c r="LF840" s="1637"/>
    </row>
    <row r="841" spans="1:318">
      <c r="A841" s="1485"/>
      <c r="B841" s="1485"/>
      <c r="C841" s="1631"/>
      <c r="D841" s="1631"/>
      <c r="E841" s="1631"/>
      <c r="F841" s="1631"/>
      <c r="H841" s="521"/>
      <c r="J841" s="1836"/>
      <c r="K841" s="1836"/>
      <c r="L841" s="1836"/>
      <c r="M841" s="1836"/>
      <c r="N841" s="1836"/>
      <c r="O841" s="1836"/>
      <c r="T841" s="1632"/>
      <c r="W841" s="1631"/>
      <c r="Z841" s="1631"/>
      <c r="AA841" s="521"/>
      <c r="AB841" s="1631"/>
      <c r="AE841" s="1631"/>
      <c r="AF841" s="521"/>
      <c r="AG841" s="1631"/>
      <c r="AJ841" s="1631"/>
      <c r="AK841" s="521"/>
      <c r="AL841" s="1631"/>
      <c r="AO841" s="1631"/>
      <c r="AP841" s="521"/>
      <c r="AQ841" s="1631"/>
      <c r="AR841" s="1631"/>
      <c r="AS841" s="1631"/>
      <c r="AT841" s="1631"/>
      <c r="AU841" s="1631"/>
      <c r="AV841" s="1631"/>
      <c r="AX841" s="1631"/>
      <c r="BA841" s="1631"/>
      <c r="BC841" s="1631"/>
      <c r="JV841" s="1637"/>
      <c r="KA841" s="1637"/>
      <c r="KB841" s="1637"/>
      <c r="KC841" s="1637"/>
      <c r="KD841" s="1637"/>
      <c r="KE841" s="1637"/>
      <c r="KF841" s="1637"/>
      <c r="KG841" s="1637"/>
      <c r="KH841" s="1637"/>
      <c r="KI841" s="1637"/>
      <c r="KJ841" s="1637"/>
      <c r="KK841" s="1637"/>
      <c r="KL841" s="1637"/>
      <c r="KM841" s="1637"/>
      <c r="KN841" s="1637"/>
      <c r="KO841" s="1637"/>
      <c r="KP841" s="1637"/>
      <c r="KQ841" s="1637"/>
      <c r="KR841" s="1637"/>
      <c r="KS841" s="1637"/>
      <c r="KT841" s="1637"/>
      <c r="KU841" s="1637"/>
      <c r="KV841" s="1637"/>
      <c r="KW841" s="1637"/>
      <c r="KX841" s="1637"/>
      <c r="KY841" s="1637"/>
      <c r="KZ841" s="1637"/>
      <c r="LA841" s="1637"/>
      <c r="LB841" s="1637"/>
      <c r="LC841" s="1637"/>
      <c r="LD841" s="1637"/>
      <c r="LE841" s="1637"/>
      <c r="LF841" s="1637"/>
    </row>
    <row r="842" spans="1:318">
      <c r="A842" s="1485"/>
      <c r="B842" s="1485"/>
      <c r="C842" s="1631"/>
      <c r="D842" s="1631"/>
      <c r="E842" s="1631"/>
      <c r="F842" s="1631"/>
      <c r="H842" s="521"/>
      <c r="J842" s="1836"/>
      <c r="K842" s="1836"/>
      <c r="L842" s="1836"/>
      <c r="M842" s="1836"/>
      <c r="N842" s="1836"/>
      <c r="O842" s="1836"/>
      <c r="R842" s="1653" t="str">
        <f>C843</f>
        <v>PBRA-Assisted</v>
      </c>
      <c r="T842" s="1632"/>
      <c r="W842" s="1631"/>
      <c r="Z842" s="1631"/>
      <c r="AA842" s="521"/>
      <c r="AB842" s="1631"/>
      <c r="AE842" s="1631"/>
      <c r="AF842" s="521"/>
      <c r="AG842" s="1631"/>
      <c r="AJ842" s="1631"/>
      <c r="AK842" s="521"/>
      <c r="AL842" s="1631"/>
      <c r="AO842" s="1631"/>
      <c r="AP842" s="521"/>
      <c r="AQ842" s="1631"/>
      <c r="AR842" s="1631"/>
      <c r="AS842" s="1631"/>
      <c r="AT842" s="1631"/>
      <c r="AU842" s="1631"/>
      <c r="AV842" s="1631"/>
      <c r="AX842" s="1631"/>
      <c r="BA842" s="1631"/>
      <c r="BC842" s="1631"/>
      <c r="JV842" s="1637"/>
      <c r="KA842" s="1637"/>
      <c r="KB842" s="1637"/>
      <c r="KC842" s="1637"/>
      <c r="KD842" s="1637"/>
      <c r="KE842" s="1637"/>
      <c r="KF842" s="1637"/>
      <c r="KG842" s="1637"/>
      <c r="KH842" s="1637"/>
      <c r="KI842" s="1637"/>
      <c r="KJ842" s="1637"/>
      <c r="KK842" s="1637"/>
      <c r="KL842" s="1637"/>
      <c r="KM842" s="1637"/>
      <c r="KN842" s="1637"/>
      <c r="KO842" s="1637"/>
      <c r="KP842" s="1637"/>
      <c r="KQ842" s="1637"/>
      <c r="KR842" s="1637"/>
      <c r="KS842" s="1637"/>
      <c r="KT842" s="1637"/>
      <c r="KU842" s="1637"/>
      <c r="KV842" s="1637"/>
      <c r="KW842" s="1637"/>
      <c r="KX842" s="1637"/>
      <c r="KY842" s="1637"/>
      <c r="KZ842" s="1637"/>
      <c r="LA842" s="1637"/>
      <c r="LB842" s="1637"/>
      <c r="LC842" s="1637"/>
      <c r="LD842" s="1637"/>
      <c r="LE842" s="1637"/>
      <c r="LF842" s="1637"/>
    </row>
    <row r="843" spans="1:318">
      <c r="A843" s="1485"/>
      <c r="B843" s="1485"/>
      <c r="C843" s="1631" t="s">
        <v>934</v>
      </c>
      <c r="D843" s="1631"/>
      <c r="E843" s="1634"/>
      <c r="F843" s="1631"/>
      <c r="H843" s="521" t="s">
        <v>4622</v>
      </c>
      <c r="J843" s="1844">
        <f>CO810</f>
        <v>0</v>
      </c>
      <c r="K843" s="1844">
        <f>CP810</f>
        <v>0</v>
      </c>
      <c r="L843" s="1844">
        <f>CQ810</f>
        <v>0</v>
      </c>
      <c r="M843" s="1844">
        <f>CR810</f>
        <v>0</v>
      </c>
      <c r="N843" s="1844">
        <f>CS810</f>
        <v>0</v>
      </c>
      <c r="O843" s="1833">
        <f t="shared" ref="O843:O850" si="345">SUM(J843:N843)</f>
        <v>0</v>
      </c>
      <c r="R843" s="1838">
        <f>'Part VI-Revenues &amp; Expenses'!R81</f>
        <v>0</v>
      </c>
      <c r="S843" s="1838"/>
      <c r="T843" s="1838"/>
      <c r="U843" s="1838"/>
      <c r="V843" s="1838"/>
      <c r="W843" s="1631"/>
      <c r="Z843" s="1631"/>
      <c r="AA843" s="521"/>
      <c r="AB843" s="1631"/>
      <c r="AE843" s="1631"/>
      <c r="AF843" s="521"/>
      <c r="AG843" s="1631"/>
      <c r="AJ843" s="1631"/>
      <c r="AK843" s="521"/>
      <c r="AL843" s="1631"/>
      <c r="AO843" s="1631"/>
      <c r="AP843" s="521"/>
      <c r="AQ843" s="522"/>
      <c r="AR843" s="522"/>
      <c r="AS843" s="522"/>
      <c r="AT843" s="522"/>
      <c r="AU843" s="522"/>
      <c r="AV843" s="522"/>
      <c r="AW843" s="521"/>
      <c r="AX843" s="1631"/>
      <c r="BA843" s="522"/>
      <c r="BB843" s="521"/>
      <c r="BC843" s="1631"/>
      <c r="JV843" s="1637"/>
      <c r="KA843" s="1637"/>
      <c r="KB843" s="1637"/>
      <c r="KC843" s="1637"/>
      <c r="KD843" s="1637"/>
      <c r="KE843" s="1637"/>
      <c r="KF843" s="1637"/>
      <c r="KG843" s="1637"/>
      <c r="KH843" s="1637"/>
      <c r="KI843" s="1637"/>
      <c r="KJ843" s="1637"/>
      <c r="KK843" s="1637"/>
      <c r="KL843" s="1637"/>
      <c r="KM843" s="1637"/>
      <c r="KN843" s="1637"/>
      <c r="KO843" s="1637"/>
      <c r="KP843" s="1637"/>
      <c r="KQ843" s="1637"/>
      <c r="KR843" s="1637"/>
      <c r="KS843" s="1637"/>
      <c r="KT843" s="1637"/>
      <c r="KU843" s="1637"/>
      <c r="KV843" s="1637"/>
      <c r="KW843" s="1637"/>
      <c r="KX843" s="1637"/>
      <c r="KY843" s="1637"/>
      <c r="KZ843" s="1637"/>
      <c r="LA843" s="1637"/>
      <c r="LB843" s="1637"/>
      <c r="LC843" s="1637"/>
      <c r="LD843" s="1637"/>
      <c r="LE843" s="1637"/>
      <c r="LF843" s="1637"/>
    </row>
    <row r="844" spans="1:318">
      <c r="A844" s="1485"/>
      <c r="B844" s="1485"/>
      <c r="C844" s="521" t="s">
        <v>2512</v>
      </c>
      <c r="D844" s="1631"/>
      <c r="E844" s="1634"/>
      <c r="F844" s="1631"/>
      <c r="H844" s="521" t="s">
        <v>4623</v>
      </c>
      <c r="J844" s="1833">
        <f>CJ810</f>
        <v>0</v>
      </c>
      <c r="K844" s="1833">
        <f>CK810</f>
        <v>0</v>
      </c>
      <c r="L844" s="1833">
        <f>CL810</f>
        <v>0</v>
      </c>
      <c r="M844" s="1833">
        <f>CM810</f>
        <v>0</v>
      </c>
      <c r="N844" s="1833">
        <f>CN810</f>
        <v>0</v>
      </c>
      <c r="O844" s="1833">
        <f t="shared" si="345"/>
        <v>0</v>
      </c>
      <c r="R844" s="1838">
        <f>'Part VI-Revenues &amp; Expenses'!R82</f>
        <v>0</v>
      </c>
      <c r="S844" s="1838"/>
      <c r="T844" s="1838"/>
      <c r="U844" s="1838"/>
      <c r="V844" s="1838"/>
      <c r="W844" s="1631"/>
      <c r="Z844" s="1631"/>
      <c r="AA844" s="521"/>
      <c r="AB844" s="1631"/>
      <c r="AE844" s="1631"/>
      <c r="AF844" s="521"/>
      <c r="AG844" s="1631"/>
      <c r="AJ844" s="1631"/>
      <c r="AK844" s="521"/>
      <c r="AL844" s="1631"/>
      <c r="AO844" s="1631"/>
      <c r="AP844" s="521"/>
      <c r="AQ844" s="522"/>
      <c r="AR844" s="522"/>
      <c r="AS844" s="522"/>
      <c r="AT844" s="522"/>
      <c r="AU844" s="522"/>
      <c r="AV844" s="522"/>
      <c r="AW844" s="521"/>
      <c r="AX844" s="1631"/>
      <c r="BA844" s="522"/>
      <c r="BB844" s="521"/>
      <c r="BC844" s="1631"/>
      <c r="JV844" s="1637"/>
      <c r="KA844" s="1637"/>
      <c r="KB844" s="1637"/>
      <c r="KC844" s="1637"/>
      <c r="KD844" s="1637"/>
      <c r="KE844" s="1637"/>
      <c r="KF844" s="1637"/>
      <c r="KG844" s="1637"/>
      <c r="KH844" s="1637"/>
      <c r="KI844" s="1637"/>
      <c r="KJ844" s="1637"/>
      <c r="KK844" s="1637"/>
      <c r="KL844" s="1637"/>
      <c r="KM844" s="1637"/>
      <c r="KN844" s="1637"/>
      <c r="KO844" s="1637"/>
      <c r="KP844" s="1637"/>
      <c r="KQ844" s="1637"/>
      <c r="KR844" s="1637"/>
      <c r="KS844" s="1637"/>
      <c r="KT844" s="1637"/>
      <c r="KU844" s="1637"/>
      <c r="KV844" s="1637"/>
      <c r="KW844" s="1637"/>
      <c r="KX844" s="1637"/>
      <c r="KY844" s="1637"/>
      <c r="KZ844" s="1637"/>
      <c r="LA844" s="1637"/>
      <c r="LB844" s="1637"/>
      <c r="LC844" s="1637"/>
      <c r="LD844" s="1637"/>
      <c r="LE844" s="1637"/>
      <c r="LF844" s="1637"/>
    </row>
    <row r="845" spans="1:318">
      <c r="A845" s="1485"/>
      <c r="B845" s="1485"/>
      <c r="C845" s="1631"/>
      <c r="D845" s="1631"/>
      <c r="E845" s="1634"/>
      <c r="F845" s="1631"/>
      <c r="H845" s="521" t="s">
        <v>1149</v>
      </c>
      <c r="J845" s="1833">
        <f>CE810</f>
        <v>0</v>
      </c>
      <c r="K845" s="1833">
        <f>CF810</f>
        <v>0</v>
      </c>
      <c r="L845" s="1833">
        <f>CG810</f>
        <v>0</v>
      </c>
      <c r="M845" s="1833">
        <f>CH810</f>
        <v>0</v>
      </c>
      <c r="N845" s="1833">
        <f>CI810</f>
        <v>0</v>
      </c>
      <c r="O845" s="1833">
        <f t="shared" si="345"/>
        <v>0</v>
      </c>
      <c r="R845" s="1838">
        <f>'Part VI-Revenues &amp; Expenses'!R83</f>
        <v>0</v>
      </c>
      <c r="S845" s="1838"/>
      <c r="T845" s="1838"/>
      <c r="U845" s="1838"/>
      <c r="V845" s="1838"/>
      <c r="W845" s="1631"/>
      <c r="Z845" s="1631"/>
      <c r="AA845" s="521"/>
      <c r="AB845" s="1631"/>
      <c r="AE845" s="1631"/>
      <c r="AF845" s="521"/>
      <c r="AG845" s="1631"/>
      <c r="AJ845" s="1631"/>
      <c r="AK845" s="521"/>
      <c r="AL845" s="1631"/>
      <c r="AO845" s="1631"/>
      <c r="AP845" s="521"/>
      <c r="AQ845" s="522"/>
      <c r="AR845" s="522"/>
      <c r="AS845" s="522"/>
      <c r="AT845" s="522"/>
      <c r="AU845" s="522"/>
      <c r="AV845" s="522"/>
      <c r="AW845" s="521"/>
      <c r="AX845" s="1631"/>
      <c r="BA845" s="522"/>
      <c r="BB845" s="521"/>
      <c r="BC845" s="1631"/>
      <c r="JV845" s="1637"/>
      <c r="KA845" s="1637"/>
      <c r="KB845" s="1637"/>
      <c r="KC845" s="1637"/>
      <c r="KD845" s="1637"/>
      <c r="KE845" s="1637"/>
      <c r="KF845" s="1637"/>
      <c r="KG845" s="1637"/>
      <c r="KH845" s="1637"/>
      <c r="KI845" s="1637"/>
      <c r="KJ845" s="1637"/>
      <c r="KK845" s="1637"/>
      <c r="KL845" s="1637"/>
      <c r="KM845" s="1637"/>
      <c r="KN845" s="1637"/>
      <c r="KO845" s="1637"/>
      <c r="KP845" s="1637"/>
      <c r="KQ845" s="1637"/>
      <c r="KR845" s="1637"/>
      <c r="KS845" s="1637"/>
      <c r="KT845" s="1637"/>
      <c r="KU845" s="1637"/>
      <c r="KV845" s="1637"/>
      <c r="KW845" s="1637"/>
      <c r="KX845" s="1637"/>
      <c r="KY845" s="1637"/>
      <c r="KZ845" s="1637"/>
      <c r="LA845" s="1637"/>
      <c r="LB845" s="1637"/>
      <c r="LC845" s="1637"/>
      <c r="LD845" s="1637"/>
      <c r="LE845" s="1637"/>
      <c r="LF845" s="1637"/>
    </row>
    <row r="846" spans="1:318">
      <c r="A846" s="1485"/>
      <c r="B846" s="1485"/>
      <c r="C846" s="1631"/>
      <c r="D846" s="1631"/>
      <c r="E846" s="1634"/>
      <c r="F846" s="1631"/>
      <c r="H846" s="521" t="s">
        <v>118</v>
      </c>
      <c r="J846" s="1833">
        <f>BZ810</f>
        <v>0</v>
      </c>
      <c r="K846" s="1833">
        <f>CA810</f>
        <v>0</v>
      </c>
      <c r="L846" s="1833">
        <f>CB810</f>
        <v>0</v>
      </c>
      <c r="M846" s="1833">
        <f>CC810</f>
        <v>0</v>
      </c>
      <c r="N846" s="1833">
        <f>CD810</f>
        <v>0</v>
      </c>
      <c r="O846" s="1833">
        <f t="shared" si="345"/>
        <v>0</v>
      </c>
      <c r="R846" s="1838">
        <f>'Part VI-Revenues &amp; Expenses'!R84</f>
        <v>0</v>
      </c>
      <c r="S846" s="1838"/>
      <c r="T846" s="1838"/>
      <c r="U846" s="1838"/>
      <c r="V846" s="1838"/>
      <c r="W846" s="1631"/>
      <c r="Z846" s="1631"/>
      <c r="AA846" s="521"/>
      <c r="AB846" s="1631"/>
      <c r="AE846" s="1631"/>
      <c r="AF846" s="521"/>
      <c r="AG846" s="1631"/>
      <c r="AJ846" s="1631"/>
      <c r="AK846" s="521"/>
      <c r="AL846" s="1631"/>
      <c r="AO846" s="1631"/>
      <c r="AP846" s="521"/>
      <c r="AQ846" s="522"/>
      <c r="AR846" s="522"/>
      <c r="AS846" s="522"/>
      <c r="AT846" s="522"/>
      <c r="AU846" s="522"/>
      <c r="AV846" s="522"/>
      <c r="AW846" s="521"/>
      <c r="AX846" s="1631"/>
      <c r="BA846" s="522"/>
      <c r="BB846" s="521"/>
      <c r="BC846" s="1631"/>
      <c r="JV846" s="1637"/>
      <c r="KA846" s="1637"/>
      <c r="KB846" s="1637"/>
      <c r="KC846" s="1637"/>
      <c r="KD846" s="1637"/>
      <c r="KE846" s="1637"/>
      <c r="KF846" s="1637"/>
      <c r="KG846" s="1637"/>
      <c r="KH846" s="1637"/>
      <c r="KI846" s="1637"/>
      <c r="KJ846" s="1637"/>
      <c r="KK846" s="1637"/>
      <c r="KL846" s="1637"/>
      <c r="KM846" s="1637"/>
      <c r="KN846" s="1637"/>
      <c r="KO846" s="1637"/>
      <c r="KP846" s="1637"/>
      <c r="KQ846" s="1637"/>
      <c r="KR846" s="1637"/>
      <c r="KS846" s="1637"/>
      <c r="KT846" s="1637"/>
      <c r="KU846" s="1637"/>
      <c r="KV846" s="1637"/>
      <c r="KW846" s="1637"/>
      <c r="KX846" s="1637"/>
      <c r="KY846" s="1637"/>
      <c r="KZ846" s="1637"/>
      <c r="LA846" s="1637"/>
      <c r="LB846" s="1637"/>
      <c r="LC846" s="1637"/>
      <c r="LD846" s="1637"/>
      <c r="LE846" s="1637"/>
      <c r="LF846" s="1637"/>
    </row>
    <row r="847" spans="1:318">
      <c r="A847" s="1485"/>
      <c r="B847" s="1485"/>
      <c r="C847" s="1631"/>
      <c r="D847" s="1631"/>
      <c r="E847" s="1634"/>
      <c r="F847" s="1631"/>
      <c r="H847" s="521" t="s">
        <v>4624</v>
      </c>
      <c r="J847" s="1833">
        <f>BU810</f>
        <v>0</v>
      </c>
      <c r="K847" s="1833">
        <f>BV810</f>
        <v>0</v>
      </c>
      <c r="L847" s="1833">
        <f>BW810</f>
        <v>0</v>
      </c>
      <c r="M847" s="1833">
        <f>BX810</f>
        <v>0</v>
      </c>
      <c r="N847" s="1833">
        <f>BY810</f>
        <v>0</v>
      </c>
      <c r="O847" s="1833">
        <f t="shared" si="345"/>
        <v>0</v>
      </c>
      <c r="R847" s="1838">
        <f>'Part VI-Revenues &amp; Expenses'!R85</f>
        <v>0</v>
      </c>
      <c r="S847" s="1838"/>
      <c r="T847" s="1838"/>
      <c r="U847" s="1838"/>
      <c r="V847" s="1838"/>
      <c r="W847" s="1631"/>
      <c r="Z847" s="1631"/>
      <c r="AA847" s="521"/>
      <c r="AB847" s="1631"/>
      <c r="AE847" s="1631"/>
      <c r="AF847" s="521"/>
      <c r="AG847" s="1631"/>
      <c r="AJ847" s="1631"/>
      <c r="AK847" s="521"/>
      <c r="AL847" s="1631"/>
      <c r="AO847" s="1631"/>
      <c r="AP847" s="521"/>
      <c r="AQ847" s="522"/>
      <c r="AR847" s="522"/>
      <c r="AS847" s="522"/>
      <c r="AT847" s="522"/>
      <c r="AU847" s="522"/>
      <c r="AV847" s="522"/>
      <c r="AW847" s="521"/>
      <c r="AX847" s="1631"/>
      <c r="BA847" s="522"/>
      <c r="BB847" s="521"/>
      <c r="BC847" s="1631"/>
      <c r="JV847" s="1637"/>
      <c r="KA847" s="1637"/>
      <c r="KB847" s="1637"/>
      <c r="KC847" s="1637"/>
      <c r="KD847" s="1637"/>
      <c r="KE847" s="1637"/>
      <c r="KF847" s="1637"/>
      <c r="KG847" s="1637"/>
      <c r="KH847" s="1637"/>
      <c r="KI847" s="1637"/>
      <c r="KJ847" s="1637"/>
      <c r="KK847" s="1637"/>
      <c r="KL847" s="1637"/>
      <c r="KM847" s="1637"/>
      <c r="KN847" s="1637"/>
      <c r="KO847" s="1637"/>
      <c r="KP847" s="1637"/>
      <c r="KQ847" s="1637"/>
      <c r="KR847" s="1637"/>
      <c r="KS847" s="1637"/>
      <c r="KT847" s="1637"/>
      <c r="KU847" s="1637"/>
      <c r="KV847" s="1637"/>
      <c r="KW847" s="1637"/>
      <c r="KX847" s="1637"/>
      <c r="KY847" s="1637"/>
      <c r="KZ847" s="1637"/>
      <c r="LA847" s="1637"/>
      <c r="LB847" s="1637"/>
      <c r="LC847" s="1637"/>
      <c r="LD847" s="1637"/>
      <c r="LE847" s="1637"/>
      <c r="LF847" s="1637"/>
    </row>
    <row r="848" spans="1:318">
      <c r="A848" s="2038"/>
      <c r="B848" s="2038"/>
      <c r="C848" s="1631"/>
      <c r="D848" s="1631"/>
      <c r="E848" s="1634"/>
      <c r="F848" s="1631"/>
      <c r="H848" s="521" t="s">
        <v>4625</v>
      </c>
      <c r="J848" s="1833">
        <f>BP810</f>
        <v>0</v>
      </c>
      <c r="K848" s="1833">
        <f>BQ810</f>
        <v>0</v>
      </c>
      <c r="L848" s="1833">
        <f>BR810</f>
        <v>0</v>
      </c>
      <c r="M848" s="1833">
        <f>BS810</f>
        <v>0</v>
      </c>
      <c r="N848" s="1833">
        <f>BT810</f>
        <v>0</v>
      </c>
      <c r="O848" s="1833">
        <f t="shared" si="345"/>
        <v>0</v>
      </c>
      <c r="R848" s="1838">
        <f>'Part VI-Revenues &amp; Expenses'!R86</f>
        <v>0</v>
      </c>
      <c r="S848" s="1838"/>
      <c r="T848" s="1838"/>
      <c r="U848" s="1838"/>
      <c r="V848" s="1838"/>
      <c r="W848" s="1631"/>
      <c r="Z848" s="1631"/>
      <c r="AA848" s="521"/>
      <c r="AB848" s="1631"/>
      <c r="AE848" s="1631"/>
      <c r="AF848" s="521"/>
      <c r="AG848" s="1631"/>
      <c r="AJ848" s="1631"/>
      <c r="AK848" s="521"/>
      <c r="AL848" s="1631"/>
      <c r="AO848" s="1631"/>
      <c r="AP848" s="521"/>
      <c r="AQ848" s="522"/>
      <c r="AR848" s="522"/>
      <c r="AS848" s="522"/>
      <c r="AT848" s="522"/>
      <c r="AU848" s="522"/>
      <c r="AV848" s="522"/>
      <c r="AW848" s="521"/>
      <c r="AX848" s="1631"/>
      <c r="BA848" s="522"/>
      <c r="BB848" s="521"/>
      <c r="BC848" s="1631"/>
      <c r="JV848" s="1637"/>
      <c r="KA848" s="1637"/>
      <c r="KB848" s="1637"/>
      <c r="KC848" s="1637"/>
      <c r="KD848" s="1637"/>
      <c r="KE848" s="1637"/>
      <c r="KF848" s="1637"/>
      <c r="KG848" s="1637"/>
      <c r="KH848" s="1637"/>
      <c r="KI848" s="1637"/>
      <c r="KJ848" s="1637"/>
      <c r="KK848" s="1637"/>
      <c r="KL848" s="1637"/>
      <c r="KM848" s="1637"/>
      <c r="KN848" s="1637"/>
      <c r="KO848" s="1637"/>
      <c r="KP848" s="1637"/>
      <c r="KQ848" s="1637"/>
      <c r="KR848" s="1637"/>
      <c r="KS848" s="1637"/>
      <c r="KT848" s="1637"/>
      <c r="KU848" s="1637"/>
      <c r="KV848" s="1637"/>
      <c r="KW848" s="1637"/>
      <c r="KX848" s="1637"/>
      <c r="KY848" s="1637"/>
      <c r="KZ848" s="1637"/>
      <c r="LA848" s="1637"/>
      <c r="LB848" s="1637"/>
      <c r="LC848" s="1637"/>
      <c r="LD848" s="1637"/>
      <c r="LE848" s="1637"/>
      <c r="LF848" s="1637"/>
    </row>
    <row r="849" spans="1:318">
      <c r="A849" s="2038"/>
      <c r="B849" s="2038"/>
      <c r="D849" s="1631"/>
      <c r="E849" s="1634"/>
      <c r="F849" s="1631"/>
      <c r="H849" s="521" t="s">
        <v>4626</v>
      </c>
      <c r="J849" s="1844">
        <f>BK810</f>
        <v>0</v>
      </c>
      <c r="K849" s="1844">
        <f>BL810</f>
        <v>0</v>
      </c>
      <c r="L849" s="1844">
        <f>BM810</f>
        <v>0</v>
      </c>
      <c r="M849" s="1844">
        <f>BN810</f>
        <v>0</v>
      </c>
      <c r="N849" s="1844">
        <f>BO810</f>
        <v>0</v>
      </c>
      <c r="O849" s="1833">
        <f t="shared" si="345"/>
        <v>0</v>
      </c>
      <c r="R849" s="1838">
        <f>'Part VI-Revenues &amp; Expenses'!R87</f>
        <v>0</v>
      </c>
      <c r="S849" s="1838"/>
      <c r="T849" s="1838"/>
      <c r="U849" s="1838"/>
      <c r="V849" s="1838"/>
      <c r="W849" s="521"/>
      <c r="Z849" s="1631"/>
      <c r="AA849" s="521"/>
      <c r="AB849" s="521"/>
      <c r="AE849" s="1631"/>
      <c r="AF849" s="521"/>
      <c r="AG849" s="521"/>
      <c r="AJ849" s="1631"/>
      <c r="AK849" s="521"/>
      <c r="AL849" s="521"/>
      <c r="AO849" s="1631"/>
      <c r="AP849" s="521"/>
      <c r="AQ849" s="522"/>
      <c r="AR849" s="522"/>
      <c r="AS849" s="522"/>
      <c r="AT849" s="522"/>
      <c r="AU849" s="522"/>
      <c r="AV849" s="522"/>
      <c r="AW849" s="521"/>
      <c r="AX849" s="1631"/>
      <c r="BA849" s="522"/>
      <c r="BB849" s="521"/>
      <c r="BC849" s="1631"/>
      <c r="JV849" s="1637"/>
      <c r="KA849" s="1637"/>
      <c r="KB849" s="1637"/>
      <c r="KC849" s="1637"/>
      <c r="KD849" s="1637"/>
      <c r="KE849" s="1637"/>
      <c r="KF849" s="1637"/>
      <c r="KG849" s="1637"/>
      <c r="KH849" s="1637"/>
      <c r="KI849" s="1637"/>
      <c r="KJ849" s="1637"/>
      <c r="KK849" s="1637"/>
      <c r="KL849" s="1637"/>
      <c r="KM849" s="1637"/>
      <c r="KN849" s="1637"/>
      <c r="KO849" s="1637"/>
      <c r="KP849" s="1637"/>
      <c r="KQ849" s="1637"/>
      <c r="KR849" s="1637"/>
      <c r="KS849" s="1637"/>
      <c r="KT849" s="1637"/>
      <c r="KU849" s="1637"/>
      <c r="KV849" s="1637"/>
      <c r="KW849" s="1637"/>
      <c r="KX849" s="1637"/>
      <c r="KY849" s="1637"/>
      <c r="KZ849" s="1637"/>
      <c r="LA849" s="1637"/>
      <c r="LB849" s="1637"/>
      <c r="LC849" s="1637"/>
      <c r="LD849" s="1637"/>
      <c r="LE849" s="1637"/>
      <c r="LF849" s="1637"/>
    </row>
    <row r="850" spans="1:318">
      <c r="A850" s="2038"/>
      <c r="B850" s="2038"/>
      <c r="C850" s="1631"/>
      <c r="D850" s="1631"/>
      <c r="E850" s="1634"/>
      <c r="F850" s="1631"/>
      <c r="H850" s="521" t="s">
        <v>539</v>
      </c>
      <c r="J850" s="1833">
        <f>SUM(J843:J849)</f>
        <v>0</v>
      </c>
      <c r="K850" s="1833">
        <f>SUM(K843:K849)</f>
        <v>0</v>
      </c>
      <c r="L850" s="1833">
        <f>SUM(L843:L849)</f>
        <v>0</v>
      </c>
      <c r="M850" s="1833">
        <f>SUM(M843:M849)</f>
        <v>0</v>
      </c>
      <c r="N850" s="1833">
        <f>SUM(N843:N849)</f>
        <v>0</v>
      </c>
      <c r="O850" s="1833">
        <f t="shared" si="345"/>
        <v>0</v>
      </c>
      <c r="R850" s="1838">
        <f>'Part VI-Revenues &amp; Expenses'!R88</f>
        <v>0</v>
      </c>
      <c r="S850" s="1838"/>
      <c r="T850" s="1838"/>
      <c r="U850" s="1838"/>
      <c r="V850" s="1838"/>
      <c r="W850" s="1631"/>
      <c r="Z850" s="1631"/>
      <c r="AA850" s="521"/>
      <c r="AB850" s="1631"/>
      <c r="AE850" s="1631"/>
      <c r="AF850" s="521"/>
      <c r="AG850" s="1631"/>
      <c r="AJ850" s="1631"/>
      <c r="AK850" s="521"/>
      <c r="AL850" s="1631"/>
      <c r="AO850" s="1631"/>
      <c r="AP850" s="521"/>
      <c r="AQ850" s="522"/>
      <c r="AR850" s="522"/>
      <c r="AS850" s="522"/>
      <c r="AT850" s="522"/>
      <c r="AU850" s="522"/>
      <c r="AV850" s="522"/>
      <c r="AW850" s="521"/>
      <c r="AX850" s="1631"/>
      <c r="BA850" s="522"/>
      <c r="BB850" s="521"/>
      <c r="BC850" s="1631"/>
      <c r="JV850" s="1637"/>
      <c r="KA850" s="1637"/>
      <c r="KB850" s="1637"/>
      <c r="KC850" s="1637"/>
      <c r="KD850" s="1637"/>
      <c r="KE850" s="1637"/>
      <c r="KF850" s="1637"/>
      <c r="KG850" s="1637"/>
      <c r="KH850" s="1637"/>
      <c r="KI850" s="1637"/>
      <c r="KJ850" s="1637"/>
      <c r="KK850" s="1637"/>
      <c r="KL850" s="1637"/>
      <c r="KM850" s="1637"/>
      <c r="KN850" s="1637"/>
      <c r="KO850" s="1637"/>
      <c r="KP850" s="1637"/>
      <c r="KQ850" s="1637"/>
      <c r="KR850" s="1637"/>
      <c r="KS850" s="1637"/>
      <c r="KT850" s="1637"/>
      <c r="KU850" s="1637"/>
      <c r="KV850" s="1637"/>
      <c r="KW850" s="1637"/>
      <c r="KX850" s="1637"/>
      <c r="KY850" s="1637"/>
      <c r="KZ850" s="1637"/>
      <c r="LA850" s="1637"/>
      <c r="LB850" s="1637"/>
      <c r="LC850" s="1637"/>
      <c r="LD850" s="1637"/>
      <c r="LE850" s="1637"/>
      <c r="LF850" s="1637"/>
    </row>
    <row r="851" spans="1:318">
      <c r="A851" s="2038"/>
      <c r="B851" s="2038"/>
      <c r="C851" s="1631"/>
      <c r="D851" s="1631"/>
      <c r="E851" s="1631"/>
      <c r="F851" s="1631"/>
      <c r="H851" s="521"/>
      <c r="J851" s="1836"/>
      <c r="K851" s="1836"/>
      <c r="L851" s="1836"/>
      <c r="M851" s="1836"/>
      <c r="N851" s="1836"/>
      <c r="O851" s="1836"/>
      <c r="T851" s="1632"/>
      <c r="W851" s="1631"/>
      <c r="Z851" s="1631"/>
      <c r="AA851" s="521"/>
      <c r="AB851" s="1631"/>
      <c r="AE851" s="1631"/>
      <c r="AF851" s="521"/>
      <c r="AG851" s="1631"/>
      <c r="AJ851" s="1631"/>
      <c r="AK851" s="521"/>
      <c r="AL851" s="1631"/>
      <c r="AO851" s="1631"/>
      <c r="AP851" s="521"/>
      <c r="AQ851" s="1631"/>
      <c r="AR851" s="1631"/>
      <c r="AS851" s="1631"/>
      <c r="AT851" s="1631"/>
      <c r="AU851" s="1631"/>
      <c r="AV851" s="1631"/>
      <c r="AX851" s="1631"/>
      <c r="BA851" s="1631"/>
      <c r="BC851" s="1631"/>
      <c r="JV851" s="1637"/>
      <c r="KA851" s="1637"/>
      <c r="KB851" s="1637"/>
      <c r="KC851" s="1637"/>
      <c r="KD851" s="1637"/>
      <c r="KE851" s="1637"/>
      <c r="KF851" s="1637"/>
      <c r="KG851" s="1637"/>
      <c r="KH851" s="1637"/>
      <c r="KI851" s="1637"/>
      <c r="KJ851" s="1637"/>
      <c r="KK851" s="1637"/>
      <c r="KL851" s="1637"/>
      <c r="KM851" s="1637"/>
      <c r="KN851" s="1637"/>
      <c r="KO851" s="1637"/>
      <c r="KP851" s="1637"/>
      <c r="KQ851" s="1637"/>
      <c r="KR851" s="1637"/>
      <c r="KS851" s="1637"/>
      <c r="KT851" s="1637"/>
      <c r="KU851" s="1637"/>
      <c r="KV851" s="1637"/>
      <c r="KW851" s="1637"/>
      <c r="KX851" s="1637"/>
      <c r="KY851" s="1637"/>
      <c r="KZ851" s="1637"/>
      <c r="LA851" s="1637"/>
      <c r="LB851" s="1637"/>
      <c r="LC851" s="1637"/>
      <c r="LD851" s="1637"/>
      <c r="LE851" s="1637"/>
      <c r="LF851" s="1637"/>
    </row>
    <row r="852" spans="1:318">
      <c r="A852" s="742" t="s">
        <v>740</v>
      </c>
      <c r="B852" s="742" t="s">
        <v>5162</v>
      </c>
      <c r="K852" s="1846">
        <f>$K$53</f>
        <v>0</v>
      </c>
      <c r="L852" s="1846"/>
      <c r="M852" s="1846"/>
      <c r="N852" s="1846"/>
      <c r="R852" s="1631" t="str">
        <f>B852</f>
        <v>UNIT SUMMARY (Continued)</v>
      </c>
      <c r="S852" s="1631"/>
      <c r="T852" s="1631"/>
      <c r="U852" s="1631"/>
      <c r="AX852" s="1631"/>
      <c r="BC852" s="1631"/>
      <c r="JV852" s="1637"/>
      <c r="KA852" s="1637"/>
      <c r="KB852" s="1637"/>
      <c r="KC852" s="1637"/>
      <c r="KD852" s="1637"/>
      <c r="KE852" s="1637"/>
      <c r="KF852" s="1637"/>
      <c r="KG852" s="1637"/>
      <c r="KH852" s="1637"/>
      <c r="KI852" s="1637"/>
      <c r="KJ852" s="1637"/>
      <c r="KK852" s="1637"/>
      <c r="KL852" s="1637"/>
      <c r="KM852" s="1637"/>
      <c r="KN852" s="1637"/>
      <c r="KO852" s="1637"/>
      <c r="KP852" s="1637"/>
      <c r="KQ852" s="1637"/>
      <c r="KR852" s="1637"/>
      <c r="KS852" s="1637"/>
      <c r="KT852" s="1637"/>
      <c r="KU852" s="1637"/>
      <c r="KV852" s="1637"/>
      <c r="KW852" s="1637"/>
      <c r="KX852" s="1637"/>
      <c r="KY852" s="1637"/>
      <c r="KZ852" s="1637"/>
      <c r="LA852" s="1637"/>
      <c r="LB852" s="1637"/>
      <c r="LC852" s="1637"/>
      <c r="LD852" s="1637"/>
      <c r="LE852" s="1637"/>
      <c r="LF852" s="1637"/>
    </row>
    <row r="853" spans="1:318">
      <c r="R853" s="1653" t="str">
        <f>C854</f>
        <v>PHA Operating Subsidy-Assisted</v>
      </c>
      <c r="T853" s="2762"/>
      <c r="AX853" s="1631"/>
      <c r="BC853" s="1631"/>
      <c r="JV853" s="1637"/>
      <c r="KA853" s="1637"/>
      <c r="KB853" s="1637"/>
      <c r="KC853" s="1637"/>
      <c r="KD853" s="1637"/>
      <c r="KE853" s="1637"/>
      <c r="KF853" s="1637"/>
      <c r="KG853" s="1637"/>
      <c r="KH853" s="1637"/>
      <c r="KI853" s="1637"/>
      <c r="KJ853" s="1637"/>
      <c r="KK853" s="1637"/>
      <c r="KL853" s="1637"/>
      <c r="KM853" s="1637"/>
      <c r="KN853" s="1637"/>
      <c r="KO853" s="1637"/>
      <c r="KP853" s="1637"/>
      <c r="KQ853" s="1637"/>
      <c r="KR853" s="1637"/>
      <c r="KS853" s="1637"/>
      <c r="KT853" s="1637"/>
      <c r="KU853" s="1637"/>
      <c r="KV853" s="1637"/>
      <c r="KW853" s="1637"/>
      <c r="KX853" s="1637"/>
      <c r="KY853" s="1637"/>
      <c r="KZ853" s="1637"/>
      <c r="LA853" s="1637"/>
      <c r="LB853" s="1637"/>
      <c r="LC853" s="1637"/>
      <c r="LD853" s="1637"/>
      <c r="LE853" s="1637"/>
      <c r="LF853" s="1637"/>
    </row>
    <row r="854" spans="1:318">
      <c r="A854" s="2038"/>
      <c r="B854" s="2038"/>
      <c r="C854" s="1913" t="s">
        <v>890</v>
      </c>
      <c r="D854" s="1913"/>
      <c r="E854" s="1913"/>
      <c r="F854" s="1631"/>
      <c r="H854" s="521" t="s">
        <v>4622</v>
      </c>
      <c r="J854" s="1844">
        <f>DX810</f>
        <v>0</v>
      </c>
      <c r="K854" s="1844">
        <f>DY810</f>
        <v>0</v>
      </c>
      <c r="L854" s="1844">
        <f>DZ810</f>
        <v>0</v>
      </c>
      <c r="M854" s="1844">
        <f>EA810</f>
        <v>0</v>
      </c>
      <c r="N854" s="1844">
        <f>EB810</f>
        <v>0</v>
      </c>
      <c r="O854" s="1833">
        <f t="shared" ref="O854:O861" si="346">SUM(J854:N854)</f>
        <v>0</v>
      </c>
      <c r="R854" s="1838">
        <f>'Part VI-Revenues &amp; Expenses'!R92</f>
        <v>0</v>
      </c>
      <c r="S854" s="1838"/>
      <c r="T854" s="1838"/>
      <c r="U854" s="1838"/>
      <c r="V854" s="1838"/>
      <c r="W854" s="1631"/>
      <c r="Z854" s="1631"/>
      <c r="AA854" s="521"/>
      <c r="AB854" s="1631"/>
      <c r="AE854" s="1631"/>
      <c r="AF854" s="521"/>
      <c r="AG854" s="1631"/>
      <c r="AJ854" s="1631"/>
      <c r="AK854" s="521"/>
      <c r="AL854" s="1631"/>
      <c r="AO854" s="1631"/>
      <c r="AP854" s="521"/>
      <c r="AQ854" s="522"/>
      <c r="AR854" s="522"/>
      <c r="AS854" s="522"/>
      <c r="AT854" s="522"/>
      <c r="AU854" s="522"/>
      <c r="AV854" s="522"/>
      <c r="AW854" s="521"/>
      <c r="AX854" s="1631"/>
      <c r="BA854" s="522"/>
      <c r="BB854" s="521"/>
      <c r="BC854" s="1631"/>
      <c r="JV854" s="1637"/>
      <c r="KA854" s="1637"/>
      <c r="KB854" s="1637"/>
      <c r="KC854" s="1637"/>
      <c r="KD854" s="1637"/>
      <c r="KE854" s="1637"/>
      <c r="KF854" s="1637"/>
      <c r="KG854" s="1637"/>
      <c r="KH854" s="1637"/>
      <c r="KI854" s="1637"/>
      <c r="KJ854" s="1637"/>
      <c r="KK854" s="1637"/>
      <c r="KL854" s="1637"/>
      <c r="KM854" s="1637"/>
      <c r="KN854" s="1637"/>
      <c r="KO854" s="1637"/>
      <c r="KP854" s="1637"/>
      <c r="KQ854" s="1637"/>
      <c r="KR854" s="1637"/>
      <c r="KS854" s="1637"/>
      <c r="KT854" s="1637"/>
      <c r="KU854" s="1637"/>
      <c r="KV854" s="1637"/>
      <c r="KW854" s="1637"/>
      <c r="KX854" s="1637"/>
      <c r="KY854" s="1637"/>
      <c r="KZ854" s="1637"/>
      <c r="LA854" s="1637"/>
      <c r="LB854" s="1637"/>
      <c r="LC854" s="1637"/>
      <c r="LD854" s="1637"/>
      <c r="LE854" s="1637"/>
      <c r="LF854" s="1637"/>
    </row>
    <row r="855" spans="1:318">
      <c r="A855" s="2038"/>
      <c r="B855" s="2038"/>
      <c r="C855" s="521" t="s">
        <v>2512</v>
      </c>
      <c r="D855" s="1913"/>
      <c r="E855" s="1913"/>
      <c r="F855" s="1631"/>
      <c r="H855" s="521" t="s">
        <v>4623</v>
      </c>
      <c r="J855" s="1833">
        <f>DS810</f>
        <v>0</v>
      </c>
      <c r="K855" s="1833">
        <f>DT810</f>
        <v>0</v>
      </c>
      <c r="L855" s="1833">
        <f>DU810</f>
        <v>0</v>
      </c>
      <c r="M855" s="1833">
        <f>DV810</f>
        <v>0</v>
      </c>
      <c r="N855" s="1833">
        <f>DW810</f>
        <v>0</v>
      </c>
      <c r="O855" s="1833">
        <f t="shared" si="346"/>
        <v>0</v>
      </c>
      <c r="R855" s="1838">
        <f>'Part VI-Revenues &amp; Expenses'!R93</f>
        <v>0</v>
      </c>
      <c r="S855" s="1838"/>
      <c r="T855" s="1838"/>
      <c r="U855" s="1838"/>
      <c r="V855" s="1838"/>
      <c r="W855" s="1631"/>
      <c r="Z855" s="1631"/>
      <c r="AA855" s="521"/>
      <c r="AB855" s="1631"/>
      <c r="AE855" s="1631"/>
      <c r="AF855" s="521"/>
      <c r="AG855" s="1631"/>
      <c r="AJ855" s="1631"/>
      <c r="AK855" s="521"/>
      <c r="AL855" s="1631"/>
      <c r="AO855" s="1631"/>
      <c r="AP855" s="521"/>
      <c r="AQ855" s="522"/>
      <c r="AR855" s="522"/>
      <c r="AS855" s="522"/>
      <c r="AT855" s="522"/>
      <c r="AU855" s="522"/>
      <c r="AV855" s="522"/>
      <c r="AW855" s="521"/>
      <c r="AX855" s="1631"/>
      <c r="BA855" s="522"/>
      <c r="BB855" s="521"/>
      <c r="BC855" s="1631"/>
      <c r="JV855" s="1637"/>
      <c r="KA855" s="1637"/>
      <c r="KB855" s="1637"/>
      <c r="KC855" s="1637"/>
      <c r="KD855" s="1637"/>
      <c r="KE855" s="1637"/>
      <c r="KF855" s="1637"/>
      <c r="KG855" s="1637"/>
      <c r="KH855" s="1637"/>
      <c r="KI855" s="1637"/>
      <c r="KJ855" s="1637"/>
      <c r="KK855" s="1637"/>
      <c r="KL855" s="1637"/>
      <c r="KM855" s="1637"/>
      <c r="KN855" s="1637"/>
      <c r="KO855" s="1637"/>
      <c r="KP855" s="1637"/>
      <c r="KQ855" s="1637"/>
      <c r="KR855" s="1637"/>
      <c r="KS855" s="1637"/>
      <c r="KT855" s="1637"/>
      <c r="KU855" s="1637"/>
      <c r="KV855" s="1637"/>
      <c r="KW855" s="1637"/>
      <c r="KX855" s="1637"/>
      <c r="KY855" s="1637"/>
      <c r="KZ855" s="1637"/>
      <c r="LA855" s="1637"/>
      <c r="LB855" s="1637"/>
      <c r="LC855" s="1637"/>
      <c r="LD855" s="1637"/>
      <c r="LE855" s="1637"/>
      <c r="LF855" s="1637"/>
    </row>
    <row r="856" spans="1:318">
      <c r="A856" s="2038"/>
      <c r="B856" s="2038"/>
      <c r="C856" s="1913"/>
      <c r="D856" s="1913"/>
      <c r="E856" s="1913"/>
      <c r="F856" s="1631"/>
      <c r="H856" s="521" t="s">
        <v>1149</v>
      </c>
      <c r="J856" s="1833">
        <f>DN810</f>
        <v>0</v>
      </c>
      <c r="K856" s="1833">
        <f>DO810</f>
        <v>0</v>
      </c>
      <c r="L856" s="1833">
        <f>DP810</f>
        <v>0</v>
      </c>
      <c r="M856" s="1833">
        <f>DQ810</f>
        <v>0</v>
      </c>
      <c r="N856" s="1833">
        <f>DR810</f>
        <v>0</v>
      </c>
      <c r="O856" s="1833">
        <f t="shared" si="346"/>
        <v>0</v>
      </c>
      <c r="R856" s="1838">
        <f>'Part VI-Revenues &amp; Expenses'!R94</f>
        <v>0</v>
      </c>
      <c r="S856" s="1838"/>
      <c r="T856" s="1838"/>
      <c r="U856" s="1838"/>
      <c r="V856" s="1838"/>
      <c r="W856" s="1631"/>
      <c r="Z856" s="1631"/>
      <c r="AA856" s="521"/>
      <c r="AB856" s="1631"/>
      <c r="AE856" s="1631"/>
      <c r="AF856" s="521"/>
      <c r="AG856" s="1631"/>
      <c r="AJ856" s="1631"/>
      <c r="AK856" s="521"/>
      <c r="AL856" s="1631"/>
      <c r="AO856" s="1631"/>
      <c r="AP856" s="521"/>
      <c r="AQ856" s="522"/>
      <c r="AR856" s="522"/>
      <c r="AS856" s="522"/>
      <c r="AT856" s="522"/>
      <c r="AU856" s="522"/>
      <c r="AV856" s="522"/>
      <c r="AW856" s="521"/>
      <c r="AX856" s="1631"/>
      <c r="BA856" s="522"/>
      <c r="BB856" s="521"/>
      <c r="BC856" s="1631"/>
      <c r="JV856" s="1637"/>
      <c r="KA856" s="1637"/>
      <c r="KB856" s="1637"/>
      <c r="KC856" s="1637"/>
      <c r="KD856" s="1637"/>
      <c r="KE856" s="1637"/>
      <c r="KF856" s="1637"/>
      <c r="KG856" s="1637"/>
      <c r="KH856" s="1637"/>
      <c r="KI856" s="1637"/>
      <c r="KJ856" s="1637"/>
      <c r="KK856" s="1637"/>
      <c r="KL856" s="1637"/>
      <c r="KM856" s="1637"/>
      <c r="KN856" s="1637"/>
      <c r="KO856" s="1637"/>
      <c r="KP856" s="1637"/>
      <c r="KQ856" s="1637"/>
      <c r="KR856" s="1637"/>
      <c r="KS856" s="1637"/>
      <c r="KT856" s="1637"/>
      <c r="KU856" s="1637"/>
      <c r="KV856" s="1637"/>
      <c r="KW856" s="1637"/>
      <c r="KX856" s="1637"/>
      <c r="KY856" s="1637"/>
      <c r="KZ856" s="1637"/>
      <c r="LA856" s="1637"/>
      <c r="LB856" s="1637"/>
      <c r="LC856" s="1637"/>
      <c r="LD856" s="1637"/>
      <c r="LE856" s="1637"/>
      <c r="LF856" s="1637"/>
    </row>
    <row r="857" spans="1:318">
      <c r="A857" s="2038"/>
      <c r="B857" s="2038"/>
      <c r="C857" s="1913"/>
      <c r="D857" s="1913"/>
      <c r="E857" s="1913"/>
      <c r="F857" s="1631"/>
      <c r="H857" s="521" t="s">
        <v>118</v>
      </c>
      <c r="J857" s="1833">
        <f>DI810</f>
        <v>0</v>
      </c>
      <c r="K857" s="1833">
        <f>DJ810</f>
        <v>0</v>
      </c>
      <c r="L857" s="1833">
        <f>DK810</f>
        <v>0</v>
      </c>
      <c r="M857" s="1833">
        <f>DL810</f>
        <v>0</v>
      </c>
      <c r="N857" s="1833">
        <f>DM810</f>
        <v>0</v>
      </c>
      <c r="O857" s="1833">
        <f t="shared" si="346"/>
        <v>0</v>
      </c>
      <c r="R857" s="1838">
        <f>'Part VI-Revenues &amp; Expenses'!R95</f>
        <v>0</v>
      </c>
      <c r="S857" s="1838"/>
      <c r="T857" s="1838"/>
      <c r="U857" s="1838"/>
      <c r="V857" s="1838"/>
      <c r="W857" s="1631"/>
      <c r="Z857" s="1631"/>
      <c r="AA857" s="521"/>
      <c r="AB857" s="1631"/>
      <c r="AE857" s="1631"/>
      <c r="AF857" s="521"/>
      <c r="AG857" s="1631"/>
      <c r="AJ857" s="1631"/>
      <c r="AK857" s="521"/>
      <c r="AL857" s="1631"/>
      <c r="AO857" s="1631"/>
      <c r="AP857" s="521"/>
      <c r="AQ857" s="522"/>
      <c r="AR857" s="522"/>
      <c r="AS857" s="522"/>
      <c r="AT857" s="522"/>
      <c r="AU857" s="522"/>
      <c r="AV857" s="522"/>
      <c r="AW857" s="521"/>
      <c r="AX857" s="1631"/>
      <c r="BA857" s="522"/>
      <c r="BB857" s="521"/>
      <c r="BC857" s="1631"/>
      <c r="JV857" s="1637"/>
      <c r="KA857" s="1637"/>
      <c r="KB857" s="1637"/>
      <c r="KC857" s="1637"/>
      <c r="KD857" s="1637"/>
      <c r="KE857" s="1637"/>
      <c r="KF857" s="1637"/>
      <c r="KG857" s="1637"/>
      <c r="KH857" s="1637"/>
      <c r="KI857" s="1637"/>
      <c r="KJ857" s="1637"/>
      <c r="KK857" s="1637"/>
      <c r="KL857" s="1637"/>
      <c r="KM857" s="1637"/>
      <c r="KN857" s="1637"/>
      <c r="KO857" s="1637"/>
      <c r="KP857" s="1637"/>
      <c r="KQ857" s="1637"/>
      <c r="KR857" s="1637"/>
      <c r="KS857" s="1637"/>
      <c r="KT857" s="1637"/>
      <c r="KU857" s="1637"/>
      <c r="KV857" s="1637"/>
      <c r="KW857" s="1637"/>
      <c r="KX857" s="1637"/>
      <c r="KY857" s="1637"/>
      <c r="KZ857" s="1637"/>
      <c r="LA857" s="1637"/>
      <c r="LB857" s="1637"/>
      <c r="LC857" s="1637"/>
      <c r="LD857" s="1637"/>
      <c r="LE857" s="1637"/>
      <c r="LF857" s="1637"/>
    </row>
    <row r="858" spans="1:318">
      <c r="A858" s="2038"/>
      <c r="B858" s="2038"/>
      <c r="C858" s="1913"/>
      <c r="D858" s="1913"/>
      <c r="E858" s="1913"/>
      <c r="F858" s="1631"/>
      <c r="H858" s="521" t="s">
        <v>4624</v>
      </c>
      <c r="J858" s="1833">
        <f>DD810</f>
        <v>0</v>
      </c>
      <c r="K858" s="1833">
        <f>DE810</f>
        <v>0</v>
      </c>
      <c r="L858" s="1833">
        <f>DF810</f>
        <v>0</v>
      </c>
      <c r="M858" s="1833">
        <f>DG810</f>
        <v>0</v>
      </c>
      <c r="N858" s="1833">
        <f>DH810</f>
        <v>0</v>
      </c>
      <c r="O858" s="1833">
        <f t="shared" si="346"/>
        <v>0</v>
      </c>
      <c r="R858" s="1838">
        <f>'Part VI-Revenues &amp; Expenses'!R96</f>
        <v>0</v>
      </c>
      <c r="S858" s="1838"/>
      <c r="T858" s="1838"/>
      <c r="U858" s="1838"/>
      <c r="V858" s="1838"/>
      <c r="W858" s="1631"/>
      <c r="Z858" s="1631"/>
      <c r="AA858" s="521"/>
      <c r="AB858" s="1631"/>
      <c r="AE858" s="1631"/>
      <c r="AF858" s="521"/>
      <c r="AG858" s="1631"/>
      <c r="AJ858" s="1631"/>
      <c r="AK858" s="521"/>
      <c r="AL858" s="1631"/>
      <c r="AO858" s="1631"/>
      <c r="AP858" s="521"/>
      <c r="AQ858" s="522"/>
      <c r="AR858" s="522"/>
      <c r="AS858" s="522"/>
      <c r="AT858" s="522"/>
      <c r="AU858" s="522"/>
      <c r="AV858" s="522"/>
      <c r="AW858" s="521"/>
      <c r="AX858" s="1631"/>
      <c r="BA858" s="522"/>
      <c r="BB858" s="521"/>
      <c r="BC858" s="1631"/>
      <c r="JV858" s="1637"/>
      <c r="KA858" s="1637"/>
      <c r="KB858" s="1637"/>
      <c r="KC858" s="1637"/>
      <c r="KD858" s="1637"/>
      <c r="KE858" s="1637"/>
      <c r="KF858" s="1637"/>
      <c r="KG858" s="1637"/>
      <c r="KH858" s="1637"/>
      <c r="KI858" s="1637"/>
      <c r="KJ858" s="1637"/>
      <c r="KK858" s="1637"/>
      <c r="KL858" s="1637"/>
      <c r="KM858" s="1637"/>
      <c r="KN858" s="1637"/>
      <c r="KO858" s="1637"/>
      <c r="KP858" s="1637"/>
      <c r="KQ858" s="1637"/>
      <c r="KR858" s="1637"/>
      <c r="KS858" s="1637"/>
      <c r="KT858" s="1637"/>
      <c r="KU858" s="1637"/>
      <c r="KV858" s="1637"/>
      <c r="KW858" s="1637"/>
      <c r="KX858" s="1637"/>
      <c r="KY858" s="1637"/>
      <c r="KZ858" s="1637"/>
      <c r="LA858" s="1637"/>
      <c r="LB858" s="1637"/>
      <c r="LC858" s="1637"/>
      <c r="LD858" s="1637"/>
      <c r="LE858" s="1637"/>
      <c r="LF858" s="1637"/>
    </row>
    <row r="859" spans="1:318">
      <c r="A859" s="2038"/>
      <c r="B859" s="2038"/>
      <c r="C859" s="1913"/>
      <c r="D859" s="1913"/>
      <c r="E859" s="1913"/>
      <c r="F859" s="1631"/>
      <c r="H859" s="521" t="s">
        <v>4625</v>
      </c>
      <c r="J859" s="1833">
        <f>CY810</f>
        <v>0</v>
      </c>
      <c r="K859" s="1833">
        <f>CZ810</f>
        <v>0</v>
      </c>
      <c r="L859" s="1833">
        <f>DA810</f>
        <v>0</v>
      </c>
      <c r="M859" s="1833">
        <f>DB810</f>
        <v>0</v>
      </c>
      <c r="N859" s="1833">
        <f>DC810</f>
        <v>0</v>
      </c>
      <c r="O859" s="1833">
        <f t="shared" si="346"/>
        <v>0</v>
      </c>
      <c r="R859" s="1838">
        <f>'Part VI-Revenues &amp; Expenses'!R97</f>
        <v>0</v>
      </c>
      <c r="S859" s="1838"/>
      <c r="T859" s="1838"/>
      <c r="U859" s="1838"/>
      <c r="V859" s="1838"/>
      <c r="W859" s="1631"/>
      <c r="Z859" s="1631"/>
      <c r="AA859" s="521"/>
      <c r="AB859" s="1631"/>
      <c r="AE859" s="1631"/>
      <c r="AF859" s="521"/>
      <c r="AG859" s="1631"/>
      <c r="AJ859" s="1631"/>
      <c r="AK859" s="521"/>
      <c r="AL859" s="1631"/>
      <c r="AO859" s="1631"/>
      <c r="AP859" s="521"/>
      <c r="AQ859" s="522"/>
      <c r="AR859" s="522"/>
      <c r="AS859" s="522"/>
      <c r="AT859" s="522"/>
      <c r="AU859" s="522"/>
      <c r="AV859" s="522"/>
      <c r="AW859" s="521"/>
      <c r="AX859" s="1631"/>
      <c r="BA859" s="522"/>
      <c r="BB859" s="521"/>
      <c r="BC859" s="1631"/>
      <c r="JV859" s="1637"/>
      <c r="KA859" s="1637"/>
      <c r="KB859" s="1637"/>
      <c r="KC859" s="1637"/>
      <c r="KD859" s="1637"/>
      <c r="KE859" s="1637"/>
      <c r="KF859" s="1637"/>
      <c r="KG859" s="1637"/>
      <c r="KH859" s="1637"/>
      <c r="KI859" s="1637"/>
      <c r="KJ859" s="1637"/>
      <c r="KK859" s="1637"/>
      <c r="KL859" s="1637"/>
      <c r="KM859" s="1637"/>
      <c r="KN859" s="1637"/>
      <c r="KO859" s="1637"/>
      <c r="KP859" s="1637"/>
      <c r="KQ859" s="1637"/>
      <c r="KR859" s="1637"/>
      <c r="KS859" s="1637"/>
      <c r="KT859" s="1637"/>
      <c r="KU859" s="1637"/>
      <c r="KV859" s="1637"/>
      <c r="KW859" s="1637"/>
      <c r="KX859" s="1637"/>
      <c r="KY859" s="1637"/>
      <c r="KZ859" s="1637"/>
      <c r="LA859" s="1637"/>
      <c r="LB859" s="1637"/>
      <c r="LC859" s="1637"/>
      <c r="LD859" s="1637"/>
      <c r="LE859" s="1637"/>
      <c r="LF859" s="1637"/>
    </row>
    <row r="860" spans="1:318">
      <c r="A860" s="2038"/>
      <c r="B860" s="2038"/>
      <c r="C860" s="1913"/>
      <c r="D860" s="1913"/>
      <c r="E860" s="1913"/>
      <c r="F860" s="1631"/>
      <c r="H860" s="521" t="s">
        <v>4626</v>
      </c>
      <c r="J860" s="1844">
        <f>CT810</f>
        <v>0</v>
      </c>
      <c r="K860" s="1844">
        <f>CU810</f>
        <v>0</v>
      </c>
      <c r="L860" s="1844">
        <f>CV810</f>
        <v>0</v>
      </c>
      <c r="M860" s="1844">
        <f>CW810</f>
        <v>0</v>
      </c>
      <c r="N860" s="1844">
        <f>CX810</f>
        <v>0</v>
      </c>
      <c r="O860" s="1833">
        <f t="shared" si="346"/>
        <v>0</v>
      </c>
      <c r="R860" s="1838">
        <f>'Part VI-Revenues &amp; Expenses'!R98</f>
        <v>0</v>
      </c>
      <c r="S860" s="1838"/>
      <c r="T860" s="1838"/>
      <c r="U860" s="1838"/>
      <c r="V860" s="1838"/>
      <c r="W860" s="521"/>
      <c r="Z860" s="1631"/>
      <c r="AA860" s="521"/>
      <c r="AB860" s="521"/>
      <c r="AE860" s="1631"/>
      <c r="AF860" s="521"/>
      <c r="AG860" s="521"/>
      <c r="AJ860" s="1631"/>
      <c r="AK860" s="521"/>
      <c r="AL860" s="521"/>
      <c r="AO860" s="1631"/>
      <c r="AP860" s="521"/>
      <c r="AQ860" s="522"/>
      <c r="AR860" s="522"/>
      <c r="AS860" s="522"/>
      <c r="AT860" s="522"/>
      <c r="AU860" s="522"/>
      <c r="AV860" s="522"/>
      <c r="AW860" s="521"/>
      <c r="AX860" s="1631"/>
      <c r="BA860" s="522"/>
      <c r="BB860" s="521"/>
      <c r="BC860" s="1631"/>
      <c r="JV860" s="1637"/>
      <c r="KA860" s="1637"/>
      <c r="KB860" s="1637"/>
      <c r="KC860" s="1637"/>
      <c r="KD860" s="1637"/>
      <c r="KE860" s="1637"/>
      <c r="KF860" s="1637"/>
      <c r="KG860" s="1637"/>
      <c r="KH860" s="1637"/>
      <c r="KI860" s="1637"/>
      <c r="KJ860" s="1637"/>
      <c r="KK860" s="1637"/>
      <c r="KL860" s="1637"/>
      <c r="KM860" s="1637"/>
      <c r="KN860" s="1637"/>
      <c r="KO860" s="1637"/>
      <c r="KP860" s="1637"/>
      <c r="KQ860" s="1637"/>
      <c r="KR860" s="1637"/>
      <c r="KS860" s="1637"/>
      <c r="KT860" s="1637"/>
      <c r="KU860" s="1637"/>
      <c r="KV860" s="1637"/>
      <c r="KW860" s="1637"/>
      <c r="KX860" s="1637"/>
      <c r="KY860" s="1637"/>
      <c r="KZ860" s="1637"/>
      <c r="LA860" s="1637"/>
      <c r="LB860" s="1637"/>
      <c r="LC860" s="1637"/>
      <c r="LD860" s="1637"/>
      <c r="LE860" s="1637"/>
      <c r="LF860" s="1637"/>
    </row>
    <row r="861" spans="1:318">
      <c r="A861" s="2038"/>
      <c r="B861" s="2038"/>
      <c r="D861" s="1631"/>
      <c r="E861" s="1634"/>
      <c r="F861" s="1631"/>
      <c r="H861" s="521" t="s">
        <v>539</v>
      </c>
      <c r="J861" s="1833">
        <f>SUM(J854:J860)</f>
        <v>0</v>
      </c>
      <c r="K861" s="1833">
        <f>SUM(K854:K860)</f>
        <v>0</v>
      </c>
      <c r="L861" s="1833">
        <f>SUM(L854:L860)</f>
        <v>0</v>
      </c>
      <c r="M861" s="1833">
        <f>SUM(M854:M860)</f>
        <v>0</v>
      </c>
      <c r="N861" s="1833">
        <f>SUM(N854:N860)</f>
        <v>0</v>
      </c>
      <c r="O861" s="1833">
        <f t="shared" si="346"/>
        <v>0</v>
      </c>
      <c r="R861" s="1838">
        <f>'Part VI-Revenues &amp; Expenses'!R99</f>
        <v>0</v>
      </c>
      <c r="S861" s="1838"/>
      <c r="T861" s="1838"/>
      <c r="U861" s="1838"/>
      <c r="V861" s="1838"/>
      <c r="W861" s="1631"/>
      <c r="Z861" s="1631"/>
      <c r="AA861" s="521"/>
      <c r="AB861" s="1631"/>
      <c r="AE861" s="1631"/>
      <c r="AF861" s="521"/>
      <c r="AG861" s="1631"/>
      <c r="AJ861" s="1631"/>
      <c r="AK861" s="521"/>
      <c r="AL861" s="1631"/>
      <c r="AO861" s="1631"/>
      <c r="AP861" s="521"/>
      <c r="AQ861" s="522"/>
      <c r="AR861" s="522"/>
      <c r="AS861" s="522"/>
      <c r="AT861" s="522"/>
      <c r="AU861" s="522"/>
      <c r="AV861" s="522"/>
      <c r="AW861" s="521"/>
      <c r="AX861" s="1631"/>
      <c r="BA861" s="522"/>
      <c r="BB861" s="521"/>
      <c r="BC861" s="1631"/>
      <c r="JV861" s="1637"/>
      <c r="KA861" s="1637"/>
      <c r="KB861" s="1637"/>
      <c r="KC861" s="1637"/>
      <c r="KD861" s="1637"/>
      <c r="KE861" s="1637"/>
      <c r="KF861" s="1637"/>
      <c r="KG861" s="1637"/>
      <c r="KH861" s="1637"/>
      <c r="KI861" s="1637"/>
      <c r="KJ861" s="1637"/>
      <c r="KK861" s="1637"/>
      <c r="KL861" s="1637"/>
      <c r="KM861" s="1637"/>
      <c r="KN861" s="1637"/>
      <c r="KO861" s="1637"/>
      <c r="KP861" s="1637"/>
      <c r="KQ861" s="1637"/>
      <c r="KR861" s="1637"/>
      <c r="KS861" s="1637"/>
      <c r="KT861" s="1637"/>
      <c r="KU861" s="1637"/>
      <c r="KV861" s="1637"/>
      <c r="KW861" s="1637"/>
      <c r="KX861" s="1637"/>
      <c r="KY861" s="1637"/>
      <c r="KZ861" s="1637"/>
      <c r="LA861" s="1637"/>
      <c r="LB861" s="1637"/>
      <c r="LC861" s="1637"/>
      <c r="LD861" s="1637"/>
      <c r="LE861" s="1637"/>
      <c r="LF861" s="1637"/>
    </row>
    <row r="862" spans="1:318">
      <c r="A862" s="2038"/>
      <c r="B862" s="2038"/>
      <c r="D862" s="1636"/>
      <c r="E862" s="1634"/>
      <c r="F862" s="1631"/>
      <c r="H862" s="521"/>
      <c r="J862" s="1836"/>
      <c r="K862" s="1836"/>
      <c r="L862" s="1836"/>
      <c r="M862" s="1836"/>
      <c r="N862" s="1836"/>
      <c r="O862" s="1836"/>
      <c r="R862" s="1653"/>
      <c r="T862" s="1632"/>
      <c r="W862" s="1631"/>
      <c r="Z862" s="1631"/>
      <c r="AA862" s="521"/>
      <c r="AB862" s="1631"/>
      <c r="AE862" s="1631"/>
      <c r="AF862" s="521"/>
      <c r="AG862" s="1631"/>
      <c r="AJ862" s="1631"/>
      <c r="AK862" s="521"/>
      <c r="AL862" s="1631"/>
      <c r="AO862" s="1631"/>
      <c r="AP862" s="521"/>
      <c r="AQ862" s="1631"/>
      <c r="AR862" s="1631"/>
      <c r="AS862" s="1631"/>
      <c r="AT862" s="1631"/>
      <c r="AU862" s="1631"/>
      <c r="AV862" s="1631"/>
      <c r="AX862" s="1631"/>
      <c r="BA862" s="1631"/>
      <c r="BC862" s="1631"/>
      <c r="JV862" s="1637"/>
      <c r="KA862" s="1637"/>
      <c r="KB862" s="1637"/>
      <c r="KC862" s="1637"/>
      <c r="KD862" s="1637"/>
      <c r="KE862" s="1637"/>
      <c r="KF862" s="1637"/>
      <c r="KG862" s="1637"/>
      <c r="KH862" s="1637"/>
      <c r="KI862" s="1637"/>
      <c r="KJ862" s="1637"/>
      <c r="KK862" s="1637"/>
      <c r="KL862" s="1637"/>
      <c r="KM862" s="1637"/>
      <c r="KN862" s="1637"/>
      <c r="KO862" s="1637"/>
      <c r="KP862" s="1637"/>
      <c r="KQ862" s="1637"/>
      <c r="KR862" s="1637"/>
      <c r="KS862" s="1637"/>
      <c r="KT862" s="1637"/>
      <c r="KU862" s="1637"/>
      <c r="KV862" s="1637"/>
      <c r="KW862" s="1637"/>
      <c r="KX862" s="1637"/>
      <c r="KY862" s="1637"/>
      <c r="KZ862" s="1637"/>
      <c r="LA862" s="1637"/>
      <c r="LB862" s="1637"/>
      <c r="LC862" s="1637"/>
      <c r="LD862" s="1637"/>
      <c r="LE862" s="1637"/>
      <c r="LF862" s="1637"/>
    </row>
    <row r="863" spans="1:318" ht="12.75" customHeight="1">
      <c r="A863" s="2038"/>
      <c r="B863" s="2038"/>
      <c r="C863" s="1838" t="s">
        <v>38</v>
      </c>
      <c r="D863" s="1838"/>
      <c r="E863" s="1634" t="s">
        <v>2295</v>
      </c>
      <c r="F863" s="1631"/>
      <c r="H863" s="521" t="s">
        <v>1432</v>
      </c>
      <c r="J863" s="1833">
        <f>GF810</f>
        <v>0</v>
      </c>
      <c r="K863" s="1833">
        <f>GG810</f>
        <v>12</v>
      </c>
      <c r="L863" s="1833">
        <f>GH810</f>
        <v>56</v>
      </c>
      <c r="M863" s="1833">
        <f>GI810</f>
        <v>8</v>
      </c>
      <c r="N863" s="1833">
        <f>GJ810</f>
        <v>8</v>
      </c>
      <c r="O863" s="1833">
        <f t="shared" ref="O863:O873" si="347">SUM(J863:N863)</f>
        <v>84</v>
      </c>
      <c r="R863" s="1838">
        <f>'Part VI-Revenues &amp; Expenses'!R101</f>
        <v>0</v>
      </c>
      <c r="S863" s="1838"/>
      <c r="T863" s="1838"/>
      <c r="U863" s="1838"/>
      <c r="V863" s="1838"/>
      <c r="W863" s="1631"/>
      <c r="Z863" s="1631"/>
      <c r="AA863" s="521"/>
      <c r="AB863" s="1631"/>
      <c r="AE863" s="1631"/>
      <c r="AF863" s="521"/>
      <c r="AG863" s="1631"/>
      <c r="AJ863" s="1631"/>
      <c r="AK863" s="521"/>
      <c r="AL863" s="1631"/>
      <c r="AO863" s="1631"/>
      <c r="AP863" s="521"/>
      <c r="AQ863" s="522"/>
      <c r="AR863" s="522"/>
      <c r="AS863" s="522"/>
      <c r="AT863" s="522"/>
      <c r="AU863" s="522"/>
      <c r="AV863" s="522"/>
      <c r="BA863" s="522"/>
    </row>
    <row r="864" spans="1:318">
      <c r="A864" s="2038"/>
      <c r="B864" s="2038"/>
      <c r="C864" s="1838"/>
      <c r="D864" s="1838"/>
      <c r="E864" s="1634"/>
      <c r="F864" s="1631"/>
      <c r="H864" s="521" t="s">
        <v>303</v>
      </c>
      <c r="J864" s="1833">
        <f>GK810</f>
        <v>0</v>
      </c>
      <c r="K864" s="1833">
        <f>GL810</f>
        <v>0</v>
      </c>
      <c r="L864" s="1833">
        <f>GM810</f>
        <v>0</v>
      </c>
      <c r="M864" s="1833">
        <f>GN810</f>
        <v>0</v>
      </c>
      <c r="N864" s="1833">
        <f>GO810</f>
        <v>0</v>
      </c>
      <c r="O864" s="1833">
        <f t="shared" si="347"/>
        <v>0</v>
      </c>
      <c r="R864" s="1838">
        <f>'Part VI-Revenues &amp; Expenses'!R102</f>
        <v>0</v>
      </c>
      <c r="S864" s="1838"/>
      <c r="T864" s="1838"/>
      <c r="U864" s="1838"/>
      <c r="V864" s="1838"/>
      <c r="W864" s="1631"/>
      <c r="Z864" s="1631"/>
      <c r="AA864" s="521"/>
      <c r="AB864" s="1631"/>
      <c r="AE864" s="1631"/>
      <c r="AF864" s="521"/>
      <c r="AG864" s="1631"/>
      <c r="AJ864" s="1631"/>
      <c r="AK864" s="521"/>
      <c r="AL864" s="1631"/>
      <c r="AO864" s="1631"/>
      <c r="AP864" s="521"/>
      <c r="AQ864" s="522"/>
      <c r="AR864" s="522"/>
      <c r="AS864" s="522"/>
      <c r="AT864" s="522"/>
      <c r="AU864" s="522"/>
      <c r="AV864" s="522"/>
      <c r="AW864" s="1216"/>
      <c r="AX864" s="1631"/>
      <c r="BA864" s="522"/>
      <c r="BB864" s="1216"/>
      <c r="BC864" s="1631"/>
      <c r="JV864" s="1637"/>
      <c r="KA864" s="1637"/>
      <c r="KB864" s="1637"/>
      <c r="KC864" s="1637"/>
      <c r="KD864" s="1637"/>
      <c r="KE864" s="1637"/>
      <c r="KF864" s="1637"/>
      <c r="KG864" s="1637"/>
      <c r="KH864" s="1637"/>
      <c r="KI864" s="1637"/>
      <c r="KJ864" s="1637"/>
      <c r="KK864" s="1637"/>
      <c r="KL864" s="1637"/>
      <c r="KM864" s="1637"/>
      <c r="KN864" s="1637"/>
      <c r="KO864" s="1637"/>
      <c r="KP864" s="1637"/>
      <c r="KQ864" s="1637"/>
      <c r="KR864" s="1637"/>
      <c r="KS864" s="1637"/>
      <c r="KT864" s="1637"/>
      <c r="KU864" s="1637"/>
      <c r="KV864" s="1637"/>
      <c r="KW864" s="1637"/>
      <c r="KX864" s="1637"/>
      <c r="KY864" s="1637"/>
      <c r="KZ864" s="1637"/>
      <c r="LA864" s="1637"/>
      <c r="LB864" s="1637"/>
      <c r="LC864" s="1637"/>
      <c r="LD864" s="1637"/>
      <c r="LE864" s="1637"/>
      <c r="LF864" s="1637"/>
    </row>
    <row r="865" spans="1:318">
      <c r="A865" s="2038"/>
      <c r="B865" s="2038"/>
      <c r="C865" s="1838"/>
      <c r="D865" s="1838"/>
      <c r="E865" s="1634"/>
      <c r="F865" s="1631"/>
      <c r="H865" s="521" t="s">
        <v>32</v>
      </c>
      <c r="J865" s="1833">
        <f>SUM(J863:J864)+GP810</f>
        <v>0</v>
      </c>
      <c r="K865" s="1833">
        <f>SUM(K863:K864)+GQ810</f>
        <v>12</v>
      </c>
      <c r="L865" s="1833">
        <f>SUM(L863:L864)+GR810</f>
        <v>56</v>
      </c>
      <c r="M865" s="1833">
        <f>SUM(M863:M864)+GS810</f>
        <v>8</v>
      </c>
      <c r="N865" s="1833">
        <f>SUM(N863:N864)+GT810</f>
        <v>8</v>
      </c>
      <c r="O865" s="1833">
        <f t="shared" si="347"/>
        <v>84</v>
      </c>
      <c r="R865" s="1838">
        <f>'Part VI-Revenues &amp; Expenses'!R103</f>
        <v>0</v>
      </c>
      <c r="S865" s="1838"/>
      <c r="T865" s="1838"/>
      <c r="U865" s="1838"/>
      <c r="V865" s="1838"/>
      <c r="W865" s="1631"/>
      <c r="Z865" s="1631"/>
      <c r="AA865" s="521"/>
      <c r="AB865" s="1631"/>
      <c r="AE865" s="1631"/>
      <c r="AF865" s="521"/>
      <c r="AG865" s="1631"/>
      <c r="AJ865" s="1631"/>
      <c r="AK865" s="521"/>
      <c r="AL865" s="1631"/>
      <c r="AO865" s="1631"/>
      <c r="AP865" s="521"/>
      <c r="AQ865" s="522"/>
      <c r="AR865" s="522"/>
      <c r="AS865" s="522"/>
      <c r="AT865" s="522"/>
      <c r="AU865" s="522"/>
      <c r="AV865" s="522"/>
      <c r="AW865" s="521"/>
      <c r="AX865" s="1631"/>
      <c r="BA865" s="522"/>
      <c r="BB865" s="521"/>
      <c r="BC865" s="1631"/>
      <c r="JV865" s="1637"/>
      <c r="KA865" s="1637"/>
      <c r="KB865" s="1637"/>
      <c r="KC865" s="1637"/>
      <c r="KD865" s="1637"/>
      <c r="KE865" s="1637"/>
      <c r="KF865" s="1637"/>
      <c r="KG865" s="1637"/>
      <c r="KH865" s="1637"/>
      <c r="KI865" s="1637"/>
      <c r="KJ865" s="1637"/>
      <c r="KK865" s="1637"/>
      <c r="KL865" s="1637"/>
      <c r="KM865" s="1637"/>
      <c r="KN865" s="1637"/>
      <c r="KO865" s="1637"/>
      <c r="KP865" s="1637"/>
      <c r="KQ865" s="1637"/>
      <c r="KR865" s="1637"/>
      <c r="KS865" s="1637"/>
      <c r="KT865" s="1637"/>
      <c r="KU865" s="1637"/>
      <c r="KV865" s="1637"/>
      <c r="KW865" s="1637"/>
      <c r="KX865" s="1637"/>
      <c r="KY865" s="1637"/>
      <c r="KZ865" s="1637"/>
      <c r="LA865" s="1637"/>
      <c r="LB865" s="1637"/>
      <c r="LC865" s="1637"/>
      <c r="LD865" s="1637"/>
      <c r="LE865" s="1637"/>
      <c r="LF865" s="1637"/>
    </row>
    <row r="866" spans="1:318">
      <c r="A866" s="2038"/>
      <c r="B866" s="2038"/>
      <c r="C866" s="1838"/>
      <c r="D866" s="1838"/>
      <c r="E866" s="1634" t="s">
        <v>2137</v>
      </c>
      <c r="F866" s="1631"/>
      <c r="H866" s="521" t="s">
        <v>1432</v>
      </c>
      <c r="J866" s="1833">
        <f>GU810</f>
        <v>0</v>
      </c>
      <c r="K866" s="1833">
        <f>GV810</f>
        <v>0</v>
      </c>
      <c r="L866" s="1833">
        <f>GW810</f>
        <v>0</v>
      </c>
      <c r="M866" s="1833">
        <f>GX810</f>
        <v>0</v>
      </c>
      <c r="N866" s="1833">
        <f>GY810</f>
        <v>0</v>
      </c>
      <c r="O866" s="1833">
        <f t="shared" si="347"/>
        <v>0</v>
      </c>
      <c r="R866" s="1838">
        <f>'Part VI-Revenues &amp; Expenses'!R104</f>
        <v>0</v>
      </c>
      <c r="S866" s="1838"/>
      <c r="T866" s="1838"/>
      <c r="U866" s="1838"/>
      <c r="V866" s="1838"/>
      <c r="W866" s="1631"/>
      <c r="Z866" s="1631"/>
      <c r="AA866" s="521"/>
      <c r="AB866" s="1631"/>
      <c r="AE866" s="1631"/>
      <c r="AF866" s="521"/>
      <c r="AG866" s="1631"/>
      <c r="AJ866" s="1631"/>
      <c r="AK866" s="521"/>
      <c r="AL866" s="1631"/>
      <c r="AO866" s="1631"/>
      <c r="AP866" s="521"/>
      <c r="AQ866" s="522"/>
      <c r="AR866" s="522"/>
      <c r="AS866" s="522"/>
      <c r="AT866" s="522"/>
      <c r="AU866" s="522"/>
      <c r="AV866" s="522"/>
      <c r="BA866" s="522"/>
    </row>
    <row r="867" spans="1:318">
      <c r="A867" s="2038"/>
      <c r="B867" s="2038"/>
      <c r="C867" s="1838"/>
      <c r="D867" s="1838"/>
      <c r="E867" s="1634"/>
      <c r="F867" s="1631"/>
      <c r="H867" s="521" t="s">
        <v>303</v>
      </c>
      <c r="J867" s="1833">
        <f>GZ810</f>
        <v>0</v>
      </c>
      <c r="K867" s="1833">
        <f>HA810</f>
        <v>0</v>
      </c>
      <c r="L867" s="1833">
        <f>HB810</f>
        <v>0</v>
      </c>
      <c r="M867" s="1833">
        <f>HC810</f>
        <v>0</v>
      </c>
      <c r="N867" s="1833">
        <f>HD810</f>
        <v>0</v>
      </c>
      <c r="O867" s="1833">
        <f t="shared" si="347"/>
        <v>0</v>
      </c>
      <c r="R867" s="1838">
        <f>'Part VI-Revenues &amp; Expenses'!R105</f>
        <v>0</v>
      </c>
      <c r="S867" s="1838"/>
      <c r="T867" s="1838"/>
      <c r="U867" s="1838"/>
      <c r="V867" s="1838"/>
      <c r="W867" s="1631"/>
      <c r="Z867" s="1631"/>
      <c r="AA867" s="521"/>
      <c r="AB867" s="1631"/>
      <c r="AE867" s="1631"/>
      <c r="AF867" s="521"/>
      <c r="AG867" s="1631"/>
      <c r="AJ867" s="1631"/>
      <c r="AK867" s="521"/>
      <c r="AL867" s="1631"/>
      <c r="AO867" s="1631"/>
      <c r="AP867" s="521"/>
      <c r="AQ867" s="522"/>
      <c r="AR867" s="522"/>
      <c r="AS867" s="522"/>
      <c r="AT867" s="522"/>
      <c r="AU867" s="522"/>
      <c r="AV867" s="522"/>
      <c r="AW867" s="1216"/>
      <c r="AX867" s="1631"/>
      <c r="BA867" s="522"/>
      <c r="BB867" s="1216"/>
      <c r="BC867" s="1631"/>
      <c r="JV867" s="1637"/>
      <c r="KA867" s="1637"/>
      <c r="KB867" s="1637"/>
      <c r="KC867" s="1637"/>
      <c r="KD867" s="1637"/>
      <c r="KE867" s="1637"/>
      <c r="KF867" s="1637"/>
      <c r="KG867" s="1637"/>
      <c r="KH867" s="1637"/>
      <c r="KI867" s="1637"/>
      <c r="KJ867" s="1637"/>
      <c r="KK867" s="1637"/>
      <c r="KL867" s="1637"/>
      <c r="KM867" s="1637"/>
      <c r="KN867" s="1637"/>
      <c r="KO867" s="1637"/>
      <c r="KP867" s="1637"/>
      <c r="KQ867" s="1637"/>
      <c r="KR867" s="1637"/>
      <c r="KS867" s="1637"/>
      <c r="KT867" s="1637"/>
      <c r="KU867" s="1637"/>
      <c r="KV867" s="1637"/>
      <c r="KW867" s="1637"/>
      <c r="KX867" s="1637"/>
      <c r="KY867" s="1637"/>
      <c r="KZ867" s="1637"/>
      <c r="LA867" s="1637"/>
      <c r="LB867" s="1637"/>
      <c r="LC867" s="1637"/>
      <c r="LD867" s="1637"/>
      <c r="LE867" s="1637"/>
      <c r="LF867" s="1637"/>
    </row>
    <row r="868" spans="1:318">
      <c r="A868" s="2038"/>
      <c r="B868" s="2038"/>
      <c r="C868" s="1838"/>
      <c r="D868" s="1838"/>
      <c r="E868" s="1634"/>
      <c r="F868" s="1631"/>
      <c r="H868" s="521" t="s">
        <v>32</v>
      </c>
      <c r="J868" s="1833">
        <f>SUM(J866:J867)+HE810</f>
        <v>0</v>
      </c>
      <c r="K868" s="1833">
        <f>SUM(K866:K867)+HF810</f>
        <v>0</v>
      </c>
      <c r="L868" s="1833">
        <f>SUM(L866:L867)+HG810</f>
        <v>0</v>
      </c>
      <c r="M868" s="1833">
        <f>SUM(M866:M867)+HH810</f>
        <v>0</v>
      </c>
      <c r="N868" s="1833">
        <f>SUM(N866:N867)+HI810</f>
        <v>0</v>
      </c>
      <c r="O868" s="1833">
        <f t="shared" si="347"/>
        <v>0</v>
      </c>
      <c r="R868" s="1838">
        <f>'Part VI-Revenues &amp; Expenses'!R106</f>
        <v>0</v>
      </c>
      <c r="S868" s="1838"/>
      <c r="T868" s="1838"/>
      <c r="U868" s="1838"/>
      <c r="V868" s="1838"/>
      <c r="W868" s="1631"/>
      <c r="Z868" s="1631"/>
      <c r="AA868" s="521"/>
      <c r="AB868" s="1631"/>
      <c r="AE868" s="1631"/>
      <c r="AF868" s="521"/>
      <c r="AG868" s="1631"/>
      <c r="AJ868" s="1631"/>
      <c r="AK868" s="521"/>
      <c r="AL868" s="1631"/>
      <c r="AO868" s="1631"/>
      <c r="AP868" s="521"/>
      <c r="AQ868" s="522"/>
      <c r="AR868" s="522"/>
      <c r="AS868" s="522"/>
      <c r="AT868" s="522"/>
      <c r="AU868" s="522"/>
      <c r="AV868" s="522"/>
      <c r="AW868" s="521"/>
      <c r="AX868" s="1631"/>
      <c r="BA868" s="522"/>
      <c r="BB868" s="521"/>
      <c r="BC868" s="1631"/>
      <c r="JV868" s="1637"/>
      <c r="KA868" s="1637"/>
      <c r="KB868" s="1637"/>
      <c r="KC868" s="1637"/>
      <c r="KD868" s="1637"/>
      <c r="KE868" s="1637"/>
      <c r="KF868" s="1637"/>
      <c r="KG868" s="1637"/>
      <c r="KH868" s="1637"/>
      <c r="KI868" s="1637"/>
      <c r="KJ868" s="1637"/>
      <c r="KK868" s="1637"/>
      <c r="KL868" s="1637"/>
      <c r="KM868" s="1637"/>
      <c r="KN868" s="1637"/>
      <c r="KO868" s="1637"/>
      <c r="KP868" s="1637"/>
      <c r="KQ868" s="1637"/>
      <c r="KR868" s="1637"/>
      <c r="KS868" s="1637"/>
      <c r="KT868" s="1637"/>
      <c r="KU868" s="1637"/>
      <c r="KV868" s="1637"/>
      <c r="KW868" s="1637"/>
      <c r="KX868" s="1637"/>
      <c r="KY868" s="1637"/>
      <c r="KZ868" s="1637"/>
      <c r="LA868" s="1637"/>
      <c r="LB868" s="1637"/>
      <c r="LC868" s="1637"/>
      <c r="LD868" s="1637"/>
      <c r="LE868" s="1637"/>
      <c r="LF868" s="1637"/>
    </row>
    <row r="869" spans="1:318" ht="12.75" customHeight="1">
      <c r="A869" s="2038"/>
      <c r="B869" s="2038"/>
      <c r="C869" s="1485"/>
      <c r="D869" s="1631"/>
      <c r="E869" s="1485" t="s">
        <v>1419</v>
      </c>
      <c r="F869" s="1485"/>
      <c r="H869" s="521" t="s">
        <v>1432</v>
      </c>
      <c r="J869" s="1833">
        <f>HJ810</f>
        <v>0</v>
      </c>
      <c r="K869" s="1833">
        <f>HK810</f>
        <v>0</v>
      </c>
      <c r="L869" s="1833">
        <f>HL810</f>
        <v>0</v>
      </c>
      <c r="M869" s="1833">
        <f>HM810</f>
        <v>0</v>
      </c>
      <c r="N869" s="1833">
        <f>HN810</f>
        <v>0</v>
      </c>
      <c r="O869" s="1833">
        <f t="shared" si="347"/>
        <v>0</v>
      </c>
      <c r="R869" s="1838">
        <f>'Part VI-Revenues &amp; Expenses'!R107</f>
        <v>0</v>
      </c>
      <c r="S869" s="1838"/>
      <c r="T869" s="1838"/>
      <c r="U869" s="1838"/>
      <c r="V869" s="1838"/>
      <c r="W869" s="1631"/>
      <c r="Z869" s="1631"/>
      <c r="AA869" s="521"/>
      <c r="AB869" s="1631"/>
      <c r="AE869" s="1631"/>
      <c r="AF869" s="521"/>
      <c r="AG869" s="1631"/>
      <c r="AJ869" s="1631"/>
      <c r="AK869" s="521"/>
      <c r="AL869" s="1631"/>
      <c r="AO869" s="1631"/>
      <c r="AP869" s="521"/>
      <c r="AQ869" s="522"/>
      <c r="AR869" s="522"/>
      <c r="AS869" s="522"/>
      <c r="AT869" s="522"/>
      <c r="AU869" s="522"/>
      <c r="AV869" s="522"/>
      <c r="BA869" s="522"/>
    </row>
    <row r="870" spans="1:318">
      <c r="A870" s="2038"/>
      <c r="B870" s="2038"/>
      <c r="C870" s="1485"/>
      <c r="D870" s="1631"/>
      <c r="E870" s="1485"/>
      <c r="F870" s="1485"/>
      <c r="H870" s="521" t="s">
        <v>303</v>
      </c>
      <c r="J870" s="1833">
        <f>HO810</f>
        <v>0</v>
      </c>
      <c r="K870" s="1833">
        <f>HP810</f>
        <v>0</v>
      </c>
      <c r="L870" s="1833">
        <f>HQ810</f>
        <v>0</v>
      </c>
      <c r="M870" s="1833">
        <f>HR810</f>
        <v>0</v>
      </c>
      <c r="N870" s="1833">
        <f>HS810</f>
        <v>0</v>
      </c>
      <c r="O870" s="1833">
        <f t="shared" si="347"/>
        <v>0</v>
      </c>
      <c r="R870" s="1838">
        <f>'Part VI-Revenues &amp; Expenses'!R108</f>
        <v>0</v>
      </c>
      <c r="S870" s="1838"/>
      <c r="T870" s="1838"/>
      <c r="U870" s="1838"/>
      <c r="V870" s="1838"/>
      <c r="W870" s="1631"/>
      <c r="Z870" s="1631"/>
      <c r="AA870" s="521"/>
      <c r="AB870" s="1631"/>
      <c r="AE870" s="1631"/>
      <c r="AF870" s="521"/>
      <c r="AG870" s="1631"/>
      <c r="AJ870" s="1631"/>
      <c r="AK870" s="521"/>
      <c r="AL870" s="1631"/>
      <c r="AO870" s="1631"/>
      <c r="AP870" s="521"/>
      <c r="AQ870" s="522"/>
      <c r="AR870" s="522"/>
      <c r="AS870" s="522"/>
      <c r="AT870" s="522"/>
      <c r="AU870" s="522"/>
      <c r="AV870" s="522"/>
      <c r="AW870" s="1216"/>
      <c r="AX870" s="1631"/>
      <c r="BA870" s="522"/>
      <c r="BB870" s="1216"/>
      <c r="BC870" s="1631"/>
      <c r="JV870" s="1637"/>
      <c r="KA870" s="1637"/>
      <c r="KB870" s="1637"/>
      <c r="KC870" s="1637"/>
      <c r="KD870" s="1637"/>
      <c r="KE870" s="1637"/>
      <c r="KF870" s="1637"/>
      <c r="KG870" s="1637"/>
      <c r="KH870" s="1637"/>
      <c r="KI870" s="1637"/>
      <c r="KJ870" s="1637"/>
      <c r="KK870" s="1637"/>
      <c r="KL870" s="1637"/>
      <c r="KM870" s="1637"/>
      <c r="KN870" s="1637"/>
      <c r="KO870" s="1637"/>
      <c r="KP870" s="1637"/>
      <c r="KQ870" s="1637"/>
      <c r="KR870" s="1637"/>
      <c r="KS870" s="1637"/>
      <c r="KT870" s="1637"/>
      <c r="KU870" s="1637"/>
      <c r="KV870" s="1637"/>
      <c r="KW870" s="1637"/>
      <c r="KX870" s="1637"/>
      <c r="KY870" s="1637"/>
      <c r="KZ870" s="1637"/>
      <c r="LA870" s="1637"/>
      <c r="LB870" s="1637"/>
      <c r="LC870" s="1637"/>
      <c r="LD870" s="1637"/>
      <c r="LE870" s="1637"/>
      <c r="LF870" s="1637"/>
    </row>
    <row r="871" spans="1:318">
      <c r="A871" s="2038"/>
      <c r="B871" s="2038"/>
      <c r="C871" s="1485"/>
      <c r="D871" s="1631"/>
      <c r="E871" s="1634"/>
      <c r="F871" s="1631"/>
      <c r="H871" s="521" t="s">
        <v>32</v>
      </c>
      <c r="J871" s="1833">
        <f>SUM(J869:J870)+HT810</f>
        <v>0</v>
      </c>
      <c r="K871" s="1833">
        <f>SUM(K869:K870)+HU810</f>
        <v>0</v>
      </c>
      <c r="L871" s="1833">
        <f>SUM(L869:L870)+HV810</f>
        <v>0</v>
      </c>
      <c r="M871" s="1833">
        <f>SUM(M869:M870)+HW810</f>
        <v>0</v>
      </c>
      <c r="N871" s="1833">
        <f>SUM(N869:N870)+HX810</f>
        <v>0</v>
      </c>
      <c r="O871" s="1833">
        <f t="shared" si="347"/>
        <v>0</v>
      </c>
      <c r="R871" s="1838">
        <f>'Part VI-Revenues &amp; Expenses'!R109</f>
        <v>0</v>
      </c>
      <c r="S871" s="1838"/>
      <c r="T871" s="1838"/>
      <c r="U871" s="1838"/>
      <c r="V871" s="1838"/>
      <c r="W871" s="1631"/>
      <c r="Z871" s="1631"/>
      <c r="AA871" s="521"/>
      <c r="AB871" s="1631"/>
      <c r="AE871" s="1631"/>
      <c r="AF871" s="521"/>
      <c r="AG871" s="1631"/>
      <c r="AJ871" s="1631"/>
      <c r="AK871" s="521"/>
      <c r="AL871" s="1631"/>
      <c r="AO871" s="1631"/>
      <c r="AP871" s="521"/>
      <c r="AQ871" s="522"/>
      <c r="AR871" s="522"/>
      <c r="AS871" s="522"/>
      <c r="AT871" s="522"/>
      <c r="AU871" s="522"/>
      <c r="AV871" s="522"/>
      <c r="AW871" s="521"/>
      <c r="AX871" s="1631"/>
      <c r="BA871" s="522"/>
      <c r="BB871" s="521"/>
      <c r="BC871" s="1631"/>
      <c r="JV871" s="1637"/>
      <c r="KA871" s="1637"/>
      <c r="KB871" s="1637"/>
      <c r="KC871" s="1637"/>
      <c r="KD871" s="1637"/>
      <c r="KE871" s="1637"/>
      <c r="KF871" s="1637"/>
      <c r="KG871" s="1637"/>
      <c r="KH871" s="1637"/>
      <c r="KI871" s="1637"/>
      <c r="KJ871" s="1637"/>
      <c r="KK871" s="1637"/>
      <c r="KL871" s="1637"/>
      <c r="KM871" s="1637"/>
      <c r="KN871" s="1637"/>
      <c r="KO871" s="1637"/>
      <c r="KP871" s="1637"/>
      <c r="KQ871" s="1637"/>
      <c r="KR871" s="1637"/>
      <c r="KS871" s="1637"/>
      <c r="KT871" s="1637"/>
      <c r="KU871" s="1637"/>
      <c r="KV871" s="1637"/>
      <c r="KW871" s="1637"/>
      <c r="KX871" s="1637"/>
      <c r="KY871" s="1637"/>
      <c r="KZ871" s="1637"/>
      <c r="LA871" s="1637"/>
      <c r="LB871" s="1637"/>
      <c r="LC871" s="1637"/>
      <c r="LD871" s="1637"/>
      <c r="LE871" s="1637"/>
      <c r="LF871" s="1637"/>
    </row>
    <row r="872" spans="1:318">
      <c r="A872" s="2038"/>
      <c r="B872" s="2038"/>
      <c r="C872" s="1485"/>
      <c r="D872" s="1631"/>
      <c r="E872" s="1634" t="s">
        <v>365</v>
      </c>
      <c r="F872" s="1631"/>
      <c r="G872" s="1652"/>
      <c r="J872" s="1833">
        <f>'Part VI-Revenues &amp; Expenses'!J110</f>
        <v>0</v>
      </c>
      <c r="K872" s="1833">
        <f>'Part VI-Revenues &amp; Expenses'!K110</f>
        <v>0</v>
      </c>
      <c r="L872" s="1833">
        <f>'Part VI-Revenues &amp; Expenses'!L110</f>
        <v>0</v>
      </c>
      <c r="M872" s="1833">
        <f>'Part VI-Revenues &amp; Expenses'!M110</f>
        <v>0</v>
      </c>
      <c r="N872" s="1833">
        <f>'Part VI-Revenues &amp; Expenses'!N110</f>
        <v>0</v>
      </c>
      <c r="O872" s="1833">
        <f t="shared" si="347"/>
        <v>0</v>
      </c>
      <c r="R872" s="1838">
        <f>'Part VI-Revenues &amp; Expenses'!R110</f>
        <v>0</v>
      </c>
      <c r="S872" s="1838"/>
      <c r="T872" s="1838"/>
      <c r="U872" s="1838"/>
      <c r="V872" s="1838"/>
      <c r="W872" s="1631"/>
      <c r="Z872" s="1631"/>
      <c r="AA872" s="521"/>
      <c r="AB872" s="1631"/>
      <c r="AE872" s="1631"/>
      <c r="AF872" s="521"/>
      <c r="AG872" s="1631"/>
      <c r="AJ872" s="1631"/>
      <c r="AK872" s="521"/>
      <c r="AL872" s="1631"/>
      <c r="AO872" s="1631"/>
      <c r="AP872" s="521"/>
      <c r="AQ872" s="522"/>
      <c r="AR872" s="522"/>
      <c r="AS872" s="522"/>
      <c r="AT872" s="522"/>
      <c r="AU872" s="522"/>
      <c r="AV872" s="522"/>
      <c r="AW872" s="1216"/>
      <c r="AX872" s="1631"/>
      <c r="BA872" s="522"/>
      <c r="BB872" s="1216"/>
      <c r="BC872" s="1631"/>
      <c r="JV872" s="1637"/>
      <c r="KA872" s="1637"/>
      <c r="KB872" s="1637"/>
      <c r="KC872" s="1637"/>
      <c r="KD872" s="1637"/>
      <c r="KE872" s="1637"/>
      <c r="KF872" s="1637"/>
      <c r="KG872" s="1637"/>
      <c r="KH872" s="1637"/>
      <c r="KI872" s="1637"/>
      <c r="KJ872" s="1637"/>
      <c r="KK872" s="1637"/>
      <c r="KL872" s="1637"/>
      <c r="KM872" s="1637"/>
      <c r="KN872" s="1637"/>
      <c r="KO872" s="1637"/>
      <c r="KP872" s="1637"/>
      <c r="KQ872" s="1637"/>
      <c r="KR872" s="1637"/>
      <c r="KS872" s="1637"/>
      <c r="KT872" s="1637"/>
      <c r="KU872" s="1637"/>
      <c r="KV872" s="1637"/>
      <c r="KW872" s="1637"/>
      <c r="KX872" s="1637"/>
      <c r="KY872" s="1637"/>
      <c r="KZ872" s="1637"/>
      <c r="LA872" s="1637"/>
      <c r="LB872" s="1637"/>
      <c r="LC872" s="1637"/>
      <c r="LD872" s="1637"/>
      <c r="LE872" s="1637"/>
      <c r="LF872" s="1637"/>
    </row>
    <row r="873" spans="1:318">
      <c r="A873" s="1851" t="str">
        <f>IF(AND('Part IV-A-Uses of Funds'!$T$165="Yes",'Part IX Scoring Criteria'!$O$420&gt;0,O873&lt;1),"SHOW HISTORIC UNITS HERE &gt;&gt;&gt;&gt;","")</f>
        <v/>
      </c>
      <c r="B873" s="1851"/>
      <c r="C873" s="1851"/>
      <c r="D873" s="1851"/>
      <c r="E873" s="1634" t="s">
        <v>4531</v>
      </c>
      <c r="F873" s="1631"/>
      <c r="G873" s="1652"/>
      <c r="J873" s="1833">
        <f>'Part VI-Revenues &amp; Expenses'!J111</f>
        <v>0</v>
      </c>
      <c r="K873" s="1833">
        <f>'Part VI-Revenues &amp; Expenses'!K111</f>
        <v>0</v>
      </c>
      <c r="L873" s="1833">
        <f>'Part VI-Revenues &amp; Expenses'!L111</f>
        <v>0</v>
      </c>
      <c r="M873" s="1833">
        <f>'Part VI-Revenues &amp; Expenses'!M111</f>
        <v>0</v>
      </c>
      <c r="N873" s="1833">
        <f>'Part VI-Revenues &amp; Expenses'!N111</f>
        <v>0</v>
      </c>
      <c r="O873" s="1833">
        <f t="shared" si="347"/>
        <v>0</v>
      </c>
      <c r="R873" s="1838">
        <f>'Part VI-Revenues &amp; Expenses'!R111</f>
        <v>0</v>
      </c>
      <c r="S873" s="1838"/>
      <c r="T873" s="1838"/>
      <c r="U873" s="1838"/>
      <c r="V873" s="1838"/>
      <c r="W873" s="1631"/>
      <c r="Z873" s="1631"/>
      <c r="AA873" s="521"/>
      <c r="AB873" s="1631"/>
      <c r="AE873" s="1631"/>
      <c r="AF873" s="521"/>
      <c r="AG873" s="1631"/>
      <c r="AJ873" s="1631"/>
      <c r="AK873" s="521"/>
      <c r="AL873" s="1631"/>
      <c r="AO873" s="1631"/>
      <c r="AP873" s="521"/>
      <c r="AQ873" s="522"/>
      <c r="AR873" s="522"/>
      <c r="AS873" s="522"/>
      <c r="AT873" s="522"/>
      <c r="AU873" s="522"/>
      <c r="AV873" s="522"/>
      <c r="AW873" s="1216"/>
      <c r="AX873" s="1631"/>
      <c r="BA873" s="522"/>
      <c r="BB873" s="1216"/>
      <c r="BC873" s="1631"/>
      <c r="JV873" s="1637"/>
      <c r="KA873" s="1637"/>
      <c r="KB873" s="1637"/>
      <c r="KC873" s="1637"/>
      <c r="KD873" s="1637"/>
      <c r="KE873" s="1637"/>
      <c r="KF873" s="1637"/>
      <c r="KG873" s="1637"/>
      <c r="KH873" s="1637"/>
      <c r="KI873" s="1637"/>
      <c r="KJ873" s="1637"/>
      <c r="KK873" s="1637"/>
      <c r="KL873" s="1637"/>
      <c r="KM873" s="1637"/>
      <c r="KN873" s="1637"/>
      <c r="KO873" s="1637"/>
      <c r="KP873" s="1637"/>
      <c r="KQ873" s="1637"/>
      <c r="KR873" s="1637"/>
      <c r="KS873" s="1637"/>
      <c r="KT873" s="1637"/>
      <c r="KU873" s="1637"/>
      <c r="KV873" s="1637"/>
      <c r="KW873" s="1637"/>
      <c r="KX873" s="1637"/>
      <c r="KY873" s="1637"/>
      <c r="KZ873" s="1637"/>
      <c r="LA873" s="1637"/>
      <c r="LB873" s="1637"/>
      <c r="LC873" s="1637"/>
      <c r="LD873" s="1637"/>
      <c r="LE873" s="1637"/>
      <c r="LF873" s="1637"/>
    </row>
    <row r="874" spans="1:318">
      <c r="A874" s="1849"/>
      <c r="B874" s="1849"/>
      <c r="C874" s="1849"/>
      <c r="D874" s="1849"/>
      <c r="E874" s="1634"/>
      <c r="F874" s="1631"/>
      <c r="G874" s="1652"/>
      <c r="J874" s="521"/>
      <c r="K874" s="521"/>
      <c r="L874" s="521"/>
      <c r="M874" s="521"/>
      <c r="N874" s="521"/>
      <c r="O874" s="521"/>
      <c r="R874" s="1838">
        <f>'Part VI-Revenues &amp; Expenses'!R112</f>
        <v>0</v>
      </c>
      <c r="S874" s="1838"/>
      <c r="T874" s="1838"/>
      <c r="U874" s="1838"/>
      <c r="V874" s="1838"/>
      <c r="W874" s="1631"/>
      <c r="Z874" s="1631"/>
      <c r="AA874" s="521"/>
      <c r="AB874" s="1631"/>
      <c r="AE874" s="1631"/>
      <c r="AF874" s="521"/>
      <c r="AG874" s="1631"/>
      <c r="AJ874" s="1631"/>
      <c r="AK874" s="521"/>
      <c r="AL874" s="1631"/>
      <c r="AO874" s="1631"/>
      <c r="AP874" s="521"/>
      <c r="AQ874" s="522"/>
      <c r="AR874" s="522"/>
      <c r="AS874" s="522"/>
      <c r="AT874" s="522"/>
      <c r="AU874" s="522"/>
      <c r="AV874" s="522"/>
      <c r="AW874" s="1216"/>
      <c r="AX874" s="1631"/>
      <c r="BA874" s="522"/>
      <c r="BB874" s="1216"/>
      <c r="BC874" s="1631"/>
      <c r="JV874" s="1637"/>
      <c r="KA874" s="1637"/>
      <c r="KB874" s="1637"/>
      <c r="KC874" s="1637"/>
      <c r="KD874" s="1637"/>
      <c r="KE874" s="1637"/>
      <c r="KF874" s="1637"/>
      <c r="KG874" s="1637"/>
      <c r="KH874" s="1637"/>
      <c r="KI874" s="1637"/>
      <c r="KJ874" s="1637"/>
      <c r="KK874" s="1637"/>
      <c r="KL874" s="1637"/>
      <c r="KM874" s="1637"/>
      <c r="KN874" s="1637"/>
      <c r="KO874" s="1637"/>
      <c r="KP874" s="1637"/>
      <c r="KQ874" s="1637"/>
      <c r="KR874" s="1637"/>
      <c r="KS874" s="1637"/>
      <c r="KT874" s="1637"/>
      <c r="KU874" s="1637"/>
      <c r="KV874" s="1637"/>
      <c r="KW874" s="1637"/>
      <c r="KX874" s="1637"/>
      <c r="KY874" s="1637"/>
      <c r="KZ874" s="1637"/>
      <c r="LA874" s="1637"/>
      <c r="LB874" s="1637"/>
      <c r="LC874" s="1637"/>
      <c r="LD874" s="1637"/>
      <c r="LE874" s="1637"/>
      <c r="LF874" s="1637"/>
    </row>
    <row r="875" spans="1:318">
      <c r="A875" s="1849"/>
      <c r="B875" s="1849"/>
      <c r="C875" s="1849"/>
      <c r="D875" s="1849"/>
      <c r="E875" s="1634" t="s">
        <v>3357</v>
      </c>
      <c r="F875" s="1631"/>
      <c r="G875" s="1652"/>
      <c r="J875" s="1833">
        <f>J879+J881+J883+J885+J887+J889+J891+J893</f>
        <v>0</v>
      </c>
      <c r="K875" s="1833">
        <f>K879+K881+K883+K885+K887+K889+K891+K893</f>
        <v>0</v>
      </c>
      <c r="L875" s="1833">
        <f>L879+L881+L883+L885+L887+L889+L891+L893</f>
        <v>0</v>
      </c>
      <c r="M875" s="1833">
        <f>M879+M881+M883+M885+M887+M889+M891+M893</f>
        <v>0</v>
      </c>
      <c r="N875" s="1833">
        <f>N879+N881+N883+N885+N887+N889+N891+N893</f>
        <v>0</v>
      </c>
      <c r="O875" s="1833">
        <f>SUM(J875:N875)</f>
        <v>0</v>
      </c>
      <c r="R875" s="1838">
        <f>'Part VI-Revenues &amp; Expenses'!R113</f>
        <v>0</v>
      </c>
      <c r="S875" s="1838"/>
      <c r="T875" s="1838"/>
      <c r="U875" s="1838"/>
      <c r="V875" s="1838"/>
      <c r="W875" s="1631"/>
      <c r="Z875" s="1631"/>
      <c r="AA875" s="521"/>
      <c r="AB875" s="1631"/>
      <c r="AE875" s="1631"/>
      <c r="AF875" s="521"/>
      <c r="AG875" s="1631"/>
      <c r="AJ875" s="1631"/>
      <c r="AK875" s="521"/>
      <c r="AL875" s="1631"/>
      <c r="AO875" s="1631"/>
      <c r="AP875" s="521"/>
      <c r="AQ875" s="522"/>
      <c r="AR875" s="522"/>
      <c r="AS875" s="522"/>
      <c r="AT875" s="522"/>
      <c r="AU875" s="522"/>
      <c r="AV875" s="522"/>
      <c r="AW875" s="1216"/>
      <c r="AX875" s="1631"/>
      <c r="BA875" s="522"/>
      <c r="BB875" s="1216"/>
      <c r="BC875" s="1631"/>
      <c r="JV875" s="1637"/>
      <c r="KA875" s="1637"/>
      <c r="KB875" s="1637"/>
      <c r="KC875" s="1637"/>
      <c r="KD875" s="1637"/>
      <c r="KE875" s="1637"/>
      <c r="KF875" s="1637"/>
      <c r="KG875" s="1637"/>
      <c r="KH875" s="1637"/>
      <c r="KI875" s="1637"/>
      <c r="KJ875" s="1637"/>
      <c r="KK875" s="1637"/>
      <c r="KL875" s="1637"/>
      <c r="KM875" s="1637"/>
      <c r="KN875" s="1637"/>
      <c r="KO875" s="1637"/>
      <c r="KP875" s="1637"/>
      <c r="KQ875" s="1637"/>
      <c r="KR875" s="1637"/>
      <c r="KS875" s="1637"/>
      <c r="KT875" s="1637"/>
      <c r="KU875" s="1637"/>
      <c r="KV875" s="1637"/>
      <c r="KW875" s="1637"/>
      <c r="KX875" s="1637"/>
      <c r="KY875" s="1637"/>
      <c r="KZ875" s="1637"/>
      <c r="LA875" s="1637"/>
      <c r="LB875" s="1637"/>
      <c r="LC875" s="1637"/>
      <c r="LD875" s="1637"/>
      <c r="LE875" s="1637"/>
      <c r="LF875" s="1637"/>
    </row>
    <row r="876" spans="1:318">
      <c r="D876" s="1631"/>
      <c r="E876" s="1634"/>
      <c r="F876" s="1631"/>
      <c r="G876" s="1652"/>
      <c r="J876" s="1836"/>
      <c r="K876" s="1836"/>
      <c r="L876" s="1836"/>
      <c r="M876" s="1836"/>
      <c r="N876" s="1836"/>
      <c r="O876" s="1836"/>
      <c r="R876" s="1665" t="str">
        <f>C877</f>
        <v>Building Type: (for Utility Allowance, Monitoring Fees and other purposes)</v>
      </c>
      <c r="T876" s="1632"/>
      <c r="W876" s="1631"/>
      <c r="Z876" s="1631"/>
      <c r="AA876" s="521"/>
      <c r="AB876" s="1631"/>
      <c r="AE876" s="1631"/>
      <c r="AF876" s="521"/>
      <c r="AG876" s="1631"/>
      <c r="AJ876" s="1631"/>
      <c r="AK876" s="521"/>
      <c r="AL876" s="1631"/>
      <c r="AO876" s="1631"/>
      <c r="AP876" s="521"/>
      <c r="AQ876" s="1631"/>
      <c r="AR876" s="1631"/>
      <c r="AS876" s="1631"/>
      <c r="AT876" s="1631"/>
      <c r="AU876" s="1631"/>
      <c r="AV876" s="1631"/>
      <c r="AX876" s="1631"/>
      <c r="BA876" s="1631"/>
      <c r="BC876" s="1631"/>
      <c r="JV876" s="1637"/>
      <c r="KA876" s="1637"/>
      <c r="KB876" s="1637"/>
      <c r="KC876" s="1637"/>
      <c r="KD876" s="1637"/>
      <c r="KE876" s="1637"/>
      <c r="KF876" s="1637"/>
      <c r="KG876" s="1637"/>
      <c r="KH876" s="1637"/>
      <c r="KI876" s="1637"/>
      <c r="KJ876" s="1637"/>
      <c r="KK876" s="1637"/>
      <c r="KL876" s="1637"/>
      <c r="KM876" s="1637"/>
      <c r="KN876" s="1637"/>
      <c r="KO876" s="1637"/>
      <c r="KP876" s="1637"/>
      <c r="KQ876" s="1637"/>
      <c r="KR876" s="1637"/>
      <c r="KS876" s="1637"/>
      <c r="KT876" s="1637"/>
      <c r="KU876" s="1637"/>
      <c r="KV876" s="1637"/>
      <c r="KW876" s="1637"/>
      <c r="KX876" s="1637"/>
      <c r="KY876" s="1637"/>
      <c r="KZ876" s="1637"/>
      <c r="LA876" s="1637"/>
      <c r="LB876" s="1637"/>
      <c r="LC876" s="1637"/>
      <c r="LD876" s="1637"/>
      <c r="LE876" s="1637"/>
      <c r="LF876" s="1637"/>
    </row>
    <row r="877" spans="1:318" ht="12.75" customHeight="1">
      <c r="C877" s="1838" t="s">
        <v>5163</v>
      </c>
      <c r="D877" s="1838"/>
      <c r="E877" s="1634" t="s">
        <v>39</v>
      </c>
      <c r="F877" s="1631"/>
      <c r="G877" s="1652"/>
      <c r="J877" s="1833">
        <f t="shared" ref="J877:O877" si="348">SUM(J878:J885)</f>
        <v>0</v>
      </c>
      <c r="K877" s="1833">
        <f t="shared" si="348"/>
        <v>12</v>
      </c>
      <c r="L877" s="1833">
        <f t="shared" si="348"/>
        <v>56</v>
      </c>
      <c r="M877" s="1833">
        <f t="shared" si="348"/>
        <v>8</v>
      </c>
      <c r="N877" s="1833">
        <f t="shared" si="348"/>
        <v>8</v>
      </c>
      <c r="O877" s="1833">
        <f t="shared" si="348"/>
        <v>84</v>
      </c>
      <c r="R877" s="1838">
        <f>'Part VI-Revenues &amp; Expenses'!R115</f>
        <v>0</v>
      </c>
      <c r="S877" s="1838"/>
      <c r="T877" s="1838"/>
      <c r="U877" s="1838"/>
      <c r="V877" s="1838"/>
      <c r="W877" s="1631"/>
      <c r="Z877" s="1631"/>
      <c r="AA877" s="521"/>
      <c r="AB877" s="1631"/>
      <c r="AE877" s="1631"/>
      <c r="AF877" s="521"/>
      <c r="AG877" s="1631"/>
      <c r="AJ877" s="1631"/>
      <c r="AK877" s="521"/>
      <c r="AL877" s="1631"/>
      <c r="AO877" s="1631"/>
      <c r="AP877" s="521"/>
      <c r="AQ877" s="522"/>
      <c r="AR877" s="522"/>
      <c r="AS877" s="522"/>
      <c r="AT877" s="522"/>
      <c r="AU877" s="522"/>
      <c r="AV877" s="522"/>
      <c r="BA877" s="522"/>
    </row>
    <row r="878" spans="1:318">
      <c r="C878" s="1838"/>
      <c r="D878" s="1838"/>
      <c r="E878" s="1634"/>
      <c r="F878" s="1631"/>
      <c r="H878" s="1841" t="s">
        <v>2604</v>
      </c>
      <c r="J878" s="1833">
        <f>JR810</f>
        <v>0</v>
      </c>
      <c r="K878" s="1833">
        <f>JS810</f>
        <v>0</v>
      </c>
      <c r="L878" s="1833">
        <f>JT810</f>
        <v>0</v>
      </c>
      <c r="M878" s="1833">
        <f>JU810</f>
        <v>0</v>
      </c>
      <c r="N878" s="1833">
        <f>JV810</f>
        <v>0</v>
      </c>
      <c r="O878" s="1833">
        <f t="shared" ref="O878:O893" si="349">SUM(J878:N878)</f>
        <v>0</v>
      </c>
      <c r="R878" s="1838">
        <f>'Part VI-Revenues &amp; Expenses'!R116</f>
        <v>0</v>
      </c>
      <c r="S878" s="1838"/>
      <c r="T878" s="1838"/>
      <c r="U878" s="1838"/>
      <c r="V878" s="1838"/>
      <c r="W878" s="1631"/>
      <c r="Z878" s="1631"/>
      <c r="AA878" s="521"/>
      <c r="AB878" s="1631"/>
      <c r="AE878" s="1631"/>
      <c r="AF878" s="521"/>
      <c r="AG878" s="1631"/>
      <c r="AJ878" s="1631"/>
      <c r="AK878" s="521"/>
      <c r="AL878" s="1631"/>
      <c r="AO878" s="1631"/>
      <c r="AP878" s="521"/>
      <c r="AQ878" s="522"/>
      <c r="AR878" s="522"/>
      <c r="AS878" s="522"/>
      <c r="AT878" s="522"/>
      <c r="AU878" s="522"/>
      <c r="AV878" s="522"/>
      <c r="BA878" s="522"/>
    </row>
    <row r="879" spans="1:318">
      <c r="C879" s="1838"/>
      <c r="D879" s="1838"/>
      <c r="E879" s="1634"/>
      <c r="F879" s="1631"/>
      <c r="H879" s="1842" t="s">
        <v>3357</v>
      </c>
      <c r="J879" s="1833">
        <f>JW810</f>
        <v>0</v>
      </c>
      <c r="K879" s="1833">
        <f>JX810</f>
        <v>0</v>
      </c>
      <c r="L879" s="1833">
        <f>JY810</f>
        <v>0</v>
      </c>
      <c r="M879" s="1833">
        <f>JZ810</f>
        <v>0</v>
      </c>
      <c r="N879" s="1833">
        <f>KA810</f>
        <v>0</v>
      </c>
      <c r="O879" s="1833">
        <f t="shared" si="349"/>
        <v>0</v>
      </c>
      <c r="R879" s="1838">
        <f>'Part VI-Revenues &amp; Expenses'!R117</f>
        <v>0</v>
      </c>
      <c r="S879" s="1838"/>
      <c r="T879" s="1838"/>
      <c r="U879" s="1838"/>
      <c r="V879" s="1838"/>
      <c r="W879" s="1631"/>
      <c r="Z879" s="1631"/>
      <c r="AA879" s="521"/>
      <c r="AB879" s="1631"/>
      <c r="AE879" s="1631"/>
      <c r="AF879" s="521"/>
      <c r="AG879" s="1631"/>
      <c r="AJ879" s="1631"/>
      <c r="AK879" s="521"/>
      <c r="AL879" s="1631"/>
      <c r="AO879" s="1631"/>
      <c r="AP879" s="521"/>
      <c r="AQ879" s="522"/>
      <c r="AR879" s="522"/>
      <c r="AS879" s="522"/>
      <c r="AT879" s="522"/>
      <c r="AU879" s="522"/>
      <c r="AV879" s="522"/>
      <c r="BA879" s="522"/>
    </row>
    <row r="880" spans="1:318">
      <c r="C880" s="1838"/>
      <c r="D880" s="1838"/>
      <c r="E880" s="1634"/>
      <c r="F880" s="1631"/>
      <c r="H880" s="1841" t="s">
        <v>2605</v>
      </c>
      <c r="J880" s="1833">
        <f>KB810</f>
        <v>0</v>
      </c>
      <c r="K880" s="1833">
        <f>KC810</f>
        <v>0</v>
      </c>
      <c r="L880" s="1833">
        <f>KD810</f>
        <v>0</v>
      </c>
      <c r="M880" s="1833">
        <f>KE810</f>
        <v>0</v>
      </c>
      <c r="N880" s="1833">
        <f>KF810</f>
        <v>0</v>
      </c>
      <c r="O880" s="1833">
        <f t="shared" si="349"/>
        <v>0</v>
      </c>
      <c r="R880" s="1838">
        <f>'Part VI-Revenues &amp; Expenses'!R118</f>
        <v>0</v>
      </c>
      <c r="S880" s="1838"/>
      <c r="T880" s="1838"/>
      <c r="U880" s="1838"/>
      <c r="V880" s="1838"/>
      <c r="W880" s="1631"/>
      <c r="Z880" s="1631"/>
      <c r="AA880" s="521"/>
      <c r="AB880" s="1631"/>
      <c r="AE880" s="1631"/>
      <c r="AF880" s="521"/>
      <c r="AG880" s="1631"/>
      <c r="AJ880" s="1631"/>
      <c r="AK880" s="521"/>
      <c r="AL880" s="1631"/>
      <c r="AO880" s="1631"/>
      <c r="AP880" s="521"/>
      <c r="AQ880" s="522"/>
      <c r="AR880" s="522"/>
      <c r="AS880" s="522"/>
      <c r="AT880" s="522"/>
      <c r="AU880" s="522"/>
      <c r="AV880" s="522"/>
      <c r="BA880" s="522"/>
    </row>
    <row r="881" spans="1:318">
      <c r="C881" s="1838"/>
      <c r="D881" s="1838"/>
      <c r="E881" s="1634"/>
      <c r="F881" s="1631"/>
      <c r="H881" s="1842" t="s">
        <v>3357</v>
      </c>
      <c r="J881" s="1833">
        <f>KG810</f>
        <v>0</v>
      </c>
      <c r="K881" s="1833">
        <f>KH810</f>
        <v>0</v>
      </c>
      <c r="L881" s="1833">
        <f>KI810</f>
        <v>0</v>
      </c>
      <c r="M881" s="1833">
        <f>KJ810</f>
        <v>0</v>
      </c>
      <c r="N881" s="1833">
        <f>KK810</f>
        <v>0</v>
      </c>
      <c r="O881" s="1833">
        <f t="shared" si="349"/>
        <v>0</v>
      </c>
      <c r="R881" s="1838">
        <f>'Part VI-Revenues &amp; Expenses'!R119</f>
        <v>0</v>
      </c>
      <c r="S881" s="1838"/>
      <c r="T881" s="1838"/>
      <c r="U881" s="1838"/>
      <c r="V881" s="1838"/>
      <c r="W881" s="1631"/>
      <c r="Z881" s="1631"/>
      <c r="AA881" s="521"/>
      <c r="AB881" s="1631"/>
      <c r="AE881" s="1631"/>
      <c r="AF881" s="521"/>
      <c r="AG881" s="1631"/>
      <c r="AJ881" s="1631"/>
      <c r="AK881" s="521"/>
      <c r="AL881" s="1631"/>
      <c r="AO881" s="1631"/>
      <c r="AP881" s="521"/>
      <c r="AQ881" s="522"/>
      <c r="AR881" s="522"/>
      <c r="AS881" s="522"/>
      <c r="AT881" s="522"/>
      <c r="AU881" s="522"/>
      <c r="AV881" s="522"/>
      <c r="BA881" s="522"/>
    </row>
    <row r="882" spans="1:318">
      <c r="C882" s="1838"/>
      <c r="D882" s="1838"/>
      <c r="E882" s="1634"/>
      <c r="F882" s="1631"/>
      <c r="H882" s="1841" t="s">
        <v>2607</v>
      </c>
      <c r="J882" s="1833">
        <f>KL810</f>
        <v>0</v>
      </c>
      <c r="K882" s="1833">
        <f>KM810</f>
        <v>0</v>
      </c>
      <c r="L882" s="1833">
        <f>KN810</f>
        <v>0</v>
      </c>
      <c r="M882" s="1833">
        <f>KO810</f>
        <v>0</v>
      </c>
      <c r="N882" s="1833">
        <f>KP810</f>
        <v>0</v>
      </c>
      <c r="O882" s="1833">
        <f t="shared" si="349"/>
        <v>0</v>
      </c>
      <c r="R882" s="1838">
        <f>'Part VI-Revenues &amp; Expenses'!R120</f>
        <v>0</v>
      </c>
      <c r="S882" s="1838"/>
      <c r="T882" s="1838"/>
      <c r="U882" s="1838"/>
      <c r="V882" s="1838"/>
      <c r="W882" s="1631"/>
      <c r="Z882" s="1631"/>
      <c r="AA882" s="521"/>
      <c r="AB882" s="1631"/>
      <c r="AE882" s="1631"/>
      <c r="AF882" s="521"/>
      <c r="AG882" s="1631"/>
      <c r="AJ882" s="1631"/>
      <c r="AK882" s="521"/>
      <c r="AL882" s="1631"/>
      <c r="AO882" s="1631"/>
      <c r="AP882" s="521"/>
      <c r="AQ882" s="522"/>
      <c r="AR882" s="522"/>
      <c r="AS882" s="522"/>
      <c r="AT882" s="522"/>
      <c r="AU882" s="522"/>
      <c r="AV882" s="522"/>
      <c r="BA882" s="522"/>
    </row>
    <row r="883" spans="1:318">
      <c r="C883" s="1838"/>
      <c r="D883" s="1838"/>
      <c r="E883" s="1634"/>
      <c r="F883" s="1631"/>
      <c r="H883" s="1842" t="s">
        <v>3357</v>
      </c>
      <c r="J883" s="1833">
        <f>KQ810</f>
        <v>0</v>
      </c>
      <c r="K883" s="1833">
        <f>KR810</f>
        <v>0</v>
      </c>
      <c r="L883" s="1833">
        <f>KS810</f>
        <v>0</v>
      </c>
      <c r="M883" s="1833">
        <f>KT810</f>
        <v>0</v>
      </c>
      <c r="N883" s="1833">
        <f>KU810</f>
        <v>0</v>
      </c>
      <c r="O883" s="1833">
        <f t="shared" si="349"/>
        <v>0</v>
      </c>
      <c r="R883" s="1838">
        <f>'Part VI-Revenues &amp; Expenses'!R121</f>
        <v>0</v>
      </c>
      <c r="S883" s="1838"/>
      <c r="T883" s="1838"/>
      <c r="U883" s="1838"/>
      <c r="V883" s="1838"/>
      <c r="W883" s="1631"/>
      <c r="Z883" s="1631"/>
      <c r="AA883" s="521"/>
      <c r="AB883" s="1631"/>
      <c r="AE883" s="1631"/>
      <c r="AF883" s="521"/>
      <c r="AG883" s="1631"/>
      <c r="AJ883" s="1631"/>
      <c r="AK883" s="521"/>
      <c r="AL883" s="1631"/>
      <c r="AO883" s="1631"/>
      <c r="AP883" s="521"/>
      <c r="AQ883" s="522"/>
      <c r="AR883" s="522"/>
      <c r="AS883" s="522"/>
      <c r="AT883" s="522"/>
      <c r="AU883" s="522"/>
      <c r="AV883" s="522"/>
      <c r="BA883" s="522"/>
    </row>
    <row r="884" spans="1:318">
      <c r="C884" s="1838"/>
      <c r="D884" s="1838"/>
      <c r="E884" s="1634"/>
      <c r="F884" s="1631"/>
      <c r="H884" s="1841" t="s">
        <v>2606</v>
      </c>
      <c r="J884" s="1833">
        <f>KV810</f>
        <v>0</v>
      </c>
      <c r="K884" s="1833">
        <f>KW810</f>
        <v>12</v>
      </c>
      <c r="L884" s="1833">
        <f>KX810</f>
        <v>56</v>
      </c>
      <c r="M884" s="1833">
        <f>KY810</f>
        <v>8</v>
      </c>
      <c r="N884" s="1833">
        <f>KZ810</f>
        <v>8</v>
      </c>
      <c r="O884" s="1833">
        <f t="shared" si="349"/>
        <v>84</v>
      </c>
      <c r="R884" s="1838">
        <f>'Part VI-Revenues &amp; Expenses'!R122</f>
        <v>0</v>
      </c>
      <c r="S884" s="1838"/>
      <c r="T884" s="1838"/>
      <c r="U884" s="1838"/>
      <c r="V884" s="1838"/>
      <c r="W884" s="1631"/>
      <c r="Z884" s="1631"/>
      <c r="AA884" s="521"/>
      <c r="AB884" s="1631"/>
      <c r="AE884" s="1631"/>
      <c r="AF884" s="521"/>
      <c r="AG884" s="1631"/>
      <c r="AJ884" s="1631"/>
      <c r="AK884" s="521"/>
      <c r="AL884" s="1631"/>
      <c r="AO884" s="1631"/>
      <c r="AP884" s="521"/>
      <c r="AQ884" s="522"/>
      <c r="AR884" s="522"/>
      <c r="AS884" s="522"/>
      <c r="AT884" s="522"/>
      <c r="AU884" s="522"/>
      <c r="AV884" s="522"/>
      <c r="BA884" s="522"/>
    </row>
    <row r="885" spans="1:318">
      <c r="C885" s="1838"/>
      <c r="D885" s="1838"/>
      <c r="E885" s="1634"/>
      <c r="F885" s="1631"/>
      <c r="H885" s="1842" t="s">
        <v>3357</v>
      </c>
      <c r="J885" s="1833">
        <f>LA810</f>
        <v>0</v>
      </c>
      <c r="K885" s="1833">
        <f>LB810</f>
        <v>0</v>
      </c>
      <c r="L885" s="1833">
        <f>LC810</f>
        <v>0</v>
      </c>
      <c r="M885" s="1833">
        <f>LD810</f>
        <v>0</v>
      </c>
      <c r="N885" s="1833">
        <f>LE810</f>
        <v>0</v>
      </c>
      <c r="O885" s="1833">
        <f t="shared" si="349"/>
        <v>0</v>
      </c>
      <c r="R885" s="1838">
        <f>'Part VI-Revenues &amp; Expenses'!R123</f>
        <v>0</v>
      </c>
      <c r="S885" s="1838"/>
      <c r="T885" s="1838"/>
      <c r="U885" s="1838"/>
      <c r="V885" s="1838"/>
      <c r="W885" s="1631"/>
      <c r="Z885" s="1631"/>
      <c r="AA885" s="521"/>
      <c r="AB885" s="1631"/>
      <c r="AE885" s="1631"/>
      <c r="AF885" s="521"/>
      <c r="AG885" s="1631"/>
      <c r="AJ885" s="1631"/>
      <c r="AK885" s="521"/>
      <c r="AL885" s="1631"/>
      <c r="AO885" s="1631"/>
      <c r="AP885" s="521"/>
      <c r="AQ885" s="522"/>
      <c r="AR885" s="522"/>
      <c r="AS885" s="522"/>
      <c r="AT885" s="522"/>
      <c r="AU885" s="522"/>
      <c r="AV885" s="522"/>
      <c r="BA885" s="522"/>
    </row>
    <row r="886" spans="1:318">
      <c r="E886" s="1634" t="s">
        <v>40</v>
      </c>
      <c r="F886" s="1631"/>
      <c r="H886" s="1841"/>
      <c r="J886" s="1833">
        <f>ID810</f>
        <v>0</v>
      </c>
      <c r="K886" s="1833">
        <f>IE810</f>
        <v>0</v>
      </c>
      <c r="L886" s="1833">
        <f>IF810</f>
        <v>0</v>
      </c>
      <c r="M886" s="1833">
        <f>IG810</f>
        <v>0</v>
      </c>
      <c r="N886" s="1833">
        <f>IH810</f>
        <v>0</v>
      </c>
      <c r="O886" s="1833">
        <f t="shared" si="349"/>
        <v>0</v>
      </c>
      <c r="R886" s="1838">
        <f>'Part VI-Revenues &amp; Expenses'!R124</f>
        <v>0</v>
      </c>
      <c r="S886" s="1838"/>
      <c r="T886" s="1838"/>
      <c r="U886" s="1838"/>
      <c r="V886" s="1838"/>
      <c r="W886" s="1631"/>
      <c r="Z886" s="1631"/>
      <c r="AA886" s="521"/>
      <c r="AB886" s="1631"/>
      <c r="AE886" s="1631"/>
      <c r="AF886" s="521"/>
      <c r="AG886" s="1631"/>
      <c r="AJ886" s="1631"/>
      <c r="AK886" s="521"/>
      <c r="AL886" s="1631"/>
      <c r="AO886" s="1631"/>
      <c r="AP886" s="521"/>
      <c r="AQ886" s="522"/>
      <c r="AR886" s="522"/>
      <c r="AS886" s="522"/>
      <c r="AT886" s="522"/>
      <c r="AU886" s="522"/>
      <c r="AV886" s="522"/>
      <c r="AW886" s="1216"/>
      <c r="AX886" s="1631"/>
      <c r="BA886" s="522"/>
      <c r="BB886" s="1216"/>
      <c r="BC886" s="1631"/>
      <c r="JV886" s="1637"/>
      <c r="KA886" s="1637"/>
      <c r="KB886" s="1637"/>
      <c r="KC886" s="1637"/>
      <c r="KD886" s="1637"/>
      <c r="KE886" s="1637"/>
      <c r="KF886" s="1637"/>
      <c r="KG886" s="1637"/>
      <c r="KH886" s="1637"/>
      <c r="KI886" s="1637"/>
      <c r="KJ886" s="1637"/>
      <c r="KK886" s="1637"/>
      <c r="KL886" s="1637"/>
      <c r="KM886" s="1637"/>
      <c r="KN886" s="1637"/>
      <c r="KO886" s="1637"/>
      <c r="KP886" s="1637"/>
      <c r="KQ886" s="1637"/>
      <c r="KR886" s="1637"/>
      <c r="KS886" s="1637"/>
      <c r="KT886" s="1637"/>
      <c r="KU886" s="1637"/>
      <c r="KV886" s="1637"/>
      <c r="KW886" s="1637"/>
      <c r="KX886" s="1637"/>
      <c r="KY886" s="1637"/>
      <c r="KZ886" s="1637"/>
      <c r="LA886" s="1637"/>
      <c r="LB886" s="1637"/>
      <c r="LC886" s="1637"/>
      <c r="LD886" s="1637"/>
      <c r="LE886" s="1637"/>
      <c r="LF886" s="1637"/>
    </row>
    <row r="887" spans="1:318">
      <c r="E887" s="1634"/>
      <c r="F887" s="1631"/>
      <c r="H887" s="1842" t="s">
        <v>3357</v>
      </c>
      <c r="J887" s="1833">
        <f>II810</f>
        <v>0</v>
      </c>
      <c r="K887" s="1833">
        <f>IJ810</f>
        <v>0</v>
      </c>
      <c r="L887" s="1833">
        <f>IK810</f>
        <v>0</v>
      </c>
      <c r="M887" s="1833">
        <f>IL810</f>
        <v>0</v>
      </c>
      <c r="N887" s="1833">
        <f>IM810</f>
        <v>0</v>
      </c>
      <c r="O887" s="1833">
        <f t="shared" si="349"/>
        <v>0</v>
      </c>
      <c r="R887" s="1838">
        <f>'Part VI-Revenues &amp; Expenses'!R125</f>
        <v>0</v>
      </c>
      <c r="S887" s="1838"/>
      <c r="T887" s="1838"/>
      <c r="U887" s="1838"/>
      <c r="V887" s="1838"/>
      <c r="W887" s="1631"/>
      <c r="Z887" s="1631"/>
      <c r="AA887" s="521"/>
      <c r="AB887" s="1631"/>
      <c r="AE887" s="1631"/>
      <c r="AF887" s="521"/>
      <c r="AG887" s="1631"/>
      <c r="AJ887" s="1631"/>
      <c r="AK887" s="521"/>
      <c r="AL887" s="1631"/>
      <c r="AO887" s="1631"/>
      <c r="AP887" s="521"/>
      <c r="AQ887" s="522"/>
      <c r="AR887" s="522"/>
      <c r="AS887" s="522"/>
      <c r="AT887" s="522"/>
      <c r="AU887" s="522"/>
      <c r="AV887" s="522"/>
      <c r="AW887" s="1216"/>
      <c r="AX887" s="1631"/>
      <c r="BA887" s="522"/>
      <c r="BB887" s="1216"/>
      <c r="BC887" s="1631"/>
      <c r="JV887" s="1637"/>
      <c r="KA887" s="1637"/>
      <c r="KB887" s="1637"/>
      <c r="KC887" s="1637"/>
      <c r="KD887" s="1637"/>
      <c r="KE887" s="1637"/>
      <c r="KF887" s="1637"/>
      <c r="KG887" s="1637"/>
      <c r="KH887" s="1637"/>
      <c r="KI887" s="1637"/>
      <c r="KJ887" s="1637"/>
      <c r="KK887" s="1637"/>
      <c r="KL887" s="1637"/>
      <c r="KM887" s="1637"/>
      <c r="KN887" s="1637"/>
      <c r="KO887" s="1637"/>
      <c r="KP887" s="1637"/>
      <c r="KQ887" s="1637"/>
      <c r="KR887" s="1637"/>
      <c r="KS887" s="1637"/>
      <c r="KT887" s="1637"/>
      <c r="KU887" s="1637"/>
      <c r="KV887" s="1637"/>
      <c r="KW887" s="1637"/>
      <c r="KX887" s="1637"/>
      <c r="KY887" s="1637"/>
      <c r="KZ887" s="1637"/>
      <c r="LA887" s="1637"/>
      <c r="LB887" s="1637"/>
      <c r="LC887" s="1637"/>
      <c r="LD887" s="1637"/>
      <c r="LE887" s="1637"/>
      <c r="LF887" s="1637"/>
    </row>
    <row r="888" spans="1:318">
      <c r="C888" s="1631"/>
      <c r="D888" s="1631"/>
      <c r="E888" s="1634" t="s">
        <v>41</v>
      </c>
      <c r="F888" s="1631"/>
      <c r="H888" s="1841"/>
      <c r="J888" s="1833">
        <f>JH810</f>
        <v>0</v>
      </c>
      <c r="K888" s="1833">
        <f>JI810</f>
        <v>0</v>
      </c>
      <c r="L888" s="1833">
        <f>JJ810</f>
        <v>0</v>
      </c>
      <c r="M888" s="1833">
        <f>JK810</f>
        <v>0</v>
      </c>
      <c r="N888" s="1833">
        <f>JL810</f>
        <v>0</v>
      </c>
      <c r="O888" s="1833">
        <f t="shared" si="349"/>
        <v>0</v>
      </c>
      <c r="R888" s="1838">
        <f>'Part VI-Revenues &amp; Expenses'!R126</f>
        <v>0</v>
      </c>
      <c r="S888" s="1838"/>
      <c r="T888" s="1838"/>
      <c r="U888" s="1838"/>
      <c r="V888" s="1838"/>
      <c r="W888" s="1631"/>
      <c r="Z888" s="1631"/>
      <c r="AA888" s="521"/>
      <c r="AB888" s="1631"/>
      <c r="AE888" s="1631"/>
      <c r="AF888" s="521"/>
      <c r="AG888" s="1631"/>
      <c r="AJ888" s="1631"/>
      <c r="AK888" s="521"/>
      <c r="AL888" s="1631"/>
      <c r="AO888" s="1631"/>
      <c r="AP888" s="521"/>
      <c r="AQ888" s="522"/>
      <c r="AR888" s="522"/>
      <c r="AS888" s="522"/>
      <c r="AT888" s="522"/>
      <c r="AU888" s="522"/>
      <c r="AV888" s="522"/>
      <c r="BA888" s="522"/>
    </row>
    <row r="889" spans="1:318">
      <c r="C889" s="1631"/>
      <c r="D889" s="1631"/>
      <c r="E889" s="1634"/>
      <c r="F889" s="1631"/>
      <c r="H889" s="1842" t="s">
        <v>3357</v>
      </c>
      <c r="J889" s="1833">
        <f>JM810</f>
        <v>0</v>
      </c>
      <c r="K889" s="1833">
        <f>JN810</f>
        <v>0</v>
      </c>
      <c r="L889" s="1833">
        <f>JO810</f>
        <v>0</v>
      </c>
      <c r="M889" s="1833">
        <f>JP810</f>
        <v>0</v>
      </c>
      <c r="N889" s="1833">
        <f>JQ810</f>
        <v>0</v>
      </c>
      <c r="O889" s="1833">
        <f t="shared" si="349"/>
        <v>0</v>
      </c>
      <c r="R889" s="1838">
        <f>'Part VI-Revenues &amp; Expenses'!R127</f>
        <v>0</v>
      </c>
      <c r="S889" s="1838"/>
      <c r="T889" s="1838"/>
      <c r="U889" s="1838"/>
      <c r="V889" s="1838"/>
      <c r="W889" s="1631"/>
      <c r="Z889" s="1631"/>
      <c r="AA889" s="521"/>
      <c r="AB889" s="1631"/>
      <c r="AE889" s="1631"/>
      <c r="AF889" s="521"/>
      <c r="AG889" s="1631"/>
      <c r="AJ889" s="1631"/>
      <c r="AK889" s="521"/>
      <c r="AL889" s="1631"/>
      <c r="AO889" s="1631"/>
      <c r="AP889" s="521"/>
      <c r="AQ889" s="522"/>
      <c r="AR889" s="522"/>
      <c r="AS889" s="522"/>
      <c r="AT889" s="522"/>
      <c r="AU889" s="522"/>
      <c r="AV889" s="522"/>
      <c r="BA889" s="522"/>
    </row>
    <row r="890" spans="1:318">
      <c r="C890" s="1631"/>
      <c r="D890" s="1631"/>
      <c r="E890" s="1634" t="s">
        <v>565</v>
      </c>
      <c r="F890" s="1631"/>
      <c r="H890" s="1841"/>
      <c r="J890" s="1833">
        <f>IX810</f>
        <v>0</v>
      </c>
      <c r="K890" s="1833">
        <f>IY810</f>
        <v>0</v>
      </c>
      <c r="L890" s="1833">
        <f>IZ810</f>
        <v>0</v>
      </c>
      <c r="M890" s="1833">
        <f>JA810</f>
        <v>0</v>
      </c>
      <c r="N890" s="1833">
        <f>JB810</f>
        <v>0</v>
      </c>
      <c r="O890" s="1833">
        <f t="shared" si="349"/>
        <v>0</v>
      </c>
      <c r="R890" s="1838">
        <f>'Part VI-Revenues &amp; Expenses'!R128</f>
        <v>0</v>
      </c>
      <c r="S890" s="1838"/>
      <c r="T890" s="1838"/>
      <c r="U890" s="1838"/>
      <c r="V890" s="1838"/>
      <c r="W890" s="1631"/>
      <c r="Z890" s="1631"/>
      <c r="AA890" s="521"/>
      <c r="AB890" s="1631"/>
      <c r="AE890" s="1631"/>
      <c r="AF890" s="521"/>
      <c r="AG890" s="1631"/>
      <c r="AJ890" s="1631"/>
      <c r="AK890" s="521"/>
      <c r="AL890" s="1631"/>
      <c r="AO890" s="1631"/>
      <c r="AP890" s="521"/>
      <c r="AQ890" s="522"/>
      <c r="AR890" s="522"/>
      <c r="AS890" s="522"/>
      <c r="AT890" s="522"/>
      <c r="AU890" s="522"/>
      <c r="AV890" s="522"/>
      <c r="AW890" s="1216"/>
      <c r="AX890" s="1631"/>
      <c r="BA890" s="522"/>
      <c r="BB890" s="1216"/>
      <c r="BC890" s="1631"/>
      <c r="JV890" s="1637"/>
      <c r="KA890" s="1637"/>
      <c r="KB890" s="1637"/>
      <c r="KC890" s="1637"/>
      <c r="KD890" s="1637"/>
      <c r="KE890" s="1637"/>
      <c r="KF890" s="1637"/>
      <c r="KG890" s="1637"/>
      <c r="KH890" s="1637"/>
      <c r="KI890" s="1637"/>
      <c r="KJ890" s="1637"/>
      <c r="KK890" s="1637"/>
      <c r="KL890" s="1637"/>
      <c r="KM890" s="1637"/>
      <c r="KN890" s="1637"/>
      <c r="KO890" s="1637"/>
      <c r="KP890" s="1637"/>
      <c r="KQ890" s="1637"/>
      <c r="KR890" s="1637"/>
      <c r="KS890" s="1637"/>
      <c r="KT890" s="1637"/>
      <c r="KU890" s="1637"/>
      <c r="KV890" s="1637"/>
      <c r="KW890" s="1637"/>
      <c r="KX890" s="1637"/>
      <c r="KY890" s="1637"/>
      <c r="KZ890" s="1637"/>
      <c r="LA890" s="1637"/>
      <c r="LB890" s="1637"/>
      <c r="LC890" s="1637"/>
      <c r="LD890" s="1637"/>
      <c r="LE890" s="1637"/>
      <c r="LF890" s="1637"/>
    </row>
    <row r="891" spans="1:318">
      <c r="C891" s="1631"/>
      <c r="D891" s="1631"/>
      <c r="E891" s="1634"/>
      <c r="F891" s="1631"/>
      <c r="H891" s="1842" t="s">
        <v>3357</v>
      </c>
      <c r="J891" s="1833">
        <f>JC810</f>
        <v>0</v>
      </c>
      <c r="K891" s="1833">
        <f>JD810</f>
        <v>0</v>
      </c>
      <c r="L891" s="1833">
        <f>JE810</f>
        <v>0</v>
      </c>
      <c r="M891" s="1833">
        <f>JF810</f>
        <v>0</v>
      </c>
      <c r="N891" s="1833">
        <f>JG810</f>
        <v>0</v>
      </c>
      <c r="O891" s="1833">
        <f t="shared" si="349"/>
        <v>0</v>
      </c>
      <c r="R891" s="1838">
        <f>'Part VI-Revenues &amp; Expenses'!R129</f>
        <v>0</v>
      </c>
      <c r="S891" s="1838"/>
      <c r="T891" s="1838"/>
      <c r="U891" s="1838"/>
      <c r="V891" s="1838"/>
      <c r="W891" s="1631"/>
      <c r="Z891" s="1631"/>
      <c r="AA891" s="521"/>
      <c r="AB891" s="1631"/>
      <c r="AE891" s="1631"/>
      <c r="AF891" s="521"/>
      <c r="AG891" s="1631"/>
      <c r="AJ891" s="1631"/>
      <c r="AK891" s="521"/>
      <c r="AL891" s="1631"/>
      <c r="AO891" s="1631"/>
      <c r="AP891" s="521"/>
      <c r="AQ891" s="522"/>
      <c r="AR891" s="522"/>
      <c r="AS891" s="522"/>
      <c r="AT891" s="522"/>
      <c r="AU891" s="522"/>
      <c r="AV891" s="522"/>
      <c r="AW891" s="1216"/>
      <c r="AX891" s="1631"/>
      <c r="BA891" s="522"/>
      <c r="BB891" s="1216"/>
      <c r="BC891" s="1631"/>
      <c r="JV891" s="1637"/>
      <c r="KA891" s="1637"/>
      <c r="KB891" s="1637"/>
      <c r="KC891" s="1637"/>
      <c r="KD891" s="1637"/>
      <c r="KE891" s="1637"/>
      <c r="KF891" s="1637"/>
      <c r="KG891" s="1637"/>
      <c r="KH891" s="1637"/>
      <c r="KI891" s="1637"/>
      <c r="KJ891" s="1637"/>
      <c r="KK891" s="1637"/>
      <c r="KL891" s="1637"/>
      <c r="KM891" s="1637"/>
      <c r="KN891" s="1637"/>
      <c r="KO891" s="1637"/>
      <c r="KP891" s="1637"/>
      <c r="KQ891" s="1637"/>
      <c r="KR891" s="1637"/>
      <c r="KS891" s="1637"/>
      <c r="KT891" s="1637"/>
      <c r="KU891" s="1637"/>
      <c r="KV891" s="1637"/>
      <c r="KW891" s="1637"/>
      <c r="KX891" s="1637"/>
      <c r="KY891" s="1637"/>
      <c r="KZ891" s="1637"/>
      <c r="LA891" s="1637"/>
      <c r="LB891" s="1637"/>
      <c r="LC891" s="1637"/>
      <c r="LD891" s="1637"/>
      <c r="LE891" s="1637"/>
      <c r="LF891" s="1637"/>
    </row>
    <row r="892" spans="1:318">
      <c r="C892" s="1631"/>
      <c r="D892" s="1631"/>
      <c r="E892" s="1486" t="s">
        <v>566</v>
      </c>
      <c r="F892" s="1631"/>
      <c r="H892" s="1841"/>
      <c r="J892" s="1833">
        <f>IN810</f>
        <v>0</v>
      </c>
      <c r="K892" s="1833">
        <f>IO810</f>
        <v>0</v>
      </c>
      <c r="L892" s="1833">
        <f>IP810</f>
        <v>0</v>
      </c>
      <c r="M892" s="1833">
        <f>IQ810</f>
        <v>0</v>
      </c>
      <c r="N892" s="1833">
        <f>IR810</f>
        <v>0</v>
      </c>
      <c r="O892" s="1833">
        <f t="shared" si="349"/>
        <v>0</v>
      </c>
      <c r="R892" s="1838">
        <f>'Part VI-Revenues &amp; Expenses'!R130</f>
        <v>0</v>
      </c>
      <c r="S892" s="1838"/>
      <c r="T892" s="1838"/>
      <c r="U892" s="1838"/>
      <c r="V892" s="1838"/>
      <c r="W892" s="1631"/>
      <c r="Z892" s="1631"/>
      <c r="AA892" s="521"/>
      <c r="AB892" s="1631"/>
      <c r="AE892" s="1631"/>
      <c r="AF892" s="521"/>
      <c r="AG892" s="1631"/>
      <c r="AJ892" s="1631"/>
      <c r="AK892" s="521"/>
      <c r="AL892" s="1631"/>
      <c r="AO892" s="1631"/>
      <c r="AP892" s="521"/>
      <c r="AQ892" s="522"/>
      <c r="AR892" s="522"/>
      <c r="AS892" s="522"/>
      <c r="AT892" s="522"/>
      <c r="AU892" s="522"/>
      <c r="AV892" s="522"/>
      <c r="BA892" s="522"/>
    </row>
    <row r="893" spans="1:318">
      <c r="C893" s="1631"/>
      <c r="D893" s="1631"/>
      <c r="E893" s="1486"/>
      <c r="F893" s="1631"/>
      <c r="H893" s="1842" t="s">
        <v>3357</v>
      </c>
      <c r="J893" s="1833">
        <f>IS810</f>
        <v>0</v>
      </c>
      <c r="K893" s="1833">
        <f>IT810</f>
        <v>0</v>
      </c>
      <c r="L893" s="1833">
        <f>IU810</f>
        <v>0</v>
      </c>
      <c r="M893" s="1833">
        <f>IV810</f>
        <v>0</v>
      </c>
      <c r="N893" s="1833">
        <f>IW810</f>
        <v>0</v>
      </c>
      <c r="O893" s="1833">
        <f t="shared" si="349"/>
        <v>0</v>
      </c>
      <c r="R893" s="1838">
        <f>'Part VI-Revenues &amp; Expenses'!R131</f>
        <v>0</v>
      </c>
      <c r="S893" s="1838"/>
      <c r="T893" s="1838"/>
      <c r="U893" s="1838"/>
      <c r="V893" s="1838"/>
      <c r="W893" s="1631"/>
      <c r="Z893" s="1631"/>
      <c r="AA893" s="521"/>
      <c r="AB893" s="1631"/>
      <c r="AE893" s="1631"/>
      <c r="AF893" s="521"/>
      <c r="AG893" s="1631"/>
      <c r="AJ893" s="1631"/>
      <c r="AK893" s="521"/>
      <c r="AL893" s="1631"/>
      <c r="AO893" s="1631"/>
      <c r="AP893" s="521"/>
      <c r="AQ893" s="522"/>
      <c r="AR893" s="522"/>
      <c r="AS893" s="522"/>
      <c r="AT893" s="522"/>
      <c r="AU893" s="522"/>
      <c r="AV893" s="522"/>
      <c r="BA893" s="522"/>
    </row>
    <row r="894" spans="1:318">
      <c r="C894" s="1631"/>
      <c r="H894" s="1843"/>
      <c r="J894" s="1844"/>
      <c r="K894" s="1844"/>
      <c r="L894" s="1844"/>
      <c r="M894" s="1844"/>
      <c r="N894" s="1844"/>
      <c r="O894" s="1844"/>
      <c r="JV894" s="1637"/>
      <c r="KA894" s="1637"/>
      <c r="KB894" s="1637"/>
      <c r="KC894" s="1637"/>
      <c r="KD894" s="1637"/>
      <c r="KE894" s="1637"/>
      <c r="KF894" s="1637"/>
      <c r="KG894" s="1637"/>
      <c r="KH894" s="1637"/>
      <c r="KI894" s="1637"/>
      <c r="KJ894" s="1637"/>
      <c r="KK894" s="1637"/>
      <c r="KL894" s="1637"/>
      <c r="KM894" s="1637"/>
      <c r="KN894" s="1637"/>
      <c r="KO894" s="1637"/>
      <c r="KP894" s="1637"/>
      <c r="KQ894" s="1637"/>
      <c r="KR894" s="1637"/>
      <c r="KS894" s="1637"/>
      <c r="KT894" s="1637"/>
      <c r="KU894" s="1637"/>
      <c r="KV894" s="1637"/>
      <c r="KW894" s="1637"/>
      <c r="KX894" s="1637"/>
      <c r="KY894" s="1637"/>
      <c r="KZ894" s="1637"/>
      <c r="LA894" s="1637"/>
      <c r="LB894" s="1637"/>
      <c r="LC894" s="1637"/>
      <c r="LD894" s="1637"/>
      <c r="LE894" s="1637"/>
      <c r="LF894" s="1637"/>
    </row>
    <row r="895" spans="1:318">
      <c r="A895" s="742" t="s">
        <v>740</v>
      </c>
      <c r="B895" s="742" t="s">
        <v>5162</v>
      </c>
      <c r="K895" s="1846">
        <f>$K$53</f>
        <v>0</v>
      </c>
      <c r="L895" s="1846"/>
      <c r="M895" s="1846"/>
      <c r="N895" s="1846"/>
      <c r="R895" s="1631" t="str">
        <f>B895</f>
        <v>UNIT SUMMARY (Continued)</v>
      </c>
      <c r="S895" s="1631"/>
      <c r="T895" s="1631"/>
      <c r="U895" s="1631"/>
      <c r="AX895" s="1631"/>
      <c r="BC895" s="1631"/>
      <c r="JV895" s="1637"/>
      <c r="KA895" s="1637"/>
      <c r="KB895" s="1637"/>
      <c r="KC895" s="1637"/>
      <c r="KD895" s="1637"/>
      <c r="KE895" s="1637"/>
      <c r="KF895" s="1637"/>
      <c r="KG895" s="1637"/>
      <c r="KH895" s="1637"/>
      <c r="KI895" s="1637"/>
      <c r="KJ895" s="1637"/>
      <c r="KK895" s="1637"/>
      <c r="KL895" s="1637"/>
      <c r="KM895" s="1637"/>
      <c r="KN895" s="1637"/>
      <c r="KO895" s="1637"/>
      <c r="KP895" s="1637"/>
      <c r="KQ895" s="1637"/>
      <c r="KR895" s="1637"/>
      <c r="KS895" s="1637"/>
      <c r="KT895" s="1637"/>
      <c r="KU895" s="1637"/>
      <c r="KV895" s="1637"/>
      <c r="KW895" s="1637"/>
      <c r="KX895" s="1637"/>
      <c r="KY895" s="1637"/>
      <c r="KZ895" s="1637"/>
      <c r="LA895" s="1637"/>
      <c r="LB895" s="1637"/>
      <c r="LC895" s="1637"/>
      <c r="LD895" s="1637"/>
      <c r="LE895" s="1637"/>
      <c r="LF895" s="1637"/>
    </row>
    <row r="896" spans="1:318">
      <c r="P896" s="1636"/>
      <c r="R896" s="1647" t="str">
        <f>C897</f>
        <v>Building Type:
(for Cost Limit purposes only - see Application Instructions for further detail)</v>
      </c>
      <c r="T896" s="2762"/>
      <c r="AX896" s="1631"/>
      <c r="BC896" s="1631"/>
      <c r="JV896" s="1637"/>
      <c r="KA896" s="1637"/>
      <c r="KB896" s="1637"/>
      <c r="KC896" s="1637"/>
      <c r="KD896" s="1637"/>
      <c r="KE896" s="1637"/>
      <c r="KF896" s="1637"/>
      <c r="KG896" s="1637"/>
      <c r="KH896" s="1637"/>
      <c r="KI896" s="1637"/>
      <c r="KJ896" s="1637"/>
      <c r="KK896" s="1637"/>
      <c r="KL896" s="1637"/>
      <c r="KM896" s="1637"/>
      <c r="KN896" s="1637"/>
      <c r="KO896" s="1637"/>
      <c r="KP896" s="1637"/>
      <c r="KQ896" s="1637"/>
      <c r="KR896" s="1637"/>
      <c r="KS896" s="1637"/>
      <c r="KT896" s="1637"/>
      <c r="KU896" s="1637"/>
      <c r="KV896" s="1637"/>
      <c r="KW896" s="1637"/>
      <c r="KX896" s="1637"/>
      <c r="KY896" s="1637"/>
      <c r="KZ896" s="1637"/>
      <c r="LA896" s="1637"/>
      <c r="LB896" s="1637"/>
      <c r="LC896" s="1637"/>
      <c r="LD896" s="1637"/>
      <c r="LE896" s="1637"/>
      <c r="LF896" s="1637"/>
    </row>
    <row r="897" spans="1:318" ht="12.75" customHeight="1">
      <c r="C897" s="1838" t="s">
        <v>5164</v>
      </c>
      <c r="D897" s="1838"/>
      <c r="E897" s="1634" t="s">
        <v>3352</v>
      </c>
      <c r="F897" s="1652"/>
      <c r="H897" s="1841"/>
      <c r="J897" s="1833">
        <f t="shared" ref="J897:N898" si="350">J886+J890+J892</f>
        <v>0</v>
      </c>
      <c r="K897" s="1833">
        <f t="shared" si="350"/>
        <v>0</v>
      </c>
      <c r="L897" s="1833">
        <f t="shared" si="350"/>
        <v>0</v>
      </c>
      <c r="M897" s="1833">
        <f t="shared" si="350"/>
        <v>0</v>
      </c>
      <c r="N897" s="1833">
        <f t="shared" si="350"/>
        <v>0</v>
      </c>
      <c r="O897" s="1833">
        <f t="shared" ref="O897:O904" si="351">SUM(J897:N897)</f>
        <v>0</v>
      </c>
      <c r="R897" s="1838">
        <f>'Part VI-Revenues &amp; Expenses'!R135</f>
        <v>0</v>
      </c>
      <c r="S897" s="1838"/>
      <c r="T897" s="1838"/>
      <c r="U897" s="1838"/>
      <c r="V897" s="1838"/>
      <c r="W897" s="1631"/>
      <c r="Z897" s="1631"/>
      <c r="AA897" s="521"/>
      <c r="AB897" s="1631"/>
      <c r="AE897" s="1631"/>
      <c r="AF897" s="521"/>
      <c r="AG897" s="1631"/>
      <c r="AJ897" s="1631"/>
      <c r="AK897" s="521"/>
      <c r="AL897" s="1631"/>
      <c r="AO897" s="1631"/>
      <c r="AP897" s="521"/>
      <c r="AQ897" s="522"/>
      <c r="AR897" s="522"/>
      <c r="AS897" s="522"/>
      <c r="AT897" s="522"/>
      <c r="AU897" s="522"/>
      <c r="AV897" s="522"/>
      <c r="BA897" s="522"/>
    </row>
    <row r="898" spans="1:318">
      <c r="C898" s="1838"/>
      <c r="D898" s="1838"/>
      <c r="E898" s="1634"/>
      <c r="F898" s="1652"/>
      <c r="H898" s="1842" t="s">
        <v>3357</v>
      </c>
      <c r="J898" s="1833">
        <f t="shared" si="350"/>
        <v>0</v>
      </c>
      <c r="K898" s="1833">
        <f t="shared" si="350"/>
        <v>0</v>
      </c>
      <c r="L898" s="1833">
        <f t="shared" si="350"/>
        <v>0</v>
      </c>
      <c r="M898" s="1833">
        <f t="shared" si="350"/>
        <v>0</v>
      </c>
      <c r="N898" s="1833">
        <f t="shared" si="350"/>
        <v>0</v>
      </c>
      <c r="O898" s="1833">
        <f t="shared" si="351"/>
        <v>0</v>
      </c>
      <c r="R898" s="1838">
        <f>'Part VI-Revenues &amp; Expenses'!R136</f>
        <v>0</v>
      </c>
      <c r="S898" s="1838"/>
      <c r="T898" s="1838"/>
      <c r="U898" s="1838"/>
      <c r="V898" s="1838"/>
      <c r="W898" s="1631"/>
      <c r="Z898" s="1631"/>
      <c r="AA898" s="521"/>
      <c r="AB898" s="1631"/>
      <c r="AE898" s="1631"/>
      <c r="AF898" s="521"/>
      <c r="AG898" s="1631"/>
      <c r="AJ898" s="1631"/>
      <c r="AK898" s="521"/>
      <c r="AL898" s="1631"/>
      <c r="AO898" s="1631"/>
      <c r="AP898" s="521"/>
      <c r="AQ898" s="522"/>
      <c r="AR898" s="522"/>
      <c r="AS898" s="522"/>
      <c r="AT898" s="522"/>
      <c r="AU898" s="522"/>
      <c r="AV898" s="522"/>
      <c r="BA898" s="522"/>
    </row>
    <row r="899" spans="1:318">
      <c r="C899" s="1838"/>
      <c r="D899" s="1838"/>
      <c r="E899" s="1634" t="s">
        <v>3353</v>
      </c>
      <c r="F899" s="1652"/>
      <c r="H899" s="1652"/>
      <c r="J899" s="1833">
        <f t="shared" ref="J899:N900" si="352">J878+J888</f>
        <v>0</v>
      </c>
      <c r="K899" s="1833">
        <f t="shared" si="352"/>
        <v>0</v>
      </c>
      <c r="L899" s="1833">
        <f t="shared" si="352"/>
        <v>0</v>
      </c>
      <c r="M899" s="1833">
        <f t="shared" si="352"/>
        <v>0</v>
      </c>
      <c r="N899" s="1833">
        <f t="shared" si="352"/>
        <v>0</v>
      </c>
      <c r="O899" s="1833">
        <f t="shared" si="351"/>
        <v>0</v>
      </c>
      <c r="R899" s="1838">
        <f>'Part VI-Revenues &amp; Expenses'!R137</f>
        <v>0</v>
      </c>
      <c r="S899" s="1838"/>
      <c r="T899" s="1838"/>
      <c r="U899" s="1838"/>
      <c r="V899" s="1838"/>
      <c r="W899" s="1631"/>
      <c r="Z899" s="1631"/>
      <c r="AA899" s="521"/>
      <c r="AB899" s="1631"/>
      <c r="AE899" s="1631"/>
      <c r="AF899" s="521"/>
      <c r="AG899" s="1631"/>
      <c r="AJ899" s="1631"/>
      <c r="AK899" s="521"/>
      <c r="AL899" s="1631"/>
      <c r="AO899" s="1631"/>
      <c r="AP899" s="521"/>
      <c r="AQ899" s="522"/>
      <c r="AR899" s="522"/>
      <c r="AS899" s="522"/>
      <c r="AT899" s="522"/>
      <c r="AU899" s="522"/>
      <c r="AV899" s="522"/>
      <c r="BA899" s="522"/>
    </row>
    <row r="900" spans="1:318">
      <c r="C900" s="1838"/>
      <c r="D900" s="1838"/>
      <c r="E900" s="1634"/>
      <c r="F900" s="1652"/>
      <c r="H900" s="1842" t="s">
        <v>3357</v>
      </c>
      <c r="J900" s="1833">
        <f t="shared" si="352"/>
        <v>0</v>
      </c>
      <c r="K900" s="1833">
        <f t="shared" si="352"/>
        <v>0</v>
      </c>
      <c r="L900" s="1833">
        <f t="shared" si="352"/>
        <v>0</v>
      </c>
      <c r="M900" s="1833">
        <f t="shared" si="352"/>
        <v>0</v>
      </c>
      <c r="N900" s="1833">
        <f t="shared" si="352"/>
        <v>0</v>
      </c>
      <c r="O900" s="1833">
        <f t="shared" si="351"/>
        <v>0</v>
      </c>
      <c r="R900" s="1838">
        <f>'Part VI-Revenues &amp; Expenses'!R138</f>
        <v>0</v>
      </c>
      <c r="S900" s="1838"/>
      <c r="T900" s="1838"/>
      <c r="U900" s="1838"/>
      <c r="V900" s="1838"/>
      <c r="W900" s="1631"/>
      <c r="Z900" s="1631"/>
      <c r="AA900" s="521"/>
      <c r="AB900" s="1631"/>
      <c r="AE900" s="1631"/>
      <c r="AF900" s="521"/>
      <c r="AG900" s="1631"/>
      <c r="AJ900" s="1631"/>
      <c r="AK900" s="521"/>
      <c r="AL900" s="1631"/>
      <c r="AO900" s="1631"/>
      <c r="AP900" s="521"/>
      <c r="AQ900" s="522"/>
      <c r="AR900" s="522"/>
      <c r="AS900" s="522"/>
      <c r="AT900" s="522"/>
      <c r="AU900" s="522"/>
      <c r="AV900" s="522"/>
      <c r="BA900" s="522"/>
    </row>
    <row r="901" spans="1:318">
      <c r="C901" s="1838"/>
      <c r="D901" s="1838"/>
      <c r="E901" s="1634" t="s">
        <v>3354</v>
      </c>
      <c r="F901" s="1652"/>
      <c r="H901" s="1841"/>
      <c r="J901" s="1833">
        <f t="shared" ref="J901:N902" si="353">J882</f>
        <v>0</v>
      </c>
      <c r="K901" s="1833">
        <f t="shared" si="353"/>
        <v>0</v>
      </c>
      <c r="L901" s="1833">
        <f t="shared" si="353"/>
        <v>0</v>
      </c>
      <c r="M901" s="1833">
        <f t="shared" si="353"/>
        <v>0</v>
      </c>
      <c r="N901" s="1833">
        <f t="shared" si="353"/>
        <v>0</v>
      </c>
      <c r="O901" s="1833">
        <f t="shared" si="351"/>
        <v>0</v>
      </c>
      <c r="R901" s="1838">
        <f>'Part VI-Revenues &amp; Expenses'!R139</f>
        <v>0</v>
      </c>
      <c r="S901" s="1838"/>
      <c r="T901" s="1838"/>
      <c r="U901" s="1838"/>
      <c r="V901" s="1838"/>
      <c r="W901" s="1631"/>
      <c r="Z901" s="1631"/>
      <c r="AA901" s="521"/>
      <c r="AB901" s="1631"/>
      <c r="AE901" s="1631"/>
      <c r="AF901" s="521"/>
      <c r="AG901" s="1631"/>
      <c r="AJ901" s="1631"/>
      <c r="AK901" s="521"/>
      <c r="AL901" s="1631"/>
      <c r="AO901" s="1631"/>
      <c r="AP901" s="521"/>
      <c r="AQ901" s="522"/>
      <c r="AR901" s="522"/>
      <c r="AS901" s="522"/>
      <c r="AT901" s="522"/>
      <c r="AU901" s="522"/>
      <c r="AV901" s="522"/>
      <c r="BA901" s="522"/>
    </row>
    <row r="902" spans="1:318">
      <c r="C902" s="1838"/>
      <c r="D902" s="1838"/>
      <c r="E902" s="1634"/>
      <c r="F902" s="1652"/>
      <c r="H902" s="1842" t="s">
        <v>3357</v>
      </c>
      <c r="J902" s="1833">
        <f t="shared" si="353"/>
        <v>0</v>
      </c>
      <c r="K902" s="1833">
        <f t="shared" si="353"/>
        <v>0</v>
      </c>
      <c r="L902" s="1833">
        <f t="shared" si="353"/>
        <v>0</v>
      </c>
      <c r="M902" s="1833">
        <f t="shared" si="353"/>
        <v>0</v>
      </c>
      <c r="N902" s="1833">
        <f t="shared" si="353"/>
        <v>0</v>
      </c>
      <c r="O902" s="1833">
        <f t="shared" si="351"/>
        <v>0</v>
      </c>
      <c r="R902" s="1838">
        <f>'Part VI-Revenues &amp; Expenses'!R140</f>
        <v>0</v>
      </c>
      <c r="S902" s="1838"/>
      <c r="T902" s="1838"/>
      <c r="U902" s="1838"/>
      <c r="V902" s="1838"/>
      <c r="W902" s="1631"/>
      <c r="Z902" s="1631"/>
      <c r="AA902" s="521"/>
      <c r="AB902" s="1631"/>
      <c r="AE902" s="1631"/>
      <c r="AF902" s="521"/>
      <c r="AG902" s="1631"/>
      <c r="AJ902" s="1631"/>
      <c r="AK902" s="521"/>
      <c r="AL902" s="1631"/>
      <c r="AO902" s="1631"/>
      <c r="AP902" s="521"/>
      <c r="AQ902" s="522"/>
      <c r="AR902" s="522"/>
      <c r="AS902" s="522"/>
      <c r="AT902" s="522"/>
      <c r="AU902" s="522"/>
      <c r="AV902" s="522"/>
      <c r="BA902" s="522"/>
    </row>
    <row r="903" spans="1:318">
      <c r="C903" s="1838"/>
      <c r="D903" s="1838"/>
      <c r="E903" s="1634" t="s">
        <v>3355</v>
      </c>
      <c r="F903" s="1652"/>
      <c r="H903" s="1841"/>
      <c r="J903" s="1833">
        <f t="shared" ref="J903:N904" si="354">J880+J884</f>
        <v>0</v>
      </c>
      <c r="K903" s="1833">
        <f t="shared" si="354"/>
        <v>12</v>
      </c>
      <c r="L903" s="1833">
        <f t="shared" si="354"/>
        <v>56</v>
      </c>
      <c r="M903" s="1833">
        <f t="shared" si="354"/>
        <v>8</v>
      </c>
      <c r="N903" s="1833">
        <f t="shared" si="354"/>
        <v>8</v>
      </c>
      <c r="O903" s="1833">
        <f t="shared" si="351"/>
        <v>84</v>
      </c>
      <c r="R903" s="1838">
        <f>'Part VI-Revenues &amp; Expenses'!R141</f>
        <v>0</v>
      </c>
      <c r="S903" s="1838"/>
      <c r="T903" s="1838"/>
      <c r="U903" s="1838"/>
      <c r="V903" s="1838"/>
      <c r="W903" s="1631"/>
      <c r="Z903" s="1631"/>
      <c r="AA903" s="521"/>
      <c r="AB903" s="1631"/>
      <c r="AE903" s="1631"/>
      <c r="AF903" s="521"/>
      <c r="AG903" s="1631"/>
      <c r="AJ903" s="1631"/>
      <c r="AK903" s="521"/>
      <c r="AL903" s="1631"/>
      <c r="AO903" s="1631"/>
      <c r="AP903" s="521"/>
      <c r="AQ903" s="522"/>
      <c r="AR903" s="522"/>
      <c r="AS903" s="522"/>
      <c r="AT903" s="522"/>
      <c r="AU903" s="522"/>
      <c r="AV903" s="522"/>
      <c r="BA903" s="522"/>
    </row>
    <row r="904" spans="1:318" ht="13.5" customHeight="1">
      <c r="C904" s="1631"/>
      <c r="D904" s="1631"/>
      <c r="E904" s="1845"/>
      <c r="F904" s="1652"/>
      <c r="H904" s="1842" t="s">
        <v>3357</v>
      </c>
      <c r="J904" s="1833">
        <f t="shared" si="354"/>
        <v>0</v>
      </c>
      <c r="K904" s="1833">
        <f t="shared" si="354"/>
        <v>0</v>
      </c>
      <c r="L904" s="1833">
        <f t="shared" si="354"/>
        <v>0</v>
      </c>
      <c r="M904" s="1833">
        <f t="shared" si="354"/>
        <v>0</v>
      </c>
      <c r="N904" s="1833">
        <f t="shared" si="354"/>
        <v>0</v>
      </c>
      <c r="O904" s="1833">
        <f t="shared" si="351"/>
        <v>0</v>
      </c>
      <c r="P904" s="1636" t="s">
        <v>5112</v>
      </c>
      <c r="R904" s="1838">
        <f>'Part VI-Revenues &amp; Expenses'!R142</f>
        <v>0</v>
      </c>
      <c r="S904" s="1838"/>
      <c r="T904" s="1838"/>
      <c r="U904" s="1838"/>
      <c r="V904" s="1838"/>
      <c r="W904" s="1631"/>
      <c r="Z904" s="1631"/>
      <c r="AA904" s="521"/>
      <c r="AB904" s="1631"/>
      <c r="AE904" s="1631"/>
      <c r="AF904" s="521"/>
      <c r="AG904" s="1631"/>
      <c r="AJ904" s="1631"/>
      <c r="AK904" s="521"/>
      <c r="AL904" s="1631"/>
      <c r="AO904" s="1631"/>
      <c r="AP904" s="521"/>
      <c r="AQ904" s="522"/>
      <c r="AR904" s="522"/>
      <c r="AS904" s="522"/>
      <c r="AT904" s="522"/>
      <c r="AU904" s="522"/>
      <c r="AV904" s="522"/>
      <c r="BA904" s="522"/>
    </row>
    <row r="905" spans="1:318">
      <c r="A905" s="2038"/>
      <c r="B905" s="2038"/>
      <c r="D905" s="1636"/>
      <c r="E905" s="1634"/>
      <c r="F905" s="1631"/>
      <c r="H905" s="521"/>
      <c r="J905" s="1836"/>
      <c r="K905" s="1836"/>
      <c r="L905" s="1836"/>
      <c r="M905" s="1836"/>
      <c r="N905" s="1836"/>
      <c r="O905" s="1836"/>
      <c r="P905" s="1636"/>
      <c r="R905" s="1653"/>
      <c r="T905" s="1632"/>
      <c r="W905" s="1631"/>
      <c r="Z905" s="1631"/>
      <c r="AA905" s="521"/>
      <c r="AB905" s="1631"/>
      <c r="AE905" s="1631"/>
      <c r="AF905" s="521"/>
      <c r="AG905" s="1631"/>
      <c r="AJ905" s="1631"/>
      <c r="AK905" s="521"/>
      <c r="AL905" s="1631"/>
      <c r="AO905" s="1631"/>
      <c r="AP905" s="521"/>
      <c r="AQ905" s="1631"/>
      <c r="AR905" s="1631"/>
      <c r="AS905" s="1631"/>
      <c r="AT905" s="1631"/>
      <c r="AU905" s="1631"/>
      <c r="AV905" s="1631"/>
      <c r="AX905" s="1631"/>
      <c r="BA905" s="1631"/>
      <c r="BC905" s="1631"/>
      <c r="JV905" s="1637"/>
      <c r="KA905" s="1637"/>
      <c r="KB905" s="1637"/>
      <c r="KC905" s="1637"/>
      <c r="KD905" s="1637"/>
      <c r="KE905" s="1637"/>
      <c r="KF905" s="1637"/>
      <c r="KG905" s="1637"/>
      <c r="KH905" s="1637"/>
      <c r="KI905" s="1637"/>
      <c r="KJ905" s="1637"/>
      <c r="KK905" s="1637"/>
      <c r="KL905" s="1637"/>
      <c r="KM905" s="1637"/>
      <c r="KN905" s="1637"/>
      <c r="KO905" s="1637"/>
      <c r="KP905" s="1637"/>
      <c r="KQ905" s="1637"/>
      <c r="KR905" s="1637"/>
      <c r="KS905" s="1637"/>
      <c r="KT905" s="1637"/>
      <c r="KU905" s="1637"/>
      <c r="KV905" s="1637"/>
      <c r="KW905" s="1637"/>
      <c r="KX905" s="1637"/>
      <c r="KY905" s="1637"/>
      <c r="KZ905" s="1637"/>
      <c r="LA905" s="1637"/>
      <c r="LB905" s="1637"/>
      <c r="LC905" s="1637"/>
      <c r="LD905" s="1637"/>
      <c r="LE905" s="1637"/>
      <c r="LF905" s="1637"/>
    </row>
    <row r="906" spans="1:318">
      <c r="B906" s="742" t="s">
        <v>2165</v>
      </c>
      <c r="C906" s="1631"/>
      <c r="D906" s="1631"/>
      <c r="E906" s="1631"/>
      <c r="F906" s="1631"/>
      <c r="H906" s="1841"/>
      <c r="J906" s="1846"/>
      <c r="K906" s="1846"/>
      <c r="L906" s="1846"/>
      <c r="M906" s="1846"/>
      <c r="N906" s="1846"/>
      <c r="O906" s="1846"/>
      <c r="P906" s="1636"/>
      <c r="R906" s="1665" t="str">
        <f>B906</f>
        <v>Unit Square Footage:</v>
      </c>
      <c r="S906" s="1665"/>
      <c r="T906" s="1665"/>
      <c r="W906" s="1631"/>
      <c r="Z906" s="1631"/>
      <c r="AA906" s="521"/>
      <c r="AB906" s="1631"/>
      <c r="AE906" s="1631"/>
      <c r="AF906" s="521"/>
      <c r="AG906" s="1631"/>
      <c r="AJ906" s="1631"/>
      <c r="AK906" s="521"/>
      <c r="AL906" s="1631"/>
      <c r="AO906" s="1631"/>
      <c r="AP906" s="521"/>
      <c r="AQ906" s="1631"/>
      <c r="AR906" s="1631"/>
      <c r="AS906" s="1631"/>
      <c r="AT906" s="1631"/>
      <c r="AU906" s="1631"/>
      <c r="AV906" s="1631"/>
      <c r="AX906" s="1631"/>
      <c r="BA906" s="1631"/>
      <c r="BC906" s="1631"/>
      <c r="JV906" s="1637"/>
      <c r="KA906" s="1637"/>
      <c r="KB906" s="1637"/>
      <c r="KC906" s="1637"/>
      <c r="KD906" s="1637"/>
      <c r="KE906" s="1637"/>
      <c r="KF906" s="1637"/>
      <c r="KG906" s="1637"/>
      <c r="KH906" s="1637"/>
      <c r="KI906" s="1637"/>
      <c r="KJ906" s="1637"/>
      <c r="KK906" s="1637"/>
      <c r="KL906" s="1637"/>
      <c r="KM906" s="1637"/>
      <c r="KN906" s="1637"/>
      <c r="KO906" s="1637"/>
      <c r="KP906" s="1637"/>
      <c r="KQ906" s="1637"/>
      <c r="KR906" s="1637"/>
      <c r="KS906" s="1637"/>
      <c r="KT906" s="1637"/>
      <c r="KU906" s="1637"/>
      <c r="KV906" s="1637"/>
      <c r="KW906" s="1637"/>
      <c r="KX906" s="1637"/>
      <c r="KY906" s="1637"/>
      <c r="KZ906" s="1637"/>
      <c r="LA906" s="1637"/>
      <c r="LB906" s="1637"/>
      <c r="LC906" s="1637"/>
      <c r="LD906" s="1637"/>
      <c r="LE906" s="1637"/>
      <c r="LF906" s="1637"/>
    </row>
    <row r="907" spans="1:318">
      <c r="C907" s="1631" t="s">
        <v>2136</v>
      </c>
      <c r="D907" s="1631"/>
      <c r="E907" s="1631"/>
      <c r="F907" s="1631"/>
      <c r="H907" s="1216" t="s">
        <v>4622</v>
      </c>
      <c r="J907" s="1844">
        <f>EH810</f>
        <v>0</v>
      </c>
      <c r="K907" s="1844">
        <f>EI810</f>
        <v>0</v>
      </c>
      <c r="L907" s="1844">
        <f>EJ810</f>
        <v>0</v>
      </c>
      <c r="M907" s="1844">
        <f>EK810</f>
        <v>0</v>
      </c>
      <c r="N907" s="1844">
        <f>EL810</f>
        <v>0</v>
      </c>
      <c r="O907" s="1847">
        <f t="shared" ref="O907:O913" si="355">SUM(J907:N907)</f>
        <v>0</v>
      </c>
      <c r="P907" s="1924" t="str">
        <f>'Part VI-Revenues &amp; Expenses'!P145</f>
        <v/>
      </c>
      <c r="R907" s="1838">
        <f>'Part VI-Revenues &amp; Expenses'!R145</f>
        <v>0</v>
      </c>
      <c r="S907" s="1838"/>
      <c r="T907" s="1838"/>
      <c r="U907" s="1838"/>
      <c r="V907" s="1838"/>
      <c r="W907" s="1631"/>
      <c r="Z907" s="1631"/>
      <c r="AA907" s="521"/>
      <c r="AB907" s="1631"/>
      <c r="AE907" s="1631"/>
      <c r="AF907" s="521"/>
      <c r="AG907" s="1631"/>
      <c r="AJ907" s="1631"/>
      <c r="AK907" s="521"/>
      <c r="AL907" s="1631"/>
      <c r="AO907" s="1631"/>
      <c r="AP907" s="521"/>
      <c r="AQ907" s="522"/>
      <c r="AR907" s="522"/>
      <c r="AS907" s="522"/>
      <c r="AT907" s="522"/>
      <c r="AU907" s="522"/>
      <c r="AV907" s="522"/>
      <c r="AX907" s="1631"/>
      <c r="BA907" s="522"/>
      <c r="BC907" s="1631"/>
      <c r="JV907" s="1637"/>
      <c r="KA907" s="1637"/>
      <c r="KB907" s="1637"/>
      <c r="KC907" s="1637"/>
      <c r="KD907" s="1637"/>
      <c r="KE907" s="1637"/>
      <c r="KF907" s="1637"/>
      <c r="KG907" s="1637"/>
      <c r="KH907" s="1637"/>
      <c r="KI907" s="1637"/>
      <c r="KJ907" s="1637"/>
      <c r="KK907" s="1637"/>
      <c r="KL907" s="1637"/>
      <c r="KM907" s="1637"/>
      <c r="KN907" s="1637"/>
      <c r="KO907" s="1637"/>
      <c r="KP907" s="1637"/>
      <c r="KQ907" s="1637"/>
      <c r="KR907" s="1637"/>
      <c r="KS907" s="1637"/>
      <c r="KT907" s="1637"/>
      <c r="KU907" s="1637"/>
      <c r="KV907" s="1637"/>
      <c r="KW907" s="1637"/>
      <c r="KX907" s="1637"/>
      <c r="KY907" s="1637"/>
      <c r="KZ907" s="1637"/>
      <c r="LA907" s="1637"/>
      <c r="LB907" s="1637"/>
      <c r="LC907" s="1637"/>
      <c r="LD907" s="1637"/>
      <c r="LE907" s="1637"/>
      <c r="LF907" s="1637"/>
    </row>
    <row r="908" spans="1:318">
      <c r="C908" s="1631"/>
      <c r="D908" s="1631"/>
      <c r="E908" s="1631"/>
      <c r="F908" s="1631"/>
      <c r="H908" s="1841" t="s">
        <v>4623</v>
      </c>
      <c r="J908" s="1847">
        <f>EM810</f>
        <v>0</v>
      </c>
      <c r="K908" s="1847">
        <f>EN810</f>
        <v>0</v>
      </c>
      <c r="L908" s="1847">
        <f>EO810</f>
        <v>0</v>
      </c>
      <c r="M908" s="1847">
        <f>EP810</f>
        <v>0</v>
      </c>
      <c r="N908" s="1847">
        <f>EQ810</f>
        <v>0</v>
      </c>
      <c r="O908" s="1847">
        <f t="shared" si="355"/>
        <v>0</v>
      </c>
      <c r="P908" s="1924" t="str">
        <f>'Part VI-Revenues &amp; Expenses'!P146</f>
        <v/>
      </c>
      <c r="R908" s="1838">
        <f>'Part VI-Revenues &amp; Expenses'!R146</f>
        <v>0</v>
      </c>
      <c r="S908" s="1838"/>
      <c r="T908" s="1838"/>
      <c r="U908" s="1838"/>
      <c r="V908" s="1838"/>
      <c r="W908" s="1631"/>
      <c r="Z908" s="1631"/>
      <c r="AA908" s="521"/>
      <c r="AB908" s="1631"/>
      <c r="AE908" s="1631"/>
      <c r="AF908" s="521"/>
      <c r="AG908" s="1631"/>
      <c r="AJ908" s="1631"/>
      <c r="AK908" s="521"/>
      <c r="AL908" s="1631"/>
      <c r="AO908" s="1631"/>
      <c r="AP908" s="521"/>
      <c r="AQ908" s="522"/>
      <c r="AR908" s="522"/>
      <c r="AS908" s="522"/>
      <c r="AT908" s="522"/>
      <c r="AU908" s="522"/>
      <c r="AV908" s="522"/>
      <c r="AX908" s="1631"/>
      <c r="BA908" s="522"/>
      <c r="BC908" s="1631"/>
      <c r="JV908" s="1637"/>
      <c r="KA908" s="1637"/>
      <c r="KB908" s="1637"/>
      <c r="KC908" s="1637"/>
      <c r="KD908" s="1637"/>
      <c r="KE908" s="1637"/>
      <c r="KF908" s="1637"/>
      <c r="KG908" s="1637"/>
      <c r="KH908" s="1637"/>
      <c r="KI908" s="1637"/>
      <c r="KJ908" s="1637"/>
      <c r="KK908" s="1637"/>
      <c r="KL908" s="1637"/>
      <c r="KM908" s="1637"/>
      <c r="KN908" s="1637"/>
      <c r="KO908" s="1637"/>
      <c r="KP908" s="1637"/>
      <c r="KQ908" s="1637"/>
      <c r="KR908" s="1637"/>
      <c r="KS908" s="1637"/>
      <c r="KT908" s="1637"/>
      <c r="KU908" s="1637"/>
      <c r="KV908" s="1637"/>
      <c r="KW908" s="1637"/>
      <c r="KX908" s="1637"/>
      <c r="KY908" s="1637"/>
      <c r="KZ908" s="1637"/>
      <c r="LA908" s="1637"/>
      <c r="LB908" s="1637"/>
      <c r="LC908" s="1637"/>
      <c r="LD908" s="1637"/>
      <c r="LE908" s="1637"/>
      <c r="LF908" s="1637"/>
    </row>
    <row r="909" spans="1:318">
      <c r="C909" s="1631"/>
      <c r="D909" s="1631"/>
      <c r="E909" s="1631"/>
      <c r="F909" s="1631"/>
      <c r="H909" s="1841" t="s">
        <v>1149</v>
      </c>
      <c r="J909" s="1847">
        <f>ER810</f>
        <v>0</v>
      </c>
      <c r="K909" s="1847">
        <f>ES810</f>
        <v>9440</v>
      </c>
      <c r="L909" s="1847">
        <f>ET810</f>
        <v>54936</v>
      </c>
      <c r="M909" s="1847">
        <f>EU810</f>
        <v>9848</v>
      </c>
      <c r="N909" s="1847">
        <f>EV810</f>
        <v>11480</v>
      </c>
      <c r="O909" s="1847">
        <f t="shared" si="355"/>
        <v>85704</v>
      </c>
      <c r="P909" s="1924">
        <f>'Part VI-Revenues &amp; Expenses'!P147</f>
        <v>1020.2857142857143</v>
      </c>
      <c r="R909" s="1838">
        <f>'Part VI-Revenues &amp; Expenses'!R147</f>
        <v>0</v>
      </c>
      <c r="S909" s="1838"/>
      <c r="T909" s="1838"/>
      <c r="U909" s="1838"/>
      <c r="V909" s="1838"/>
      <c r="W909" s="1631"/>
      <c r="Z909" s="1631"/>
      <c r="AA909" s="521"/>
      <c r="AB909" s="1631"/>
      <c r="AE909" s="1631"/>
      <c r="AF909" s="521"/>
      <c r="AG909" s="1631"/>
      <c r="AJ909" s="1631"/>
      <c r="AK909" s="521"/>
      <c r="AL909" s="1631"/>
      <c r="AO909" s="1631"/>
      <c r="AP909" s="521"/>
      <c r="AQ909" s="522"/>
      <c r="AR909" s="522"/>
      <c r="AS909" s="522"/>
      <c r="AT909" s="522"/>
      <c r="AU909" s="522"/>
      <c r="AV909" s="522"/>
      <c r="AX909" s="1631"/>
      <c r="BA909" s="522"/>
      <c r="BC909" s="1631"/>
      <c r="JV909" s="1637"/>
      <c r="KA909" s="1637"/>
      <c r="KB909" s="1637"/>
      <c r="KC909" s="1637"/>
      <c r="KD909" s="1637"/>
      <c r="KE909" s="1637"/>
      <c r="KF909" s="1637"/>
      <c r="KG909" s="1637"/>
      <c r="KH909" s="1637"/>
      <c r="KI909" s="1637"/>
      <c r="KJ909" s="1637"/>
      <c r="KK909" s="1637"/>
      <c r="KL909" s="1637"/>
      <c r="KM909" s="1637"/>
      <c r="KN909" s="1637"/>
      <c r="KO909" s="1637"/>
      <c r="KP909" s="1637"/>
      <c r="KQ909" s="1637"/>
      <c r="KR909" s="1637"/>
      <c r="KS909" s="1637"/>
      <c r="KT909" s="1637"/>
      <c r="KU909" s="1637"/>
      <c r="KV909" s="1637"/>
      <c r="KW909" s="1637"/>
      <c r="KX909" s="1637"/>
      <c r="KY909" s="1637"/>
      <c r="KZ909" s="1637"/>
      <c r="LA909" s="1637"/>
      <c r="LB909" s="1637"/>
      <c r="LC909" s="1637"/>
      <c r="LD909" s="1637"/>
      <c r="LE909" s="1637"/>
      <c r="LF909" s="1637"/>
    </row>
    <row r="910" spans="1:318">
      <c r="C910" s="1631"/>
      <c r="D910" s="1631"/>
      <c r="E910" s="1631"/>
      <c r="F910" s="1631"/>
      <c r="H910" s="1841" t="s">
        <v>118</v>
      </c>
      <c r="J910" s="1847">
        <f>EW810</f>
        <v>0</v>
      </c>
      <c r="K910" s="1847">
        <f>EX810</f>
        <v>0</v>
      </c>
      <c r="L910" s="1847">
        <f>EY810</f>
        <v>0</v>
      </c>
      <c r="M910" s="1847">
        <f>EZ810</f>
        <v>0</v>
      </c>
      <c r="N910" s="1847">
        <f>FA810</f>
        <v>0</v>
      </c>
      <c r="O910" s="1847">
        <f t="shared" si="355"/>
        <v>0</v>
      </c>
      <c r="P910" s="1924" t="str">
        <f>'Part VI-Revenues &amp; Expenses'!P148</f>
        <v/>
      </c>
      <c r="R910" s="1838">
        <f>'Part VI-Revenues &amp; Expenses'!R148</f>
        <v>0</v>
      </c>
      <c r="S910" s="1838"/>
      <c r="T910" s="1838"/>
      <c r="U910" s="1838"/>
      <c r="V910" s="1838"/>
      <c r="W910" s="1631"/>
      <c r="Z910" s="1631"/>
      <c r="AA910" s="521"/>
      <c r="AB910" s="1631"/>
      <c r="AE910" s="1631"/>
      <c r="AF910" s="521"/>
      <c r="AG910" s="1631"/>
      <c r="AJ910" s="1631"/>
      <c r="AK910" s="521"/>
      <c r="AL910" s="1631"/>
      <c r="AO910" s="1631"/>
      <c r="AP910" s="521"/>
      <c r="AQ910" s="522"/>
      <c r="AR910" s="522"/>
      <c r="AS910" s="522"/>
      <c r="AT910" s="522"/>
      <c r="AU910" s="522"/>
      <c r="AV910" s="522"/>
      <c r="AX910" s="1631"/>
      <c r="BA910" s="522"/>
      <c r="BC910" s="1631"/>
      <c r="JV910" s="1637"/>
      <c r="KA910" s="1637"/>
      <c r="KB910" s="1637"/>
      <c r="KC910" s="1637"/>
      <c r="KD910" s="1637"/>
      <c r="KE910" s="1637"/>
      <c r="KF910" s="1637"/>
      <c r="KG910" s="1637"/>
      <c r="KH910" s="1637"/>
      <c r="KI910" s="1637"/>
      <c r="KJ910" s="1637"/>
      <c r="KK910" s="1637"/>
      <c r="KL910" s="1637"/>
      <c r="KM910" s="1637"/>
      <c r="KN910" s="1637"/>
      <c r="KO910" s="1637"/>
      <c r="KP910" s="1637"/>
      <c r="KQ910" s="1637"/>
      <c r="KR910" s="1637"/>
      <c r="KS910" s="1637"/>
      <c r="KT910" s="1637"/>
      <c r="KU910" s="1637"/>
      <c r="KV910" s="1637"/>
      <c r="KW910" s="1637"/>
      <c r="KX910" s="1637"/>
      <c r="KY910" s="1637"/>
      <c r="KZ910" s="1637"/>
      <c r="LA910" s="1637"/>
      <c r="LB910" s="1637"/>
      <c r="LC910" s="1637"/>
      <c r="LD910" s="1637"/>
      <c r="LE910" s="1637"/>
      <c r="LF910" s="1637"/>
    </row>
    <row r="911" spans="1:318">
      <c r="C911" s="1631"/>
      <c r="D911" s="1631"/>
      <c r="E911" s="1631"/>
      <c r="F911" s="1631"/>
      <c r="H911" s="1841" t="s">
        <v>4624</v>
      </c>
      <c r="J911" s="1847">
        <f>FB810</f>
        <v>0</v>
      </c>
      <c r="K911" s="1847">
        <f>FC810</f>
        <v>0</v>
      </c>
      <c r="L911" s="1847">
        <f>FD810</f>
        <v>0</v>
      </c>
      <c r="M911" s="1847">
        <f>FE810</f>
        <v>0</v>
      </c>
      <c r="N911" s="1847">
        <f>FF810</f>
        <v>0</v>
      </c>
      <c r="O911" s="1847">
        <f t="shared" si="355"/>
        <v>0</v>
      </c>
      <c r="P911" s="1924" t="str">
        <f>'Part VI-Revenues &amp; Expenses'!P149</f>
        <v/>
      </c>
      <c r="R911" s="1838">
        <f>'Part VI-Revenues &amp; Expenses'!R149</f>
        <v>0</v>
      </c>
      <c r="S911" s="1838"/>
      <c r="T911" s="1838"/>
      <c r="U911" s="1838"/>
      <c r="V911" s="1838"/>
      <c r="W911" s="1631"/>
      <c r="Z911" s="1631"/>
      <c r="AA911" s="521"/>
      <c r="AB911" s="1631"/>
      <c r="AE911" s="1631"/>
      <c r="AF911" s="521"/>
      <c r="AG911" s="1631"/>
      <c r="AJ911" s="1631"/>
      <c r="AK911" s="521"/>
      <c r="AL911" s="1631"/>
      <c r="AO911" s="1631"/>
      <c r="AP911" s="521"/>
      <c r="AQ911" s="522"/>
      <c r="AR911" s="522"/>
      <c r="AS911" s="522"/>
      <c r="AT911" s="522"/>
      <c r="AU911" s="522"/>
      <c r="AV911" s="522"/>
      <c r="AX911" s="1631"/>
      <c r="BA911" s="522"/>
      <c r="BC911" s="1631"/>
      <c r="JV911" s="1637"/>
      <c r="KA911" s="1637"/>
      <c r="KB911" s="1637"/>
      <c r="KC911" s="1637"/>
      <c r="KD911" s="1637"/>
      <c r="KE911" s="1637"/>
      <c r="KF911" s="1637"/>
      <c r="KG911" s="1637"/>
      <c r="KH911" s="1637"/>
      <c r="KI911" s="1637"/>
      <c r="KJ911" s="1637"/>
      <c r="KK911" s="1637"/>
      <c r="KL911" s="1637"/>
      <c r="KM911" s="1637"/>
      <c r="KN911" s="1637"/>
      <c r="KO911" s="1637"/>
      <c r="KP911" s="1637"/>
      <c r="KQ911" s="1637"/>
      <c r="KR911" s="1637"/>
      <c r="KS911" s="1637"/>
      <c r="KT911" s="1637"/>
      <c r="KU911" s="1637"/>
      <c r="KV911" s="1637"/>
      <c r="KW911" s="1637"/>
      <c r="KX911" s="1637"/>
      <c r="KY911" s="1637"/>
      <c r="KZ911" s="1637"/>
      <c r="LA911" s="1637"/>
      <c r="LB911" s="1637"/>
      <c r="LC911" s="1637"/>
      <c r="LD911" s="1637"/>
      <c r="LE911" s="1637"/>
      <c r="LF911" s="1637"/>
    </row>
    <row r="912" spans="1:318">
      <c r="C912" s="1631"/>
      <c r="D912" s="1631"/>
      <c r="E912" s="1631"/>
      <c r="F912" s="1631"/>
      <c r="H912" s="1841" t="s">
        <v>4625</v>
      </c>
      <c r="J912" s="1847">
        <f>FG810</f>
        <v>0</v>
      </c>
      <c r="K912" s="1847">
        <f>FH810</f>
        <v>0</v>
      </c>
      <c r="L912" s="1847">
        <f>FI810</f>
        <v>0</v>
      </c>
      <c r="M912" s="1847">
        <f>FJ810</f>
        <v>0</v>
      </c>
      <c r="N912" s="1847">
        <f>FK810</f>
        <v>0</v>
      </c>
      <c r="O912" s="1847">
        <f t="shared" si="355"/>
        <v>0</v>
      </c>
      <c r="P912" s="1924" t="str">
        <f>'Part VI-Revenues &amp; Expenses'!P150</f>
        <v/>
      </c>
      <c r="R912" s="1838">
        <f>'Part VI-Revenues &amp; Expenses'!R150</f>
        <v>0</v>
      </c>
      <c r="S912" s="1838"/>
      <c r="T912" s="1838"/>
      <c r="U912" s="1838"/>
      <c r="V912" s="1838"/>
      <c r="W912" s="1631"/>
      <c r="Z912" s="1631"/>
      <c r="AA912" s="521"/>
      <c r="AB912" s="1631"/>
      <c r="AE912" s="1631"/>
      <c r="AF912" s="521"/>
      <c r="AG912" s="1631"/>
      <c r="AJ912" s="1631"/>
      <c r="AK912" s="521"/>
      <c r="AL912" s="1631"/>
      <c r="AO912" s="1631"/>
      <c r="AP912" s="521"/>
      <c r="AQ912" s="522"/>
      <c r="AR912" s="522"/>
      <c r="AS912" s="522"/>
      <c r="AT912" s="522"/>
      <c r="AU912" s="522"/>
      <c r="AV912" s="522"/>
      <c r="AX912" s="1631"/>
      <c r="BA912" s="522"/>
      <c r="BC912" s="1631"/>
      <c r="JV912" s="1637"/>
      <c r="KA912" s="1637"/>
      <c r="KB912" s="1637"/>
      <c r="KC912" s="1637"/>
      <c r="KD912" s="1637"/>
      <c r="KE912" s="1637"/>
      <c r="KF912" s="1637"/>
      <c r="KG912" s="1637"/>
      <c r="KH912" s="1637"/>
      <c r="KI912" s="1637"/>
      <c r="KJ912" s="1637"/>
      <c r="KK912" s="1637"/>
      <c r="KL912" s="1637"/>
      <c r="KM912" s="1637"/>
      <c r="KN912" s="1637"/>
      <c r="KO912" s="1637"/>
      <c r="KP912" s="1637"/>
      <c r="KQ912" s="1637"/>
      <c r="KR912" s="1637"/>
      <c r="KS912" s="1637"/>
      <c r="KT912" s="1637"/>
      <c r="KU912" s="1637"/>
      <c r="KV912" s="1637"/>
      <c r="KW912" s="1637"/>
      <c r="KX912" s="1637"/>
      <c r="KY912" s="1637"/>
      <c r="KZ912" s="1637"/>
      <c r="LA912" s="1637"/>
      <c r="LB912" s="1637"/>
      <c r="LC912" s="1637"/>
      <c r="LD912" s="1637"/>
      <c r="LE912" s="1637"/>
      <c r="LF912" s="1637"/>
    </row>
    <row r="913" spans="1:357">
      <c r="C913" s="1631"/>
      <c r="D913" s="1631"/>
      <c r="E913" s="1631"/>
      <c r="F913" s="1631"/>
      <c r="H913" s="1216" t="s">
        <v>4626</v>
      </c>
      <c r="J913" s="1844">
        <f>FL810</f>
        <v>0</v>
      </c>
      <c r="K913" s="1844">
        <f>FM810</f>
        <v>0</v>
      </c>
      <c r="L913" s="1844">
        <f>FN810</f>
        <v>0</v>
      </c>
      <c r="M913" s="1844">
        <f>FO810</f>
        <v>0</v>
      </c>
      <c r="N913" s="1844">
        <f>FP810</f>
        <v>0</v>
      </c>
      <c r="O913" s="1847">
        <f t="shared" si="355"/>
        <v>0</v>
      </c>
      <c r="P913" s="1924" t="str">
        <f>'Part VI-Revenues &amp; Expenses'!P151</f>
        <v/>
      </c>
      <c r="R913" s="1838">
        <f>'Part VI-Revenues &amp; Expenses'!R151</f>
        <v>0</v>
      </c>
      <c r="S913" s="1838"/>
      <c r="T913" s="1838"/>
      <c r="U913" s="1838"/>
      <c r="V913" s="1838"/>
      <c r="W913" s="1631"/>
      <c r="Z913" s="1631"/>
      <c r="AA913" s="521"/>
      <c r="AB913" s="1631"/>
      <c r="AE913" s="1631"/>
      <c r="AF913" s="521"/>
      <c r="AG913" s="1631"/>
      <c r="AJ913" s="1631"/>
      <c r="AK913" s="521"/>
      <c r="AL913" s="1631"/>
      <c r="AO913" s="1631"/>
      <c r="AP913" s="521"/>
      <c r="AQ913" s="522"/>
      <c r="AR913" s="522"/>
      <c r="AS913" s="522"/>
      <c r="AT913" s="522"/>
      <c r="AU913" s="522"/>
      <c r="AV913" s="522"/>
      <c r="AW913" s="1631"/>
      <c r="AX913" s="1631"/>
      <c r="BA913" s="522"/>
      <c r="BB913" s="1631"/>
      <c r="BC913" s="1631"/>
      <c r="JV913" s="1637"/>
      <c r="KA913" s="1637"/>
      <c r="KB913" s="1637"/>
      <c r="KC913" s="1637"/>
      <c r="KD913" s="1637"/>
      <c r="KE913" s="1637"/>
      <c r="KF913" s="1637"/>
      <c r="KG913" s="1637"/>
      <c r="KH913" s="1637"/>
      <c r="KI913" s="1637"/>
      <c r="KJ913" s="1637"/>
      <c r="KK913" s="1637"/>
      <c r="KL913" s="1637"/>
      <c r="KM913" s="1637"/>
      <c r="KN913" s="1637"/>
      <c r="KO913" s="1637"/>
      <c r="KP913" s="1637"/>
      <c r="KQ913" s="1637"/>
      <c r="KR913" s="1637"/>
      <c r="KS913" s="1637"/>
      <c r="KT913" s="1637"/>
      <c r="KU913" s="1637"/>
      <c r="KV913" s="1637"/>
      <c r="KW913" s="1637"/>
      <c r="KX913" s="1637"/>
      <c r="KY913" s="1637"/>
      <c r="KZ913" s="1637"/>
      <c r="LA913" s="1637"/>
      <c r="LB913" s="1637"/>
      <c r="LC913" s="1637"/>
      <c r="LD913" s="1637"/>
      <c r="LE913" s="1637"/>
      <c r="LF913" s="1637"/>
    </row>
    <row r="914" spans="1:357">
      <c r="C914" s="1631"/>
      <c r="D914" s="1631"/>
      <c r="E914" s="1631"/>
      <c r="F914" s="1631"/>
      <c r="H914" s="1841" t="s">
        <v>4707</v>
      </c>
      <c r="J914" s="1847">
        <f>SUM(J907:J913)</f>
        <v>0</v>
      </c>
      <c r="K914" s="1847">
        <f>SUM(K907:K913)</f>
        <v>9440</v>
      </c>
      <c r="L914" s="1847">
        <f>SUM(L907:L913)</f>
        <v>54936</v>
      </c>
      <c r="M914" s="1847">
        <f>SUM(M907:M913)</f>
        <v>9848</v>
      </c>
      <c r="N914" s="1847">
        <f>SUM(N907:N913)</f>
        <v>11480</v>
      </c>
      <c r="O914" s="1847">
        <f>SUM(J914:N914)</f>
        <v>85704</v>
      </c>
      <c r="R914" s="1838">
        <f>'Part VI-Revenues &amp; Expenses'!R152</f>
        <v>0</v>
      </c>
      <c r="S914" s="1838"/>
      <c r="T914" s="1838"/>
      <c r="U914" s="1838"/>
      <c r="V914" s="1838"/>
      <c r="W914" s="1631"/>
      <c r="Z914" s="1631"/>
      <c r="AA914" s="521"/>
      <c r="AB914" s="1631"/>
      <c r="AE914" s="1631"/>
      <c r="AF914" s="521"/>
      <c r="AG914" s="1631"/>
      <c r="AJ914" s="1631"/>
      <c r="AK914" s="521"/>
      <c r="AL914" s="1631"/>
      <c r="AO914" s="1631"/>
      <c r="AP914" s="521"/>
      <c r="AQ914" s="522"/>
      <c r="AR914" s="522"/>
      <c r="AS914" s="522"/>
      <c r="AT914" s="522"/>
      <c r="AU914" s="522"/>
      <c r="AV914" s="522"/>
      <c r="AW914" s="1631"/>
      <c r="AX914" s="1631"/>
      <c r="BA914" s="522"/>
      <c r="BB914" s="1631"/>
      <c r="BC914" s="1631"/>
      <c r="JV914" s="1637"/>
      <c r="KA914" s="1637"/>
      <c r="KB914" s="1637"/>
      <c r="KC914" s="1637"/>
      <c r="KD914" s="1637"/>
      <c r="KE914" s="1637"/>
      <c r="KF914" s="1637"/>
      <c r="KG914" s="1637"/>
      <c r="KH914" s="1637"/>
      <c r="KI914" s="1637"/>
      <c r="KJ914" s="1637"/>
      <c r="KK914" s="1637"/>
      <c r="KL914" s="1637"/>
      <c r="KM914" s="1637"/>
      <c r="KN914" s="1637"/>
      <c r="KO914" s="1637"/>
      <c r="KP914" s="1637"/>
      <c r="KQ914" s="1637"/>
      <c r="KR914" s="1637"/>
      <c r="KS914" s="1637"/>
      <c r="KT914" s="1637"/>
      <c r="KU914" s="1637"/>
      <c r="KV914" s="1637"/>
      <c r="KW914" s="1637"/>
      <c r="KX914" s="1637"/>
      <c r="KY914" s="1637"/>
      <c r="KZ914" s="1637"/>
      <c r="LA914" s="1637"/>
      <c r="LB914" s="1637"/>
      <c r="LC914" s="1637"/>
      <c r="LD914" s="1637"/>
      <c r="LE914" s="1637"/>
      <c r="LF914" s="1637"/>
    </row>
    <row r="915" spans="1:357">
      <c r="C915" s="1631" t="s">
        <v>303</v>
      </c>
      <c r="D915" s="1631"/>
      <c r="E915" s="1631"/>
      <c r="F915" s="1631"/>
      <c r="G915" s="1631"/>
      <c r="J915" s="1847">
        <f>FQ810</f>
        <v>0</v>
      </c>
      <c r="K915" s="1847">
        <f>FR810</f>
        <v>0</v>
      </c>
      <c r="L915" s="1847">
        <f>FS810</f>
        <v>0</v>
      </c>
      <c r="M915" s="1847">
        <f>FT810</f>
        <v>0</v>
      </c>
      <c r="N915" s="1847">
        <f>FU810</f>
        <v>0</v>
      </c>
      <c r="O915" s="1847">
        <f>SUM(J915:N915)</f>
        <v>0</v>
      </c>
      <c r="P915" s="1924" t="str">
        <f>IF(OR(O826=0,O826=""),"",O915/O826)</f>
        <v/>
      </c>
      <c r="R915" s="1838">
        <f>'Part VI-Revenues &amp; Expenses'!R153</f>
        <v>0</v>
      </c>
      <c r="S915" s="1838"/>
      <c r="T915" s="1838"/>
      <c r="U915" s="1838"/>
      <c r="V915" s="1838"/>
      <c r="W915" s="1631"/>
      <c r="Z915" s="1631"/>
      <c r="AA915" s="1631"/>
      <c r="AB915" s="1631"/>
      <c r="AE915" s="1631"/>
      <c r="AF915" s="1631"/>
      <c r="AG915" s="1631"/>
      <c r="AJ915" s="1631"/>
      <c r="AK915" s="1631"/>
      <c r="AL915" s="1631"/>
      <c r="AO915" s="1631"/>
      <c r="AP915" s="1631"/>
      <c r="AQ915" s="522"/>
      <c r="AR915" s="522"/>
      <c r="AS915" s="522"/>
      <c r="AT915" s="522"/>
      <c r="AU915" s="522"/>
      <c r="AV915" s="522"/>
      <c r="AX915" s="1631"/>
      <c r="BA915" s="522"/>
      <c r="BC915" s="1631"/>
      <c r="JV915" s="1637"/>
      <c r="KA915" s="1637"/>
      <c r="KB915" s="1637"/>
      <c r="KC915" s="1637"/>
      <c r="KD915" s="1637"/>
      <c r="KE915" s="1637"/>
      <c r="KF915" s="1637"/>
      <c r="KG915" s="1637"/>
      <c r="KH915" s="1637"/>
      <c r="KI915" s="1637"/>
      <c r="KJ915" s="1637"/>
      <c r="KK915" s="1637"/>
      <c r="KL915" s="1637"/>
      <c r="KM915" s="1637"/>
      <c r="KN915" s="1637"/>
      <c r="KO915" s="1637"/>
      <c r="KP915" s="1637"/>
      <c r="KQ915" s="1637"/>
      <c r="KR915" s="1637"/>
      <c r="KS915" s="1637"/>
      <c r="KT915" s="1637"/>
      <c r="KU915" s="1637"/>
      <c r="KV915" s="1637"/>
      <c r="KW915" s="1637"/>
      <c r="KX915" s="1637"/>
      <c r="KY915" s="1637"/>
      <c r="KZ915" s="1637"/>
      <c r="LA915" s="1637"/>
      <c r="LB915" s="1637"/>
      <c r="LC915" s="1637"/>
      <c r="LD915" s="1637"/>
      <c r="LE915" s="1637"/>
      <c r="LF915" s="1637"/>
    </row>
    <row r="916" spans="1:357">
      <c r="C916" s="1631" t="s">
        <v>1138</v>
      </c>
      <c r="D916" s="1631"/>
      <c r="E916" s="1631"/>
      <c r="F916" s="1631"/>
      <c r="G916" s="1631"/>
      <c r="J916" s="1847">
        <f>SUM(J914:J915)</f>
        <v>0</v>
      </c>
      <c r="K916" s="1847">
        <f>SUM(K914:K915)</f>
        <v>9440</v>
      </c>
      <c r="L916" s="1847">
        <f>SUM(L914:L915)</f>
        <v>54936</v>
      </c>
      <c r="M916" s="1847">
        <f>SUM(M914:M915)</f>
        <v>9848</v>
      </c>
      <c r="N916" s="1847">
        <f>SUM(N914:N915)</f>
        <v>11480</v>
      </c>
      <c r="O916" s="1847">
        <f>SUM(J916:N916)</f>
        <v>85704</v>
      </c>
      <c r="R916" s="1838">
        <f>'Part VI-Revenues &amp; Expenses'!R154</f>
        <v>0</v>
      </c>
      <c r="S916" s="1838"/>
      <c r="T916" s="1838"/>
      <c r="U916" s="1838"/>
      <c r="V916" s="1838"/>
      <c r="W916" s="1631"/>
      <c r="Z916" s="1631"/>
      <c r="AA916" s="1631"/>
      <c r="AB916" s="1631"/>
      <c r="AE916" s="1631"/>
      <c r="AF916" s="1631"/>
      <c r="AG916" s="1631"/>
      <c r="AJ916" s="1631"/>
      <c r="AK916" s="1631"/>
      <c r="AL916" s="1631"/>
      <c r="AO916" s="1631"/>
      <c r="AP916" s="1631"/>
      <c r="AQ916" s="522"/>
      <c r="AR916" s="522"/>
      <c r="AS916" s="522"/>
      <c r="AT916" s="522"/>
      <c r="AU916" s="522"/>
      <c r="AV916" s="522"/>
      <c r="AX916" s="1631"/>
      <c r="BA916" s="522"/>
      <c r="BC916" s="1631"/>
      <c r="JV916" s="1637"/>
      <c r="KA916" s="1637"/>
      <c r="KB916" s="1637"/>
      <c r="KC916" s="1637"/>
      <c r="KD916" s="1637"/>
      <c r="KE916" s="1637"/>
      <c r="KF916" s="1637"/>
      <c r="KG916" s="1637"/>
      <c r="KH916" s="1637"/>
      <c r="KI916" s="1637"/>
      <c r="KJ916" s="1637"/>
      <c r="KK916" s="1637"/>
      <c r="KL916" s="1637"/>
      <c r="KM916" s="1637"/>
      <c r="KN916" s="1637"/>
      <c r="KO916" s="1637"/>
      <c r="KP916" s="1637"/>
      <c r="KQ916" s="1637"/>
      <c r="KR916" s="1637"/>
      <c r="KS916" s="1637"/>
      <c r="KT916" s="1637"/>
      <c r="KU916" s="1637"/>
      <c r="KV916" s="1637"/>
      <c r="KW916" s="1637"/>
      <c r="KX916" s="1637"/>
      <c r="KY916" s="1637"/>
      <c r="KZ916" s="1637"/>
      <c r="LA916" s="1637"/>
      <c r="LB916" s="1637"/>
      <c r="LC916" s="1637"/>
      <c r="LD916" s="1637"/>
      <c r="LE916" s="1637"/>
      <c r="LF916" s="1637"/>
    </row>
    <row r="917" spans="1:357">
      <c r="C917" s="1631" t="s">
        <v>2511</v>
      </c>
      <c r="D917" s="1631"/>
      <c r="E917" s="1631"/>
      <c r="F917" s="1631"/>
      <c r="G917" s="1631"/>
      <c r="J917" s="1847">
        <f>GA810</f>
        <v>0</v>
      </c>
      <c r="K917" s="1847">
        <f>GB810</f>
        <v>0</v>
      </c>
      <c r="L917" s="1847">
        <f>GC810</f>
        <v>0</v>
      </c>
      <c r="M917" s="1847">
        <f>GD810</f>
        <v>0</v>
      </c>
      <c r="N917" s="1847">
        <f>GE810</f>
        <v>0</v>
      </c>
      <c r="O917" s="1847">
        <f>SUM(J917:N917)</f>
        <v>0</v>
      </c>
      <c r="P917" s="1924" t="str">
        <f>IF(OR(O828=0,O828=""),"",O917/O828)</f>
        <v/>
      </c>
      <c r="R917" s="1838">
        <f>'Part VI-Revenues &amp; Expenses'!R155</f>
        <v>0</v>
      </c>
      <c r="S917" s="1838"/>
      <c r="T917" s="1838"/>
      <c r="U917" s="1838"/>
      <c r="V917" s="1838"/>
      <c r="W917" s="1631"/>
      <c r="Z917" s="1631"/>
      <c r="AA917" s="1631"/>
      <c r="AB917" s="1631"/>
      <c r="AE917" s="1631"/>
      <c r="AF917" s="1631"/>
      <c r="AG917" s="1631"/>
      <c r="AJ917" s="1631"/>
      <c r="AK917" s="1631"/>
      <c r="AL917" s="1631"/>
      <c r="AO917" s="1631"/>
      <c r="AP917" s="1631"/>
      <c r="AQ917" s="522"/>
      <c r="AR917" s="522"/>
      <c r="AS917" s="522"/>
      <c r="AT917" s="522"/>
      <c r="AU917" s="522"/>
      <c r="AV917" s="522"/>
      <c r="AX917" s="1631"/>
      <c r="BA917" s="522"/>
      <c r="BC917" s="1631"/>
      <c r="JV917" s="1637"/>
      <c r="KA917" s="1637"/>
      <c r="KB917" s="1637"/>
      <c r="KC917" s="1637"/>
      <c r="KD917" s="1637"/>
      <c r="KE917" s="1637"/>
      <c r="KF917" s="1637"/>
      <c r="KG917" s="1637"/>
      <c r="KH917" s="1637"/>
      <c r="KI917" s="1637"/>
      <c r="KJ917" s="1637"/>
      <c r="KK917" s="1637"/>
      <c r="KL917" s="1637"/>
      <c r="KM917" s="1637"/>
      <c r="KN917" s="1637"/>
      <c r="KO917" s="1637"/>
      <c r="KP917" s="1637"/>
      <c r="KQ917" s="1637"/>
      <c r="KR917" s="1637"/>
      <c r="KS917" s="1637"/>
      <c r="KT917" s="1637"/>
      <c r="KU917" s="1637"/>
      <c r="KV917" s="1637"/>
      <c r="KW917" s="1637"/>
      <c r="KX917" s="1637"/>
      <c r="KY917" s="1637"/>
      <c r="KZ917" s="1637"/>
      <c r="LA917" s="1637"/>
      <c r="LB917" s="1637"/>
      <c r="LC917" s="1637"/>
      <c r="LD917" s="1637"/>
      <c r="LE917" s="1637"/>
      <c r="LF917" s="1637"/>
    </row>
    <row r="918" spans="1:357">
      <c r="C918" s="1631" t="s">
        <v>539</v>
      </c>
      <c r="D918" s="1631"/>
      <c r="E918" s="1631"/>
      <c r="F918" s="1631"/>
      <c r="G918" s="1631"/>
      <c r="J918" s="1847">
        <f>SUM(J916:J917)</f>
        <v>0</v>
      </c>
      <c r="K918" s="1847">
        <f>SUM(K916:K917)</f>
        <v>9440</v>
      </c>
      <c r="L918" s="1847">
        <f>SUM(L916:L917)</f>
        <v>54936</v>
      </c>
      <c r="M918" s="1847">
        <f>SUM(M916:M917)</f>
        <v>9848</v>
      </c>
      <c r="N918" s="1847">
        <f>SUM(N916:N917)</f>
        <v>11480</v>
      </c>
      <c r="O918" s="1847">
        <f>SUM(J918:N918)</f>
        <v>85704</v>
      </c>
      <c r="R918" s="1838">
        <f>'Part VI-Revenues &amp; Expenses'!R156</f>
        <v>0</v>
      </c>
      <c r="S918" s="1838"/>
      <c r="T918" s="1838"/>
      <c r="U918" s="1838"/>
      <c r="V918" s="1838"/>
      <c r="W918" s="1631"/>
      <c r="Z918" s="1631"/>
      <c r="AA918" s="1631"/>
      <c r="AB918" s="1631"/>
      <c r="AE918" s="1631"/>
      <c r="AF918" s="1631"/>
      <c r="AG918" s="1631"/>
      <c r="AJ918" s="1631"/>
      <c r="AK918" s="1631"/>
      <c r="AL918" s="1631"/>
      <c r="AO918" s="1631"/>
      <c r="AP918" s="1631"/>
      <c r="AQ918" s="522"/>
      <c r="AR918" s="522"/>
      <c r="AS918" s="522"/>
      <c r="AT918" s="522"/>
      <c r="AU918" s="522"/>
      <c r="AV918" s="522"/>
      <c r="AX918" s="1631"/>
      <c r="BA918" s="522"/>
      <c r="BC918" s="1631"/>
      <c r="JV918" s="1637"/>
      <c r="KA918" s="1637"/>
      <c r="KB918" s="1637"/>
      <c r="KC918" s="1637"/>
      <c r="KD918" s="1637"/>
      <c r="KE918" s="1637"/>
      <c r="KF918" s="1637"/>
      <c r="KG918" s="1637"/>
      <c r="KH918" s="1637"/>
      <c r="KI918" s="1637"/>
      <c r="KJ918" s="1637"/>
      <c r="KK918" s="1637"/>
      <c r="KL918" s="1637"/>
      <c r="KM918" s="1637"/>
      <c r="KN918" s="1637"/>
      <c r="KO918" s="1637"/>
      <c r="KP918" s="1637"/>
      <c r="KQ918" s="1637"/>
      <c r="KR918" s="1637"/>
      <c r="KS918" s="1637"/>
      <c r="KT918" s="1637"/>
      <c r="KU918" s="1637"/>
      <c r="KV918" s="1637"/>
      <c r="KW918" s="1637"/>
      <c r="KX918" s="1637"/>
      <c r="KY918" s="1637"/>
      <c r="KZ918" s="1637"/>
      <c r="LA918" s="1637"/>
      <c r="LB918" s="1637"/>
      <c r="LC918" s="1637"/>
      <c r="LD918" s="1637"/>
      <c r="LE918" s="1637"/>
      <c r="LF918" s="1637"/>
    </row>
    <row r="919" spans="1:357">
      <c r="JV919" s="1637"/>
      <c r="KA919" s="1637"/>
      <c r="KB919" s="1637"/>
      <c r="KC919" s="1637"/>
      <c r="KD919" s="1637"/>
      <c r="KE919" s="1637"/>
      <c r="KF919" s="1637"/>
      <c r="KG919" s="1637"/>
      <c r="KH919" s="1637"/>
      <c r="KI919" s="1637"/>
      <c r="KJ919" s="1637"/>
      <c r="KK919" s="1637"/>
      <c r="KL919" s="1637"/>
      <c r="KM919" s="1637"/>
      <c r="KN919" s="1637"/>
      <c r="KO919" s="1637"/>
      <c r="KP919" s="1637"/>
      <c r="KQ919" s="1637"/>
      <c r="KR919" s="1637"/>
      <c r="KS919" s="1637"/>
      <c r="KT919" s="1637"/>
      <c r="KU919" s="1637"/>
      <c r="KV919" s="1637"/>
      <c r="KW919" s="1637"/>
      <c r="KX919" s="1637"/>
      <c r="KY919" s="1637"/>
      <c r="KZ919" s="1637"/>
      <c r="LA919" s="1637"/>
      <c r="LB919" s="1637"/>
      <c r="LC919" s="1637"/>
      <c r="LD919" s="1637"/>
      <c r="LE919" s="1637"/>
      <c r="LF919" s="1637"/>
    </row>
    <row r="920" spans="1:357">
      <c r="A920" s="1631"/>
      <c r="B920" s="1631"/>
      <c r="C920" s="1631"/>
      <c r="D920" s="1631"/>
      <c r="E920" s="1631"/>
      <c r="F920" s="1631"/>
      <c r="G920" s="1631"/>
      <c r="H920" s="1631"/>
      <c r="I920" s="1631"/>
      <c r="J920" s="1631"/>
      <c r="K920" s="1631"/>
      <c r="L920" s="1631"/>
      <c r="M920" s="1631"/>
      <c r="N920" s="1631"/>
      <c r="O920" s="1631"/>
      <c r="P920" s="1631"/>
      <c r="Q920" s="1631"/>
      <c r="R920" s="1631"/>
      <c r="S920" s="1631"/>
      <c r="T920" s="1631"/>
      <c r="U920" s="1631"/>
      <c r="V920" s="1631"/>
      <c r="W920" s="1631"/>
      <c r="X920" s="1631"/>
      <c r="Y920" s="1631"/>
      <c r="Z920" s="1631"/>
      <c r="AA920" s="1631"/>
      <c r="AB920" s="1631"/>
      <c r="AC920" s="1631"/>
      <c r="AD920" s="1631"/>
      <c r="AE920" s="1631"/>
      <c r="AF920" s="1631"/>
      <c r="AG920" s="1631"/>
      <c r="AH920" s="1631"/>
      <c r="AI920" s="1631"/>
      <c r="AJ920" s="1631"/>
      <c r="AK920" s="1631"/>
      <c r="AL920" s="1631"/>
      <c r="AM920" s="1631"/>
      <c r="AN920" s="1631"/>
      <c r="AO920" s="1631"/>
      <c r="AP920" s="1631"/>
      <c r="AQ920" s="1631"/>
      <c r="AR920" s="1631"/>
      <c r="AS920" s="1631"/>
      <c r="AT920" s="1631"/>
      <c r="AU920" s="1631"/>
      <c r="AV920" s="1631"/>
      <c r="AW920" s="1631"/>
      <c r="AX920" s="1631"/>
      <c r="AY920" s="1631"/>
      <c r="AZ920" s="1631"/>
      <c r="BA920" s="1631"/>
      <c r="BB920" s="1631"/>
      <c r="BC920" s="1631"/>
      <c r="BD920" s="1631"/>
      <c r="BE920" s="1631"/>
      <c r="BF920" s="1631"/>
      <c r="BG920" s="1631"/>
      <c r="BH920" s="1631"/>
      <c r="BI920" s="1631"/>
      <c r="BJ920" s="1631"/>
      <c r="BK920" s="1631"/>
      <c r="BL920" s="1631"/>
      <c r="BM920" s="1631"/>
      <c r="BN920" s="1631"/>
      <c r="BO920" s="1631"/>
      <c r="BP920" s="1631"/>
      <c r="BQ920" s="1631"/>
      <c r="BR920" s="1631"/>
      <c r="BS920" s="1631"/>
      <c r="BT920" s="1631"/>
      <c r="BU920" s="1631"/>
      <c r="BV920" s="1631"/>
      <c r="BW920" s="1631"/>
      <c r="BX920" s="1631"/>
      <c r="BY920" s="1631"/>
      <c r="BZ920" s="1631"/>
      <c r="CA920" s="1631"/>
      <c r="CB920" s="1631"/>
      <c r="CC920" s="1631"/>
      <c r="CD920" s="1631"/>
      <c r="CE920" s="1631"/>
      <c r="CF920" s="1631"/>
      <c r="CG920" s="1631"/>
      <c r="CH920" s="1631"/>
      <c r="CI920" s="1631"/>
      <c r="CJ920" s="1631"/>
      <c r="CK920" s="1631"/>
      <c r="CL920" s="1631"/>
      <c r="CM920" s="1631"/>
      <c r="CN920" s="1631"/>
      <c r="CO920" s="1631"/>
      <c r="CP920" s="1631"/>
      <c r="CQ920" s="1631"/>
      <c r="CR920" s="1631"/>
      <c r="CS920" s="1631"/>
      <c r="CT920" s="1631"/>
      <c r="CU920" s="1631"/>
      <c r="CV920" s="1631"/>
      <c r="CW920" s="1631"/>
      <c r="CX920" s="1631"/>
      <c r="CY920" s="1631"/>
      <c r="CZ920" s="1631"/>
      <c r="DA920" s="1631"/>
      <c r="DB920" s="1631"/>
      <c r="DC920" s="1631"/>
      <c r="DD920" s="1631"/>
      <c r="DE920" s="1631"/>
      <c r="DF920" s="1631"/>
      <c r="DG920" s="1631"/>
      <c r="DH920" s="1631"/>
      <c r="DI920" s="1631"/>
      <c r="DJ920" s="1631"/>
      <c r="DK920" s="1631"/>
      <c r="DL920" s="1631"/>
      <c r="DM920" s="1631"/>
      <c r="DN920" s="1631"/>
      <c r="DO920" s="1631"/>
      <c r="DP920" s="1631"/>
      <c r="DQ920" s="1631"/>
      <c r="DR920" s="1631"/>
      <c r="DS920" s="1631"/>
      <c r="DT920" s="1631"/>
      <c r="DU920" s="1631"/>
      <c r="DV920" s="1631"/>
      <c r="DW920" s="1631"/>
      <c r="DX920" s="1631"/>
      <c r="DY920" s="1631"/>
      <c r="DZ920" s="1631"/>
      <c r="EA920" s="1631"/>
      <c r="EB920" s="1631"/>
      <c r="EC920" s="1631"/>
      <c r="ED920" s="1631"/>
      <c r="EE920" s="1631"/>
      <c r="EF920" s="1631"/>
      <c r="EG920" s="1631"/>
      <c r="EH920" s="1631"/>
      <c r="EI920" s="1631"/>
      <c r="EJ920" s="1631"/>
      <c r="EK920" s="1631"/>
      <c r="EL920" s="1631"/>
      <c r="EM920" s="1631"/>
      <c r="EN920" s="1631"/>
      <c r="EO920" s="1631"/>
      <c r="EP920" s="1631"/>
      <c r="EQ920" s="1631"/>
      <c r="ER920" s="1631"/>
      <c r="ES920" s="1631"/>
      <c r="ET920" s="1631"/>
      <c r="EU920" s="1631"/>
      <c r="EV920" s="1631"/>
      <c r="EW920" s="1631"/>
      <c r="EX920" s="1631"/>
      <c r="EY920" s="1631"/>
      <c r="EZ920" s="1631"/>
      <c r="FA920" s="1631"/>
      <c r="FB920" s="1631"/>
      <c r="FC920" s="1631"/>
      <c r="FD920" s="1631"/>
      <c r="FE920" s="1631"/>
      <c r="FF920" s="1631"/>
      <c r="FG920" s="1631"/>
      <c r="FH920" s="1631"/>
      <c r="FI920" s="1631"/>
      <c r="FJ920" s="1631"/>
      <c r="FK920" s="1631"/>
      <c r="FL920" s="1631"/>
      <c r="FM920" s="1631"/>
      <c r="FN920" s="1631"/>
      <c r="FO920" s="1631"/>
      <c r="FP920" s="1631"/>
      <c r="FQ920" s="1631"/>
      <c r="FR920" s="1631"/>
      <c r="FS920" s="1631"/>
      <c r="FT920" s="1631"/>
      <c r="FU920" s="1631"/>
      <c r="FV920" s="1631"/>
      <c r="FW920" s="1631"/>
      <c r="FX920" s="1631"/>
      <c r="FY920" s="1631"/>
      <c r="FZ920" s="1631"/>
      <c r="GA920" s="1631"/>
      <c r="GB920" s="1631"/>
      <c r="GC920" s="1631"/>
      <c r="GD920" s="1631"/>
      <c r="GE920" s="1631"/>
      <c r="GF920" s="1631"/>
      <c r="GG920" s="1631"/>
      <c r="GH920" s="1631"/>
      <c r="GI920" s="1631"/>
      <c r="GJ920" s="1631"/>
      <c r="GK920" s="1631"/>
      <c r="GL920" s="1631"/>
      <c r="GM920" s="1631"/>
      <c r="GN920" s="1631"/>
      <c r="GO920" s="1631"/>
      <c r="GP920" s="1631"/>
      <c r="GQ920" s="1631"/>
      <c r="GR920" s="1631"/>
      <c r="GS920" s="1631"/>
      <c r="GT920" s="1631"/>
      <c r="GU920" s="1631"/>
      <c r="GV920" s="1631"/>
      <c r="GW920" s="1631"/>
      <c r="GX920" s="1631"/>
      <c r="GY920" s="1631"/>
      <c r="GZ920" s="1631"/>
      <c r="HA920" s="1631"/>
      <c r="HB920" s="1631"/>
      <c r="HC920" s="1631"/>
      <c r="HD920" s="1631"/>
      <c r="HE920" s="1631"/>
      <c r="HF920" s="1631"/>
      <c r="HG920" s="1631"/>
      <c r="HH920" s="1631"/>
      <c r="HI920" s="1631"/>
      <c r="HJ920" s="1631"/>
      <c r="HK920" s="1631"/>
      <c r="HL920" s="1631"/>
      <c r="HM920" s="1631"/>
      <c r="HN920" s="1631"/>
      <c r="HO920" s="1631"/>
      <c r="HP920" s="1631"/>
      <c r="HQ920" s="1631"/>
      <c r="HR920" s="1631"/>
      <c r="HS920" s="1631"/>
      <c r="HT920" s="1631"/>
      <c r="HU920" s="1631"/>
      <c r="HV920" s="1631"/>
      <c r="HW920" s="1631"/>
      <c r="HX920" s="1631"/>
      <c r="HY920" s="1631"/>
      <c r="HZ920" s="1631"/>
      <c r="IA920" s="1631"/>
      <c r="IB920" s="1631"/>
      <c r="IC920" s="1631"/>
      <c r="ID920" s="1631"/>
      <c r="IE920" s="1631"/>
      <c r="IF920" s="1631"/>
      <c r="IG920" s="1631"/>
      <c r="IH920" s="1631"/>
      <c r="II920" s="1631"/>
      <c r="IJ920" s="1631"/>
      <c r="IK920" s="1631"/>
      <c r="IL920" s="1631"/>
      <c r="IM920" s="1631"/>
      <c r="IN920" s="1631"/>
      <c r="IO920" s="1631"/>
      <c r="IP920" s="1631"/>
      <c r="IQ920" s="1631"/>
      <c r="IR920" s="1631"/>
      <c r="IS920" s="1631"/>
      <c r="IT920" s="1631"/>
      <c r="IU920" s="1631"/>
      <c r="IV920" s="1631"/>
      <c r="IW920" s="1631"/>
      <c r="IX920" s="1631"/>
      <c r="IY920" s="1631"/>
      <c r="IZ920" s="1631"/>
      <c r="JA920" s="1631"/>
      <c r="JB920" s="1631"/>
      <c r="JC920" s="1631"/>
      <c r="JD920" s="1631"/>
      <c r="JE920" s="1631"/>
      <c r="JF920" s="1631"/>
      <c r="JG920" s="1631"/>
      <c r="JH920" s="1631"/>
      <c r="JI920" s="1631"/>
      <c r="JJ920" s="1631"/>
      <c r="JK920" s="1631"/>
      <c r="JL920" s="1631"/>
      <c r="JM920" s="1631"/>
      <c r="JN920" s="1631"/>
      <c r="JO920" s="1631"/>
      <c r="JP920" s="1631"/>
      <c r="JQ920" s="1631"/>
      <c r="JR920" s="1631"/>
      <c r="JS920" s="1631"/>
      <c r="JT920" s="1631"/>
      <c r="JU920" s="1631"/>
      <c r="JV920" s="1630"/>
      <c r="JW920" s="1631"/>
      <c r="JX920" s="1631"/>
      <c r="JY920" s="1631"/>
      <c r="JZ920" s="1631"/>
      <c r="KA920" s="1630"/>
      <c r="KB920" s="1630"/>
      <c r="KC920" s="1630"/>
      <c r="KD920" s="1630"/>
      <c r="KE920" s="1630"/>
      <c r="KF920" s="1630"/>
      <c r="KG920" s="1630"/>
      <c r="KH920" s="1630"/>
      <c r="KI920" s="1630"/>
      <c r="KJ920" s="1630"/>
      <c r="KK920" s="1630"/>
      <c r="KL920" s="1630"/>
      <c r="KM920" s="1630"/>
      <c r="KN920" s="1630"/>
      <c r="KO920" s="1630"/>
      <c r="KP920" s="1630"/>
      <c r="KQ920" s="1630"/>
      <c r="KR920" s="1630"/>
      <c r="KS920" s="1630"/>
      <c r="KT920" s="1630"/>
      <c r="KU920" s="1630"/>
      <c r="KV920" s="1630"/>
      <c r="KW920" s="1630"/>
      <c r="KX920" s="1630"/>
      <c r="KY920" s="1630"/>
      <c r="KZ920" s="1630"/>
      <c r="LA920" s="1630"/>
      <c r="LB920" s="1630"/>
      <c r="LC920" s="1630"/>
      <c r="LD920" s="1630"/>
      <c r="LE920" s="1630"/>
      <c r="LF920" s="1630"/>
      <c r="LG920" s="1631"/>
      <c r="LH920" s="1631"/>
      <c r="LI920" s="1631"/>
      <c r="LJ920" s="1631"/>
      <c r="LK920" s="1631"/>
      <c r="LL920" s="1631"/>
      <c r="LM920" s="1631"/>
      <c r="LN920" s="1631"/>
      <c r="LO920" s="1631"/>
      <c r="LP920" s="1631"/>
      <c r="LQ920" s="1631"/>
      <c r="LR920" s="1631"/>
      <c r="LS920" s="1631"/>
      <c r="LT920" s="1631"/>
      <c r="LU920" s="1631"/>
      <c r="LV920" s="1631"/>
      <c r="LW920" s="1631"/>
      <c r="LX920" s="1631"/>
      <c r="LY920" s="1631"/>
      <c r="LZ920" s="1631"/>
      <c r="MA920" s="1631"/>
      <c r="MB920" s="1631"/>
      <c r="MC920" s="1631"/>
      <c r="MD920" s="1631"/>
      <c r="ME920" s="1631"/>
      <c r="MF920" s="1631"/>
      <c r="MG920" s="1631"/>
      <c r="MH920" s="1631"/>
      <c r="MI920" s="1631"/>
      <c r="MJ920" s="1631"/>
      <c r="MK920" s="1631"/>
      <c r="ML920" s="1631"/>
      <c r="MM920" s="1631"/>
      <c r="MN920" s="1631"/>
      <c r="MO920" s="1631"/>
      <c r="MP920" s="1631"/>
      <c r="MQ920" s="1631"/>
      <c r="MR920" s="1631"/>
      <c r="MS920" s="1631"/>
    </row>
    <row r="921" spans="1:357">
      <c r="A921" s="1631"/>
      <c r="B921" s="1631"/>
      <c r="C921" s="1631" t="s">
        <v>5165</v>
      </c>
      <c r="D921" s="1631"/>
      <c r="E921" s="1631"/>
      <c r="F921" s="1631"/>
      <c r="G921" s="1631"/>
      <c r="H921" s="1631"/>
      <c r="I921" s="1631"/>
      <c r="J921" s="1862" t="str">
        <f>'Part VI-Revenues &amp; Expenses'!J159</f>
        <v/>
      </c>
      <c r="K921" s="1862">
        <f>'Part VI-Revenues &amp; Expenses'!K159</f>
        <v>786.66666666666663</v>
      </c>
      <c r="L921" s="1862">
        <f>'Part VI-Revenues &amp; Expenses'!L159</f>
        <v>981</v>
      </c>
      <c r="M921" s="1862">
        <f>'Part VI-Revenues &amp; Expenses'!M159</f>
        <v>1231</v>
      </c>
      <c r="N921" s="1862">
        <f>'Part VI-Revenues &amp; Expenses'!N159</f>
        <v>1435</v>
      </c>
      <c r="O921" s="1862"/>
      <c r="P921" s="1631"/>
      <c r="Q921" s="1631"/>
      <c r="R921" s="1631"/>
      <c r="S921" s="1631"/>
      <c r="T921" s="1631"/>
      <c r="U921" s="1631"/>
      <c r="V921" s="1631"/>
      <c r="W921" s="1631"/>
      <c r="X921" s="1631"/>
      <c r="Y921" s="1631"/>
      <c r="Z921" s="1631"/>
      <c r="AA921" s="1631"/>
      <c r="AB921" s="1631"/>
      <c r="AC921" s="1631"/>
      <c r="AD921" s="1631"/>
      <c r="AE921" s="1631"/>
      <c r="AF921" s="1631"/>
      <c r="AG921" s="1631"/>
      <c r="AH921" s="1631"/>
      <c r="AI921" s="1631"/>
      <c r="AJ921" s="1631"/>
      <c r="AK921" s="1631"/>
      <c r="AL921" s="1631"/>
      <c r="AM921" s="1631"/>
      <c r="AN921" s="1631"/>
      <c r="AO921" s="1631"/>
      <c r="AP921" s="1631"/>
      <c r="AQ921" s="1631"/>
      <c r="AR921" s="1631"/>
      <c r="AS921" s="1631"/>
      <c r="AT921" s="1631"/>
      <c r="AU921" s="1631"/>
      <c r="AV921" s="1631"/>
      <c r="AW921" s="1631"/>
      <c r="AX921" s="1631"/>
      <c r="AY921" s="1631"/>
      <c r="AZ921" s="1631"/>
      <c r="BA921" s="1631"/>
      <c r="BB921" s="1631"/>
      <c r="BC921" s="1631"/>
      <c r="BD921" s="1631"/>
      <c r="BE921" s="1631"/>
      <c r="BF921" s="1631"/>
      <c r="BG921" s="1631"/>
      <c r="BH921" s="1631"/>
      <c r="BI921" s="1631"/>
      <c r="BJ921" s="1631"/>
      <c r="BK921" s="1631"/>
      <c r="BL921" s="1631"/>
      <c r="BM921" s="1631"/>
      <c r="BN921" s="1631"/>
      <c r="BO921" s="1631"/>
      <c r="BP921" s="1631"/>
      <c r="BQ921" s="1631"/>
      <c r="BR921" s="1631"/>
      <c r="BS921" s="1631"/>
      <c r="BT921" s="1631"/>
      <c r="BU921" s="1631"/>
      <c r="BV921" s="1631"/>
      <c r="BW921" s="1631"/>
      <c r="BX921" s="1631"/>
      <c r="BY921" s="1631"/>
      <c r="BZ921" s="1631"/>
      <c r="CA921" s="1631"/>
      <c r="CB921" s="1631"/>
      <c r="CC921" s="1631"/>
      <c r="CD921" s="1631"/>
      <c r="CE921" s="1631"/>
      <c r="CF921" s="1631"/>
      <c r="CG921" s="1631"/>
      <c r="CH921" s="1631"/>
      <c r="CI921" s="1631"/>
      <c r="CJ921" s="1631"/>
      <c r="CK921" s="1631"/>
      <c r="CL921" s="1631"/>
      <c r="CM921" s="1631"/>
      <c r="CN921" s="1631"/>
      <c r="CO921" s="1631"/>
      <c r="CP921" s="1631"/>
      <c r="CQ921" s="1631"/>
      <c r="CR921" s="1631"/>
      <c r="CS921" s="1631"/>
      <c r="CT921" s="1631"/>
      <c r="CU921" s="1631"/>
      <c r="CV921" s="1631"/>
      <c r="CW921" s="1631"/>
      <c r="CX921" s="1631"/>
      <c r="CY921" s="1631"/>
      <c r="CZ921" s="1631"/>
      <c r="DA921" s="1631"/>
      <c r="DB921" s="1631"/>
      <c r="DC921" s="1631"/>
      <c r="DD921" s="1631"/>
      <c r="DE921" s="1631"/>
      <c r="DF921" s="1631"/>
      <c r="DG921" s="1631"/>
      <c r="DH921" s="1631"/>
      <c r="DI921" s="1631"/>
      <c r="DJ921" s="1631"/>
      <c r="DK921" s="1631"/>
      <c r="DL921" s="1631"/>
      <c r="DM921" s="1631"/>
      <c r="DN921" s="1631"/>
      <c r="DO921" s="1631"/>
      <c r="DP921" s="1631"/>
      <c r="DQ921" s="1631"/>
      <c r="DR921" s="1631"/>
      <c r="DS921" s="1631"/>
      <c r="DT921" s="1631"/>
      <c r="DU921" s="1631"/>
      <c r="DV921" s="1631"/>
      <c r="DW921" s="1631"/>
      <c r="DX921" s="1631"/>
      <c r="DY921" s="1631"/>
      <c r="DZ921" s="1631"/>
      <c r="EA921" s="1631"/>
      <c r="EB921" s="1631"/>
      <c r="EC921" s="1631"/>
      <c r="ED921" s="1631"/>
      <c r="EE921" s="1631"/>
      <c r="EF921" s="1631"/>
      <c r="EG921" s="1631"/>
      <c r="EH921" s="1631"/>
      <c r="EI921" s="1631"/>
      <c r="EJ921" s="1631"/>
      <c r="EK921" s="1631"/>
      <c r="EL921" s="1631"/>
      <c r="EM921" s="1631"/>
      <c r="EN921" s="1631"/>
      <c r="EO921" s="1631"/>
      <c r="EP921" s="1631"/>
      <c r="EQ921" s="1631"/>
      <c r="ER921" s="1631"/>
      <c r="ES921" s="1631"/>
      <c r="ET921" s="1631"/>
      <c r="EU921" s="1631"/>
      <c r="EV921" s="1631"/>
      <c r="EW921" s="1631"/>
      <c r="EX921" s="1631"/>
      <c r="EY921" s="1631"/>
      <c r="EZ921" s="1631"/>
      <c r="FA921" s="1631"/>
      <c r="FB921" s="1631"/>
      <c r="FC921" s="1631"/>
      <c r="FD921" s="1631"/>
      <c r="FE921" s="1631"/>
      <c r="FF921" s="1631"/>
      <c r="FG921" s="1631"/>
      <c r="FH921" s="1631"/>
      <c r="FI921" s="1631"/>
      <c r="FJ921" s="1631"/>
      <c r="FK921" s="1631"/>
      <c r="FL921" s="1631"/>
      <c r="FM921" s="1631"/>
      <c r="FN921" s="1631"/>
      <c r="FO921" s="1631"/>
      <c r="FP921" s="1631"/>
      <c r="FQ921" s="1631"/>
      <c r="FR921" s="1631"/>
      <c r="FS921" s="1631"/>
      <c r="FT921" s="1631"/>
      <c r="FU921" s="1631"/>
      <c r="FV921" s="1631"/>
      <c r="FW921" s="1631"/>
      <c r="FX921" s="1631"/>
      <c r="FY921" s="1631"/>
      <c r="FZ921" s="1631"/>
      <c r="GA921" s="1631"/>
      <c r="GB921" s="1631"/>
      <c r="GC921" s="1631"/>
      <c r="GD921" s="1631"/>
      <c r="GE921" s="1631"/>
      <c r="GF921" s="1631"/>
      <c r="GG921" s="1631"/>
      <c r="GH921" s="1631"/>
      <c r="GI921" s="1631"/>
      <c r="GJ921" s="1631"/>
      <c r="GK921" s="1631"/>
      <c r="GL921" s="1631"/>
      <c r="GM921" s="1631"/>
      <c r="GN921" s="1631"/>
      <c r="GO921" s="1631"/>
      <c r="GP921" s="1631"/>
      <c r="GQ921" s="1631"/>
      <c r="GR921" s="1631"/>
      <c r="GS921" s="1631"/>
      <c r="GT921" s="1631"/>
      <c r="GU921" s="1631"/>
      <c r="GV921" s="1631"/>
      <c r="GW921" s="1631"/>
      <c r="GX921" s="1631"/>
      <c r="GY921" s="1631"/>
      <c r="GZ921" s="1631"/>
      <c r="HA921" s="1631"/>
      <c r="HB921" s="1631"/>
      <c r="HC921" s="1631"/>
      <c r="HD921" s="1631"/>
      <c r="HE921" s="1631"/>
      <c r="HF921" s="1631"/>
      <c r="HG921" s="1631"/>
      <c r="HH921" s="1631"/>
      <c r="HI921" s="1631"/>
      <c r="HJ921" s="1631"/>
      <c r="HK921" s="1631"/>
      <c r="HL921" s="1631"/>
      <c r="HM921" s="1631"/>
      <c r="HN921" s="1631"/>
      <c r="HO921" s="1631"/>
      <c r="HP921" s="1631"/>
      <c r="HQ921" s="1631"/>
      <c r="HR921" s="1631"/>
      <c r="HS921" s="1631"/>
      <c r="HT921" s="1631"/>
      <c r="HU921" s="1631"/>
      <c r="HV921" s="1631"/>
      <c r="HW921" s="1631"/>
      <c r="HX921" s="1631"/>
      <c r="HY921" s="1631"/>
      <c r="HZ921" s="1631"/>
      <c r="IA921" s="1631"/>
      <c r="IB921" s="1631"/>
      <c r="IC921" s="1631"/>
      <c r="ID921" s="1631"/>
      <c r="IE921" s="1631"/>
      <c r="IF921" s="1631"/>
      <c r="IG921" s="1631"/>
      <c r="IH921" s="1631"/>
      <c r="II921" s="1631"/>
      <c r="IJ921" s="1631"/>
      <c r="IK921" s="1631"/>
      <c r="IL921" s="1631"/>
      <c r="IM921" s="1631"/>
      <c r="IN921" s="1631"/>
      <c r="IO921" s="1631"/>
      <c r="IP921" s="1631"/>
      <c r="IQ921" s="1631"/>
      <c r="IR921" s="1631"/>
      <c r="IS921" s="1631"/>
      <c r="IT921" s="1631"/>
      <c r="IU921" s="1631"/>
      <c r="IV921" s="1631"/>
      <c r="IW921" s="1631"/>
      <c r="IX921" s="1631"/>
      <c r="IY921" s="1631"/>
      <c r="IZ921" s="1631"/>
      <c r="JA921" s="1631"/>
      <c r="JB921" s="1631"/>
      <c r="JC921" s="1631"/>
      <c r="JD921" s="1631"/>
      <c r="JE921" s="1631"/>
      <c r="JF921" s="1631"/>
      <c r="JG921" s="1631"/>
      <c r="JH921" s="1631"/>
      <c r="JI921" s="1631"/>
      <c r="JJ921" s="1631"/>
      <c r="JK921" s="1631"/>
      <c r="JL921" s="1631"/>
      <c r="JM921" s="1631"/>
      <c r="JN921" s="1631"/>
      <c r="JO921" s="1631"/>
      <c r="JP921" s="1631"/>
      <c r="JQ921" s="1631"/>
      <c r="JR921" s="1631"/>
      <c r="JS921" s="1631"/>
      <c r="JT921" s="1631"/>
      <c r="JU921" s="1631"/>
      <c r="JV921" s="1630"/>
      <c r="JW921" s="1631"/>
      <c r="JX921" s="1631"/>
      <c r="JY921" s="1631"/>
      <c r="JZ921" s="1631"/>
      <c r="KA921" s="1630"/>
      <c r="KB921" s="1630"/>
      <c r="KC921" s="1630"/>
      <c r="KD921" s="1630"/>
      <c r="KE921" s="1630"/>
      <c r="KF921" s="1630"/>
      <c r="KG921" s="1630"/>
      <c r="KH921" s="1630"/>
      <c r="KI921" s="1630"/>
      <c r="KJ921" s="1630"/>
      <c r="KK921" s="1630"/>
      <c r="KL921" s="1630"/>
      <c r="KM921" s="1630"/>
      <c r="KN921" s="1630"/>
      <c r="KO921" s="1630"/>
      <c r="KP921" s="1630"/>
      <c r="KQ921" s="1630"/>
      <c r="KR921" s="1630"/>
      <c r="KS921" s="1630"/>
      <c r="KT921" s="1630"/>
      <c r="KU921" s="1630"/>
      <c r="KV921" s="1630"/>
      <c r="KW921" s="1630"/>
      <c r="KX921" s="1630"/>
      <c r="KY921" s="1630"/>
      <c r="KZ921" s="1630"/>
      <c r="LA921" s="1630"/>
      <c r="LB921" s="1630"/>
      <c r="LC921" s="1630"/>
      <c r="LD921" s="1630"/>
      <c r="LE921" s="1630"/>
      <c r="LF921" s="1630"/>
      <c r="LG921" s="1631"/>
      <c r="LH921" s="1631"/>
      <c r="LI921" s="1631"/>
      <c r="LJ921" s="1631"/>
      <c r="LK921" s="1631"/>
      <c r="LL921" s="1631"/>
      <c r="LM921" s="1631"/>
      <c r="LN921" s="1631"/>
      <c r="LO921" s="1631"/>
      <c r="LP921" s="1631"/>
      <c r="LQ921" s="1631"/>
      <c r="LR921" s="1631"/>
      <c r="LS921" s="1631"/>
      <c r="LT921" s="1631"/>
      <c r="LU921" s="1631"/>
      <c r="LV921" s="1631"/>
      <c r="LW921" s="1631"/>
      <c r="LX921" s="1631"/>
      <c r="LY921" s="1631"/>
      <c r="LZ921" s="1631"/>
      <c r="MA921" s="1631"/>
      <c r="MB921" s="1631"/>
      <c r="MC921" s="1631"/>
      <c r="MD921" s="1631"/>
      <c r="ME921" s="1631"/>
      <c r="MF921" s="1631"/>
      <c r="MG921" s="1631"/>
      <c r="MH921" s="1631"/>
      <c r="MI921" s="1631"/>
      <c r="MJ921" s="1631"/>
      <c r="MK921" s="1631"/>
      <c r="ML921" s="1631"/>
      <c r="MM921" s="1631"/>
      <c r="MN921" s="1631"/>
      <c r="MO921" s="1631"/>
      <c r="MP921" s="1631"/>
      <c r="MQ921" s="1631"/>
      <c r="MR921" s="1631"/>
      <c r="MS921" s="1631"/>
    </row>
    <row r="922" spans="1:357">
      <c r="A922" s="1631"/>
      <c r="B922" s="1631"/>
      <c r="C922" s="1631"/>
      <c r="D922" s="1631"/>
      <c r="E922" s="1631"/>
      <c r="F922" s="1631"/>
      <c r="G922" s="1631"/>
      <c r="H922" s="1631"/>
      <c r="I922" s="1631"/>
      <c r="J922" s="1631"/>
      <c r="K922" s="1631"/>
      <c r="L922" s="1631"/>
      <c r="M922" s="1631"/>
      <c r="N922" s="1631"/>
      <c r="O922" s="1631"/>
      <c r="P922" s="1631"/>
      <c r="Q922" s="1631"/>
      <c r="R922" s="1631"/>
      <c r="S922" s="1631"/>
      <c r="T922" s="1631"/>
      <c r="U922" s="1631"/>
      <c r="V922" s="1631"/>
      <c r="W922" s="1631"/>
      <c r="X922" s="1631"/>
      <c r="Y922" s="1631"/>
      <c r="Z922" s="1631"/>
      <c r="AA922" s="1631"/>
      <c r="AB922" s="1631"/>
      <c r="AC922" s="1631"/>
      <c r="AD922" s="1631"/>
      <c r="AE922" s="1631"/>
      <c r="AF922" s="1631"/>
      <c r="AG922" s="1631"/>
      <c r="AH922" s="1631"/>
      <c r="AI922" s="1631"/>
      <c r="AJ922" s="1631"/>
      <c r="AK922" s="1631"/>
      <c r="AL922" s="1631"/>
      <c r="AM922" s="1631"/>
      <c r="AN922" s="1631"/>
      <c r="AO922" s="1631"/>
      <c r="AP922" s="1631"/>
      <c r="AQ922" s="1631"/>
      <c r="AR922" s="1631"/>
      <c r="AS922" s="1631"/>
      <c r="AT922" s="1631"/>
      <c r="AU922" s="1631"/>
      <c r="AV922" s="1631"/>
      <c r="AW922" s="1631"/>
      <c r="AX922" s="1631"/>
      <c r="AY922" s="1631"/>
      <c r="AZ922" s="1631"/>
      <c r="BA922" s="1631"/>
      <c r="BB922" s="1631"/>
      <c r="BC922" s="1631"/>
      <c r="BD922" s="1631"/>
      <c r="BE922" s="1631"/>
      <c r="BF922" s="1631"/>
      <c r="BG922" s="1631"/>
      <c r="BH922" s="1631"/>
      <c r="BI922" s="1631"/>
      <c r="BJ922" s="1631"/>
      <c r="BK922" s="1631"/>
      <c r="BL922" s="1631"/>
      <c r="BM922" s="1631"/>
      <c r="BN922" s="1631"/>
      <c r="BO922" s="1631"/>
      <c r="BP922" s="1631"/>
      <c r="BQ922" s="1631"/>
      <c r="BR922" s="1631"/>
      <c r="BS922" s="1631"/>
      <c r="BT922" s="1631"/>
      <c r="BU922" s="1631"/>
      <c r="BV922" s="1631"/>
      <c r="BW922" s="1631"/>
      <c r="BX922" s="1631"/>
      <c r="BY922" s="1631"/>
      <c r="BZ922" s="1631"/>
      <c r="CA922" s="1631"/>
      <c r="CB922" s="1631"/>
      <c r="CC922" s="1631"/>
      <c r="CD922" s="1631"/>
      <c r="CE922" s="1631"/>
      <c r="CF922" s="1631"/>
      <c r="CG922" s="1631"/>
      <c r="CH922" s="1631"/>
      <c r="CI922" s="1631"/>
      <c r="CJ922" s="1631"/>
      <c r="CK922" s="1631"/>
      <c r="CL922" s="1631"/>
      <c r="CM922" s="1631"/>
      <c r="CN922" s="1631"/>
      <c r="CO922" s="1631"/>
      <c r="CP922" s="1631"/>
      <c r="CQ922" s="1631"/>
      <c r="CR922" s="1631"/>
      <c r="CS922" s="1631"/>
      <c r="CT922" s="1631"/>
      <c r="CU922" s="1631"/>
      <c r="CV922" s="1631"/>
      <c r="CW922" s="1631"/>
      <c r="CX922" s="1631"/>
      <c r="CY922" s="1631"/>
      <c r="CZ922" s="1631"/>
      <c r="DA922" s="1631"/>
      <c r="DB922" s="1631"/>
      <c r="DC922" s="1631"/>
      <c r="DD922" s="1631"/>
      <c r="DE922" s="1631"/>
      <c r="DF922" s="1631"/>
      <c r="DG922" s="1631"/>
      <c r="DH922" s="1631"/>
      <c r="DI922" s="1631"/>
      <c r="DJ922" s="1631"/>
      <c r="DK922" s="1631"/>
      <c r="DL922" s="1631"/>
      <c r="DM922" s="1631"/>
      <c r="DN922" s="1631"/>
      <c r="DO922" s="1631"/>
      <c r="DP922" s="1631"/>
      <c r="DQ922" s="1631"/>
      <c r="DR922" s="1631"/>
      <c r="DS922" s="1631"/>
      <c r="DT922" s="1631"/>
      <c r="DU922" s="1631"/>
      <c r="DV922" s="1631"/>
      <c r="DW922" s="1631"/>
      <c r="DX922" s="1631"/>
      <c r="DY922" s="1631"/>
      <c r="DZ922" s="1631"/>
      <c r="EA922" s="1631"/>
      <c r="EB922" s="1631"/>
      <c r="EC922" s="1631"/>
      <c r="ED922" s="1631"/>
      <c r="EE922" s="1631"/>
      <c r="EF922" s="1631"/>
      <c r="EG922" s="1631"/>
      <c r="EH922" s="1631"/>
      <c r="EI922" s="1631"/>
      <c r="EJ922" s="1631"/>
      <c r="EK922" s="1631"/>
      <c r="EL922" s="1631"/>
      <c r="EM922" s="1631"/>
      <c r="EN922" s="1631"/>
      <c r="EO922" s="1631"/>
      <c r="EP922" s="1631"/>
      <c r="EQ922" s="1631"/>
      <c r="ER922" s="1631"/>
      <c r="ES922" s="1631"/>
      <c r="ET922" s="1631"/>
      <c r="EU922" s="1631"/>
      <c r="EV922" s="1631"/>
      <c r="EW922" s="1631"/>
      <c r="EX922" s="1631"/>
      <c r="EY922" s="1631"/>
      <c r="EZ922" s="1631"/>
      <c r="FA922" s="1631"/>
      <c r="FB922" s="1631"/>
      <c r="FC922" s="1631"/>
      <c r="FD922" s="1631"/>
      <c r="FE922" s="1631"/>
      <c r="FF922" s="1631"/>
      <c r="FG922" s="1631"/>
      <c r="FH922" s="1631"/>
      <c r="FI922" s="1631"/>
      <c r="FJ922" s="1631"/>
      <c r="FK922" s="1631"/>
      <c r="FL922" s="1631"/>
      <c r="FM922" s="1631"/>
      <c r="FN922" s="1631"/>
      <c r="FO922" s="1631"/>
      <c r="FP922" s="1631"/>
      <c r="FQ922" s="1631"/>
      <c r="FR922" s="1631"/>
      <c r="FS922" s="1631"/>
      <c r="FT922" s="1631"/>
      <c r="FU922" s="1631"/>
      <c r="FV922" s="1631"/>
      <c r="FW922" s="1631"/>
      <c r="FX922" s="1631"/>
      <c r="FY922" s="1631"/>
      <c r="FZ922" s="1631"/>
      <c r="GA922" s="1631"/>
      <c r="GB922" s="1631"/>
      <c r="GC922" s="1631"/>
      <c r="GD922" s="1631"/>
      <c r="GE922" s="1631"/>
      <c r="GF922" s="1631"/>
      <c r="GG922" s="1631"/>
      <c r="GH922" s="1631"/>
      <c r="GI922" s="1631"/>
      <c r="GJ922" s="1631"/>
      <c r="GK922" s="1631"/>
      <c r="GL922" s="1631"/>
      <c r="GM922" s="1631"/>
      <c r="GN922" s="1631"/>
      <c r="GO922" s="1631"/>
      <c r="GP922" s="1631"/>
      <c r="GQ922" s="1631"/>
      <c r="GR922" s="1631"/>
      <c r="GS922" s="1631"/>
      <c r="GT922" s="1631"/>
      <c r="GU922" s="1631"/>
      <c r="GV922" s="1631"/>
      <c r="GW922" s="1631"/>
      <c r="GX922" s="1631"/>
      <c r="GY922" s="1631"/>
      <c r="GZ922" s="1631"/>
      <c r="HA922" s="1631"/>
      <c r="HB922" s="1631"/>
      <c r="HC922" s="1631"/>
      <c r="HD922" s="1631"/>
      <c r="HE922" s="1631"/>
      <c r="HF922" s="1631"/>
      <c r="HG922" s="1631"/>
      <c r="HH922" s="1631"/>
      <c r="HI922" s="1631"/>
      <c r="HJ922" s="1631"/>
      <c r="HK922" s="1631"/>
      <c r="HL922" s="1631"/>
      <c r="HM922" s="1631"/>
      <c r="HN922" s="1631"/>
      <c r="HO922" s="1631"/>
      <c r="HP922" s="1631"/>
      <c r="HQ922" s="1631"/>
      <c r="HR922" s="1631"/>
      <c r="HS922" s="1631"/>
      <c r="HT922" s="1631"/>
      <c r="HU922" s="1631"/>
      <c r="HV922" s="1631"/>
      <c r="HW922" s="1631"/>
      <c r="HX922" s="1631"/>
      <c r="HY922" s="1631"/>
      <c r="HZ922" s="1631"/>
      <c r="IA922" s="1631"/>
      <c r="IB922" s="1631"/>
      <c r="IC922" s="1631"/>
      <c r="ID922" s="1631"/>
      <c r="IE922" s="1631"/>
      <c r="IF922" s="1631"/>
      <c r="IG922" s="1631"/>
      <c r="IH922" s="1631"/>
      <c r="II922" s="1631"/>
      <c r="IJ922" s="1631"/>
      <c r="IK922" s="1631"/>
      <c r="IL922" s="1631"/>
      <c r="IM922" s="1631"/>
      <c r="IN922" s="1631"/>
      <c r="IO922" s="1631"/>
      <c r="IP922" s="1631"/>
      <c r="IQ922" s="1631"/>
      <c r="IR922" s="1631"/>
      <c r="IS922" s="1631"/>
      <c r="IT922" s="1631"/>
      <c r="IU922" s="1631"/>
      <c r="IV922" s="1631"/>
      <c r="IW922" s="1631"/>
      <c r="IX922" s="1631"/>
      <c r="IY922" s="1631"/>
      <c r="IZ922" s="1631"/>
      <c r="JA922" s="1631"/>
      <c r="JB922" s="1631"/>
      <c r="JC922" s="1631"/>
      <c r="JD922" s="1631"/>
      <c r="JE922" s="1631"/>
      <c r="JF922" s="1631"/>
      <c r="JG922" s="1631"/>
      <c r="JH922" s="1631"/>
      <c r="JI922" s="1631"/>
      <c r="JJ922" s="1631"/>
      <c r="JK922" s="1631"/>
      <c r="JL922" s="1631"/>
      <c r="JM922" s="1631"/>
      <c r="JN922" s="1631"/>
      <c r="JO922" s="1631"/>
      <c r="JP922" s="1631"/>
      <c r="JQ922" s="1631"/>
      <c r="JR922" s="1631"/>
      <c r="JS922" s="1631"/>
      <c r="JT922" s="1631"/>
      <c r="JU922" s="1631"/>
      <c r="JV922" s="1630"/>
      <c r="JW922" s="1631"/>
      <c r="JX922" s="1631"/>
      <c r="JY922" s="1631"/>
      <c r="JZ922" s="1631"/>
      <c r="KA922" s="1630"/>
      <c r="KB922" s="1630"/>
      <c r="KC922" s="1630"/>
      <c r="KD922" s="1630"/>
      <c r="KE922" s="1630"/>
      <c r="KF922" s="1630"/>
      <c r="KG922" s="1630"/>
      <c r="KH922" s="1630"/>
      <c r="KI922" s="1630"/>
      <c r="KJ922" s="1630"/>
      <c r="KK922" s="1630"/>
      <c r="KL922" s="1630"/>
      <c r="KM922" s="1630"/>
      <c r="KN922" s="1630"/>
      <c r="KO922" s="1630"/>
      <c r="KP922" s="1630"/>
      <c r="KQ922" s="1630"/>
      <c r="KR922" s="1630"/>
      <c r="KS922" s="1630"/>
      <c r="KT922" s="1630"/>
      <c r="KU922" s="1630"/>
      <c r="KV922" s="1630"/>
      <c r="KW922" s="1630"/>
      <c r="KX922" s="1630"/>
      <c r="KY922" s="1630"/>
      <c r="KZ922" s="1630"/>
      <c r="LA922" s="1630"/>
      <c r="LB922" s="1630"/>
      <c r="LC922" s="1630"/>
      <c r="LD922" s="1630"/>
      <c r="LE922" s="1630"/>
      <c r="LF922" s="1630"/>
      <c r="LG922" s="1631"/>
      <c r="LH922" s="1631"/>
      <c r="LI922" s="1631"/>
      <c r="LJ922" s="1631"/>
      <c r="LK922" s="1631"/>
      <c r="LL922" s="1631"/>
      <c r="LM922" s="1631"/>
      <c r="LN922" s="1631"/>
      <c r="LO922" s="1631"/>
      <c r="LP922" s="1631"/>
      <c r="LQ922" s="1631"/>
      <c r="LR922" s="1631"/>
      <c r="LS922" s="1631"/>
      <c r="LT922" s="1631"/>
      <c r="LU922" s="1631"/>
      <c r="LV922" s="1631"/>
      <c r="LW922" s="1631"/>
      <c r="LX922" s="1631"/>
      <c r="LY922" s="1631"/>
      <c r="LZ922" s="1631"/>
      <c r="MA922" s="1631"/>
      <c r="MB922" s="1631"/>
      <c r="MC922" s="1631"/>
      <c r="MD922" s="1631"/>
      <c r="ME922" s="1631"/>
      <c r="MF922" s="1631"/>
      <c r="MG922" s="1631"/>
      <c r="MH922" s="1631"/>
      <c r="MI922" s="1631"/>
      <c r="MJ922" s="1631"/>
      <c r="MK922" s="1631"/>
      <c r="ML922" s="1631"/>
      <c r="MM922" s="1631"/>
      <c r="MN922" s="1631"/>
      <c r="MO922" s="1631"/>
      <c r="MP922" s="1631"/>
      <c r="MQ922" s="1631"/>
      <c r="MR922" s="1631"/>
      <c r="MS922" s="1631"/>
    </row>
    <row r="923" spans="1:357">
      <c r="A923" s="2771"/>
      <c r="B923" s="1631"/>
      <c r="C923" s="1631"/>
      <c r="D923" s="1631"/>
      <c r="E923" s="1631"/>
      <c r="F923" s="1631"/>
      <c r="G923" s="1631"/>
      <c r="H923" s="1631"/>
      <c r="I923" s="1631"/>
      <c r="J923" s="1631"/>
      <c r="K923" s="1631"/>
      <c r="L923" s="1631"/>
      <c r="M923" s="1631"/>
      <c r="N923" s="1631"/>
      <c r="O923" s="1631"/>
      <c r="P923" s="1631"/>
      <c r="Q923" s="1631"/>
      <c r="R923" s="1631"/>
      <c r="S923" s="1631"/>
      <c r="T923" s="1631"/>
      <c r="U923" s="1631"/>
      <c r="V923" s="1631"/>
      <c r="W923" s="1631"/>
      <c r="X923" s="1631"/>
      <c r="Y923" s="1631"/>
      <c r="Z923" s="1631"/>
      <c r="AA923" s="1631"/>
      <c r="AB923" s="1631"/>
      <c r="AC923" s="1631"/>
      <c r="AD923" s="1631"/>
      <c r="AE923" s="1631"/>
      <c r="AF923" s="1631"/>
      <c r="AG923" s="1631"/>
      <c r="AH923" s="1631"/>
      <c r="AI923" s="1631"/>
      <c r="AJ923" s="1631"/>
      <c r="AK923" s="1631"/>
      <c r="AL923" s="1631"/>
      <c r="AM923" s="1631"/>
      <c r="AN923" s="1631"/>
      <c r="AO923" s="1631"/>
      <c r="AP923" s="1631"/>
      <c r="AQ923" s="1631"/>
      <c r="AR923" s="1631"/>
      <c r="AS923" s="1631"/>
      <c r="AT923" s="1631"/>
      <c r="AU923" s="1631"/>
      <c r="AV923" s="1631"/>
      <c r="AW923" s="1631"/>
      <c r="AX923" s="1631"/>
      <c r="AY923" s="1631"/>
      <c r="AZ923" s="1631"/>
      <c r="BA923" s="1631"/>
      <c r="BB923" s="1631"/>
      <c r="BC923" s="1631"/>
      <c r="BD923" s="1631"/>
      <c r="BE923" s="1631"/>
      <c r="BF923" s="1631"/>
      <c r="BG923" s="1631"/>
      <c r="BH923" s="1631"/>
      <c r="BI923" s="1631"/>
      <c r="BJ923" s="1631"/>
      <c r="BK923" s="1631"/>
      <c r="BL923" s="1631"/>
      <c r="BM923" s="1631"/>
      <c r="BN923" s="1631"/>
      <c r="BO923" s="1631"/>
      <c r="BP923" s="1631"/>
      <c r="BQ923" s="1631"/>
      <c r="BR923" s="1631"/>
      <c r="BS923" s="1631"/>
      <c r="BT923" s="1631"/>
      <c r="BU923" s="1631"/>
      <c r="BV923" s="1631"/>
      <c r="BW923" s="1631"/>
      <c r="BX923" s="1631"/>
      <c r="BY923" s="1631"/>
      <c r="BZ923" s="1631"/>
      <c r="CA923" s="1631"/>
      <c r="CB923" s="1631"/>
      <c r="CC923" s="1631"/>
      <c r="CD923" s="1631"/>
      <c r="CE923" s="1631"/>
      <c r="CF923" s="1631"/>
      <c r="CG923" s="1631"/>
      <c r="CH923" s="1631"/>
      <c r="CI923" s="1631"/>
      <c r="CJ923" s="1631"/>
      <c r="CK923" s="1631"/>
      <c r="CL923" s="1631"/>
      <c r="CM923" s="1631"/>
      <c r="CN923" s="1631"/>
      <c r="CO923" s="1631"/>
      <c r="CP923" s="1631"/>
      <c r="CQ923" s="1631"/>
      <c r="CR923" s="1631"/>
      <c r="CS923" s="1631"/>
      <c r="CT923" s="1631"/>
      <c r="CU923" s="1631"/>
      <c r="CV923" s="1631"/>
      <c r="CW923" s="1631"/>
      <c r="CX923" s="1631"/>
      <c r="CY923" s="1631"/>
      <c r="CZ923" s="1631"/>
      <c r="DA923" s="1631"/>
      <c r="DB923" s="1631"/>
      <c r="DC923" s="1631"/>
      <c r="DD923" s="1631"/>
      <c r="DE923" s="1631"/>
      <c r="DF923" s="1631"/>
      <c r="DG923" s="1631"/>
      <c r="DH923" s="1631"/>
      <c r="DI923" s="1631"/>
      <c r="DJ923" s="1631"/>
      <c r="DK923" s="1631"/>
      <c r="DL923" s="1631"/>
      <c r="DM923" s="1631"/>
      <c r="DN923" s="1631"/>
      <c r="DO923" s="1631"/>
      <c r="DP923" s="1631"/>
      <c r="DQ923" s="1631"/>
      <c r="DR923" s="1631"/>
      <c r="DS923" s="1631"/>
      <c r="DT923" s="1631"/>
      <c r="DU923" s="1631"/>
      <c r="DV923" s="1631"/>
      <c r="DW923" s="1631"/>
      <c r="DX923" s="1631"/>
      <c r="DY923" s="1631"/>
      <c r="DZ923" s="1631"/>
      <c r="EA923" s="1631"/>
      <c r="EB923" s="1631"/>
      <c r="EC923" s="1631"/>
      <c r="ED923" s="1631"/>
      <c r="EE923" s="1631"/>
      <c r="EF923" s="1631"/>
      <c r="EG923" s="1631"/>
      <c r="EH923" s="1631"/>
      <c r="EI923" s="1631"/>
      <c r="EJ923" s="1631"/>
      <c r="EK923" s="1631"/>
      <c r="EL923" s="1631"/>
      <c r="EM923" s="1631"/>
      <c r="EN923" s="1631"/>
      <c r="EO923" s="1631"/>
      <c r="EP923" s="1631"/>
      <c r="EQ923" s="1631"/>
      <c r="ER923" s="1631"/>
      <c r="ES923" s="1631"/>
      <c r="ET923" s="1631"/>
      <c r="EU923" s="1631"/>
      <c r="EV923" s="1631"/>
      <c r="EW923" s="1631"/>
      <c r="EX923" s="1631"/>
      <c r="EY923" s="1631"/>
      <c r="EZ923" s="1631"/>
      <c r="FA923" s="1631"/>
      <c r="FB923" s="1631"/>
      <c r="FC923" s="1631"/>
      <c r="FD923" s="1631"/>
      <c r="FE923" s="1631"/>
      <c r="FF923" s="1631"/>
      <c r="FG923" s="1631"/>
      <c r="FH923" s="1631"/>
      <c r="FI923" s="1631"/>
      <c r="FJ923" s="1631"/>
      <c r="FK923" s="1631"/>
      <c r="FL923" s="1631"/>
      <c r="FM923" s="1631"/>
      <c r="FN923" s="1631"/>
      <c r="FO923" s="1631"/>
      <c r="FP923" s="1631"/>
      <c r="FQ923" s="1631"/>
      <c r="FR923" s="1631"/>
      <c r="FS923" s="1631"/>
      <c r="FT923" s="1631"/>
      <c r="FU923" s="1631"/>
      <c r="FV923" s="1631"/>
      <c r="FW923" s="1631"/>
      <c r="FX923" s="1631"/>
      <c r="FY923" s="1631"/>
      <c r="FZ923" s="1631"/>
      <c r="GA923" s="1631"/>
      <c r="GB923" s="1631"/>
      <c r="GC923" s="1631"/>
      <c r="GD923" s="1631"/>
      <c r="GE923" s="1631"/>
      <c r="GF923" s="1631"/>
      <c r="GG923" s="1631"/>
      <c r="GH923" s="1631"/>
      <c r="GI923" s="1631"/>
      <c r="GJ923" s="1631"/>
      <c r="GK923" s="1631"/>
      <c r="GL923" s="1631"/>
      <c r="GM923" s="1631"/>
      <c r="GN923" s="1631"/>
      <c r="GO923" s="1631"/>
      <c r="GP923" s="1631"/>
      <c r="GQ923" s="1631"/>
      <c r="GR923" s="1631"/>
      <c r="GS923" s="1631"/>
      <c r="GT923" s="1631"/>
      <c r="GU923" s="1631"/>
      <c r="GV923" s="1631"/>
      <c r="GW923" s="1631"/>
      <c r="GX923" s="1631"/>
      <c r="GY923" s="1631"/>
      <c r="GZ923" s="1631"/>
      <c r="HA923" s="1631"/>
      <c r="HB923" s="1631"/>
      <c r="HC923" s="1631"/>
      <c r="HD923" s="1631"/>
      <c r="HE923" s="1631"/>
      <c r="HF923" s="1631"/>
      <c r="HG923" s="1631"/>
      <c r="HH923" s="1631"/>
      <c r="HI923" s="1631"/>
      <c r="HJ923" s="1631"/>
      <c r="HK923" s="1631"/>
      <c r="HL923" s="1631"/>
      <c r="HM923" s="1631"/>
      <c r="HN923" s="1631"/>
      <c r="HO923" s="1631"/>
      <c r="HP923" s="1631"/>
      <c r="HQ923" s="1631"/>
      <c r="HR923" s="1631"/>
      <c r="HS923" s="1631"/>
      <c r="HT923" s="1631"/>
      <c r="HU923" s="1631"/>
      <c r="HV923" s="1631"/>
      <c r="HW923" s="1631"/>
      <c r="HX923" s="1631"/>
      <c r="HY923" s="1631"/>
      <c r="HZ923" s="1631"/>
      <c r="IA923" s="1631"/>
      <c r="IB923" s="1631"/>
      <c r="IC923" s="1631"/>
      <c r="ID923" s="1631"/>
      <c r="IE923" s="1631"/>
      <c r="IF923" s="1631"/>
      <c r="IG923" s="1631"/>
      <c r="IH923" s="1631"/>
      <c r="II923" s="1631"/>
      <c r="IJ923" s="1631"/>
      <c r="IK923" s="1631"/>
      <c r="IL923" s="1631"/>
      <c r="IM923" s="1631"/>
      <c r="IN923" s="1631"/>
      <c r="IO923" s="1631"/>
      <c r="IP923" s="1631"/>
      <c r="IQ923" s="1631"/>
      <c r="IR923" s="1631"/>
      <c r="IS923" s="1631"/>
      <c r="IT923" s="1631"/>
      <c r="IU923" s="1631"/>
      <c r="IV923" s="1631"/>
      <c r="IW923" s="1631"/>
      <c r="IX923" s="1631"/>
      <c r="IY923" s="1631"/>
      <c r="IZ923" s="1631"/>
      <c r="JA923" s="1631"/>
      <c r="JB923" s="1631"/>
      <c r="JC923" s="1631"/>
      <c r="JD923" s="1631"/>
      <c r="JE923" s="1631"/>
      <c r="JF923" s="1631"/>
      <c r="JG923" s="1631"/>
      <c r="JH923" s="1631"/>
      <c r="JI923" s="1631"/>
      <c r="JJ923" s="1631"/>
      <c r="JK923" s="1631"/>
      <c r="JL923" s="1631"/>
      <c r="JM923" s="1631"/>
      <c r="JN923" s="1631"/>
      <c r="JO923" s="1631"/>
      <c r="JP923" s="1631"/>
      <c r="JQ923" s="1631"/>
      <c r="JR923" s="1631"/>
      <c r="JS923" s="1631"/>
      <c r="JT923" s="1631"/>
      <c r="JU923" s="1631"/>
      <c r="JV923" s="1630"/>
      <c r="JW923" s="1631"/>
      <c r="JX923" s="1631"/>
      <c r="JY923" s="1631"/>
      <c r="JZ923" s="1631"/>
      <c r="KA923" s="1630"/>
      <c r="KB923" s="1630"/>
      <c r="KC923" s="1630"/>
      <c r="KD923" s="1630"/>
      <c r="KE923" s="1630"/>
      <c r="KF923" s="1630"/>
      <c r="KG923" s="1630"/>
      <c r="KH923" s="1630"/>
      <c r="KI923" s="1630"/>
      <c r="KJ923" s="1630"/>
      <c r="KK923" s="1630"/>
      <c r="KL923" s="1630"/>
      <c r="KM923" s="1630"/>
      <c r="KN923" s="1630"/>
      <c r="KO923" s="1630"/>
      <c r="KP923" s="1630"/>
      <c r="KQ923" s="1630"/>
      <c r="KR923" s="1630"/>
      <c r="KS923" s="1630"/>
      <c r="KT923" s="1630"/>
      <c r="KU923" s="1630"/>
      <c r="KV923" s="1630"/>
      <c r="KW923" s="1630"/>
      <c r="KX923" s="1630"/>
      <c r="KY923" s="1630"/>
      <c r="KZ923" s="1630"/>
      <c r="LA923" s="1630"/>
      <c r="LB923" s="1630"/>
      <c r="LC923" s="1630"/>
      <c r="LD923" s="1630"/>
      <c r="LE923" s="1630"/>
      <c r="LF923" s="1630"/>
      <c r="LG923" s="1631"/>
      <c r="LH923" s="1631"/>
      <c r="LI923" s="1631"/>
      <c r="LJ923" s="1631"/>
      <c r="LK923" s="1631"/>
      <c r="LL923" s="1631"/>
      <c r="LM923" s="1631"/>
      <c r="LN923" s="1631"/>
      <c r="LO923" s="1631"/>
      <c r="LP923" s="1631"/>
      <c r="LQ923" s="1631"/>
      <c r="LR923" s="1631"/>
      <c r="LS923" s="1631"/>
      <c r="LT923" s="1631"/>
      <c r="LU923" s="1631"/>
      <c r="LV923" s="1631"/>
      <c r="LW923" s="1631"/>
      <c r="LX923" s="1631"/>
      <c r="LY923" s="1631"/>
      <c r="LZ923" s="1631"/>
      <c r="MA923" s="1631"/>
      <c r="MB923" s="1631"/>
      <c r="MC923" s="1631"/>
      <c r="MD923" s="1631"/>
      <c r="ME923" s="1631"/>
      <c r="MF923" s="1631"/>
      <c r="MG923" s="1631"/>
      <c r="MH923" s="1631"/>
      <c r="MI923" s="1631"/>
      <c r="MJ923" s="1631"/>
      <c r="MK923" s="1631"/>
      <c r="ML923" s="1631"/>
      <c r="MM923" s="1631"/>
      <c r="MN923" s="1631"/>
      <c r="MO923" s="1631"/>
      <c r="MP923" s="1631"/>
      <c r="MQ923" s="1631"/>
      <c r="MR923" s="1631"/>
      <c r="MS923" s="1631"/>
    </row>
    <row r="924" spans="1:357">
      <c r="A924" s="2771"/>
      <c r="B924" s="1631"/>
      <c r="C924" s="1631"/>
      <c r="D924" s="1631"/>
      <c r="E924" s="1631"/>
      <c r="F924" s="1631"/>
      <c r="G924" s="1631"/>
      <c r="H924" s="1631"/>
      <c r="I924" s="1631"/>
      <c r="J924" s="1631"/>
      <c r="K924" s="1631"/>
      <c r="L924" s="1631"/>
      <c r="M924" s="1631"/>
      <c r="N924" s="1631"/>
      <c r="O924" s="1631"/>
      <c r="P924" s="1631"/>
      <c r="Q924" s="1631"/>
      <c r="R924" s="1631"/>
      <c r="S924" s="1631"/>
      <c r="T924" s="1631"/>
      <c r="U924" s="1631"/>
      <c r="V924" s="1631"/>
      <c r="W924" s="1631"/>
      <c r="X924" s="1631"/>
      <c r="Y924" s="1631"/>
      <c r="Z924" s="1631"/>
      <c r="AA924" s="1631"/>
      <c r="AB924" s="1631"/>
      <c r="AC924" s="1631"/>
      <c r="AD924" s="1631"/>
      <c r="AE924" s="1631"/>
      <c r="AF924" s="1631"/>
      <c r="AG924" s="1631"/>
      <c r="AH924" s="1631"/>
      <c r="AI924" s="1631"/>
      <c r="AJ924" s="1631"/>
      <c r="AK924" s="1631"/>
      <c r="AL924" s="1631"/>
      <c r="AM924" s="1631"/>
      <c r="AN924" s="1631"/>
      <c r="AO924" s="1631"/>
      <c r="AP924" s="1631"/>
      <c r="AQ924" s="1631"/>
      <c r="AR924" s="1631"/>
      <c r="AS924" s="1631"/>
      <c r="AT924" s="1631"/>
      <c r="AU924" s="1631"/>
      <c r="AV924" s="1631"/>
      <c r="AW924" s="1631"/>
      <c r="AX924" s="1631"/>
      <c r="AY924" s="1631"/>
      <c r="AZ924" s="1631"/>
      <c r="BA924" s="1631"/>
      <c r="BB924" s="1631"/>
      <c r="BC924" s="1631"/>
      <c r="BD924" s="1631"/>
      <c r="BE924" s="1631"/>
      <c r="BF924" s="1631"/>
      <c r="BG924" s="1631"/>
      <c r="BH924" s="1631"/>
      <c r="BI924" s="1631"/>
      <c r="BJ924" s="1631"/>
      <c r="BK924" s="1631"/>
      <c r="BL924" s="1631"/>
      <c r="BM924" s="1631"/>
      <c r="BN924" s="1631"/>
      <c r="BO924" s="1631"/>
      <c r="BP924" s="1631"/>
      <c r="BQ924" s="1631"/>
      <c r="BR924" s="1631"/>
      <c r="BS924" s="1631"/>
      <c r="BT924" s="1631"/>
      <c r="BU924" s="1631"/>
      <c r="BV924" s="1631"/>
      <c r="BW924" s="1631"/>
      <c r="BX924" s="1631"/>
      <c r="BY924" s="1631"/>
      <c r="BZ924" s="1631"/>
      <c r="CA924" s="1631"/>
      <c r="CB924" s="1631"/>
      <c r="CC924" s="1631"/>
      <c r="CD924" s="1631"/>
      <c r="CE924" s="1631"/>
      <c r="CF924" s="1631"/>
      <c r="CG924" s="1631"/>
      <c r="CH924" s="1631"/>
      <c r="CI924" s="1631"/>
      <c r="CJ924" s="1631"/>
      <c r="CK924" s="1631"/>
      <c r="CL924" s="1631"/>
      <c r="CM924" s="1631"/>
      <c r="CN924" s="1631"/>
      <c r="CO924" s="1631"/>
      <c r="CP924" s="1631"/>
      <c r="CQ924" s="1631"/>
      <c r="CR924" s="1631"/>
      <c r="CS924" s="1631"/>
      <c r="CT924" s="1631"/>
      <c r="CU924" s="1631"/>
      <c r="CV924" s="1631"/>
      <c r="CW924" s="1631"/>
      <c r="CX924" s="1631"/>
      <c r="CY924" s="1631"/>
      <c r="CZ924" s="1631"/>
      <c r="DA924" s="1631"/>
      <c r="DB924" s="1631"/>
      <c r="DC924" s="1631"/>
      <c r="DD924" s="1631"/>
      <c r="DE924" s="1631"/>
      <c r="DF924" s="1631"/>
      <c r="DG924" s="1631"/>
      <c r="DH924" s="1631"/>
      <c r="DI924" s="1631"/>
      <c r="DJ924" s="1631"/>
      <c r="DK924" s="1631"/>
      <c r="DL924" s="1631"/>
      <c r="DM924" s="1631"/>
      <c r="DN924" s="1631"/>
      <c r="DO924" s="1631"/>
      <c r="DP924" s="1631"/>
      <c r="DQ924" s="1631"/>
      <c r="DR924" s="1631"/>
      <c r="DS924" s="1631"/>
      <c r="DT924" s="1631"/>
      <c r="DU924" s="1631"/>
      <c r="DV924" s="1631"/>
      <c r="DW924" s="1631"/>
      <c r="DX924" s="1631"/>
      <c r="DY924" s="1631"/>
      <c r="DZ924" s="1631"/>
      <c r="EA924" s="1631"/>
      <c r="EB924" s="1631"/>
      <c r="EC924" s="1631"/>
      <c r="ED924" s="1631"/>
      <c r="EE924" s="1631"/>
      <c r="EF924" s="1631"/>
      <c r="EG924" s="1631"/>
      <c r="EH924" s="1631"/>
      <c r="EI924" s="1631"/>
      <c r="EJ924" s="1631"/>
      <c r="EK924" s="1631"/>
      <c r="EL924" s="1631"/>
      <c r="EM924" s="1631"/>
      <c r="EN924" s="1631"/>
      <c r="EO924" s="1631"/>
      <c r="EP924" s="1631"/>
      <c r="EQ924" s="1631"/>
      <c r="ER924" s="1631"/>
      <c r="ES924" s="1631"/>
      <c r="ET924" s="1631"/>
      <c r="EU924" s="1631"/>
      <c r="EV924" s="1631"/>
      <c r="EW924" s="1631"/>
      <c r="EX924" s="1631"/>
      <c r="EY924" s="1631"/>
      <c r="EZ924" s="1631"/>
      <c r="FA924" s="1631"/>
      <c r="FB924" s="1631"/>
      <c r="FC924" s="1631"/>
      <c r="FD924" s="1631"/>
      <c r="FE924" s="1631"/>
      <c r="FF924" s="1631"/>
      <c r="FG924" s="1631"/>
      <c r="FH924" s="1631"/>
      <c r="FI924" s="1631"/>
      <c r="FJ924" s="1631"/>
      <c r="FK924" s="1631"/>
      <c r="FL924" s="1631"/>
      <c r="FM924" s="1631"/>
      <c r="FN924" s="1631"/>
      <c r="FO924" s="1631"/>
      <c r="FP924" s="1631"/>
      <c r="FQ924" s="1631"/>
      <c r="FR924" s="1631"/>
      <c r="FS924" s="1631"/>
      <c r="FT924" s="1631"/>
      <c r="FU924" s="1631"/>
      <c r="FV924" s="1631"/>
      <c r="FW924" s="1631"/>
      <c r="FX924" s="1631"/>
      <c r="FY924" s="1631"/>
      <c r="FZ924" s="1631"/>
      <c r="GA924" s="1631"/>
      <c r="GB924" s="1631"/>
      <c r="GC924" s="1631"/>
      <c r="GD924" s="1631"/>
      <c r="GE924" s="1631"/>
      <c r="GF924" s="1631"/>
      <c r="GG924" s="1631"/>
      <c r="GH924" s="1631"/>
      <c r="GI924" s="1631"/>
      <c r="GJ924" s="1631"/>
      <c r="GK924" s="1631"/>
      <c r="GL924" s="1631"/>
      <c r="GM924" s="1631"/>
      <c r="GN924" s="1631"/>
      <c r="GO924" s="1631"/>
      <c r="GP924" s="1631"/>
      <c r="GQ924" s="1631"/>
      <c r="GR924" s="1631"/>
      <c r="GS924" s="1631"/>
      <c r="GT924" s="1631"/>
      <c r="GU924" s="1631"/>
      <c r="GV924" s="1631"/>
      <c r="GW924" s="1631"/>
      <c r="GX924" s="1631"/>
      <c r="GY924" s="1631"/>
      <c r="GZ924" s="1631"/>
      <c r="HA924" s="1631"/>
      <c r="HB924" s="1631"/>
      <c r="HC924" s="1631"/>
      <c r="HD924" s="1631"/>
      <c r="HE924" s="1631"/>
      <c r="HF924" s="1631"/>
      <c r="HG924" s="1631"/>
      <c r="HH924" s="1631"/>
      <c r="HI924" s="1631"/>
      <c r="HJ924" s="1631"/>
      <c r="HK924" s="1631"/>
      <c r="HL924" s="1631"/>
      <c r="HM924" s="1631"/>
      <c r="HN924" s="1631"/>
      <c r="HO924" s="1631"/>
      <c r="HP924" s="1631"/>
      <c r="HQ924" s="1631"/>
      <c r="HR924" s="1631"/>
      <c r="HS924" s="1631"/>
      <c r="HT924" s="1631"/>
      <c r="HU924" s="1631"/>
      <c r="HV924" s="1631"/>
      <c r="HW924" s="1631"/>
      <c r="HX924" s="1631"/>
      <c r="HY924" s="1631"/>
      <c r="HZ924" s="1631"/>
      <c r="IA924" s="1631"/>
      <c r="IB924" s="1631"/>
      <c r="IC924" s="1631"/>
      <c r="ID924" s="1631"/>
      <c r="IE924" s="1631"/>
      <c r="IF924" s="1631"/>
      <c r="IG924" s="1631"/>
      <c r="IH924" s="1631"/>
      <c r="II924" s="1631"/>
      <c r="IJ924" s="1631"/>
      <c r="IK924" s="1631"/>
      <c r="IL924" s="1631"/>
      <c r="IM924" s="1631"/>
      <c r="IN924" s="1631"/>
      <c r="IO924" s="1631"/>
      <c r="IP924" s="1631"/>
      <c r="IQ924" s="1631"/>
      <c r="IR924" s="1631"/>
      <c r="IS924" s="1631"/>
      <c r="IT924" s="1631"/>
      <c r="IU924" s="1631"/>
      <c r="IV924" s="1631"/>
      <c r="IW924" s="1631"/>
      <c r="IX924" s="1631"/>
      <c r="IY924" s="1631"/>
      <c r="IZ924" s="1631"/>
      <c r="JA924" s="1631"/>
      <c r="JB924" s="1631"/>
      <c r="JC924" s="1631"/>
      <c r="JD924" s="1631"/>
      <c r="JE924" s="1631"/>
      <c r="JF924" s="1631"/>
      <c r="JG924" s="1631"/>
      <c r="JH924" s="1631"/>
      <c r="JI924" s="1631"/>
      <c r="JJ924" s="1631"/>
      <c r="JK924" s="1631"/>
      <c r="JL924" s="1631"/>
      <c r="JM924" s="1631"/>
      <c r="JN924" s="1631"/>
      <c r="JO924" s="1631"/>
      <c r="JP924" s="1631"/>
      <c r="JQ924" s="1631"/>
      <c r="JR924" s="1631"/>
      <c r="JS924" s="1631"/>
      <c r="JT924" s="1631"/>
      <c r="JU924" s="1631"/>
      <c r="JV924" s="1630"/>
      <c r="JW924" s="1631"/>
      <c r="JX924" s="1631"/>
      <c r="JY924" s="1631"/>
      <c r="JZ924" s="1631"/>
      <c r="KA924" s="1630"/>
      <c r="KB924" s="1630"/>
      <c r="KC924" s="1630"/>
      <c r="KD924" s="1630"/>
      <c r="KE924" s="1630"/>
      <c r="KF924" s="1630"/>
      <c r="KG924" s="1630"/>
      <c r="KH924" s="1630"/>
      <c r="KI924" s="1630"/>
      <c r="KJ924" s="1630"/>
      <c r="KK924" s="1630"/>
      <c r="KL924" s="1630"/>
      <c r="KM924" s="1630"/>
      <c r="KN924" s="1630"/>
      <c r="KO924" s="1630"/>
      <c r="KP924" s="1630"/>
      <c r="KQ924" s="1630"/>
      <c r="KR924" s="1630"/>
      <c r="KS924" s="1630"/>
      <c r="KT924" s="1630"/>
      <c r="KU924" s="1630"/>
      <c r="KV924" s="1630"/>
      <c r="KW924" s="1630"/>
      <c r="KX924" s="1630"/>
      <c r="KY924" s="1630"/>
      <c r="KZ924" s="1630"/>
      <c r="LA924" s="1630"/>
      <c r="LB924" s="1630"/>
      <c r="LC924" s="1630"/>
      <c r="LD924" s="1630"/>
      <c r="LE924" s="1630"/>
      <c r="LF924" s="1630"/>
      <c r="LG924" s="1631"/>
      <c r="LH924" s="1631"/>
      <c r="LI924" s="1631"/>
      <c r="LJ924" s="1631"/>
      <c r="LK924" s="1631"/>
      <c r="LL924" s="1631"/>
      <c r="LM924" s="1631"/>
      <c r="LN924" s="1631"/>
      <c r="LO924" s="1631"/>
      <c r="LP924" s="1631"/>
      <c r="LQ924" s="1631"/>
      <c r="LR924" s="1631"/>
      <c r="LS924" s="1631"/>
      <c r="LT924" s="1631"/>
      <c r="LU924" s="1631"/>
      <c r="LV924" s="1631"/>
      <c r="LW924" s="1631"/>
      <c r="LX924" s="1631"/>
      <c r="LY924" s="1631"/>
      <c r="LZ924" s="1631"/>
      <c r="MA924" s="1631"/>
      <c r="MB924" s="1631"/>
      <c r="MC924" s="1631"/>
      <c r="MD924" s="1631"/>
      <c r="ME924" s="1631"/>
      <c r="MF924" s="1631"/>
      <c r="MG924" s="1631"/>
      <c r="MH924" s="1631"/>
      <c r="MI924" s="1631"/>
      <c r="MJ924" s="1631"/>
      <c r="MK924" s="1631"/>
      <c r="ML924" s="1631"/>
      <c r="MM924" s="1631"/>
      <c r="MN924" s="1631"/>
      <c r="MO924" s="1631"/>
      <c r="MP924" s="1631"/>
      <c r="MQ924" s="1631"/>
      <c r="MR924" s="1631"/>
      <c r="MS924" s="1631"/>
    </row>
    <row r="925" spans="1:357">
      <c r="A925" s="1630"/>
      <c r="B925" s="1631"/>
      <c r="C925" s="1631"/>
      <c r="D925" s="1631"/>
      <c r="E925" s="1631"/>
      <c r="F925" s="1631"/>
      <c r="G925" s="1631"/>
      <c r="H925" s="1631"/>
      <c r="I925" s="1631"/>
      <c r="J925" s="1631"/>
      <c r="K925" s="1631"/>
      <c r="L925" s="1631"/>
      <c r="M925" s="1631"/>
      <c r="N925" s="1631"/>
      <c r="O925" s="1631"/>
      <c r="P925" s="1631"/>
      <c r="Q925" s="1631"/>
      <c r="R925" s="1631"/>
      <c r="S925" s="1631"/>
      <c r="T925" s="1631"/>
      <c r="U925" s="1631"/>
      <c r="V925" s="1631"/>
      <c r="W925" s="1631"/>
      <c r="X925" s="1631"/>
      <c r="Y925" s="1631"/>
      <c r="Z925" s="1631"/>
      <c r="AA925" s="1631"/>
      <c r="AB925" s="1631"/>
      <c r="AC925" s="1631"/>
      <c r="AD925" s="1631"/>
      <c r="AE925" s="1631"/>
      <c r="AF925" s="1631"/>
      <c r="AG925" s="1631"/>
      <c r="AH925" s="1631"/>
      <c r="AI925" s="1631"/>
      <c r="AJ925" s="1631"/>
      <c r="AK925" s="1631"/>
      <c r="AL925" s="1631"/>
      <c r="AM925" s="1631"/>
      <c r="AN925" s="1631"/>
      <c r="AO925" s="1631"/>
      <c r="AP925" s="1631"/>
      <c r="AQ925" s="1631"/>
      <c r="AR925" s="1631"/>
      <c r="AS925" s="1631"/>
      <c r="AT925" s="1631"/>
      <c r="AU925" s="1631"/>
      <c r="AV925" s="1631"/>
      <c r="AW925" s="1631"/>
      <c r="AX925" s="1631"/>
      <c r="AY925" s="1631"/>
      <c r="AZ925" s="1631"/>
      <c r="BA925" s="1631"/>
      <c r="BB925" s="1631"/>
      <c r="BC925" s="1631"/>
      <c r="BD925" s="1631"/>
      <c r="BE925" s="1631"/>
      <c r="BF925" s="1631"/>
      <c r="BG925" s="1631"/>
      <c r="BH925" s="1631"/>
      <c r="BI925" s="1631"/>
      <c r="BJ925" s="1631"/>
      <c r="BK925" s="1631"/>
      <c r="BL925" s="1631"/>
      <c r="BM925" s="1631"/>
      <c r="BN925" s="1631"/>
      <c r="BO925" s="1631"/>
      <c r="BP925" s="1631"/>
      <c r="BQ925" s="1631"/>
      <c r="BR925" s="1631"/>
      <c r="BS925" s="1631"/>
      <c r="BT925" s="1631"/>
      <c r="BU925" s="1631"/>
      <c r="BV925" s="1631"/>
      <c r="BW925" s="1631"/>
      <c r="BX925" s="1631"/>
      <c r="BY925" s="1631"/>
      <c r="BZ925" s="1631"/>
      <c r="CA925" s="1631"/>
      <c r="CB925" s="1631"/>
      <c r="CC925" s="1631"/>
      <c r="CD925" s="1631"/>
      <c r="CE925" s="1631"/>
      <c r="CF925" s="1631"/>
      <c r="CG925" s="1631"/>
      <c r="CH925" s="1631"/>
      <c r="CI925" s="1631"/>
      <c r="CJ925" s="1631"/>
      <c r="CK925" s="1631"/>
      <c r="CL925" s="1631"/>
      <c r="CM925" s="1631"/>
      <c r="CN925" s="1631"/>
      <c r="CO925" s="1631"/>
      <c r="CP925" s="1631"/>
      <c r="CQ925" s="1631"/>
      <c r="CR925" s="1631"/>
      <c r="CS925" s="1631"/>
      <c r="CT925" s="1631"/>
      <c r="CU925" s="1631"/>
      <c r="CV925" s="1631"/>
      <c r="CW925" s="1631"/>
      <c r="CX925" s="1631"/>
      <c r="CY925" s="1631"/>
      <c r="CZ925" s="1631"/>
      <c r="DA925" s="1631"/>
      <c r="DB925" s="1631"/>
      <c r="DC925" s="1631"/>
      <c r="DD925" s="1631"/>
      <c r="DE925" s="1631"/>
      <c r="DF925" s="1631"/>
      <c r="DG925" s="1631"/>
      <c r="DH925" s="1631"/>
      <c r="DI925" s="1631"/>
      <c r="DJ925" s="1631"/>
      <c r="DK925" s="1631"/>
      <c r="DL925" s="1631"/>
      <c r="DM925" s="1631"/>
      <c r="DN925" s="1631"/>
      <c r="DO925" s="1631"/>
      <c r="DP925" s="1631"/>
      <c r="DQ925" s="1631"/>
      <c r="DR925" s="1631"/>
      <c r="DS925" s="1631"/>
      <c r="DT925" s="1631"/>
      <c r="DU925" s="1631"/>
      <c r="DV925" s="1631"/>
      <c r="DW925" s="1631"/>
      <c r="DX925" s="1631"/>
      <c r="DY925" s="1631"/>
      <c r="DZ925" s="1631"/>
      <c r="EA925" s="1631"/>
      <c r="EB925" s="1631"/>
      <c r="EC925" s="1631"/>
      <c r="ED925" s="1631"/>
      <c r="EE925" s="1631"/>
      <c r="EF925" s="1631"/>
      <c r="EG925" s="1631"/>
      <c r="EH925" s="1631"/>
      <c r="EI925" s="1631"/>
      <c r="EJ925" s="1631"/>
      <c r="EK925" s="1631"/>
      <c r="EL925" s="1631"/>
      <c r="EM925" s="1631"/>
      <c r="EN925" s="1631"/>
      <c r="EO925" s="1631"/>
      <c r="EP925" s="1631"/>
      <c r="EQ925" s="1631"/>
      <c r="ER925" s="1631"/>
      <c r="ES925" s="1631"/>
      <c r="ET925" s="1631"/>
      <c r="EU925" s="1631"/>
      <c r="EV925" s="1631"/>
      <c r="EW925" s="1631"/>
      <c r="EX925" s="1631"/>
      <c r="EY925" s="1631"/>
      <c r="EZ925" s="1631"/>
      <c r="FA925" s="1631"/>
      <c r="FB925" s="1631"/>
      <c r="FC925" s="1631"/>
      <c r="FD925" s="1631"/>
      <c r="FE925" s="1631"/>
      <c r="FF925" s="1631"/>
      <c r="FG925" s="1631"/>
      <c r="FH925" s="1631"/>
      <c r="FI925" s="1631"/>
      <c r="FJ925" s="1631"/>
      <c r="FK925" s="1631"/>
      <c r="FL925" s="1631"/>
      <c r="FM925" s="1631"/>
      <c r="FN925" s="1631"/>
      <c r="FO925" s="1631"/>
      <c r="FP925" s="1631"/>
      <c r="FQ925" s="1631"/>
      <c r="FR925" s="1631"/>
      <c r="FS925" s="1631"/>
      <c r="FT925" s="1631"/>
      <c r="FU925" s="1631"/>
      <c r="FV925" s="1631"/>
      <c r="FW925" s="1631"/>
      <c r="FX925" s="1631"/>
      <c r="FY925" s="1631"/>
      <c r="FZ925" s="1631"/>
      <c r="GA925" s="1631"/>
      <c r="GB925" s="1631"/>
      <c r="GC925" s="1631"/>
      <c r="GD925" s="1631"/>
      <c r="GE925" s="1631"/>
      <c r="GF925" s="1631"/>
      <c r="GG925" s="1631"/>
      <c r="GH925" s="1631"/>
      <c r="GI925" s="1631"/>
      <c r="GJ925" s="1631"/>
      <c r="GK925" s="1631"/>
      <c r="GL925" s="1631"/>
      <c r="GM925" s="1631"/>
      <c r="GN925" s="1631"/>
      <c r="GO925" s="1631"/>
      <c r="GP925" s="1631"/>
      <c r="GQ925" s="1631"/>
      <c r="GR925" s="1631"/>
      <c r="GS925" s="1631"/>
      <c r="GT925" s="1631"/>
      <c r="GU925" s="1631"/>
      <c r="GV925" s="1631"/>
      <c r="GW925" s="1631"/>
      <c r="GX925" s="1631"/>
      <c r="GY925" s="1631"/>
      <c r="GZ925" s="1631"/>
      <c r="HA925" s="1631"/>
      <c r="HB925" s="1631"/>
      <c r="HC925" s="1631"/>
      <c r="HD925" s="1631"/>
      <c r="HE925" s="1631"/>
      <c r="HF925" s="1631"/>
      <c r="HG925" s="1631"/>
      <c r="HH925" s="1631"/>
      <c r="HI925" s="1631"/>
      <c r="HJ925" s="1631"/>
      <c r="HK925" s="1631"/>
      <c r="HL925" s="1631"/>
      <c r="HM925" s="1631"/>
      <c r="HN925" s="1631"/>
      <c r="HO925" s="1631"/>
      <c r="HP925" s="1631"/>
      <c r="HQ925" s="1631"/>
      <c r="HR925" s="1631"/>
      <c r="HS925" s="1631"/>
      <c r="HT925" s="1631"/>
      <c r="HU925" s="1631"/>
      <c r="HV925" s="1631"/>
      <c r="HW925" s="1631"/>
      <c r="HX925" s="1631"/>
      <c r="HY925" s="1631"/>
      <c r="HZ925" s="1631"/>
      <c r="IA925" s="1631"/>
      <c r="IB925" s="1631"/>
      <c r="IC925" s="1631"/>
      <c r="ID925" s="1631"/>
      <c r="IE925" s="1631"/>
      <c r="IF925" s="1631"/>
      <c r="IG925" s="1631"/>
      <c r="IH925" s="1631"/>
      <c r="II925" s="1631"/>
      <c r="IJ925" s="1631"/>
      <c r="IK925" s="1631"/>
      <c r="IL925" s="1631"/>
      <c r="IM925" s="1631"/>
      <c r="IN925" s="1631"/>
      <c r="IO925" s="1631"/>
      <c r="IP925" s="1631"/>
      <c r="IQ925" s="1631"/>
      <c r="IR925" s="1631"/>
      <c r="IS925" s="1631"/>
      <c r="IT925" s="1631"/>
      <c r="IU925" s="1631"/>
      <c r="IV925" s="1631"/>
      <c r="IW925" s="1631"/>
      <c r="IX925" s="1631"/>
      <c r="IY925" s="1631"/>
      <c r="IZ925" s="1631"/>
      <c r="JA925" s="1631"/>
      <c r="JB925" s="1631"/>
      <c r="JC925" s="1631"/>
      <c r="JD925" s="1631"/>
      <c r="JE925" s="1631"/>
      <c r="JF925" s="1631"/>
      <c r="JG925" s="1631"/>
      <c r="JH925" s="1631"/>
      <c r="JI925" s="1631"/>
      <c r="JJ925" s="1631"/>
      <c r="JK925" s="1631"/>
      <c r="JL925" s="1631"/>
      <c r="JM925" s="1631"/>
      <c r="JN925" s="1631"/>
      <c r="JO925" s="1631"/>
      <c r="JP925" s="1631"/>
      <c r="JQ925" s="1631"/>
      <c r="JR925" s="1631"/>
      <c r="JS925" s="1631"/>
      <c r="JT925" s="1631"/>
      <c r="JU925" s="1631"/>
      <c r="JV925" s="1630"/>
      <c r="JW925" s="1631"/>
      <c r="JX925" s="1631"/>
      <c r="JY925" s="1631"/>
      <c r="JZ925" s="1631"/>
      <c r="KA925" s="1630"/>
      <c r="KB925" s="1630"/>
      <c r="KC925" s="1630"/>
      <c r="KD925" s="1630"/>
      <c r="KE925" s="1630"/>
      <c r="KF925" s="1630"/>
      <c r="KG925" s="1630"/>
      <c r="KH925" s="1630"/>
      <c r="KI925" s="1630"/>
      <c r="KJ925" s="1630"/>
      <c r="KK925" s="1630"/>
      <c r="KL925" s="1630"/>
      <c r="KM925" s="1630"/>
      <c r="KN925" s="1630"/>
      <c r="KO925" s="1630"/>
      <c r="KP925" s="1630"/>
      <c r="KQ925" s="1630"/>
      <c r="KR925" s="1630"/>
      <c r="KS925" s="1630"/>
      <c r="KT925" s="1630"/>
      <c r="KU925" s="1630"/>
      <c r="KV925" s="1630"/>
      <c r="KW925" s="1630"/>
      <c r="KX925" s="1630"/>
      <c r="KY925" s="1630"/>
      <c r="KZ925" s="1630"/>
      <c r="LA925" s="1630"/>
      <c r="LB925" s="1630"/>
      <c r="LC925" s="1630"/>
      <c r="LD925" s="1630"/>
      <c r="LE925" s="1630"/>
      <c r="LF925" s="1630"/>
      <c r="LG925" s="1631"/>
      <c r="LH925" s="1631"/>
      <c r="LI925" s="1631"/>
      <c r="LJ925" s="1631"/>
      <c r="LK925" s="1631"/>
      <c r="LL925" s="1631"/>
      <c r="LM925" s="1631"/>
      <c r="LN925" s="1631"/>
      <c r="LO925" s="1631"/>
      <c r="LP925" s="1631"/>
      <c r="LQ925" s="1631"/>
      <c r="LR925" s="1631"/>
      <c r="LS925" s="1631"/>
      <c r="LT925" s="1631"/>
      <c r="LU925" s="1631"/>
      <c r="LV925" s="1631"/>
      <c r="LW925" s="1631"/>
      <c r="LX925" s="1631"/>
      <c r="LY925" s="1631"/>
      <c r="LZ925" s="1631"/>
      <c r="MA925" s="1631"/>
      <c r="MB925" s="1631"/>
      <c r="MC925" s="1631"/>
      <c r="MD925" s="1631"/>
      <c r="ME925" s="1631"/>
      <c r="MF925" s="1631"/>
      <c r="MG925" s="1631"/>
      <c r="MH925" s="1631"/>
      <c r="MI925" s="1631"/>
      <c r="MJ925" s="1631"/>
      <c r="MK925" s="1631"/>
      <c r="ML925" s="1631"/>
      <c r="MM925" s="1631"/>
      <c r="MN925" s="1631"/>
      <c r="MO925" s="1631"/>
      <c r="MP925" s="1631"/>
      <c r="MQ925" s="1631"/>
      <c r="MR925" s="1631"/>
      <c r="MS925" s="1631"/>
    </row>
    <row r="926" spans="1:357">
      <c r="A926" s="1631"/>
      <c r="B926" s="1631"/>
      <c r="C926" s="1631"/>
      <c r="D926" s="1631"/>
      <c r="E926" s="1631"/>
      <c r="F926" s="1631"/>
      <c r="G926" s="1631"/>
      <c r="H926" s="1631"/>
      <c r="I926" s="1631"/>
      <c r="J926" s="1631"/>
      <c r="K926" s="1631"/>
      <c r="L926" s="1631"/>
      <c r="M926" s="1631"/>
      <c r="N926" s="1631"/>
      <c r="O926" s="1631"/>
      <c r="P926" s="1631"/>
      <c r="Q926" s="1631"/>
      <c r="R926" s="1631"/>
      <c r="S926" s="1631"/>
      <c r="T926" s="1631"/>
      <c r="U926" s="1631"/>
      <c r="V926" s="1631"/>
      <c r="W926" s="1631"/>
      <c r="X926" s="1631"/>
      <c r="Y926" s="1631"/>
      <c r="Z926" s="1631"/>
      <c r="AA926" s="1631"/>
      <c r="AB926" s="1631"/>
      <c r="AC926" s="1631"/>
      <c r="AD926" s="1631"/>
      <c r="AE926" s="1631"/>
      <c r="AF926" s="1631"/>
      <c r="AG926" s="1631"/>
      <c r="AH926" s="1631"/>
      <c r="AI926" s="1631"/>
      <c r="AJ926" s="1631"/>
      <c r="AK926" s="1631"/>
      <c r="AL926" s="1631"/>
      <c r="AM926" s="1631"/>
      <c r="AN926" s="1631"/>
      <c r="AO926" s="1631"/>
      <c r="AP926" s="1631"/>
      <c r="AQ926" s="1631"/>
      <c r="AR926" s="1631"/>
      <c r="AS926" s="1631"/>
      <c r="AT926" s="1631"/>
      <c r="AU926" s="1631"/>
      <c r="AV926" s="1631"/>
      <c r="AW926" s="1631"/>
      <c r="AX926" s="1631"/>
      <c r="AY926" s="1631"/>
      <c r="AZ926" s="1631"/>
      <c r="BA926" s="1631"/>
      <c r="BB926" s="1631"/>
      <c r="BC926" s="1631"/>
      <c r="BD926" s="1631"/>
      <c r="BE926" s="1631"/>
      <c r="BF926" s="1631"/>
      <c r="BG926" s="1631"/>
      <c r="BH926" s="1631"/>
      <c r="BI926" s="1631"/>
      <c r="BJ926" s="1631"/>
      <c r="BK926" s="1631"/>
      <c r="BL926" s="1631"/>
      <c r="BM926" s="1631"/>
      <c r="BN926" s="1631"/>
      <c r="BO926" s="1631"/>
      <c r="BP926" s="1631"/>
      <c r="BQ926" s="1631"/>
      <c r="BR926" s="1631"/>
      <c r="BS926" s="1631"/>
      <c r="BT926" s="1631"/>
      <c r="BU926" s="1631"/>
      <c r="BV926" s="1631"/>
      <c r="BW926" s="1631"/>
      <c r="BX926" s="1631"/>
      <c r="BY926" s="1631"/>
      <c r="BZ926" s="1631"/>
      <c r="CA926" s="1631"/>
      <c r="CB926" s="1631"/>
      <c r="CC926" s="1631"/>
      <c r="CD926" s="1631"/>
      <c r="CE926" s="1631"/>
      <c r="CF926" s="1631"/>
      <c r="CG926" s="1631"/>
      <c r="CH926" s="1631"/>
      <c r="CI926" s="1631"/>
      <c r="CJ926" s="1631"/>
      <c r="CK926" s="1631"/>
      <c r="CL926" s="1631"/>
      <c r="CM926" s="1631"/>
      <c r="CN926" s="1631"/>
      <c r="CO926" s="1631"/>
      <c r="CP926" s="1631"/>
      <c r="CQ926" s="1631"/>
      <c r="CR926" s="1631"/>
      <c r="CS926" s="1631"/>
      <c r="CT926" s="1631"/>
      <c r="CU926" s="1631"/>
      <c r="CV926" s="1631"/>
      <c r="CW926" s="1631"/>
      <c r="CX926" s="1631"/>
      <c r="CY926" s="1631"/>
      <c r="CZ926" s="1631"/>
      <c r="DA926" s="1631"/>
      <c r="DB926" s="1631"/>
      <c r="DC926" s="1631"/>
      <c r="DD926" s="1631"/>
      <c r="DE926" s="1631"/>
      <c r="DF926" s="1631"/>
      <c r="DG926" s="1631"/>
      <c r="DH926" s="1631"/>
      <c r="DI926" s="1631"/>
      <c r="DJ926" s="1631"/>
      <c r="DK926" s="1631"/>
      <c r="DL926" s="1631"/>
      <c r="DM926" s="1631"/>
      <c r="DN926" s="1631"/>
      <c r="DO926" s="1631"/>
      <c r="DP926" s="1631"/>
      <c r="DQ926" s="1631"/>
      <c r="DR926" s="1631"/>
      <c r="DS926" s="1631"/>
      <c r="DT926" s="1631"/>
      <c r="DU926" s="1631"/>
      <c r="DV926" s="1631"/>
      <c r="DW926" s="1631"/>
      <c r="DX926" s="1631"/>
      <c r="DY926" s="1631"/>
      <c r="DZ926" s="1631"/>
      <c r="EA926" s="1631"/>
      <c r="EB926" s="1631"/>
      <c r="EC926" s="1631"/>
      <c r="ED926" s="1631"/>
      <c r="EE926" s="1631"/>
      <c r="EF926" s="1631"/>
      <c r="EG926" s="1631"/>
      <c r="EH926" s="1631"/>
      <c r="EI926" s="1631"/>
      <c r="EJ926" s="1631"/>
      <c r="EK926" s="1631"/>
      <c r="EL926" s="1631"/>
      <c r="EM926" s="1631"/>
      <c r="EN926" s="1631"/>
      <c r="EO926" s="1631"/>
      <c r="EP926" s="1631"/>
      <c r="EQ926" s="1631"/>
      <c r="ER926" s="1631"/>
      <c r="ES926" s="1631"/>
      <c r="ET926" s="1631"/>
      <c r="EU926" s="1631"/>
      <c r="EV926" s="1631"/>
      <c r="EW926" s="1631"/>
      <c r="EX926" s="1631"/>
      <c r="EY926" s="1631"/>
      <c r="EZ926" s="1631"/>
      <c r="FA926" s="1631"/>
      <c r="FB926" s="1631"/>
      <c r="FC926" s="1631"/>
      <c r="FD926" s="1631"/>
      <c r="FE926" s="1631"/>
      <c r="FF926" s="1631"/>
      <c r="FG926" s="1631"/>
      <c r="FH926" s="1631"/>
      <c r="FI926" s="1631"/>
      <c r="FJ926" s="1631"/>
      <c r="FK926" s="1631"/>
      <c r="FL926" s="1631"/>
      <c r="FM926" s="1631"/>
      <c r="FN926" s="1631"/>
      <c r="FO926" s="1631"/>
      <c r="FP926" s="1631"/>
      <c r="FQ926" s="1631"/>
      <c r="FR926" s="1631"/>
      <c r="FS926" s="1631"/>
      <c r="FT926" s="1631"/>
      <c r="FU926" s="1631"/>
      <c r="FV926" s="1631"/>
      <c r="FW926" s="1631"/>
      <c r="FX926" s="1631"/>
      <c r="FY926" s="1631"/>
      <c r="FZ926" s="1631"/>
      <c r="GA926" s="1631"/>
      <c r="GB926" s="1631"/>
      <c r="GC926" s="1631"/>
      <c r="GD926" s="1631"/>
      <c r="GE926" s="1631"/>
      <c r="GF926" s="1631"/>
      <c r="GG926" s="1631"/>
      <c r="GH926" s="1631"/>
      <c r="GI926" s="1631"/>
      <c r="GJ926" s="1631"/>
      <c r="GK926" s="1631"/>
      <c r="GL926" s="1631"/>
      <c r="GM926" s="1631"/>
      <c r="GN926" s="1631"/>
      <c r="GO926" s="1631"/>
      <c r="GP926" s="1631"/>
      <c r="GQ926" s="1631"/>
      <c r="GR926" s="1631"/>
      <c r="GS926" s="1631"/>
      <c r="GT926" s="1631"/>
      <c r="GU926" s="1631"/>
      <c r="GV926" s="1631"/>
      <c r="GW926" s="1631"/>
      <c r="GX926" s="1631"/>
      <c r="GY926" s="1631"/>
      <c r="GZ926" s="1631"/>
      <c r="HA926" s="1631"/>
      <c r="HB926" s="1631"/>
      <c r="HC926" s="1631"/>
      <c r="HD926" s="1631"/>
      <c r="HE926" s="1631"/>
      <c r="HF926" s="1631"/>
      <c r="HG926" s="1631"/>
      <c r="HH926" s="1631"/>
      <c r="HI926" s="1631"/>
      <c r="HJ926" s="1631"/>
      <c r="HK926" s="1631"/>
      <c r="HL926" s="1631"/>
      <c r="HM926" s="1631"/>
      <c r="HN926" s="1631"/>
      <c r="HO926" s="1631"/>
      <c r="HP926" s="1631"/>
      <c r="HQ926" s="1631"/>
      <c r="HR926" s="1631"/>
      <c r="HS926" s="1631"/>
      <c r="HT926" s="1631"/>
      <c r="HU926" s="1631"/>
      <c r="HV926" s="1631"/>
      <c r="HW926" s="1631"/>
      <c r="HX926" s="1631"/>
      <c r="HY926" s="1631"/>
      <c r="HZ926" s="1631"/>
      <c r="IA926" s="1631"/>
      <c r="IB926" s="1631"/>
      <c r="IC926" s="1631"/>
      <c r="ID926" s="1631"/>
      <c r="IE926" s="1631"/>
      <c r="IF926" s="1631"/>
      <c r="IG926" s="1631"/>
      <c r="IH926" s="1631"/>
      <c r="II926" s="1631"/>
      <c r="IJ926" s="1631"/>
      <c r="IK926" s="1631"/>
      <c r="IL926" s="1631"/>
      <c r="IM926" s="1631"/>
      <c r="IN926" s="1631"/>
      <c r="IO926" s="1631"/>
      <c r="IP926" s="1631"/>
      <c r="IQ926" s="1631"/>
      <c r="IR926" s="1631"/>
      <c r="IS926" s="1631"/>
      <c r="IT926" s="1631"/>
      <c r="IU926" s="1631"/>
      <c r="IV926" s="1631"/>
      <c r="IW926" s="1631"/>
      <c r="IX926" s="1631"/>
      <c r="IY926" s="1631"/>
      <c r="IZ926" s="1631"/>
      <c r="JA926" s="1631"/>
      <c r="JB926" s="1631"/>
      <c r="JC926" s="1631"/>
      <c r="JD926" s="1631"/>
      <c r="JE926" s="1631"/>
      <c r="JF926" s="1631"/>
      <c r="JG926" s="1631"/>
      <c r="JH926" s="1631"/>
      <c r="JI926" s="1631"/>
      <c r="JJ926" s="1631"/>
      <c r="JK926" s="1631"/>
      <c r="JL926" s="1631"/>
      <c r="JM926" s="1631"/>
      <c r="JN926" s="1631"/>
      <c r="JO926" s="1631"/>
      <c r="JP926" s="1631"/>
      <c r="JQ926" s="1631"/>
      <c r="JR926" s="1631"/>
      <c r="JS926" s="1631"/>
      <c r="JT926" s="1631"/>
      <c r="JU926" s="1631"/>
      <c r="JV926" s="1630"/>
      <c r="JW926" s="1631"/>
      <c r="JX926" s="1631"/>
      <c r="JY926" s="1631"/>
      <c r="JZ926" s="1631"/>
      <c r="KA926" s="1630"/>
      <c r="KB926" s="1630"/>
      <c r="KC926" s="1630"/>
      <c r="KD926" s="1630"/>
      <c r="KE926" s="1630"/>
      <c r="KF926" s="1630"/>
      <c r="KG926" s="1630"/>
      <c r="KH926" s="1630"/>
      <c r="KI926" s="1630"/>
      <c r="KJ926" s="1630"/>
      <c r="KK926" s="1630"/>
      <c r="KL926" s="1630"/>
      <c r="KM926" s="1630"/>
      <c r="KN926" s="1630"/>
      <c r="KO926" s="1630"/>
      <c r="KP926" s="1630"/>
      <c r="KQ926" s="1630"/>
      <c r="KR926" s="1630"/>
      <c r="KS926" s="1630"/>
      <c r="KT926" s="1630"/>
      <c r="KU926" s="1630"/>
      <c r="KV926" s="1630"/>
      <c r="KW926" s="1630"/>
      <c r="KX926" s="1630"/>
      <c r="KY926" s="1630"/>
      <c r="KZ926" s="1630"/>
      <c r="LA926" s="1630"/>
      <c r="LB926" s="1630"/>
      <c r="LC926" s="1630"/>
      <c r="LD926" s="1630"/>
      <c r="LE926" s="1630"/>
      <c r="LF926" s="1630"/>
      <c r="LG926" s="1631"/>
      <c r="LH926" s="1631"/>
      <c r="LI926" s="1631"/>
      <c r="LJ926" s="1631"/>
      <c r="LK926" s="1631"/>
      <c r="LL926" s="1631"/>
      <c r="LM926" s="1631"/>
      <c r="LN926" s="1631"/>
      <c r="LO926" s="1631"/>
      <c r="LP926" s="1631"/>
      <c r="LQ926" s="1631"/>
      <c r="LR926" s="1631"/>
      <c r="LS926" s="1631"/>
      <c r="LT926" s="1631"/>
      <c r="LU926" s="1631"/>
      <c r="LV926" s="1631"/>
      <c r="LW926" s="1631"/>
      <c r="LX926" s="1631"/>
      <c r="LY926" s="1631"/>
      <c r="LZ926" s="1631"/>
      <c r="MA926" s="1631"/>
      <c r="MB926" s="1631"/>
      <c r="MC926" s="1631"/>
      <c r="MD926" s="1631"/>
      <c r="ME926" s="1631"/>
      <c r="MF926" s="1631"/>
      <c r="MG926" s="1631"/>
      <c r="MH926" s="1631"/>
      <c r="MI926" s="1631"/>
      <c r="MJ926" s="1631"/>
      <c r="MK926" s="1631"/>
      <c r="ML926" s="1631"/>
      <c r="MM926" s="1631"/>
      <c r="MN926" s="1631"/>
      <c r="MO926" s="1631"/>
      <c r="MP926" s="1631"/>
      <c r="MQ926" s="1631"/>
      <c r="MR926" s="1631"/>
      <c r="MS926" s="1631"/>
    </row>
    <row r="927" spans="1:357">
      <c r="JV927" s="1637"/>
      <c r="KA927" s="1637"/>
      <c r="KB927" s="1637"/>
      <c r="KC927" s="1637"/>
      <c r="KD927" s="1637"/>
      <c r="KE927" s="1637"/>
      <c r="KF927" s="1637"/>
      <c r="KG927" s="1637"/>
      <c r="KH927" s="1637"/>
      <c r="KI927" s="1637"/>
      <c r="KJ927" s="1637"/>
      <c r="KK927" s="1637"/>
      <c r="KL927" s="1637"/>
      <c r="KM927" s="1637"/>
      <c r="KN927" s="1637"/>
      <c r="KO927" s="1637"/>
      <c r="KP927" s="1637"/>
      <c r="KQ927" s="1637"/>
      <c r="KR927" s="1637"/>
      <c r="KS927" s="1637"/>
      <c r="KT927" s="1637"/>
      <c r="KU927" s="1637"/>
      <c r="KV927" s="1637"/>
      <c r="KW927" s="1637"/>
      <c r="KX927" s="1637"/>
      <c r="KY927" s="1637"/>
      <c r="KZ927" s="1637"/>
      <c r="LA927" s="1637"/>
      <c r="LB927" s="1637"/>
      <c r="LC927" s="1637"/>
      <c r="LD927" s="1637"/>
      <c r="LE927" s="1637"/>
      <c r="LF927" s="1637"/>
    </row>
    <row r="928" spans="1:357">
      <c r="JV928" s="1637"/>
      <c r="KA928" s="1637"/>
      <c r="KB928" s="1637"/>
      <c r="KC928" s="1637"/>
      <c r="KD928" s="1637"/>
      <c r="KE928" s="1637"/>
      <c r="KF928" s="1637"/>
      <c r="KG928" s="1637"/>
      <c r="KH928" s="1637"/>
      <c r="KI928" s="1637"/>
      <c r="KJ928" s="1637"/>
      <c r="KK928" s="1637"/>
      <c r="KL928" s="1637"/>
      <c r="KM928" s="1637"/>
      <c r="KN928" s="1637"/>
      <c r="KO928" s="1637"/>
      <c r="KP928" s="1637"/>
      <c r="KQ928" s="1637"/>
      <c r="KR928" s="1637"/>
      <c r="KS928" s="1637"/>
      <c r="KT928" s="1637"/>
      <c r="KU928" s="1637"/>
      <c r="KV928" s="1637"/>
      <c r="KW928" s="1637"/>
      <c r="KX928" s="1637"/>
      <c r="KY928" s="1637"/>
      <c r="KZ928" s="1637"/>
      <c r="LA928" s="1637"/>
      <c r="LB928" s="1637"/>
      <c r="LC928" s="1637"/>
      <c r="LD928" s="1637"/>
      <c r="LE928" s="1637"/>
      <c r="LF928" s="1637"/>
    </row>
    <row r="929" spans="1:357">
      <c r="JV929" s="1637"/>
      <c r="KA929" s="1637"/>
      <c r="KB929" s="1637"/>
      <c r="KC929" s="1637"/>
      <c r="KD929" s="1637"/>
      <c r="KE929" s="1637"/>
      <c r="KF929" s="1637"/>
      <c r="KG929" s="1637"/>
      <c r="KH929" s="1637"/>
      <c r="KI929" s="1637"/>
      <c r="KJ929" s="1637"/>
      <c r="KK929" s="1637"/>
      <c r="KL929" s="1637"/>
      <c r="KM929" s="1637"/>
      <c r="KN929" s="1637"/>
      <c r="KO929" s="1637"/>
      <c r="KP929" s="1637"/>
      <c r="KQ929" s="1637"/>
      <c r="KR929" s="1637"/>
      <c r="KS929" s="1637"/>
      <c r="KT929" s="1637"/>
      <c r="KU929" s="1637"/>
      <c r="KV929" s="1637"/>
      <c r="KW929" s="1637"/>
      <c r="KX929" s="1637"/>
      <c r="KY929" s="1637"/>
      <c r="KZ929" s="1637"/>
      <c r="LA929" s="1637"/>
      <c r="LB929" s="1637"/>
      <c r="LC929" s="1637"/>
      <c r="LD929" s="1637"/>
      <c r="LE929" s="1637"/>
      <c r="LF929" s="1637"/>
    </row>
    <row r="930" spans="1:357">
      <c r="JV930" s="1637"/>
      <c r="KA930" s="1637"/>
      <c r="KB930" s="1637"/>
      <c r="KC930" s="1637"/>
      <c r="KD930" s="1637"/>
      <c r="KE930" s="1637"/>
      <c r="KF930" s="1637"/>
      <c r="KG930" s="1637"/>
      <c r="KH930" s="1637"/>
      <c r="KI930" s="1637"/>
      <c r="KJ930" s="1637"/>
      <c r="KK930" s="1637"/>
      <c r="KL930" s="1637"/>
      <c r="KM930" s="1637"/>
      <c r="KN930" s="1637"/>
      <c r="KO930" s="1637"/>
      <c r="KP930" s="1637"/>
      <c r="KQ930" s="1637"/>
      <c r="KR930" s="1637"/>
      <c r="KS930" s="1637"/>
      <c r="KT930" s="1637"/>
      <c r="KU930" s="1637"/>
      <c r="KV930" s="1637"/>
      <c r="KW930" s="1637"/>
      <c r="KX930" s="1637"/>
      <c r="KY930" s="1637"/>
      <c r="KZ930" s="1637"/>
      <c r="LA930" s="1637"/>
      <c r="LB930" s="1637"/>
      <c r="LC930" s="1637"/>
      <c r="LD930" s="1637"/>
      <c r="LE930" s="1637"/>
      <c r="LF930" s="1637"/>
    </row>
    <row r="931" spans="1:357">
      <c r="A931" s="2771"/>
      <c r="B931" s="1631"/>
      <c r="C931" s="1631"/>
      <c r="D931" s="1631"/>
      <c r="E931" s="1631"/>
      <c r="F931" s="1631"/>
      <c r="G931" s="1631"/>
      <c r="H931" s="1631"/>
      <c r="I931" s="1631"/>
      <c r="J931" s="1631"/>
      <c r="K931" s="1631"/>
      <c r="L931" s="1631"/>
      <c r="M931" s="1631"/>
      <c r="N931" s="1631"/>
      <c r="O931" s="1631"/>
      <c r="P931" s="1631"/>
      <c r="Q931" s="1631"/>
      <c r="R931" s="1631"/>
      <c r="S931" s="1631"/>
      <c r="T931" s="1631"/>
      <c r="U931" s="1631"/>
      <c r="V931" s="1631"/>
      <c r="W931" s="1631"/>
      <c r="X931" s="1631"/>
      <c r="Y931" s="1631"/>
      <c r="Z931" s="1631"/>
      <c r="AA931" s="1631"/>
      <c r="AB931" s="1631"/>
      <c r="AC931" s="1631"/>
      <c r="AD931" s="1631"/>
      <c r="AE931" s="1631"/>
      <c r="AF931" s="1631"/>
      <c r="AG931" s="1631"/>
      <c r="AH931" s="1631"/>
      <c r="AI931" s="1631"/>
      <c r="AJ931" s="1631"/>
      <c r="AK931" s="1631"/>
      <c r="AL931" s="1631"/>
      <c r="AM931" s="1631"/>
      <c r="AN931" s="1631"/>
      <c r="AO931" s="1631"/>
      <c r="AP931" s="1631"/>
      <c r="AQ931" s="1631"/>
      <c r="AR931" s="1631"/>
      <c r="AS931" s="1631"/>
      <c r="AT931" s="1631"/>
      <c r="AU931" s="1631"/>
      <c r="AV931" s="1631"/>
      <c r="AW931" s="1631"/>
      <c r="AX931" s="1631"/>
      <c r="AY931" s="1631"/>
      <c r="AZ931" s="1631"/>
      <c r="BA931" s="1631"/>
      <c r="BB931" s="1631"/>
      <c r="BC931" s="1631"/>
      <c r="BD931" s="1631"/>
      <c r="BE931" s="1631"/>
      <c r="BF931" s="1631"/>
      <c r="BG931" s="1631"/>
      <c r="BH931" s="1631"/>
      <c r="BI931" s="1631"/>
      <c r="BJ931" s="1631"/>
      <c r="BK931" s="1631"/>
      <c r="BL931" s="1631"/>
      <c r="BM931" s="1631"/>
      <c r="BN931" s="1631"/>
      <c r="BO931" s="1631"/>
      <c r="BP931" s="1631"/>
      <c r="BQ931" s="1631"/>
      <c r="BR931" s="1631"/>
      <c r="BS931" s="1631"/>
      <c r="BT931" s="1631"/>
      <c r="BU931" s="1631"/>
      <c r="BV931" s="1631"/>
      <c r="BW931" s="1631"/>
      <c r="BX931" s="1631"/>
      <c r="BY931" s="1631"/>
      <c r="BZ931" s="1631"/>
      <c r="CA931" s="1631"/>
      <c r="CB931" s="1631"/>
      <c r="CC931" s="1631"/>
      <c r="CD931" s="1631"/>
      <c r="CE931" s="1631"/>
      <c r="CF931" s="1631"/>
      <c r="CG931" s="1631"/>
      <c r="CH931" s="1631"/>
      <c r="CI931" s="1631"/>
      <c r="CJ931" s="1631"/>
      <c r="CK931" s="1631"/>
      <c r="CL931" s="1631"/>
      <c r="CM931" s="1631"/>
      <c r="CN931" s="1631"/>
      <c r="CO931" s="1631"/>
      <c r="CP931" s="1631"/>
      <c r="CQ931" s="1631"/>
      <c r="CR931" s="1631"/>
      <c r="CS931" s="1631"/>
      <c r="CT931" s="1631"/>
      <c r="CU931" s="1631"/>
      <c r="CV931" s="1631"/>
      <c r="CW931" s="1631"/>
      <c r="CX931" s="1631"/>
      <c r="CY931" s="1631"/>
      <c r="CZ931" s="1631"/>
      <c r="DA931" s="1631"/>
      <c r="DB931" s="1631"/>
      <c r="DC931" s="1631"/>
      <c r="DD931" s="1631"/>
      <c r="DE931" s="1631"/>
      <c r="DF931" s="1631"/>
      <c r="DG931" s="1631"/>
      <c r="DH931" s="1631"/>
      <c r="DI931" s="1631"/>
      <c r="DJ931" s="1631"/>
      <c r="DK931" s="1631"/>
      <c r="DL931" s="1631"/>
      <c r="DM931" s="1631"/>
      <c r="DN931" s="1631"/>
      <c r="DO931" s="1631"/>
      <c r="DP931" s="1631"/>
      <c r="DQ931" s="1631"/>
      <c r="DR931" s="1631"/>
      <c r="DS931" s="1631"/>
      <c r="DT931" s="1631"/>
      <c r="DU931" s="1631"/>
      <c r="DV931" s="1631"/>
      <c r="DW931" s="1631"/>
      <c r="DX931" s="1631"/>
      <c r="DY931" s="1631"/>
      <c r="DZ931" s="1631"/>
      <c r="EA931" s="1631"/>
      <c r="EB931" s="1631"/>
      <c r="EC931" s="1631"/>
      <c r="ED931" s="1631"/>
      <c r="EE931" s="1631"/>
      <c r="EF931" s="1631"/>
      <c r="EG931" s="1631"/>
      <c r="EH931" s="1631"/>
      <c r="EI931" s="1631"/>
      <c r="EJ931" s="1631"/>
      <c r="EK931" s="1631"/>
      <c r="EL931" s="1631"/>
      <c r="EM931" s="1631"/>
      <c r="EN931" s="1631"/>
      <c r="EO931" s="1631"/>
      <c r="EP931" s="1631"/>
      <c r="EQ931" s="1631"/>
      <c r="ER931" s="1631"/>
      <c r="ES931" s="1631"/>
      <c r="ET931" s="1631"/>
      <c r="EU931" s="1631"/>
      <c r="EV931" s="1631"/>
      <c r="EW931" s="1631"/>
      <c r="EX931" s="1631"/>
      <c r="EY931" s="1631"/>
      <c r="EZ931" s="1631"/>
      <c r="FA931" s="1631"/>
      <c r="FB931" s="1631"/>
      <c r="FC931" s="1631"/>
      <c r="FD931" s="1631"/>
      <c r="FE931" s="1631"/>
      <c r="FF931" s="1631"/>
      <c r="FG931" s="1631"/>
      <c r="FH931" s="1631"/>
      <c r="FI931" s="1631"/>
      <c r="FJ931" s="1631"/>
      <c r="FK931" s="1631"/>
      <c r="FL931" s="1631"/>
      <c r="FM931" s="1631"/>
      <c r="FN931" s="1631"/>
      <c r="FO931" s="1631"/>
      <c r="FP931" s="1631"/>
      <c r="FQ931" s="1631"/>
      <c r="FR931" s="1631"/>
      <c r="FS931" s="1631"/>
      <c r="FT931" s="1631"/>
      <c r="FU931" s="1631"/>
      <c r="FV931" s="1631"/>
      <c r="FW931" s="1631"/>
      <c r="FX931" s="1631"/>
      <c r="FY931" s="1631"/>
      <c r="FZ931" s="1631"/>
      <c r="GA931" s="1631"/>
      <c r="GB931" s="1631"/>
      <c r="GC931" s="1631"/>
      <c r="GD931" s="1631"/>
      <c r="GE931" s="1631"/>
      <c r="GF931" s="1631"/>
      <c r="GG931" s="1631"/>
      <c r="GH931" s="1631"/>
      <c r="GI931" s="1631"/>
      <c r="GJ931" s="1631"/>
      <c r="GK931" s="1631"/>
      <c r="GL931" s="1631"/>
      <c r="GM931" s="1631"/>
      <c r="GN931" s="1631"/>
      <c r="GO931" s="1631"/>
      <c r="GP931" s="1631"/>
      <c r="GQ931" s="1631"/>
      <c r="GR931" s="1631"/>
      <c r="GS931" s="1631"/>
      <c r="GT931" s="1631"/>
      <c r="GU931" s="1631"/>
      <c r="GV931" s="1631"/>
      <c r="GW931" s="1631"/>
      <c r="GX931" s="1631"/>
      <c r="GY931" s="1631"/>
      <c r="GZ931" s="1631"/>
      <c r="HA931" s="1631"/>
      <c r="HB931" s="1631"/>
      <c r="HC931" s="1631"/>
      <c r="HD931" s="1631"/>
      <c r="HE931" s="1631"/>
      <c r="HF931" s="1631"/>
      <c r="HG931" s="1631"/>
      <c r="HH931" s="1631"/>
      <c r="HI931" s="1631"/>
      <c r="HJ931" s="1631"/>
      <c r="HK931" s="1631"/>
      <c r="HL931" s="1631"/>
      <c r="HM931" s="1631"/>
      <c r="HN931" s="1631"/>
      <c r="HO931" s="1631"/>
      <c r="HP931" s="1631"/>
      <c r="HQ931" s="1631"/>
      <c r="HR931" s="1631"/>
      <c r="HS931" s="1631"/>
      <c r="HT931" s="1631"/>
      <c r="HU931" s="1631"/>
      <c r="HV931" s="1631"/>
      <c r="HW931" s="1631"/>
      <c r="HX931" s="1631"/>
      <c r="HY931" s="1631"/>
      <c r="HZ931" s="1631"/>
      <c r="IA931" s="1631"/>
      <c r="IB931" s="1631"/>
      <c r="IC931" s="1631"/>
      <c r="ID931" s="1631"/>
      <c r="IE931" s="1631"/>
      <c r="IF931" s="1631"/>
      <c r="IG931" s="1631"/>
      <c r="IH931" s="1631"/>
      <c r="II931" s="1631"/>
      <c r="IJ931" s="1631"/>
      <c r="IK931" s="1631"/>
      <c r="IL931" s="1631"/>
      <c r="IM931" s="1631"/>
      <c r="IN931" s="1631"/>
      <c r="IO931" s="1631"/>
      <c r="IP931" s="1631"/>
      <c r="IQ931" s="1631"/>
      <c r="IR931" s="1631"/>
      <c r="IS931" s="1631"/>
      <c r="IT931" s="1631"/>
      <c r="IU931" s="1631"/>
      <c r="IV931" s="1631"/>
      <c r="IW931" s="1631"/>
      <c r="IX931" s="1631"/>
      <c r="IY931" s="1631"/>
      <c r="IZ931" s="1631"/>
      <c r="JA931" s="1631"/>
      <c r="JB931" s="1631"/>
      <c r="JC931" s="1631"/>
      <c r="JD931" s="1631"/>
      <c r="JE931" s="1631"/>
      <c r="JF931" s="1631"/>
      <c r="JG931" s="1631"/>
      <c r="JH931" s="1631"/>
      <c r="JI931" s="1631"/>
      <c r="JJ931" s="1631"/>
      <c r="JK931" s="1631"/>
      <c r="JL931" s="1631"/>
      <c r="JM931" s="1631"/>
      <c r="JN931" s="1631"/>
      <c r="JO931" s="1631"/>
      <c r="JP931" s="1631"/>
      <c r="JQ931" s="1631"/>
      <c r="JR931" s="1631"/>
      <c r="JS931" s="1631"/>
      <c r="JT931" s="1631"/>
      <c r="JU931" s="1631"/>
      <c r="JV931" s="1630"/>
      <c r="JW931" s="1631"/>
      <c r="JX931" s="1631"/>
      <c r="JY931" s="1631"/>
      <c r="JZ931" s="1631"/>
      <c r="KA931" s="1630"/>
      <c r="KB931" s="1630"/>
      <c r="KC931" s="1630"/>
      <c r="KD931" s="1630"/>
      <c r="KE931" s="1630"/>
      <c r="KF931" s="1630"/>
      <c r="KG931" s="1630"/>
      <c r="KH931" s="1630"/>
      <c r="KI931" s="1630"/>
      <c r="KJ931" s="1630"/>
      <c r="KK931" s="1630"/>
      <c r="KL931" s="1630"/>
      <c r="KM931" s="1630"/>
      <c r="KN931" s="1630"/>
      <c r="KO931" s="1630"/>
      <c r="KP931" s="1630"/>
      <c r="KQ931" s="1630"/>
      <c r="KR931" s="1630"/>
      <c r="KS931" s="1630"/>
      <c r="KT931" s="1630"/>
      <c r="KU931" s="1630"/>
      <c r="KV931" s="1630"/>
      <c r="KW931" s="1630"/>
      <c r="KX931" s="1630"/>
      <c r="KY931" s="1630"/>
      <c r="KZ931" s="1630"/>
      <c r="LA931" s="1630"/>
      <c r="LB931" s="1630"/>
      <c r="LC931" s="1630"/>
      <c r="LD931" s="1630"/>
      <c r="LE931" s="1630"/>
      <c r="LF931" s="1630"/>
      <c r="LG931" s="1631"/>
      <c r="LH931" s="1631"/>
      <c r="LI931" s="1631"/>
      <c r="LJ931" s="1631"/>
      <c r="LK931" s="1631"/>
      <c r="LL931" s="1631"/>
      <c r="LM931" s="1631"/>
      <c r="LN931" s="1631"/>
      <c r="LO931" s="1631"/>
      <c r="LP931" s="1631"/>
      <c r="LQ931" s="1631"/>
      <c r="LR931" s="1631"/>
      <c r="LS931" s="1631"/>
      <c r="LT931" s="1631"/>
      <c r="LU931" s="1631"/>
      <c r="LV931" s="1631"/>
      <c r="LW931" s="1631"/>
      <c r="LX931" s="1631"/>
      <c r="LY931" s="1631"/>
      <c r="LZ931" s="1631"/>
      <c r="MA931" s="1631"/>
      <c r="MB931" s="1631"/>
      <c r="MC931" s="1631"/>
      <c r="MD931" s="1631"/>
      <c r="ME931" s="1631"/>
      <c r="MF931" s="1631"/>
      <c r="MG931" s="1631"/>
      <c r="MH931" s="1631"/>
      <c r="MI931" s="1631"/>
      <c r="MJ931" s="1631"/>
      <c r="MK931" s="1631"/>
      <c r="ML931" s="1631"/>
      <c r="MM931" s="1631"/>
      <c r="MN931" s="1631"/>
      <c r="MO931" s="1631"/>
      <c r="MP931" s="1631"/>
      <c r="MQ931" s="1631"/>
      <c r="MR931" s="1631"/>
      <c r="MS931" s="1631"/>
    </row>
    <row r="932" spans="1:357">
      <c r="A932" s="2771"/>
      <c r="B932" s="1631"/>
      <c r="C932" s="1631"/>
      <c r="D932" s="1631"/>
      <c r="E932" s="1631"/>
      <c r="F932" s="1631"/>
      <c r="G932" s="1631"/>
      <c r="H932" s="1631"/>
      <c r="I932" s="1631"/>
      <c r="J932" s="1631"/>
      <c r="K932" s="1631"/>
      <c r="L932" s="1631"/>
      <c r="M932" s="1631"/>
      <c r="N932" s="1631"/>
      <c r="O932" s="1631"/>
      <c r="P932" s="1631"/>
      <c r="Q932" s="1631"/>
      <c r="R932" s="1631"/>
      <c r="S932" s="1631"/>
      <c r="T932" s="1631"/>
      <c r="U932" s="1631"/>
      <c r="V932" s="1631"/>
      <c r="W932" s="1631"/>
      <c r="X932" s="1631"/>
      <c r="Y932" s="1631"/>
      <c r="Z932" s="1631"/>
      <c r="AA932" s="1631"/>
      <c r="AB932" s="1631"/>
      <c r="AC932" s="1631"/>
      <c r="AD932" s="1631"/>
      <c r="AE932" s="1631"/>
      <c r="AF932" s="1631"/>
      <c r="AG932" s="1631"/>
      <c r="AH932" s="1631"/>
      <c r="AI932" s="1631"/>
      <c r="AJ932" s="1631"/>
      <c r="AK932" s="1631"/>
      <c r="AL932" s="1631"/>
      <c r="AM932" s="1631"/>
      <c r="AN932" s="1631"/>
      <c r="AO932" s="1631"/>
      <c r="AP932" s="1631"/>
      <c r="AQ932" s="1631"/>
      <c r="AR932" s="1631"/>
      <c r="AS932" s="1631"/>
      <c r="AT932" s="1631"/>
      <c r="AU932" s="1631"/>
      <c r="AV932" s="1631"/>
      <c r="AW932" s="1631"/>
      <c r="AX932" s="1631"/>
      <c r="AY932" s="1631"/>
      <c r="AZ932" s="1631"/>
      <c r="BA932" s="1631"/>
      <c r="BB932" s="1631"/>
      <c r="BC932" s="1631"/>
      <c r="BD932" s="1631"/>
      <c r="BE932" s="1631"/>
      <c r="BF932" s="1631"/>
      <c r="BG932" s="1631"/>
      <c r="BH932" s="1631"/>
      <c r="BI932" s="1631"/>
      <c r="BJ932" s="1631"/>
      <c r="BK932" s="1631"/>
      <c r="BL932" s="1631"/>
      <c r="BM932" s="1631"/>
      <c r="BN932" s="1631"/>
      <c r="BO932" s="1631"/>
      <c r="BP932" s="1631"/>
      <c r="BQ932" s="1631"/>
      <c r="BR932" s="1631"/>
      <c r="BS932" s="1631"/>
      <c r="BT932" s="1631"/>
      <c r="BU932" s="1631"/>
      <c r="BV932" s="1631"/>
      <c r="BW932" s="1631"/>
      <c r="BX932" s="1631"/>
      <c r="BY932" s="1631"/>
      <c r="BZ932" s="1631"/>
      <c r="CA932" s="1631"/>
      <c r="CB932" s="1631"/>
      <c r="CC932" s="1631"/>
      <c r="CD932" s="1631"/>
      <c r="CE932" s="1631"/>
      <c r="CF932" s="1631"/>
      <c r="CG932" s="1631"/>
      <c r="CH932" s="1631"/>
      <c r="CI932" s="1631"/>
      <c r="CJ932" s="1631"/>
      <c r="CK932" s="1631"/>
      <c r="CL932" s="1631"/>
      <c r="CM932" s="1631"/>
      <c r="CN932" s="1631"/>
      <c r="CO932" s="1631"/>
      <c r="CP932" s="1631"/>
      <c r="CQ932" s="1631"/>
      <c r="CR932" s="1631"/>
      <c r="CS932" s="1631"/>
      <c r="CT932" s="1631"/>
      <c r="CU932" s="1631"/>
      <c r="CV932" s="1631"/>
      <c r="CW932" s="1631"/>
      <c r="CX932" s="1631"/>
      <c r="CY932" s="1631"/>
      <c r="CZ932" s="1631"/>
      <c r="DA932" s="1631"/>
      <c r="DB932" s="1631"/>
      <c r="DC932" s="1631"/>
      <c r="DD932" s="1631"/>
      <c r="DE932" s="1631"/>
      <c r="DF932" s="1631"/>
      <c r="DG932" s="1631"/>
      <c r="DH932" s="1631"/>
      <c r="DI932" s="1631"/>
      <c r="DJ932" s="1631"/>
      <c r="DK932" s="1631"/>
      <c r="DL932" s="1631"/>
      <c r="DM932" s="1631"/>
      <c r="DN932" s="1631"/>
      <c r="DO932" s="1631"/>
      <c r="DP932" s="1631"/>
      <c r="DQ932" s="1631"/>
      <c r="DR932" s="1631"/>
      <c r="DS932" s="1631"/>
      <c r="DT932" s="1631"/>
      <c r="DU932" s="1631"/>
      <c r="DV932" s="1631"/>
      <c r="DW932" s="1631"/>
      <c r="DX932" s="1631"/>
      <c r="DY932" s="1631"/>
      <c r="DZ932" s="1631"/>
      <c r="EA932" s="1631"/>
      <c r="EB932" s="1631"/>
      <c r="EC932" s="1631"/>
      <c r="ED932" s="1631"/>
      <c r="EE932" s="1631"/>
      <c r="EF932" s="1631"/>
      <c r="EG932" s="1631"/>
      <c r="EH932" s="1631"/>
      <c r="EI932" s="1631"/>
      <c r="EJ932" s="1631"/>
      <c r="EK932" s="1631"/>
      <c r="EL932" s="1631"/>
      <c r="EM932" s="1631"/>
      <c r="EN932" s="1631"/>
      <c r="EO932" s="1631"/>
      <c r="EP932" s="1631"/>
      <c r="EQ932" s="1631"/>
      <c r="ER932" s="1631"/>
      <c r="ES932" s="1631"/>
      <c r="ET932" s="1631"/>
      <c r="EU932" s="1631"/>
      <c r="EV932" s="1631"/>
      <c r="EW932" s="1631"/>
      <c r="EX932" s="1631"/>
      <c r="EY932" s="1631"/>
      <c r="EZ932" s="1631"/>
      <c r="FA932" s="1631"/>
      <c r="FB932" s="1631"/>
      <c r="FC932" s="1631"/>
      <c r="FD932" s="1631"/>
      <c r="FE932" s="1631"/>
      <c r="FF932" s="1631"/>
      <c r="FG932" s="1631"/>
      <c r="FH932" s="1631"/>
      <c r="FI932" s="1631"/>
      <c r="FJ932" s="1631"/>
      <c r="FK932" s="1631"/>
      <c r="FL932" s="1631"/>
      <c r="FM932" s="1631"/>
      <c r="FN932" s="1631"/>
      <c r="FO932" s="1631"/>
      <c r="FP932" s="1631"/>
      <c r="FQ932" s="1631"/>
      <c r="FR932" s="1631"/>
      <c r="FS932" s="1631"/>
      <c r="FT932" s="1631"/>
      <c r="FU932" s="1631"/>
      <c r="FV932" s="1631"/>
      <c r="FW932" s="1631"/>
      <c r="FX932" s="1631"/>
      <c r="FY932" s="1631"/>
      <c r="FZ932" s="1631"/>
      <c r="GA932" s="1631"/>
      <c r="GB932" s="1631"/>
      <c r="GC932" s="1631"/>
      <c r="GD932" s="1631"/>
      <c r="GE932" s="1631"/>
      <c r="GF932" s="1631"/>
      <c r="GG932" s="1631"/>
      <c r="GH932" s="1631"/>
      <c r="GI932" s="1631"/>
      <c r="GJ932" s="1631"/>
      <c r="GK932" s="1631"/>
      <c r="GL932" s="1631"/>
      <c r="GM932" s="1631"/>
      <c r="GN932" s="1631"/>
      <c r="GO932" s="1631"/>
      <c r="GP932" s="1631"/>
      <c r="GQ932" s="1631"/>
      <c r="GR932" s="1631"/>
      <c r="GS932" s="1631"/>
      <c r="GT932" s="1631"/>
      <c r="GU932" s="1631"/>
      <c r="GV932" s="1631"/>
      <c r="GW932" s="1631"/>
      <c r="GX932" s="1631"/>
      <c r="GY932" s="1631"/>
      <c r="GZ932" s="1631"/>
      <c r="HA932" s="1631"/>
      <c r="HB932" s="1631"/>
      <c r="HC932" s="1631"/>
      <c r="HD932" s="1631"/>
      <c r="HE932" s="1631"/>
      <c r="HF932" s="1631"/>
      <c r="HG932" s="1631"/>
      <c r="HH932" s="1631"/>
      <c r="HI932" s="1631"/>
      <c r="HJ932" s="1631"/>
      <c r="HK932" s="1631"/>
      <c r="HL932" s="1631"/>
      <c r="HM932" s="1631"/>
      <c r="HN932" s="1631"/>
      <c r="HO932" s="1631"/>
      <c r="HP932" s="1631"/>
      <c r="HQ932" s="1631"/>
      <c r="HR932" s="1631"/>
      <c r="HS932" s="1631"/>
      <c r="HT932" s="1631"/>
      <c r="HU932" s="1631"/>
      <c r="HV932" s="1631"/>
      <c r="HW932" s="1631"/>
      <c r="HX932" s="1631"/>
      <c r="HY932" s="1631"/>
      <c r="HZ932" s="1631"/>
      <c r="IA932" s="1631"/>
      <c r="IB932" s="1631"/>
      <c r="IC932" s="1631"/>
      <c r="ID932" s="1631"/>
      <c r="IE932" s="1631"/>
      <c r="IF932" s="1631"/>
      <c r="IG932" s="1631"/>
      <c r="IH932" s="1631"/>
      <c r="II932" s="1631"/>
      <c r="IJ932" s="1631"/>
      <c r="IK932" s="1631"/>
      <c r="IL932" s="1631"/>
      <c r="IM932" s="1631"/>
      <c r="IN932" s="1631"/>
      <c r="IO932" s="1631"/>
      <c r="IP932" s="1631"/>
      <c r="IQ932" s="1631"/>
      <c r="IR932" s="1631"/>
      <c r="IS932" s="1631"/>
      <c r="IT932" s="1631"/>
      <c r="IU932" s="1631"/>
      <c r="IV932" s="1631"/>
      <c r="IW932" s="1631"/>
      <c r="IX932" s="1631"/>
      <c r="IY932" s="1631"/>
      <c r="IZ932" s="1631"/>
      <c r="JA932" s="1631"/>
      <c r="JB932" s="1631"/>
      <c r="JC932" s="1631"/>
      <c r="JD932" s="1631"/>
      <c r="JE932" s="1631"/>
      <c r="JF932" s="1631"/>
      <c r="JG932" s="1631"/>
      <c r="JH932" s="1631"/>
      <c r="JI932" s="1631"/>
      <c r="JJ932" s="1631"/>
      <c r="JK932" s="1631"/>
      <c r="JL932" s="1631"/>
      <c r="JM932" s="1631"/>
      <c r="JN932" s="1631"/>
      <c r="JO932" s="1631"/>
      <c r="JP932" s="1631"/>
      <c r="JQ932" s="1631"/>
      <c r="JR932" s="1631"/>
      <c r="JS932" s="1631"/>
      <c r="JT932" s="1631"/>
      <c r="JU932" s="1631"/>
      <c r="JV932" s="1630"/>
      <c r="JW932" s="1631"/>
      <c r="JX932" s="1631"/>
      <c r="JY932" s="1631"/>
      <c r="JZ932" s="1631"/>
      <c r="KA932" s="1630"/>
      <c r="KB932" s="1630"/>
      <c r="KC932" s="1630"/>
      <c r="KD932" s="1630"/>
      <c r="KE932" s="1630"/>
      <c r="KF932" s="1630"/>
      <c r="KG932" s="1630"/>
      <c r="KH932" s="1630"/>
      <c r="KI932" s="1630"/>
      <c r="KJ932" s="1630"/>
      <c r="KK932" s="1630"/>
      <c r="KL932" s="1630"/>
      <c r="KM932" s="1630"/>
      <c r="KN932" s="1630"/>
      <c r="KO932" s="1630"/>
      <c r="KP932" s="1630"/>
      <c r="KQ932" s="1630"/>
      <c r="KR932" s="1630"/>
      <c r="KS932" s="1630"/>
      <c r="KT932" s="1630"/>
      <c r="KU932" s="1630"/>
      <c r="KV932" s="1630"/>
      <c r="KW932" s="1630"/>
      <c r="KX932" s="1630"/>
      <c r="KY932" s="1630"/>
      <c r="KZ932" s="1630"/>
      <c r="LA932" s="1630"/>
      <c r="LB932" s="1630"/>
      <c r="LC932" s="1630"/>
      <c r="LD932" s="1630"/>
      <c r="LE932" s="1630"/>
      <c r="LF932" s="1630"/>
      <c r="LG932" s="1631"/>
      <c r="LH932" s="1631"/>
      <c r="LI932" s="1631"/>
      <c r="LJ932" s="1631"/>
      <c r="LK932" s="1631"/>
      <c r="LL932" s="1631"/>
      <c r="LM932" s="1631"/>
      <c r="LN932" s="1631"/>
      <c r="LO932" s="1631"/>
      <c r="LP932" s="1631"/>
      <c r="LQ932" s="1631"/>
      <c r="LR932" s="1631"/>
      <c r="LS932" s="1631"/>
      <c r="LT932" s="1631"/>
      <c r="LU932" s="1631"/>
      <c r="LV932" s="1631"/>
      <c r="LW932" s="1631"/>
      <c r="LX932" s="1631"/>
      <c r="LY932" s="1631"/>
      <c r="LZ932" s="1631"/>
      <c r="MA932" s="1631"/>
      <c r="MB932" s="1631"/>
      <c r="MC932" s="1631"/>
      <c r="MD932" s="1631"/>
      <c r="ME932" s="1631"/>
      <c r="MF932" s="1631"/>
      <c r="MG932" s="1631"/>
      <c r="MH932" s="1631"/>
      <c r="MI932" s="1631"/>
      <c r="MJ932" s="1631"/>
      <c r="MK932" s="1631"/>
      <c r="ML932" s="1631"/>
      <c r="MM932" s="1631"/>
      <c r="MN932" s="1631"/>
      <c r="MO932" s="1631"/>
      <c r="MP932" s="1631"/>
      <c r="MQ932" s="1631"/>
      <c r="MR932" s="1631"/>
      <c r="MS932" s="1631"/>
    </row>
    <row r="933" spans="1:357">
      <c r="A933" s="742" t="s">
        <v>742</v>
      </c>
      <c r="B933" s="742" t="s">
        <v>4534</v>
      </c>
      <c r="R933" s="742" t="s">
        <v>1845</v>
      </c>
      <c r="T933" s="1631"/>
      <c r="KB933" s="1637"/>
      <c r="KC933" s="1637"/>
      <c r="KD933" s="1637"/>
      <c r="KE933" s="1637"/>
      <c r="KF933" s="1637"/>
      <c r="KG933" s="1637"/>
      <c r="KH933" s="1637"/>
      <c r="KI933" s="1637"/>
      <c r="KJ933" s="1637"/>
      <c r="KK933" s="1637"/>
      <c r="KL933" s="1637"/>
      <c r="KM933" s="1637"/>
      <c r="KN933" s="1637"/>
      <c r="KO933" s="1637"/>
      <c r="KP933" s="1637"/>
      <c r="KQ933" s="1637"/>
      <c r="KR933" s="1637"/>
      <c r="KS933" s="1637"/>
      <c r="KT933" s="1637"/>
      <c r="KU933" s="1637"/>
      <c r="KV933" s="1637"/>
      <c r="KW933" s="1637"/>
      <c r="KX933" s="1637"/>
      <c r="KY933" s="1637"/>
      <c r="KZ933" s="1637"/>
      <c r="LA933" s="1637"/>
      <c r="LB933" s="1637"/>
      <c r="LC933" s="1637"/>
      <c r="LD933" s="1637"/>
      <c r="LE933" s="1637"/>
      <c r="LF933" s="1637"/>
      <c r="LG933" s="1637"/>
    </row>
    <row r="934" spans="1:357">
      <c r="P934" s="1631"/>
      <c r="Q934" s="1631"/>
      <c r="JV934" s="1637"/>
      <c r="KA934" s="1637"/>
      <c r="KB934" s="1637"/>
      <c r="KC934" s="1637"/>
      <c r="KD934" s="1637"/>
      <c r="KE934" s="1637"/>
      <c r="KF934" s="1637"/>
      <c r="KG934" s="1637"/>
      <c r="KH934" s="1637"/>
      <c r="KI934" s="1637"/>
      <c r="KJ934" s="1637"/>
      <c r="KK934" s="1637"/>
      <c r="KL934" s="1637"/>
      <c r="KM934" s="1637"/>
      <c r="KN934" s="1637"/>
      <c r="KO934" s="1637"/>
      <c r="KP934" s="1637"/>
      <c r="KQ934" s="1637"/>
      <c r="KR934" s="1637"/>
      <c r="KS934" s="1637"/>
      <c r="KT934" s="1637"/>
      <c r="KU934" s="1637"/>
      <c r="KV934" s="1637"/>
      <c r="KW934" s="1637"/>
      <c r="KX934" s="1637"/>
      <c r="KY934" s="1637"/>
      <c r="KZ934" s="1637"/>
      <c r="LA934" s="1637"/>
      <c r="LB934" s="1637"/>
      <c r="LC934" s="1637"/>
      <c r="LD934" s="1637"/>
      <c r="LE934" s="1637"/>
      <c r="LF934" s="1637"/>
    </row>
    <row r="935" spans="1:357">
      <c r="B935" s="1486" t="s">
        <v>1016</v>
      </c>
      <c r="C935" s="1486"/>
      <c r="D935" s="1634"/>
      <c r="E935" s="1486"/>
      <c r="F935" s="1486"/>
      <c r="G935" s="1486"/>
      <c r="H935" s="2151">
        <f>'Part VI-Revenues &amp; Expenses'!H173</f>
        <v>18681.600000000002</v>
      </c>
      <c r="I935" s="2151"/>
      <c r="J935" s="1486"/>
      <c r="K935" s="1849" t="s">
        <v>5113</v>
      </c>
      <c r="L935" s="1486"/>
      <c r="M935" s="1486"/>
      <c r="N935" s="1486"/>
      <c r="O935" s="1850">
        <f>H935/L811</f>
        <v>2.0000000000000004E-2</v>
      </c>
      <c r="P935" s="1634"/>
      <c r="Q935" s="1634"/>
      <c r="R935" s="1631" t="str">
        <f>B935</f>
        <v>Ancillary Income</v>
      </c>
      <c r="JV935" s="1637"/>
      <c r="KA935" s="1637"/>
      <c r="KB935" s="1637"/>
      <c r="KC935" s="1637"/>
      <c r="KD935" s="1637"/>
      <c r="KE935" s="1637"/>
      <c r="KF935" s="1637"/>
      <c r="KG935" s="1637"/>
      <c r="KH935" s="1637"/>
      <c r="KI935" s="1637"/>
      <c r="KJ935" s="1637"/>
      <c r="KK935" s="1637"/>
      <c r="KL935" s="1637"/>
      <c r="KM935" s="1637"/>
      <c r="KN935" s="1637"/>
      <c r="KO935" s="1637"/>
      <c r="KP935" s="1637"/>
      <c r="KQ935" s="1637"/>
      <c r="KR935" s="1637"/>
      <c r="KS935" s="1637"/>
      <c r="KT935" s="1637"/>
      <c r="KU935" s="1637"/>
      <c r="KV935" s="1637"/>
      <c r="KW935" s="1637"/>
      <c r="KX935" s="1637"/>
      <c r="KY935" s="1637"/>
      <c r="KZ935" s="1637"/>
      <c r="LA935" s="1637"/>
      <c r="LB935" s="1637"/>
      <c r="LC935" s="1637"/>
      <c r="LD935" s="1637"/>
      <c r="LE935" s="1637"/>
      <c r="LF935" s="1637"/>
    </row>
    <row r="936" spans="1:357">
      <c r="B936" s="1486"/>
      <c r="C936" s="1486"/>
      <c r="D936" s="1634"/>
      <c r="E936" s="1851"/>
      <c r="F936" s="1486"/>
      <c r="G936" s="1486"/>
      <c r="H936" s="1486"/>
      <c r="I936" s="1852"/>
      <c r="J936" s="1486"/>
      <c r="K936" s="1486"/>
      <c r="L936" s="1486"/>
      <c r="M936" s="1486"/>
      <c r="N936" s="1486"/>
      <c r="O936" s="1486"/>
      <c r="P936" s="1634"/>
      <c r="Q936" s="1634"/>
      <c r="JV936" s="1637"/>
      <c r="KA936" s="1637"/>
      <c r="KB936" s="1637"/>
      <c r="KC936" s="1637"/>
      <c r="KD936" s="1637"/>
      <c r="KE936" s="1637"/>
      <c r="KF936" s="1637"/>
      <c r="KG936" s="1637"/>
      <c r="KH936" s="1637"/>
      <c r="KI936" s="1637"/>
      <c r="KJ936" s="1637"/>
      <c r="KK936" s="1637"/>
      <c r="KL936" s="1637"/>
      <c r="KM936" s="1637"/>
      <c r="KN936" s="1637"/>
      <c r="KO936" s="1637"/>
      <c r="KP936" s="1637"/>
      <c r="KQ936" s="1637"/>
      <c r="KR936" s="1637"/>
      <c r="KS936" s="1637"/>
      <c r="KT936" s="1637"/>
      <c r="KU936" s="1637"/>
      <c r="KV936" s="1637"/>
      <c r="KW936" s="1637"/>
      <c r="KX936" s="1637"/>
      <c r="KY936" s="1637"/>
      <c r="KZ936" s="1637"/>
      <c r="LA936" s="1637"/>
      <c r="LB936" s="1637"/>
      <c r="LC936" s="1637"/>
      <c r="LD936" s="1637"/>
      <c r="LE936" s="1637"/>
      <c r="LF936" s="1637"/>
    </row>
    <row r="937" spans="1:357">
      <c r="B937" s="1486" t="s">
        <v>1445</v>
      </c>
      <c r="C937" s="1486"/>
      <c r="D937" s="1486"/>
      <c r="E937" s="1486"/>
      <c r="F937" s="1486"/>
      <c r="G937" s="1486"/>
      <c r="H937" s="1486"/>
      <c r="I937" s="1486"/>
      <c r="J937" s="1486"/>
      <c r="K937" s="1853"/>
      <c r="L937" s="1486"/>
      <c r="M937" s="1486"/>
      <c r="N937" s="1486"/>
      <c r="O937" s="1486"/>
      <c r="P937" s="1486"/>
      <c r="R937" s="1630" t="str">
        <f>B937</f>
        <v>Other Income (OI) by Year:</v>
      </c>
      <c r="JV937" s="1637"/>
      <c r="KA937" s="1637"/>
      <c r="KB937" s="1637"/>
      <c r="KC937" s="1637"/>
      <c r="KD937" s="1637"/>
      <c r="KE937" s="1637"/>
      <c r="KF937" s="1637"/>
      <c r="KG937" s="1637"/>
      <c r="KH937" s="1637"/>
      <c r="KI937" s="1637"/>
      <c r="KJ937" s="1637"/>
      <c r="KK937" s="1637"/>
      <c r="KL937" s="1637"/>
      <c r="KM937" s="1637"/>
      <c r="KN937" s="1637"/>
      <c r="KO937" s="1637"/>
      <c r="KP937" s="1637"/>
      <c r="KQ937" s="1637"/>
      <c r="KR937" s="1637"/>
      <c r="KS937" s="1637"/>
      <c r="KT937" s="1637"/>
      <c r="KU937" s="1637"/>
      <c r="KV937" s="1637"/>
      <c r="KW937" s="1637"/>
      <c r="KX937" s="1637"/>
      <c r="KY937" s="1637"/>
      <c r="KZ937" s="1637"/>
      <c r="LA937" s="1637"/>
      <c r="LB937" s="1637"/>
      <c r="LC937" s="1637"/>
      <c r="LD937" s="1637"/>
      <c r="LE937" s="1637"/>
      <c r="LF937" s="1637"/>
    </row>
    <row r="938" spans="1:357" ht="14.25">
      <c r="B938" s="1806" t="s">
        <v>2286</v>
      </c>
      <c r="C938" s="1486"/>
      <c r="D938" s="1486"/>
      <c r="E938" s="1486"/>
      <c r="F938" s="1486"/>
      <c r="G938" s="2772">
        <v>1</v>
      </c>
      <c r="H938" s="2772">
        <v>2</v>
      </c>
      <c r="I938" s="2772">
        <v>3</v>
      </c>
      <c r="J938" s="2772">
        <v>4</v>
      </c>
      <c r="K938" s="2772">
        <v>5</v>
      </c>
      <c r="L938" s="2772">
        <v>6</v>
      </c>
      <c r="M938" s="2772">
        <v>7</v>
      </c>
      <c r="N938" s="2772">
        <v>8</v>
      </c>
      <c r="O938" s="2772">
        <v>9</v>
      </c>
      <c r="P938" s="2772">
        <v>10</v>
      </c>
      <c r="Q938" s="2773"/>
      <c r="R938" s="1631" t="str">
        <f>B938</f>
        <v>Included in Mgt Fee:</v>
      </c>
      <c r="JV938" s="1637"/>
      <c r="KA938" s="1637"/>
      <c r="KB938" s="1637"/>
      <c r="KC938" s="1637"/>
      <c r="KD938" s="1637"/>
      <c r="KE938" s="1637"/>
      <c r="KF938" s="1637"/>
      <c r="KG938" s="1637"/>
      <c r="KH938" s="1637"/>
      <c r="KI938" s="1637"/>
      <c r="KJ938" s="1637"/>
      <c r="KK938" s="1637"/>
      <c r="KL938" s="1637"/>
      <c r="KM938" s="1637"/>
      <c r="KN938" s="1637"/>
      <c r="KO938" s="1637"/>
      <c r="KP938" s="1637"/>
      <c r="KQ938" s="1637"/>
      <c r="KR938" s="1637"/>
      <c r="KS938" s="1637"/>
      <c r="KT938" s="1637"/>
      <c r="KU938" s="1637"/>
      <c r="KV938" s="1637"/>
      <c r="KW938" s="1637"/>
      <c r="KX938" s="1637"/>
      <c r="KY938" s="1637"/>
      <c r="KZ938" s="1637"/>
      <c r="LA938" s="1637"/>
      <c r="LB938" s="1637"/>
      <c r="LC938" s="1637"/>
      <c r="LD938" s="1637"/>
      <c r="LE938" s="1637"/>
      <c r="LF938" s="1637"/>
    </row>
    <row r="939" spans="1:357">
      <c r="B939" s="1634" t="s">
        <v>1017</v>
      </c>
      <c r="C939" s="1634"/>
      <c r="D939" s="1634"/>
      <c r="E939" s="1634"/>
      <c r="F939" s="1634"/>
      <c r="G939" s="2152">
        <f>'Part VI-Revenues &amp; Expenses'!G177</f>
        <v>0</v>
      </c>
      <c r="H939" s="2152">
        <f>'Part VI-Revenues &amp; Expenses'!H177</f>
        <v>0</v>
      </c>
      <c r="I939" s="2152">
        <f>'Part VI-Revenues &amp; Expenses'!I177</f>
        <v>0</v>
      </c>
      <c r="J939" s="2152">
        <f>'Part VI-Revenues &amp; Expenses'!J177</f>
        <v>0</v>
      </c>
      <c r="K939" s="2152">
        <f>'Part VI-Revenues &amp; Expenses'!K177</f>
        <v>0</v>
      </c>
      <c r="L939" s="2152">
        <f>'Part VI-Revenues &amp; Expenses'!L177</f>
        <v>0</v>
      </c>
      <c r="M939" s="2152">
        <f>'Part VI-Revenues &amp; Expenses'!M177</f>
        <v>0</v>
      </c>
      <c r="N939" s="2152">
        <f>'Part VI-Revenues &amp; Expenses'!N177</f>
        <v>0</v>
      </c>
      <c r="O939" s="2152">
        <f>'Part VI-Revenues &amp; Expenses'!O177</f>
        <v>0</v>
      </c>
      <c r="P939" s="2152">
        <f>'Part VI-Revenues &amp; Expenses'!P177</f>
        <v>0</v>
      </c>
      <c r="Q939" s="1862"/>
      <c r="R939" s="1838">
        <f>'Part VI-Revenues &amp; Expenses'!R177</f>
        <v>0</v>
      </c>
      <c r="S939" s="1838"/>
      <c r="T939" s="1838"/>
      <c r="U939" s="1838"/>
      <c r="V939" s="1838"/>
      <c r="JV939" s="1637"/>
      <c r="KA939" s="1637"/>
      <c r="KB939" s="1637"/>
      <c r="KC939" s="1637"/>
      <c r="KD939" s="1637"/>
      <c r="KE939" s="1637"/>
      <c r="KF939" s="1637"/>
      <c r="KG939" s="1637"/>
      <c r="KH939" s="1637"/>
      <c r="KI939" s="1637"/>
      <c r="KJ939" s="1637"/>
      <c r="KK939" s="1637"/>
      <c r="KL939" s="1637"/>
      <c r="KM939" s="1637"/>
      <c r="KN939" s="1637"/>
      <c r="KO939" s="1637"/>
      <c r="KP939" s="1637"/>
      <c r="KQ939" s="1637"/>
      <c r="KR939" s="1637"/>
      <c r="KS939" s="1637"/>
      <c r="KT939" s="1637"/>
      <c r="KU939" s="1637"/>
      <c r="KV939" s="1637"/>
      <c r="KW939" s="1637"/>
      <c r="KX939" s="1637"/>
      <c r="KY939" s="1637"/>
      <c r="KZ939" s="1637"/>
      <c r="LA939" s="1637"/>
      <c r="LB939" s="1637"/>
      <c r="LC939" s="1637"/>
      <c r="LD939" s="1637"/>
      <c r="LE939" s="1637"/>
      <c r="LF939" s="1637"/>
    </row>
    <row r="940" spans="1:357">
      <c r="B940" s="1634" t="s">
        <v>741</v>
      </c>
      <c r="C940" s="1634">
        <f>'Part VI-Revenues &amp; Expenses'!C178</f>
        <v>0</v>
      </c>
      <c r="D940" s="1634"/>
      <c r="E940" s="1634"/>
      <c r="F940" s="1634"/>
      <c r="G940" s="2152">
        <f>'Part VI-Revenues &amp; Expenses'!G178</f>
        <v>0</v>
      </c>
      <c r="H940" s="2152">
        <f>'Part VI-Revenues &amp; Expenses'!H178</f>
        <v>0</v>
      </c>
      <c r="I940" s="2152">
        <f>'Part VI-Revenues &amp; Expenses'!I178</f>
        <v>0</v>
      </c>
      <c r="J940" s="2152">
        <f>'Part VI-Revenues &amp; Expenses'!J178</f>
        <v>0</v>
      </c>
      <c r="K940" s="2152">
        <f>'Part VI-Revenues &amp; Expenses'!K178</f>
        <v>0</v>
      </c>
      <c r="L940" s="2152">
        <f>'Part VI-Revenues &amp; Expenses'!L178</f>
        <v>0</v>
      </c>
      <c r="M940" s="2152">
        <f>'Part VI-Revenues &amp; Expenses'!M178</f>
        <v>0</v>
      </c>
      <c r="N940" s="2152">
        <f>'Part VI-Revenues &amp; Expenses'!N178</f>
        <v>0</v>
      </c>
      <c r="O940" s="2152">
        <f>'Part VI-Revenues &amp; Expenses'!O178</f>
        <v>0</v>
      </c>
      <c r="P940" s="2152">
        <f>'Part VI-Revenues &amp; Expenses'!P178</f>
        <v>0</v>
      </c>
      <c r="Q940" s="1862"/>
      <c r="R940" s="1838">
        <f>'Part VI-Revenues &amp; Expenses'!R178</f>
        <v>0</v>
      </c>
      <c r="S940" s="1838"/>
      <c r="T940" s="1838"/>
      <c r="U940" s="1838"/>
      <c r="V940" s="1838"/>
      <c r="JV940" s="1637"/>
      <c r="KA940" s="1637"/>
      <c r="KB940" s="1637"/>
      <c r="KC940" s="1637"/>
      <c r="KD940" s="1637"/>
      <c r="KE940" s="1637"/>
      <c r="KF940" s="1637"/>
      <c r="KG940" s="1637"/>
      <c r="KH940" s="1637"/>
      <c r="KI940" s="1637"/>
      <c r="KJ940" s="1637"/>
      <c r="KK940" s="1637"/>
      <c r="KL940" s="1637"/>
      <c r="KM940" s="1637"/>
      <c r="KN940" s="1637"/>
      <c r="KO940" s="1637"/>
      <c r="KP940" s="1637"/>
      <c r="KQ940" s="1637"/>
      <c r="KR940" s="1637"/>
      <c r="KS940" s="1637"/>
      <c r="KT940" s="1637"/>
      <c r="KU940" s="1637"/>
      <c r="KV940" s="1637"/>
      <c r="KW940" s="1637"/>
      <c r="KX940" s="1637"/>
      <c r="KY940" s="1637"/>
      <c r="KZ940" s="1637"/>
      <c r="LA940" s="1637"/>
      <c r="LB940" s="1637"/>
      <c r="LC940" s="1637"/>
      <c r="LD940" s="1637"/>
      <c r="LE940" s="1637"/>
      <c r="LF940" s="1637"/>
    </row>
    <row r="941" spans="1:357">
      <c r="B941" s="1634"/>
      <c r="C941" s="1634" t="s">
        <v>928</v>
      </c>
      <c r="D941" s="1634"/>
      <c r="E941" s="1634"/>
      <c r="F941" s="1634"/>
      <c r="G941" s="1857">
        <f t="shared" ref="G941:P941" si="356">SUM(G939:G940)</f>
        <v>0</v>
      </c>
      <c r="H941" s="1857">
        <f t="shared" si="356"/>
        <v>0</v>
      </c>
      <c r="I941" s="1857">
        <f t="shared" si="356"/>
        <v>0</v>
      </c>
      <c r="J941" s="1857">
        <f t="shared" si="356"/>
        <v>0</v>
      </c>
      <c r="K941" s="1857">
        <f t="shared" si="356"/>
        <v>0</v>
      </c>
      <c r="L941" s="1857">
        <f t="shared" si="356"/>
        <v>0</v>
      </c>
      <c r="M941" s="1857">
        <f t="shared" si="356"/>
        <v>0</v>
      </c>
      <c r="N941" s="1857">
        <f t="shared" si="356"/>
        <v>0</v>
      </c>
      <c r="O941" s="1857">
        <f t="shared" si="356"/>
        <v>0</v>
      </c>
      <c r="P941" s="1857">
        <f t="shared" si="356"/>
        <v>0</v>
      </c>
      <c r="Q941" s="522"/>
      <c r="R941" s="1838">
        <f>'Part VI-Revenues &amp; Expenses'!R179</f>
        <v>0</v>
      </c>
      <c r="S941" s="1838"/>
      <c r="T941" s="1838"/>
      <c r="U941" s="1838"/>
      <c r="V941" s="1838"/>
      <c r="JV941" s="1637"/>
      <c r="KA941" s="1637"/>
      <c r="KB941" s="1637"/>
      <c r="KC941" s="1637"/>
      <c r="KD941" s="1637"/>
      <c r="KE941" s="1637"/>
      <c r="KF941" s="1637"/>
      <c r="KG941" s="1637"/>
      <c r="KH941" s="1637"/>
      <c r="KI941" s="1637"/>
      <c r="KJ941" s="1637"/>
      <c r="KK941" s="1637"/>
      <c r="KL941" s="1637"/>
      <c r="KM941" s="1637"/>
      <c r="KN941" s="1637"/>
      <c r="KO941" s="1637"/>
      <c r="KP941" s="1637"/>
      <c r="KQ941" s="1637"/>
      <c r="KR941" s="1637"/>
      <c r="KS941" s="1637"/>
      <c r="KT941" s="1637"/>
      <c r="KU941" s="1637"/>
      <c r="KV941" s="1637"/>
      <c r="KW941" s="1637"/>
      <c r="KX941" s="1637"/>
      <c r="KY941" s="1637"/>
      <c r="KZ941" s="1637"/>
      <c r="LA941" s="1637"/>
      <c r="LB941" s="1637"/>
      <c r="LC941" s="1637"/>
      <c r="LD941" s="1637"/>
      <c r="LE941" s="1637"/>
      <c r="LF941" s="1637"/>
    </row>
    <row r="942" spans="1:357">
      <c r="B942" s="1806" t="s">
        <v>5114</v>
      </c>
      <c r="C942" s="1486"/>
      <c r="D942" s="1486"/>
      <c r="E942" s="1486"/>
      <c r="F942" s="1486"/>
      <c r="G942" s="1858"/>
      <c r="H942" s="1486"/>
      <c r="I942" s="1486"/>
      <c r="J942" s="1486"/>
      <c r="K942" s="1486"/>
      <c r="L942" s="1486"/>
      <c r="M942" s="1486"/>
      <c r="N942" s="1486"/>
      <c r="O942" s="1486"/>
      <c r="P942" s="1486"/>
      <c r="R942" s="1631" t="str">
        <f>B942</f>
        <v>NOT Included in Mgt Fee:</v>
      </c>
      <c r="JV942" s="1637"/>
      <c r="KA942" s="1637"/>
      <c r="KB942" s="1637"/>
      <c r="KC942" s="1637"/>
      <c r="KD942" s="1637"/>
      <c r="KE942" s="1637"/>
      <c r="KF942" s="1637"/>
      <c r="KG942" s="1637"/>
      <c r="KH942" s="1637"/>
      <c r="KI942" s="1637"/>
      <c r="KJ942" s="1637"/>
      <c r="KK942" s="1637"/>
      <c r="KL942" s="1637"/>
      <c r="KM942" s="1637"/>
      <c r="KN942" s="1637"/>
      <c r="KO942" s="1637"/>
      <c r="KP942" s="1637"/>
      <c r="KQ942" s="1637"/>
      <c r="KR942" s="1637"/>
      <c r="KS942" s="1637"/>
      <c r="KT942" s="1637"/>
      <c r="KU942" s="1637"/>
      <c r="KV942" s="1637"/>
      <c r="KW942" s="1637"/>
      <c r="KX942" s="1637"/>
      <c r="KY942" s="1637"/>
      <c r="KZ942" s="1637"/>
      <c r="LA942" s="1637"/>
      <c r="LB942" s="1637"/>
      <c r="LC942" s="1637"/>
      <c r="LD942" s="1637"/>
      <c r="LE942" s="1637"/>
      <c r="LF942" s="1637"/>
    </row>
    <row r="943" spans="1:357">
      <c r="B943" s="1634" t="s">
        <v>533</v>
      </c>
      <c r="C943" s="1634"/>
      <c r="D943" s="1634"/>
      <c r="E943" s="1634"/>
      <c r="F943" s="1634"/>
      <c r="G943" s="2152">
        <f>'Part VI-Revenues &amp; Expenses'!G181</f>
        <v>0</v>
      </c>
      <c r="H943" s="2152">
        <f>'Part VI-Revenues &amp; Expenses'!H181</f>
        <v>0</v>
      </c>
      <c r="I943" s="2152">
        <f>'Part VI-Revenues &amp; Expenses'!I181</f>
        <v>0</v>
      </c>
      <c r="J943" s="2152">
        <f>'Part VI-Revenues &amp; Expenses'!J181</f>
        <v>0</v>
      </c>
      <c r="K943" s="2152">
        <f>'Part VI-Revenues &amp; Expenses'!K181</f>
        <v>0</v>
      </c>
      <c r="L943" s="2152">
        <f>'Part VI-Revenues &amp; Expenses'!L181</f>
        <v>0</v>
      </c>
      <c r="M943" s="2152">
        <f>'Part VI-Revenues &amp; Expenses'!M181</f>
        <v>0</v>
      </c>
      <c r="N943" s="2152">
        <f>'Part VI-Revenues &amp; Expenses'!N181</f>
        <v>0</v>
      </c>
      <c r="O943" s="2152">
        <f>'Part VI-Revenues &amp; Expenses'!O181</f>
        <v>0</v>
      </c>
      <c r="P943" s="2152">
        <f>'Part VI-Revenues &amp; Expenses'!P181</f>
        <v>0</v>
      </c>
      <c r="Q943" s="1862"/>
      <c r="R943" s="1838">
        <f>'Part VI-Revenues &amp; Expenses'!R181</f>
        <v>0</v>
      </c>
      <c r="S943" s="1838"/>
      <c r="T943" s="1838"/>
      <c r="U943" s="1838"/>
      <c r="V943" s="1838"/>
      <c r="JV943" s="1637"/>
      <c r="KA943" s="1637"/>
      <c r="KB943" s="1637"/>
      <c r="KC943" s="1637"/>
      <c r="KD943" s="1637"/>
      <c r="KE943" s="1637"/>
      <c r="KF943" s="1637"/>
      <c r="KG943" s="1637"/>
      <c r="KH943" s="1637"/>
      <c r="KI943" s="1637"/>
      <c r="KJ943" s="1637"/>
      <c r="KK943" s="1637"/>
      <c r="KL943" s="1637"/>
      <c r="KM943" s="1637"/>
      <c r="KN943" s="1637"/>
      <c r="KO943" s="1637"/>
      <c r="KP943" s="1637"/>
      <c r="KQ943" s="1637"/>
      <c r="KR943" s="1637"/>
      <c r="KS943" s="1637"/>
      <c r="KT943" s="1637"/>
      <c r="KU943" s="1637"/>
      <c r="KV943" s="1637"/>
      <c r="KW943" s="1637"/>
      <c r="KX943" s="1637"/>
      <c r="KY943" s="1637"/>
      <c r="KZ943" s="1637"/>
      <c r="LA943" s="1637"/>
      <c r="LB943" s="1637"/>
      <c r="LC943" s="1637"/>
      <c r="LD943" s="1637"/>
      <c r="LE943" s="1637"/>
      <c r="LF943" s="1637"/>
    </row>
    <row r="944" spans="1:357">
      <c r="B944" s="1634" t="s">
        <v>741</v>
      </c>
      <c r="C944" s="1634">
        <f>'Part VI-Revenues &amp; Expenses'!C182</f>
        <v>0</v>
      </c>
      <c r="D944" s="1634"/>
      <c r="E944" s="1634"/>
      <c r="F944" s="1634"/>
      <c r="G944" s="2152">
        <f>'Part VI-Revenues &amp; Expenses'!G182</f>
        <v>0</v>
      </c>
      <c r="H944" s="2152">
        <f>'Part VI-Revenues &amp; Expenses'!H182</f>
        <v>0</v>
      </c>
      <c r="I944" s="2152">
        <f>'Part VI-Revenues &amp; Expenses'!I182</f>
        <v>0</v>
      </c>
      <c r="J944" s="2152">
        <f>'Part VI-Revenues &amp; Expenses'!J182</f>
        <v>0</v>
      </c>
      <c r="K944" s="2152">
        <f>'Part VI-Revenues &amp; Expenses'!K182</f>
        <v>0</v>
      </c>
      <c r="L944" s="2152">
        <f>'Part VI-Revenues &amp; Expenses'!L182</f>
        <v>0</v>
      </c>
      <c r="M944" s="2152">
        <f>'Part VI-Revenues &amp; Expenses'!M182</f>
        <v>0</v>
      </c>
      <c r="N944" s="2152">
        <f>'Part VI-Revenues &amp; Expenses'!N182</f>
        <v>0</v>
      </c>
      <c r="O944" s="2152">
        <f>'Part VI-Revenues &amp; Expenses'!O182</f>
        <v>0</v>
      </c>
      <c r="P944" s="2152">
        <f>'Part VI-Revenues &amp; Expenses'!P182</f>
        <v>0</v>
      </c>
      <c r="Q944" s="1862"/>
      <c r="R944" s="1838">
        <f>'Part VI-Revenues &amp; Expenses'!R182</f>
        <v>0</v>
      </c>
      <c r="S944" s="1838"/>
      <c r="T944" s="1838"/>
      <c r="U944" s="1838"/>
      <c r="V944" s="1838"/>
      <c r="JV944" s="1637"/>
      <c r="KA944" s="1637"/>
      <c r="KB944" s="1637"/>
      <c r="KC944" s="1637"/>
      <c r="KD944" s="1637"/>
      <c r="KE944" s="1637"/>
      <c r="KF944" s="1637"/>
      <c r="KG944" s="1637"/>
      <c r="KH944" s="1637"/>
      <c r="KI944" s="1637"/>
      <c r="KJ944" s="1637"/>
      <c r="KK944" s="1637"/>
      <c r="KL944" s="1637"/>
      <c r="KM944" s="1637"/>
      <c r="KN944" s="1637"/>
      <c r="KO944" s="1637"/>
      <c r="KP944" s="1637"/>
      <c r="KQ944" s="1637"/>
      <c r="KR944" s="1637"/>
      <c r="KS944" s="1637"/>
      <c r="KT944" s="1637"/>
      <c r="KU944" s="1637"/>
      <c r="KV944" s="1637"/>
      <c r="KW944" s="1637"/>
      <c r="KX944" s="1637"/>
      <c r="KY944" s="1637"/>
      <c r="KZ944" s="1637"/>
      <c r="LA944" s="1637"/>
      <c r="LB944" s="1637"/>
      <c r="LC944" s="1637"/>
      <c r="LD944" s="1637"/>
      <c r="LE944" s="1637"/>
      <c r="LF944" s="1637"/>
    </row>
    <row r="945" spans="2:318">
      <c r="B945" s="1634"/>
      <c r="C945" s="1634" t="s">
        <v>5115</v>
      </c>
      <c r="D945" s="1634"/>
      <c r="E945" s="1634"/>
      <c r="F945" s="1634"/>
      <c r="G945" s="1857">
        <f t="shared" ref="G945:P945" si="357">SUM(G943:G944)</f>
        <v>0</v>
      </c>
      <c r="H945" s="1857">
        <f t="shared" si="357"/>
        <v>0</v>
      </c>
      <c r="I945" s="1857">
        <f t="shared" si="357"/>
        <v>0</v>
      </c>
      <c r="J945" s="1857">
        <f t="shared" si="357"/>
        <v>0</v>
      </c>
      <c r="K945" s="1857">
        <f t="shared" si="357"/>
        <v>0</v>
      </c>
      <c r="L945" s="1857">
        <f t="shared" si="357"/>
        <v>0</v>
      </c>
      <c r="M945" s="1857">
        <f t="shared" si="357"/>
        <v>0</v>
      </c>
      <c r="N945" s="1857">
        <f t="shared" si="357"/>
        <v>0</v>
      </c>
      <c r="O945" s="1857">
        <f t="shared" si="357"/>
        <v>0</v>
      </c>
      <c r="P945" s="1857">
        <f t="shared" si="357"/>
        <v>0</v>
      </c>
      <c r="Q945" s="522"/>
      <c r="R945" s="1838">
        <f>'Part VI-Revenues &amp; Expenses'!R183</f>
        <v>0</v>
      </c>
      <c r="S945" s="1838"/>
      <c r="T945" s="1838"/>
      <c r="U945" s="1838"/>
      <c r="V945" s="1838"/>
      <c r="JV945" s="1637"/>
      <c r="KA945" s="1637"/>
      <c r="KB945" s="1637"/>
      <c r="KC945" s="1637"/>
      <c r="KD945" s="1637"/>
      <c r="KE945" s="1637"/>
      <c r="KF945" s="1637"/>
      <c r="KG945" s="1637"/>
      <c r="KH945" s="1637"/>
      <c r="KI945" s="1637"/>
      <c r="KJ945" s="1637"/>
      <c r="KK945" s="1637"/>
      <c r="KL945" s="1637"/>
      <c r="KM945" s="1637"/>
      <c r="KN945" s="1637"/>
      <c r="KO945" s="1637"/>
      <c r="KP945" s="1637"/>
      <c r="KQ945" s="1637"/>
      <c r="KR945" s="1637"/>
      <c r="KS945" s="1637"/>
      <c r="KT945" s="1637"/>
      <c r="KU945" s="1637"/>
      <c r="KV945" s="1637"/>
      <c r="KW945" s="1637"/>
      <c r="KX945" s="1637"/>
      <c r="KY945" s="1637"/>
      <c r="KZ945" s="1637"/>
      <c r="LA945" s="1637"/>
      <c r="LB945" s="1637"/>
      <c r="LC945" s="1637"/>
      <c r="LD945" s="1637"/>
      <c r="LE945" s="1637"/>
      <c r="LF945" s="1637"/>
    </row>
    <row r="946" spans="2:318">
      <c r="B946" s="1486"/>
      <c r="C946" s="1486"/>
      <c r="D946" s="1486"/>
      <c r="E946" s="1486"/>
      <c r="F946" s="1486"/>
      <c r="G946" s="1858"/>
      <c r="H946" s="1486"/>
      <c r="I946" s="1486"/>
      <c r="J946" s="1486"/>
      <c r="K946" s="1486"/>
      <c r="L946" s="1486"/>
      <c r="M946" s="1486"/>
      <c r="N946" s="1486"/>
      <c r="O946" s="1486"/>
      <c r="P946" s="1486"/>
      <c r="JV946" s="1637"/>
      <c r="KA946" s="1637"/>
      <c r="KB946" s="1637"/>
      <c r="KC946" s="1637"/>
      <c r="KD946" s="1637"/>
      <c r="KE946" s="1637"/>
      <c r="KF946" s="1637"/>
      <c r="KG946" s="1637"/>
      <c r="KH946" s="1637"/>
      <c r="KI946" s="1637"/>
      <c r="KJ946" s="1637"/>
      <c r="KK946" s="1637"/>
      <c r="KL946" s="1637"/>
      <c r="KM946" s="1637"/>
      <c r="KN946" s="1637"/>
      <c r="KO946" s="1637"/>
      <c r="KP946" s="1637"/>
      <c r="KQ946" s="1637"/>
      <c r="KR946" s="1637"/>
      <c r="KS946" s="1637"/>
      <c r="KT946" s="1637"/>
      <c r="KU946" s="1637"/>
      <c r="KV946" s="1637"/>
      <c r="KW946" s="1637"/>
      <c r="KX946" s="1637"/>
      <c r="KY946" s="1637"/>
      <c r="KZ946" s="1637"/>
      <c r="LA946" s="1637"/>
      <c r="LB946" s="1637"/>
      <c r="LC946" s="1637"/>
      <c r="LD946" s="1637"/>
      <c r="LE946" s="1637"/>
      <c r="LF946" s="1637"/>
    </row>
    <row r="947" spans="2:318">
      <c r="B947" s="1806" t="s">
        <v>2286</v>
      </c>
      <c r="C947" s="1486"/>
      <c r="D947" s="1486"/>
      <c r="E947" s="1486"/>
      <c r="F947" s="1486"/>
      <c r="G947" s="2772">
        <v>11</v>
      </c>
      <c r="H947" s="2772">
        <v>12</v>
      </c>
      <c r="I947" s="2772">
        <v>13</v>
      </c>
      <c r="J947" s="2772">
        <v>14</v>
      </c>
      <c r="K947" s="2772">
        <v>15</v>
      </c>
      <c r="L947" s="2772">
        <v>16</v>
      </c>
      <c r="M947" s="2772">
        <v>17</v>
      </c>
      <c r="N947" s="2772">
        <v>18</v>
      </c>
      <c r="O947" s="2772">
        <v>19</v>
      </c>
      <c r="P947" s="2772">
        <v>20</v>
      </c>
      <c r="R947" s="1828" t="s">
        <v>2622</v>
      </c>
      <c r="S947" s="1631" t="str">
        <f>B947</f>
        <v>Included in Mgt Fee:</v>
      </c>
      <c r="JV947" s="1637"/>
      <c r="KA947" s="1637"/>
      <c r="KB947" s="1637"/>
      <c r="KC947" s="1637"/>
      <c r="KD947" s="1637"/>
      <c r="KE947" s="1637"/>
      <c r="KF947" s="1637"/>
      <c r="KG947" s="1637"/>
      <c r="KH947" s="1637"/>
      <c r="KI947" s="1637"/>
      <c r="KJ947" s="1637"/>
      <c r="KK947" s="1637"/>
      <c r="KL947" s="1637"/>
      <c r="KM947" s="1637"/>
      <c r="KN947" s="1637"/>
      <c r="KO947" s="1637"/>
      <c r="KP947" s="1637"/>
      <c r="KQ947" s="1637"/>
      <c r="KR947" s="1637"/>
      <c r="KS947" s="1637"/>
      <c r="KT947" s="1637"/>
      <c r="KU947" s="1637"/>
      <c r="KV947" s="1637"/>
      <c r="KW947" s="1637"/>
      <c r="KX947" s="1637"/>
      <c r="KY947" s="1637"/>
      <c r="KZ947" s="1637"/>
      <c r="LA947" s="1637"/>
      <c r="LB947" s="1637"/>
      <c r="LC947" s="1637"/>
      <c r="LD947" s="1637"/>
      <c r="LE947" s="1637"/>
      <c r="LF947" s="1637"/>
    </row>
    <row r="948" spans="2:318">
      <c r="B948" s="1634" t="s">
        <v>1017</v>
      </c>
      <c r="C948" s="1634"/>
      <c r="D948" s="1634"/>
      <c r="E948" s="1634"/>
      <c r="F948" s="1634"/>
      <c r="G948" s="2152">
        <f>'Part VI-Revenues &amp; Expenses'!G186</f>
        <v>0</v>
      </c>
      <c r="H948" s="2152">
        <f>'Part VI-Revenues &amp; Expenses'!H186</f>
        <v>0</v>
      </c>
      <c r="I948" s="2152">
        <f>'Part VI-Revenues &amp; Expenses'!I186</f>
        <v>0</v>
      </c>
      <c r="J948" s="2152">
        <f>'Part VI-Revenues &amp; Expenses'!J186</f>
        <v>0</v>
      </c>
      <c r="K948" s="2152">
        <f>'Part VI-Revenues &amp; Expenses'!K186</f>
        <v>0</v>
      </c>
      <c r="L948" s="2152">
        <f>'Part VI-Revenues &amp; Expenses'!L186</f>
        <v>0</v>
      </c>
      <c r="M948" s="2152">
        <f>'Part VI-Revenues &amp; Expenses'!M186</f>
        <v>0</v>
      </c>
      <c r="N948" s="2152">
        <f>'Part VI-Revenues &amp; Expenses'!N186</f>
        <v>0</v>
      </c>
      <c r="O948" s="2152">
        <f>'Part VI-Revenues &amp; Expenses'!O186</f>
        <v>0</v>
      </c>
      <c r="P948" s="2152">
        <f>'Part VI-Revenues &amp; Expenses'!P186</f>
        <v>0</v>
      </c>
      <c r="Q948" s="1862"/>
      <c r="R948" s="1838">
        <f>'Part VI-Revenues &amp; Expenses'!R186</f>
        <v>0</v>
      </c>
      <c r="S948" s="1838"/>
      <c r="T948" s="1838"/>
      <c r="U948" s="1838"/>
      <c r="V948" s="1838"/>
      <c r="JV948" s="1637"/>
      <c r="KA948" s="1637"/>
      <c r="KB948" s="1637"/>
      <c r="KC948" s="1637"/>
      <c r="KD948" s="1637"/>
      <c r="KE948" s="1637"/>
      <c r="KF948" s="1637"/>
      <c r="KG948" s="1637"/>
      <c r="KH948" s="1637"/>
      <c r="KI948" s="1637"/>
      <c r="KJ948" s="1637"/>
      <c r="KK948" s="1637"/>
      <c r="KL948" s="1637"/>
      <c r="KM948" s="1637"/>
      <c r="KN948" s="1637"/>
      <c r="KO948" s="1637"/>
      <c r="KP948" s="1637"/>
      <c r="KQ948" s="1637"/>
      <c r="KR948" s="1637"/>
      <c r="KS948" s="1637"/>
      <c r="KT948" s="1637"/>
      <c r="KU948" s="1637"/>
      <c r="KV948" s="1637"/>
      <c r="KW948" s="1637"/>
      <c r="KX948" s="1637"/>
      <c r="KY948" s="1637"/>
      <c r="KZ948" s="1637"/>
      <c r="LA948" s="1637"/>
      <c r="LB948" s="1637"/>
      <c r="LC948" s="1637"/>
      <c r="LD948" s="1637"/>
      <c r="LE948" s="1637"/>
      <c r="LF948" s="1637"/>
    </row>
    <row r="949" spans="2:318">
      <c r="B949" s="1634" t="s">
        <v>741</v>
      </c>
      <c r="C949" s="1634">
        <f>'Part VI-Revenues &amp; Expenses'!C187</f>
        <v>0</v>
      </c>
      <c r="D949" s="1634"/>
      <c r="E949" s="1634"/>
      <c r="F949" s="1634"/>
      <c r="G949" s="2152">
        <f>'Part VI-Revenues &amp; Expenses'!G187</f>
        <v>0</v>
      </c>
      <c r="H949" s="2152">
        <f>'Part VI-Revenues &amp; Expenses'!H187</f>
        <v>0</v>
      </c>
      <c r="I949" s="2152">
        <f>'Part VI-Revenues &amp; Expenses'!I187</f>
        <v>0</v>
      </c>
      <c r="J949" s="2152">
        <f>'Part VI-Revenues &amp; Expenses'!J187</f>
        <v>0</v>
      </c>
      <c r="K949" s="2152">
        <f>'Part VI-Revenues &amp; Expenses'!K187</f>
        <v>0</v>
      </c>
      <c r="L949" s="2152">
        <f>'Part VI-Revenues &amp; Expenses'!L187</f>
        <v>0</v>
      </c>
      <c r="M949" s="2152">
        <f>'Part VI-Revenues &amp; Expenses'!M187</f>
        <v>0</v>
      </c>
      <c r="N949" s="2152">
        <f>'Part VI-Revenues &amp; Expenses'!N187</f>
        <v>0</v>
      </c>
      <c r="O949" s="2152">
        <f>'Part VI-Revenues &amp; Expenses'!O187</f>
        <v>0</v>
      </c>
      <c r="P949" s="2152">
        <f>'Part VI-Revenues &amp; Expenses'!P187</f>
        <v>0</v>
      </c>
      <c r="Q949" s="1862"/>
      <c r="R949" s="1838">
        <f>'Part VI-Revenues &amp; Expenses'!R187</f>
        <v>0</v>
      </c>
      <c r="S949" s="1838"/>
      <c r="T949" s="1838"/>
      <c r="U949" s="1838"/>
      <c r="V949" s="1838"/>
      <c r="JV949" s="1637"/>
      <c r="KA949" s="1637"/>
      <c r="KB949" s="1637"/>
      <c r="KC949" s="1637"/>
      <c r="KD949" s="1637"/>
      <c r="KE949" s="1637"/>
      <c r="KF949" s="1637"/>
      <c r="KG949" s="1637"/>
      <c r="KH949" s="1637"/>
      <c r="KI949" s="1637"/>
      <c r="KJ949" s="1637"/>
      <c r="KK949" s="1637"/>
      <c r="KL949" s="1637"/>
      <c r="KM949" s="1637"/>
      <c r="KN949" s="1637"/>
      <c r="KO949" s="1637"/>
      <c r="KP949" s="1637"/>
      <c r="KQ949" s="1637"/>
      <c r="KR949" s="1637"/>
      <c r="KS949" s="1637"/>
      <c r="KT949" s="1637"/>
      <c r="KU949" s="1637"/>
      <c r="KV949" s="1637"/>
      <c r="KW949" s="1637"/>
      <c r="KX949" s="1637"/>
      <c r="KY949" s="1637"/>
      <c r="KZ949" s="1637"/>
      <c r="LA949" s="1637"/>
      <c r="LB949" s="1637"/>
      <c r="LC949" s="1637"/>
      <c r="LD949" s="1637"/>
      <c r="LE949" s="1637"/>
      <c r="LF949" s="1637"/>
    </row>
    <row r="950" spans="2:318">
      <c r="B950" s="1634"/>
      <c r="C950" s="1634" t="s">
        <v>928</v>
      </c>
      <c r="D950" s="1634"/>
      <c r="E950" s="1634"/>
      <c r="F950" s="1634"/>
      <c r="G950" s="1857">
        <f t="shared" ref="G950:P950" si="358">SUM(G948:G949)</f>
        <v>0</v>
      </c>
      <c r="H950" s="1857">
        <f t="shared" si="358"/>
        <v>0</v>
      </c>
      <c r="I950" s="1857">
        <f t="shared" si="358"/>
        <v>0</v>
      </c>
      <c r="J950" s="1857">
        <f t="shared" si="358"/>
        <v>0</v>
      </c>
      <c r="K950" s="1857">
        <f t="shared" si="358"/>
        <v>0</v>
      </c>
      <c r="L950" s="1857">
        <f t="shared" si="358"/>
        <v>0</v>
      </c>
      <c r="M950" s="1857">
        <f t="shared" si="358"/>
        <v>0</v>
      </c>
      <c r="N950" s="1857">
        <f t="shared" si="358"/>
        <v>0</v>
      </c>
      <c r="O950" s="1857">
        <f t="shared" si="358"/>
        <v>0</v>
      </c>
      <c r="P950" s="1857">
        <f t="shared" si="358"/>
        <v>0</v>
      </c>
      <c r="Q950" s="522"/>
      <c r="R950" s="1838">
        <f>'Part VI-Revenues &amp; Expenses'!R188</f>
        <v>0</v>
      </c>
      <c r="S950" s="1838"/>
      <c r="T950" s="1838"/>
      <c r="U950" s="1838"/>
      <c r="V950" s="1838"/>
      <c r="JV950" s="1637"/>
      <c r="KA950" s="1637"/>
      <c r="KB950" s="1637"/>
      <c r="KC950" s="1637"/>
      <c r="KD950" s="1637"/>
      <c r="KE950" s="1637"/>
      <c r="KF950" s="1637"/>
      <c r="KG950" s="1637"/>
      <c r="KH950" s="1637"/>
      <c r="KI950" s="1637"/>
      <c r="KJ950" s="1637"/>
      <c r="KK950" s="1637"/>
      <c r="KL950" s="1637"/>
      <c r="KM950" s="1637"/>
      <c r="KN950" s="1637"/>
      <c r="KO950" s="1637"/>
      <c r="KP950" s="1637"/>
      <c r="KQ950" s="1637"/>
      <c r="KR950" s="1637"/>
      <c r="KS950" s="1637"/>
      <c r="KT950" s="1637"/>
      <c r="KU950" s="1637"/>
      <c r="KV950" s="1637"/>
      <c r="KW950" s="1637"/>
      <c r="KX950" s="1637"/>
      <c r="KY950" s="1637"/>
      <c r="KZ950" s="1637"/>
      <c r="LA950" s="1637"/>
      <c r="LB950" s="1637"/>
      <c r="LC950" s="1637"/>
      <c r="LD950" s="1637"/>
      <c r="LE950" s="1637"/>
      <c r="LF950" s="1637"/>
    </row>
    <row r="951" spans="2:318">
      <c r="B951" s="1806" t="s">
        <v>5114</v>
      </c>
      <c r="C951" s="1486"/>
      <c r="D951" s="1486"/>
      <c r="E951" s="1486"/>
      <c r="F951" s="1486"/>
      <c r="G951" s="1858"/>
      <c r="H951" s="1486"/>
      <c r="I951" s="1486"/>
      <c r="J951" s="1486"/>
      <c r="K951" s="1486"/>
      <c r="L951" s="1486"/>
      <c r="M951" s="1486"/>
      <c r="N951" s="1486"/>
      <c r="O951" s="1486"/>
      <c r="P951" s="1486"/>
      <c r="R951" s="1631" t="str">
        <f>B951</f>
        <v>NOT Included in Mgt Fee:</v>
      </c>
      <c r="JV951" s="1637"/>
      <c r="KA951" s="1637"/>
      <c r="KB951" s="1637"/>
      <c r="KC951" s="1637"/>
      <c r="KD951" s="1637"/>
      <c r="KE951" s="1637"/>
      <c r="KF951" s="1637"/>
      <c r="KG951" s="1637"/>
      <c r="KH951" s="1637"/>
      <c r="KI951" s="1637"/>
      <c r="KJ951" s="1637"/>
      <c r="KK951" s="1637"/>
      <c r="KL951" s="1637"/>
      <c r="KM951" s="1637"/>
      <c r="KN951" s="1637"/>
      <c r="KO951" s="1637"/>
      <c r="KP951" s="1637"/>
      <c r="KQ951" s="1637"/>
      <c r="KR951" s="1637"/>
      <c r="KS951" s="1637"/>
      <c r="KT951" s="1637"/>
      <c r="KU951" s="1637"/>
      <c r="KV951" s="1637"/>
      <c r="KW951" s="1637"/>
      <c r="KX951" s="1637"/>
      <c r="KY951" s="1637"/>
      <c r="KZ951" s="1637"/>
      <c r="LA951" s="1637"/>
      <c r="LB951" s="1637"/>
      <c r="LC951" s="1637"/>
      <c r="LD951" s="1637"/>
      <c r="LE951" s="1637"/>
      <c r="LF951" s="1637"/>
    </row>
    <row r="952" spans="2:318">
      <c r="B952" s="1634" t="s">
        <v>533</v>
      </c>
      <c r="C952" s="1634"/>
      <c r="D952" s="1634"/>
      <c r="E952" s="1634"/>
      <c r="F952" s="1634"/>
      <c r="G952" s="2152">
        <f>'Part VI-Revenues &amp; Expenses'!G190</f>
        <v>0</v>
      </c>
      <c r="H952" s="2152">
        <f>'Part VI-Revenues &amp; Expenses'!H190</f>
        <v>0</v>
      </c>
      <c r="I952" s="2152">
        <f>'Part VI-Revenues &amp; Expenses'!I190</f>
        <v>0</v>
      </c>
      <c r="J952" s="2152">
        <f>'Part VI-Revenues &amp; Expenses'!J190</f>
        <v>0</v>
      </c>
      <c r="K952" s="2152">
        <f>'Part VI-Revenues &amp; Expenses'!K190</f>
        <v>0</v>
      </c>
      <c r="L952" s="2152">
        <f>'Part VI-Revenues &amp; Expenses'!L190</f>
        <v>0</v>
      </c>
      <c r="M952" s="2152">
        <f>'Part VI-Revenues &amp; Expenses'!M190</f>
        <v>0</v>
      </c>
      <c r="N952" s="2152">
        <f>'Part VI-Revenues &amp; Expenses'!N190</f>
        <v>0</v>
      </c>
      <c r="O952" s="2152">
        <f>'Part VI-Revenues &amp; Expenses'!O190</f>
        <v>0</v>
      </c>
      <c r="P952" s="2152">
        <f>'Part VI-Revenues &amp; Expenses'!P190</f>
        <v>0</v>
      </c>
      <c r="Q952" s="1862"/>
      <c r="R952" s="1838">
        <f>'Part VI-Revenues &amp; Expenses'!R190</f>
        <v>0</v>
      </c>
      <c r="S952" s="1838"/>
      <c r="T952" s="1838"/>
      <c r="U952" s="1838"/>
      <c r="V952" s="1838"/>
      <c r="JV952" s="1637"/>
      <c r="KA952" s="1637"/>
      <c r="KB952" s="1637"/>
      <c r="KC952" s="1637"/>
      <c r="KD952" s="1637"/>
      <c r="KE952" s="1637"/>
      <c r="KF952" s="1637"/>
      <c r="KG952" s="1637"/>
      <c r="KH952" s="1637"/>
      <c r="KI952" s="1637"/>
      <c r="KJ952" s="1637"/>
      <c r="KK952" s="1637"/>
      <c r="KL952" s="1637"/>
      <c r="KM952" s="1637"/>
      <c r="KN952" s="1637"/>
      <c r="KO952" s="1637"/>
      <c r="KP952" s="1637"/>
      <c r="KQ952" s="1637"/>
      <c r="KR952" s="1637"/>
      <c r="KS952" s="1637"/>
      <c r="KT952" s="1637"/>
      <c r="KU952" s="1637"/>
      <c r="KV952" s="1637"/>
      <c r="KW952" s="1637"/>
      <c r="KX952" s="1637"/>
      <c r="KY952" s="1637"/>
      <c r="KZ952" s="1637"/>
      <c r="LA952" s="1637"/>
      <c r="LB952" s="1637"/>
      <c r="LC952" s="1637"/>
      <c r="LD952" s="1637"/>
      <c r="LE952" s="1637"/>
      <c r="LF952" s="1637"/>
    </row>
    <row r="953" spans="2:318">
      <c r="B953" s="1634" t="s">
        <v>741</v>
      </c>
      <c r="C953" s="1634">
        <f>'Part VI-Revenues &amp; Expenses'!C191</f>
        <v>0</v>
      </c>
      <c r="D953" s="1634"/>
      <c r="E953" s="1634"/>
      <c r="F953" s="1634"/>
      <c r="G953" s="2152">
        <f>'Part VI-Revenues &amp; Expenses'!G191</f>
        <v>0</v>
      </c>
      <c r="H953" s="2152">
        <f>'Part VI-Revenues &amp; Expenses'!H191</f>
        <v>0</v>
      </c>
      <c r="I953" s="2152">
        <f>'Part VI-Revenues &amp; Expenses'!I191</f>
        <v>0</v>
      </c>
      <c r="J953" s="2152">
        <f>'Part VI-Revenues &amp; Expenses'!J191</f>
        <v>0</v>
      </c>
      <c r="K953" s="2152">
        <f>'Part VI-Revenues &amp; Expenses'!K191</f>
        <v>0</v>
      </c>
      <c r="L953" s="2152">
        <f>'Part VI-Revenues &amp; Expenses'!L191</f>
        <v>0</v>
      </c>
      <c r="M953" s="2152">
        <f>'Part VI-Revenues &amp; Expenses'!M191</f>
        <v>0</v>
      </c>
      <c r="N953" s="2152">
        <f>'Part VI-Revenues &amp; Expenses'!N191</f>
        <v>0</v>
      </c>
      <c r="O953" s="2152">
        <f>'Part VI-Revenues &amp; Expenses'!O191</f>
        <v>0</v>
      </c>
      <c r="P953" s="2152">
        <f>'Part VI-Revenues &amp; Expenses'!P191</f>
        <v>0</v>
      </c>
      <c r="Q953" s="1862"/>
      <c r="R953" s="1838">
        <f>'Part VI-Revenues &amp; Expenses'!R191</f>
        <v>0</v>
      </c>
      <c r="S953" s="1838"/>
      <c r="T953" s="1838"/>
      <c r="U953" s="1838"/>
      <c r="V953" s="1838"/>
      <c r="JV953" s="1637"/>
      <c r="KA953" s="1637"/>
      <c r="KB953" s="1637"/>
      <c r="KC953" s="1637"/>
      <c r="KD953" s="1637"/>
      <c r="KE953" s="1637"/>
      <c r="KF953" s="1637"/>
      <c r="KG953" s="1637"/>
      <c r="KH953" s="1637"/>
      <c r="KI953" s="1637"/>
      <c r="KJ953" s="1637"/>
      <c r="KK953" s="1637"/>
      <c r="KL953" s="1637"/>
      <c r="KM953" s="1637"/>
      <c r="KN953" s="1637"/>
      <c r="KO953" s="1637"/>
      <c r="KP953" s="1637"/>
      <c r="KQ953" s="1637"/>
      <c r="KR953" s="1637"/>
      <c r="KS953" s="1637"/>
      <c r="KT953" s="1637"/>
      <c r="KU953" s="1637"/>
      <c r="KV953" s="1637"/>
      <c r="KW953" s="1637"/>
      <c r="KX953" s="1637"/>
      <c r="KY953" s="1637"/>
      <c r="KZ953" s="1637"/>
      <c r="LA953" s="1637"/>
      <c r="LB953" s="1637"/>
      <c r="LC953" s="1637"/>
      <c r="LD953" s="1637"/>
      <c r="LE953" s="1637"/>
      <c r="LF953" s="1637"/>
    </row>
    <row r="954" spans="2:318">
      <c r="B954" s="1634"/>
      <c r="C954" s="1634" t="s">
        <v>5115</v>
      </c>
      <c r="D954" s="1634"/>
      <c r="E954" s="1634"/>
      <c r="F954" s="1634"/>
      <c r="G954" s="1857">
        <f t="shared" ref="G954:P954" si="359">SUM(G952:G953)</f>
        <v>0</v>
      </c>
      <c r="H954" s="1857">
        <f t="shared" si="359"/>
        <v>0</v>
      </c>
      <c r="I954" s="1857">
        <f t="shared" si="359"/>
        <v>0</v>
      </c>
      <c r="J954" s="1857">
        <f t="shared" si="359"/>
        <v>0</v>
      </c>
      <c r="K954" s="1857">
        <f t="shared" si="359"/>
        <v>0</v>
      </c>
      <c r="L954" s="1857">
        <f t="shared" si="359"/>
        <v>0</v>
      </c>
      <c r="M954" s="1857">
        <f t="shared" si="359"/>
        <v>0</v>
      </c>
      <c r="N954" s="1857">
        <f t="shared" si="359"/>
        <v>0</v>
      </c>
      <c r="O954" s="1857">
        <f t="shared" si="359"/>
        <v>0</v>
      </c>
      <c r="P954" s="1857">
        <f t="shared" si="359"/>
        <v>0</v>
      </c>
      <c r="Q954" s="522"/>
      <c r="R954" s="1838">
        <f>'Part VI-Revenues &amp; Expenses'!R192</f>
        <v>0</v>
      </c>
      <c r="S954" s="1838"/>
      <c r="T954" s="1838"/>
      <c r="U954" s="1838"/>
      <c r="V954" s="1838"/>
      <c r="JV954" s="1637"/>
      <c r="KA954" s="1637"/>
      <c r="KB954" s="1637"/>
      <c r="KC954" s="1637"/>
      <c r="KD954" s="1637"/>
      <c r="KE954" s="1637"/>
      <c r="KF954" s="1637"/>
      <c r="KG954" s="1637"/>
      <c r="KH954" s="1637"/>
      <c r="KI954" s="1637"/>
      <c r="KJ954" s="1637"/>
      <c r="KK954" s="1637"/>
      <c r="KL954" s="1637"/>
      <c r="KM954" s="1637"/>
      <c r="KN954" s="1637"/>
      <c r="KO954" s="1637"/>
      <c r="KP954" s="1637"/>
      <c r="KQ954" s="1637"/>
      <c r="KR954" s="1637"/>
      <c r="KS954" s="1637"/>
      <c r="KT954" s="1637"/>
      <c r="KU954" s="1637"/>
      <c r="KV954" s="1637"/>
      <c r="KW954" s="1637"/>
      <c r="KX954" s="1637"/>
      <c r="KY954" s="1637"/>
      <c r="KZ954" s="1637"/>
      <c r="LA954" s="1637"/>
      <c r="LB954" s="1637"/>
      <c r="LC954" s="1637"/>
      <c r="LD954" s="1637"/>
      <c r="LE954" s="1637"/>
      <c r="LF954" s="1637"/>
    </row>
    <row r="955" spans="2:318">
      <c r="B955" s="1486"/>
      <c r="C955" s="1486"/>
      <c r="D955" s="1486"/>
      <c r="E955" s="1486"/>
      <c r="F955" s="1486"/>
      <c r="G955" s="1858"/>
      <c r="H955" s="1486"/>
      <c r="I955" s="1486"/>
      <c r="J955" s="1486"/>
      <c r="K955" s="1486"/>
      <c r="L955" s="1486"/>
      <c r="M955" s="1486"/>
      <c r="N955" s="1486"/>
      <c r="O955" s="1486"/>
      <c r="P955" s="1486"/>
      <c r="JV955" s="1637"/>
      <c r="KA955" s="1637"/>
      <c r="KB955" s="1637"/>
      <c r="KC955" s="1637"/>
      <c r="KD955" s="1637"/>
      <c r="KE955" s="1637"/>
      <c r="KF955" s="1637"/>
      <c r="KG955" s="1637"/>
      <c r="KH955" s="1637"/>
      <c r="KI955" s="1637"/>
      <c r="KJ955" s="1637"/>
      <c r="KK955" s="1637"/>
      <c r="KL955" s="1637"/>
      <c r="KM955" s="1637"/>
      <c r="KN955" s="1637"/>
      <c r="KO955" s="1637"/>
      <c r="KP955" s="1637"/>
      <c r="KQ955" s="1637"/>
      <c r="KR955" s="1637"/>
      <c r="KS955" s="1637"/>
      <c r="KT955" s="1637"/>
      <c r="KU955" s="1637"/>
      <c r="KV955" s="1637"/>
      <c r="KW955" s="1637"/>
      <c r="KX955" s="1637"/>
      <c r="KY955" s="1637"/>
      <c r="KZ955" s="1637"/>
      <c r="LA955" s="1637"/>
      <c r="LB955" s="1637"/>
      <c r="LC955" s="1637"/>
      <c r="LD955" s="1637"/>
      <c r="LE955" s="1637"/>
      <c r="LF955" s="1637"/>
    </row>
    <row r="956" spans="2:318" ht="14.25">
      <c r="B956" s="1806" t="s">
        <v>2286</v>
      </c>
      <c r="C956" s="1486"/>
      <c r="D956" s="1486"/>
      <c r="E956" s="1486"/>
      <c r="F956" s="1486"/>
      <c r="G956" s="2772">
        <v>21</v>
      </c>
      <c r="H956" s="2772">
        <v>22</v>
      </c>
      <c r="I956" s="2772">
        <v>23</v>
      </c>
      <c r="J956" s="2772">
        <v>24</v>
      </c>
      <c r="K956" s="2772">
        <v>25</v>
      </c>
      <c r="L956" s="2772">
        <v>26</v>
      </c>
      <c r="M956" s="2772">
        <v>27</v>
      </c>
      <c r="N956" s="2772">
        <v>28</v>
      </c>
      <c r="O956" s="2772">
        <v>29</v>
      </c>
      <c r="P956" s="2772">
        <v>30</v>
      </c>
      <c r="Q956" s="2773"/>
      <c r="R956" s="1828" t="s">
        <v>2623</v>
      </c>
      <c r="S956" s="1631" t="str">
        <f>B956</f>
        <v>Included in Mgt Fee:</v>
      </c>
      <c r="JV956" s="1637"/>
      <c r="KA956" s="1637"/>
      <c r="KB956" s="1637"/>
      <c r="KC956" s="1637"/>
      <c r="KD956" s="1637"/>
      <c r="KE956" s="1637"/>
      <c r="KF956" s="1637"/>
      <c r="KG956" s="1637"/>
      <c r="KH956" s="1637"/>
      <c r="KI956" s="1637"/>
      <c r="KJ956" s="1637"/>
      <c r="KK956" s="1637"/>
      <c r="KL956" s="1637"/>
      <c r="KM956" s="1637"/>
      <c r="KN956" s="1637"/>
      <c r="KO956" s="1637"/>
      <c r="KP956" s="1637"/>
      <c r="KQ956" s="1637"/>
      <c r="KR956" s="1637"/>
      <c r="KS956" s="1637"/>
      <c r="KT956" s="1637"/>
      <c r="KU956" s="1637"/>
      <c r="KV956" s="1637"/>
      <c r="KW956" s="1637"/>
      <c r="KX956" s="1637"/>
      <c r="KY956" s="1637"/>
      <c r="KZ956" s="1637"/>
      <c r="LA956" s="1637"/>
      <c r="LB956" s="1637"/>
      <c r="LC956" s="1637"/>
      <c r="LD956" s="1637"/>
      <c r="LE956" s="1637"/>
      <c r="LF956" s="1637"/>
    </row>
    <row r="957" spans="2:318">
      <c r="B957" s="1634" t="s">
        <v>1017</v>
      </c>
      <c r="C957" s="1634"/>
      <c r="D957" s="1634"/>
      <c r="E957" s="1634"/>
      <c r="F957" s="1634"/>
      <c r="G957" s="2152">
        <f>'Part VI-Revenues &amp; Expenses'!G195</f>
        <v>0</v>
      </c>
      <c r="H957" s="2152">
        <f>'Part VI-Revenues &amp; Expenses'!H195</f>
        <v>0</v>
      </c>
      <c r="I957" s="2152">
        <f>'Part VI-Revenues &amp; Expenses'!I195</f>
        <v>0</v>
      </c>
      <c r="J957" s="2152">
        <f>'Part VI-Revenues &amp; Expenses'!J195</f>
        <v>0</v>
      </c>
      <c r="K957" s="2152">
        <f>'Part VI-Revenues &amp; Expenses'!K195</f>
        <v>0</v>
      </c>
      <c r="L957" s="2152">
        <f>'Part VI-Revenues &amp; Expenses'!L195</f>
        <v>0</v>
      </c>
      <c r="M957" s="2152">
        <f>'Part VI-Revenues &amp; Expenses'!M195</f>
        <v>0</v>
      </c>
      <c r="N957" s="2152">
        <f>'Part VI-Revenues &amp; Expenses'!N195</f>
        <v>0</v>
      </c>
      <c r="O957" s="2152">
        <f>'Part VI-Revenues &amp; Expenses'!O195</f>
        <v>0</v>
      </c>
      <c r="P957" s="2152">
        <f>'Part VI-Revenues &amp; Expenses'!P195</f>
        <v>0</v>
      </c>
      <c r="Q957" s="1862"/>
      <c r="R957" s="1838">
        <f>'Part VI-Revenues &amp; Expenses'!R195</f>
        <v>0</v>
      </c>
      <c r="S957" s="1838"/>
      <c r="T957" s="1838"/>
      <c r="U957" s="1838"/>
      <c r="V957" s="1838"/>
      <c r="JV957" s="1637"/>
      <c r="KA957" s="1637"/>
      <c r="KB957" s="1637"/>
      <c r="KC957" s="1637"/>
      <c r="KD957" s="1637"/>
      <c r="KE957" s="1637"/>
      <c r="KF957" s="1637"/>
      <c r="KG957" s="1637"/>
      <c r="KH957" s="1637"/>
      <c r="KI957" s="1637"/>
      <c r="KJ957" s="1637"/>
      <c r="KK957" s="1637"/>
      <c r="KL957" s="1637"/>
      <c r="KM957" s="1637"/>
      <c r="KN957" s="1637"/>
      <c r="KO957" s="1637"/>
      <c r="KP957" s="1637"/>
      <c r="KQ957" s="1637"/>
      <c r="KR957" s="1637"/>
      <c r="KS957" s="1637"/>
      <c r="KT957" s="1637"/>
      <c r="KU957" s="1637"/>
      <c r="KV957" s="1637"/>
      <c r="KW957" s="1637"/>
      <c r="KX957" s="1637"/>
      <c r="KY957" s="1637"/>
      <c r="KZ957" s="1637"/>
      <c r="LA957" s="1637"/>
      <c r="LB957" s="1637"/>
      <c r="LC957" s="1637"/>
      <c r="LD957" s="1637"/>
      <c r="LE957" s="1637"/>
      <c r="LF957" s="1637"/>
    </row>
    <row r="958" spans="2:318">
      <c r="B958" s="1634" t="s">
        <v>741</v>
      </c>
      <c r="C958" s="1634">
        <f>'Part VI-Revenues &amp; Expenses'!C196</f>
        <v>0</v>
      </c>
      <c r="D958" s="1634"/>
      <c r="E958" s="1634"/>
      <c r="F958" s="1634"/>
      <c r="G958" s="2152">
        <f>'Part VI-Revenues &amp; Expenses'!G196</f>
        <v>0</v>
      </c>
      <c r="H958" s="2152">
        <f>'Part VI-Revenues &amp; Expenses'!H196</f>
        <v>0</v>
      </c>
      <c r="I958" s="2152">
        <f>'Part VI-Revenues &amp; Expenses'!I196</f>
        <v>0</v>
      </c>
      <c r="J958" s="2152">
        <f>'Part VI-Revenues &amp; Expenses'!J196</f>
        <v>0</v>
      </c>
      <c r="K958" s="2152">
        <f>'Part VI-Revenues &amp; Expenses'!K196</f>
        <v>0</v>
      </c>
      <c r="L958" s="2152">
        <f>'Part VI-Revenues &amp; Expenses'!L196</f>
        <v>0</v>
      </c>
      <c r="M958" s="2152">
        <f>'Part VI-Revenues &amp; Expenses'!M196</f>
        <v>0</v>
      </c>
      <c r="N958" s="2152">
        <f>'Part VI-Revenues &amp; Expenses'!N196</f>
        <v>0</v>
      </c>
      <c r="O958" s="2152">
        <f>'Part VI-Revenues &amp; Expenses'!O196</f>
        <v>0</v>
      </c>
      <c r="P958" s="2152">
        <f>'Part VI-Revenues &amp; Expenses'!P196</f>
        <v>0</v>
      </c>
      <c r="Q958" s="1862"/>
      <c r="R958" s="1838">
        <f>'Part VI-Revenues &amp; Expenses'!R196</f>
        <v>0</v>
      </c>
      <c r="S958" s="1838"/>
      <c r="T958" s="1838"/>
      <c r="U958" s="1838"/>
      <c r="V958" s="1838"/>
      <c r="JV958" s="1637"/>
      <c r="KA958" s="1637"/>
      <c r="KB958" s="1637"/>
      <c r="KC958" s="1637"/>
      <c r="KD958" s="1637"/>
      <c r="KE958" s="1637"/>
      <c r="KF958" s="1637"/>
      <c r="KG958" s="1637"/>
      <c r="KH958" s="1637"/>
      <c r="KI958" s="1637"/>
      <c r="KJ958" s="1637"/>
      <c r="KK958" s="1637"/>
      <c r="KL958" s="1637"/>
      <c r="KM958" s="1637"/>
      <c r="KN958" s="1637"/>
      <c r="KO958" s="1637"/>
      <c r="KP958" s="1637"/>
      <c r="KQ958" s="1637"/>
      <c r="KR958" s="1637"/>
      <c r="KS958" s="1637"/>
      <c r="KT958" s="1637"/>
      <c r="KU958" s="1637"/>
      <c r="KV958" s="1637"/>
      <c r="KW958" s="1637"/>
      <c r="KX958" s="1637"/>
      <c r="KY958" s="1637"/>
      <c r="KZ958" s="1637"/>
      <c r="LA958" s="1637"/>
      <c r="LB958" s="1637"/>
      <c r="LC958" s="1637"/>
      <c r="LD958" s="1637"/>
      <c r="LE958" s="1637"/>
      <c r="LF958" s="1637"/>
    </row>
    <row r="959" spans="2:318">
      <c r="B959" s="1634"/>
      <c r="C959" s="1634" t="s">
        <v>928</v>
      </c>
      <c r="D959" s="1634"/>
      <c r="E959" s="1634"/>
      <c r="F959" s="1634"/>
      <c r="G959" s="1857">
        <f t="shared" ref="G959:P959" si="360">SUM(G957:G958)</f>
        <v>0</v>
      </c>
      <c r="H959" s="1857">
        <f t="shared" si="360"/>
        <v>0</v>
      </c>
      <c r="I959" s="1857">
        <f t="shared" si="360"/>
        <v>0</v>
      </c>
      <c r="J959" s="1857">
        <f t="shared" si="360"/>
        <v>0</v>
      </c>
      <c r="K959" s="1857">
        <f t="shared" si="360"/>
        <v>0</v>
      </c>
      <c r="L959" s="1857">
        <f t="shared" si="360"/>
        <v>0</v>
      </c>
      <c r="M959" s="1857">
        <f t="shared" si="360"/>
        <v>0</v>
      </c>
      <c r="N959" s="1857">
        <f t="shared" si="360"/>
        <v>0</v>
      </c>
      <c r="O959" s="1857">
        <f t="shared" si="360"/>
        <v>0</v>
      </c>
      <c r="P959" s="1857">
        <f t="shared" si="360"/>
        <v>0</v>
      </c>
      <c r="Q959" s="522"/>
      <c r="R959" s="1838">
        <f>'Part VI-Revenues &amp; Expenses'!R197</f>
        <v>0</v>
      </c>
      <c r="S959" s="1838"/>
      <c r="T959" s="1838"/>
      <c r="U959" s="1838"/>
      <c r="V959" s="1838"/>
      <c r="JV959" s="1637"/>
      <c r="KA959" s="1637"/>
      <c r="KB959" s="1637"/>
      <c r="KC959" s="1637"/>
      <c r="KD959" s="1637"/>
      <c r="KE959" s="1637"/>
      <c r="KF959" s="1637"/>
      <c r="KG959" s="1637"/>
      <c r="KH959" s="1637"/>
      <c r="KI959" s="1637"/>
      <c r="KJ959" s="1637"/>
      <c r="KK959" s="1637"/>
      <c r="KL959" s="1637"/>
      <c r="KM959" s="1637"/>
      <c r="KN959" s="1637"/>
      <c r="KO959" s="1637"/>
      <c r="KP959" s="1637"/>
      <c r="KQ959" s="1637"/>
      <c r="KR959" s="1637"/>
      <c r="KS959" s="1637"/>
      <c r="KT959" s="1637"/>
      <c r="KU959" s="1637"/>
      <c r="KV959" s="1637"/>
      <c r="KW959" s="1637"/>
      <c r="KX959" s="1637"/>
      <c r="KY959" s="1637"/>
      <c r="KZ959" s="1637"/>
      <c r="LA959" s="1637"/>
      <c r="LB959" s="1637"/>
      <c r="LC959" s="1637"/>
      <c r="LD959" s="1637"/>
      <c r="LE959" s="1637"/>
      <c r="LF959" s="1637"/>
    </row>
    <row r="960" spans="2:318">
      <c r="B960" s="1806" t="s">
        <v>5114</v>
      </c>
      <c r="C960" s="1486"/>
      <c r="D960" s="1486"/>
      <c r="E960" s="1486"/>
      <c r="F960" s="1486"/>
      <c r="G960" s="1858"/>
      <c r="H960" s="1486"/>
      <c r="I960" s="1486"/>
      <c r="J960" s="1486"/>
      <c r="K960" s="1486"/>
      <c r="L960" s="1486"/>
      <c r="M960" s="1486"/>
      <c r="N960" s="1486"/>
      <c r="O960" s="1486"/>
      <c r="P960" s="1486"/>
      <c r="R960" s="1631" t="str">
        <f>B960</f>
        <v>NOT Included in Mgt Fee:</v>
      </c>
      <c r="JV960" s="1637"/>
      <c r="KA960" s="1637"/>
      <c r="KB960" s="1637"/>
      <c r="KC960" s="1637"/>
      <c r="KD960" s="1637"/>
      <c r="KE960" s="1637"/>
      <c r="KF960" s="1637"/>
      <c r="KG960" s="1637"/>
      <c r="KH960" s="1637"/>
      <c r="KI960" s="1637"/>
      <c r="KJ960" s="1637"/>
      <c r="KK960" s="1637"/>
      <c r="KL960" s="1637"/>
      <c r="KM960" s="1637"/>
      <c r="KN960" s="1637"/>
      <c r="KO960" s="1637"/>
      <c r="KP960" s="1637"/>
      <c r="KQ960" s="1637"/>
      <c r="KR960" s="1637"/>
      <c r="KS960" s="1637"/>
      <c r="KT960" s="1637"/>
      <c r="KU960" s="1637"/>
      <c r="KV960" s="1637"/>
      <c r="KW960" s="1637"/>
      <c r="KX960" s="1637"/>
      <c r="KY960" s="1637"/>
      <c r="KZ960" s="1637"/>
      <c r="LA960" s="1637"/>
      <c r="LB960" s="1637"/>
      <c r="LC960" s="1637"/>
      <c r="LD960" s="1637"/>
      <c r="LE960" s="1637"/>
      <c r="LF960" s="1637"/>
    </row>
    <row r="961" spans="1:357">
      <c r="B961" s="1634" t="s">
        <v>533</v>
      </c>
      <c r="C961" s="1634"/>
      <c r="D961" s="1634"/>
      <c r="E961" s="1634"/>
      <c r="F961" s="1634"/>
      <c r="G961" s="2152">
        <f>'Part VI-Revenues &amp; Expenses'!G199</f>
        <v>0</v>
      </c>
      <c r="H961" s="2152">
        <f>'Part VI-Revenues &amp; Expenses'!H199</f>
        <v>0</v>
      </c>
      <c r="I961" s="2152">
        <f>'Part VI-Revenues &amp; Expenses'!I199</f>
        <v>0</v>
      </c>
      <c r="J961" s="2152">
        <f>'Part VI-Revenues &amp; Expenses'!J199</f>
        <v>0</v>
      </c>
      <c r="K961" s="2152">
        <f>'Part VI-Revenues &amp; Expenses'!K199</f>
        <v>0</v>
      </c>
      <c r="L961" s="2152">
        <f>'Part VI-Revenues &amp; Expenses'!L199</f>
        <v>0</v>
      </c>
      <c r="M961" s="2152">
        <f>'Part VI-Revenues &amp; Expenses'!M199</f>
        <v>0</v>
      </c>
      <c r="N961" s="2152">
        <f>'Part VI-Revenues &amp; Expenses'!N199</f>
        <v>0</v>
      </c>
      <c r="O961" s="2152">
        <f>'Part VI-Revenues &amp; Expenses'!O199</f>
        <v>0</v>
      </c>
      <c r="P961" s="2152">
        <f>'Part VI-Revenues &amp; Expenses'!P199</f>
        <v>0</v>
      </c>
      <c r="Q961" s="1862"/>
      <c r="R961" s="1838">
        <f>'Part VI-Revenues &amp; Expenses'!R199</f>
        <v>0</v>
      </c>
      <c r="S961" s="1838"/>
      <c r="T961" s="1838"/>
      <c r="U961" s="1838"/>
      <c r="V961" s="1838"/>
      <c r="JV961" s="1637"/>
      <c r="KA961" s="1637"/>
      <c r="KB961" s="1637"/>
      <c r="KC961" s="1637"/>
      <c r="KD961" s="1637"/>
      <c r="KE961" s="1637"/>
      <c r="KF961" s="1637"/>
      <c r="KG961" s="1637"/>
      <c r="KH961" s="1637"/>
      <c r="KI961" s="1637"/>
      <c r="KJ961" s="1637"/>
      <c r="KK961" s="1637"/>
      <c r="KL961" s="1637"/>
      <c r="KM961" s="1637"/>
      <c r="KN961" s="1637"/>
      <c r="KO961" s="1637"/>
      <c r="KP961" s="1637"/>
      <c r="KQ961" s="1637"/>
      <c r="KR961" s="1637"/>
      <c r="KS961" s="1637"/>
      <c r="KT961" s="1637"/>
      <c r="KU961" s="1637"/>
      <c r="KV961" s="1637"/>
      <c r="KW961" s="1637"/>
      <c r="KX961" s="1637"/>
      <c r="KY961" s="1637"/>
      <c r="KZ961" s="1637"/>
      <c r="LA961" s="1637"/>
      <c r="LB961" s="1637"/>
      <c r="LC961" s="1637"/>
      <c r="LD961" s="1637"/>
      <c r="LE961" s="1637"/>
      <c r="LF961" s="1637"/>
    </row>
    <row r="962" spans="1:357">
      <c r="B962" s="1634" t="s">
        <v>741</v>
      </c>
      <c r="C962" s="1634">
        <f>'Part VI-Revenues &amp; Expenses'!C200</f>
        <v>0</v>
      </c>
      <c r="D962" s="1634"/>
      <c r="E962" s="1634"/>
      <c r="F962" s="1634"/>
      <c r="G962" s="2152">
        <f>'Part VI-Revenues &amp; Expenses'!G200</f>
        <v>0</v>
      </c>
      <c r="H962" s="2152">
        <f>'Part VI-Revenues &amp; Expenses'!H200</f>
        <v>0</v>
      </c>
      <c r="I962" s="2152">
        <f>'Part VI-Revenues &amp; Expenses'!I200</f>
        <v>0</v>
      </c>
      <c r="J962" s="2152">
        <f>'Part VI-Revenues &amp; Expenses'!J200</f>
        <v>0</v>
      </c>
      <c r="K962" s="2152">
        <f>'Part VI-Revenues &amp; Expenses'!K200</f>
        <v>0</v>
      </c>
      <c r="L962" s="2152">
        <f>'Part VI-Revenues &amp; Expenses'!L200</f>
        <v>0</v>
      </c>
      <c r="M962" s="2152">
        <f>'Part VI-Revenues &amp; Expenses'!M200</f>
        <v>0</v>
      </c>
      <c r="N962" s="2152">
        <f>'Part VI-Revenues &amp; Expenses'!N200</f>
        <v>0</v>
      </c>
      <c r="O962" s="2152">
        <f>'Part VI-Revenues &amp; Expenses'!O200</f>
        <v>0</v>
      </c>
      <c r="P962" s="2152">
        <f>'Part VI-Revenues &amp; Expenses'!P200</f>
        <v>0</v>
      </c>
      <c r="Q962" s="1862"/>
      <c r="R962" s="1838">
        <f>'Part VI-Revenues &amp; Expenses'!R200</f>
        <v>0</v>
      </c>
      <c r="S962" s="1838"/>
      <c r="T962" s="1838"/>
      <c r="U962" s="1838"/>
      <c r="V962" s="1838"/>
      <c r="JV962" s="1637"/>
      <c r="KA962" s="1637"/>
      <c r="KB962" s="1637"/>
      <c r="KC962" s="1637"/>
      <c r="KD962" s="1637"/>
      <c r="KE962" s="1637"/>
      <c r="KF962" s="1637"/>
      <c r="KG962" s="1637"/>
      <c r="KH962" s="1637"/>
      <c r="KI962" s="1637"/>
      <c r="KJ962" s="1637"/>
      <c r="KK962" s="1637"/>
      <c r="KL962" s="1637"/>
      <c r="KM962" s="1637"/>
      <c r="KN962" s="1637"/>
      <c r="KO962" s="1637"/>
      <c r="KP962" s="1637"/>
      <c r="KQ962" s="1637"/>
      <c r="KR962" s="1637"/>
      <c r="KS962" s="1637"/>
      <c r="KT962" s="1637"/>
      <c r="KU962" s="1637"/>
      <c r="KV962" s="1637"/>
      <c r="KW962" s="1637"/>
      <c r="KX962" s="1637"/>
      <c r="KY962" s="1637"/>
      <c r="KZ962" s="1637"/>
      <c r="LA962" s="1637"/>
      <c r="LB962" s="1637"/>
      <c r="LC962" s="1637"/>
      <c r="LD962" s="1637"/>
      <c r="LE962" s="1637"/>
      <c r="LF962" s="1637"/>
    </row>
    <row r="963" spans="1:357">
      <c r="B963" s="1634"/>
      <c r="C963" s="1634" t="s">
        <v>5115</v>
      </c>
      <c r="D963" s="1634"/>
      <c r="E963" s="1634"/>
      <c r="F963" s="1634"/>
      <c r="G963" s="1857">
        <f t="shared" ref="G963:P963" si="361">SUM(G961:G962)</f>
        <v>0</v>
      </c>
      <c r="H963" s="1857">
        <f t="shared" si="361"/>
        <v>0</v>
      </c>
      <c r="I963" s="1857">
        <f t="shared" si="361"/>
        <v>0</v>
      </c>
      <c r="J963" s="1857">
        <f t="shared" si="361"/>
        <v>0</v>
      </c>
      <c r="K963" s="1857">
        <f t="shared" si="361"/>
        <v>0</v>
      </c>
      <c r="L963" s="1857">
        <f t="shared" si="361"/>
        <v>0</v>
      </c>
      <c r="M963" s="1857">
        <f t="shared" si="361"/>
        <v>0</v>
      </c>
      <c r="N963" s="1857">
        <f t="shared" si="361"/>
        <v>0</v>
      </c>
      <c r="O963" s="1857">
        <f t="shared" si="361"/>
        <v>0</v>
      </c>
      <c r="P963" s="1857">
        <f t="shared" si="361"/>
        <v>0</v>
      </c>
      <c r="Q963" s="522"/>
      <c r="R963" s="1838">
        <f>'Part VI-Revenues &amp; Expenses'!R201</f>
        <v>0</v>
      </c>
      <c r="S963" s="1838"/>
      <c r="T963" s="1838"/>
      <c r="U963" s="1838"/>
      <c r="V963" s="1838"/>
      <c r="JV963" s="1637"/>
      <c r="KA963" s="1637"/>
      <c r="KB963" s="1637"/>
      <c r="KC963" s="1637"/>
      <c r="KD963" s="1637"/>
      <c r="KE963" s="1637"/>
      <c r="KF963" s="1637"/>
      <c r="KG963" s="1637"/>
      <c r="KH963" s="1637"/>
      <c r="KI963" s="1637"/>
      <c r="KJ963" s="1637"/>
      <c r="KK963" s="1637"/>
      <c r="KL963" s="1637"/>
      <c r="KM963" s="1637"/>
      <c r="KN963" s="1637"/>
      <c r="KO963" s="1637"/>
      <c r="KP963" s="1637"/>
      <c r="KQ963" s="1637"/>
      <c r="KR963" s="1637"/>
      <c r="KS963" s="1637"/>
      <c r="KT963" s="1637"/>
      <c r="KU963" s="1637"/>
      <c r="KV963" s="1637"/>
      <c r="KW963" s="1637"/>
      <c r="KX963" s="1637"/>
      <c r="KY963" s="1637"/>
      <c r="KZ963" s="1637"/>
      <c r="LA963" s="1637"/>
      <c r="LB963" s="1637"/>
      <c r="LC963" s="1637"/>
      <c r="LD963" s="1637"/>
      <c r="LE963" s="1637"/>
      <c r="LF963" s="1637"/>
    </row>
    <row r="964" spans="1:357">
      <c r="B964" s="1486"/>
      <c r="C964" s="1486"/>
      <c r="D964" s="1486"/>
      <c r="E964" s="1486"/>
      <c r="F964" s="1486"/>
      <c r="G964" s="1858"/>
      <c r="H964" s="1486"/>
      <c r="I964" s="1486"/>
      <c r="J964" s="1486"/>
      <c r="K964" s="1486"/>
      <c r="L964" s="1486"/>
      <c r="M964" s="1486"/>
      <c r="N964" s="1486"/>
      <c r="O964" s="1486"/>
      <c r="P964" s="1486"/>
      <c r="JV964" s="1637"/>
      <c r="KA964" s="1637"/>
      <c r="KB964" s="1637"/>
      <c r="KC964" s="1637"/>
      <c r="KD964" s="1637"/>
      <c r="KE964" s="1637"/>
      <c r="KF964" s="1637"/>
      <c r="KG964" s="1637"/>
      <c r="KH964" s="1637"/>
      <c r="KI964" s="1637"/>
      <c r="KJ964" s="1637"/>
      <c r="KK964" s="1637"/>
      <c r="KL964" s="1637"/>
      <c r="KM964" s="1637"/>
      <c r="KN964" s="1637"/>
      <c r="KO964" s="1637"/>
      <c r="KP964" s="1637"/>
      <c r="KQ964" s="1637"/>
      <c r="KR964" s="1637"/>
      <c r="KS964" s="1637"/>
      <c r="KT964" s="1637"/>
      <c r="KU964" s="1637"/>
      <c r="KV964" s="1637"/>
      <c r="KW964" s="1637"/>
      <c r="KX964" s="1637"/>
      <c r="KY964" s="1637"/>
      <c r="KZ964" s="1637"/>
      <c r="LA964" s="1637"/>
      <c r="LB964" s="1637"/>
      <c r="LC964" s="1637"/>
      <c r="LD964" s="1637"/>
      <c r="LE964" s="1637"/>
      <c r="LF964" s="1637"/>
    </row>
    <row r="965" spans="1:357">
      <c r="B965" s="1806" t="s">
        <v>2286</v>
      </c>
      <c r="C965" s="1486"/>
      <c r="D965" s="1486"/>
      <c r="E965" s="1486"/>
      <c r="F965" s="1486"/>
      <c r="G965" s="2772">
        <v>31</v>
      </c>
      <c r="H965" s="2772">
        <v>32</v>
      </c>
      <c r="I965" s="2772">
        <v>33</v>
      </c>
      <c r="J965" s="2772">
        <v>34</v>
      </c>
      <c r="K965" s="2772">
        <v>35</v>
      </c>
      <c r="L965" s="1486"/>
      <c r="M965" s="1486"/>
      <c r="N965" s="1486"/>
      <c r="O965" s="1486"/>
      <c r="P965" s="1486"/>
      <c r="R965" s="1828" t="s">
        <v>2623</v>
      </c>
      <c r="S965" s="1631" t="str">
        <f>B965</f>
        <v>Included in Mgt Fee:</v>
      </c>
      <c r="JV965" s="1637"/>
      <c r="KA965" s="1637"/>
      <c r="KB965" s="1637"/>
      <c r="KC965" s="1637"/>
      <c r="KD965" s="1637"/>
      <c r="KE965" s="1637"/>
      <c r="KF965" s="1637"/>
      <c r="KG965" s="1637"/>
      <c r="KH965" s="1637"/>
      <c r="KI965" s="1637"/>
      <c r="KJ965" s="1637"/>
      <c r="KK965" s="1637"/>
      <c r="KL965" s="1637"/>
      <c r="KM965" s="1637"/>
      <c r="KN965" s="1637"/>
      <c r="KO965" s="1637"/>
      <c r="KP965" s="1637"/>
      <c r="KQ965" s="1637"/>
      <c r="KR965" s="1637"/>
      <c r="KS965" s="1637"/>
      <c r="KT965" s="1637"/>
      <c r="KU965" s="1637"/>
      <c r="KV965" s="1637"/>
      <c r="KW965" s="1637"/>
      <c r="KX965" s="1637"/>
      <c r="KY965" s="1637"/>
      <c r="KZ965" s="1637"/>
      <c r="LA965" s="1637"/>
      <c r="LB965" s="1637"/>
      <c r="LC965" s="1637"/>
      <c r="LD965" s="1637"/>
      <c r="LE965" s="1637"/>
      <c r="LF965" s="1637"/>
    </row>
    <row r="966" spans="1:357">
      <c r="B966" s="1634" t="s">
        <v>1017</v>
      </c>
      <c r="C966" s="1634"/>
      <c r="D966" s="1634"/>
      <c r="E966" s="1634"/>
      <c r="F966" s="1634"/>
      <c r="G966" s="2152">
        <f>'Part VI-Revenues &amp; Expenses'!G204</f>
        <v>0</v>
      </c>
      <c r="H966" s="2152">
        <f>'Part VI-Revenues &amp; Expenses'!H204</f>
        <v>0</v>
      </c>
      <c r="I966" s="2152">
        <f>'Part VI-Revenues &amp; Expenses'!I204</f>
        <v>0</v>
      </c>
      <c r="J966" s="2152">
        <f>'Part VI-Revenues &amp; Expenses'!J204</f>
        <v>0</v>
      </c>
      <c r="K966" s="2152">
        <f>'Part VI-Revenues &amp; Expenses'!K204</f>
        <v>0</v>
      </c>
      <c r="L966" s="1486"/>
      <c r="M966" s="1486"/>
      <c r="N966" s="1486"/>
      <c r="O966" s="1486"/>
      <c r="P966" s="1486"/>
      <c r="R966" s="1838">
        <f>'Part VI-Revenues &amp; Expenses'!R204</f>
        <v>0</v>
      </c>
      <c r="S966" s="1838"/>
      <c r="T966" s="1838"/>
      <c r="U966" s="1838"/>
      <c r="V966" s="1838"/>
      <c r="JV966" s="1637"/>
      <c r="KA966" s="1637"/>
      <c r="KB966" s="1637"/>
      <c r="KC966" s="1637"/>
      <c r="KD966" s="1637"/>
      <c r="KE966" s="1637"/>
      <c r="KF966" s="1637"/>
      <c r="KG966" s="1637"/>
      <c r="KH966" s="1637"/>
      <c r="KI966" s="1637"/>
      <c r="KJ966" s="1637"/>
      <c r="KK966" s="1637"/>
      <c r="KL966" s="1637"/>
      <c r="KM966" s="1637"/>
      <c r="KN966" s="1637"/>
      <c r="KO966" s="1637"/>
      <c r="KP966" s="1637"/>
      <c r="KQ966" s="1637"/>
      <c r="KR966" s="1637"/>
      <c r="KS966" s="1637"/>
      <c r="KT966" s="1637"/>
      <c r="KU966" s="1637"/>
      <c r="KV966" s="1637"/>
      <c r="KW966" s="1637"/>
      <c r="KX966" s="1637"/>
      <c r="KY966" s="1637"/>
      <c r="KZ966" s="1637"/>
      <c r="LA966" s="1637"/>
      <c r="LB966" s="1637"/>
      <c r="LC966" s="1637"/>
      <c r="LD966" s="1637"/>
      <c r="LE966" s="1637"/>
      <c r="LF966" s="1637"/>
    </row>
    <row r="967" spans="1:357">
      <c r="B967" s="1634" t="s">
        <v>741</v>
      </c>
      <c r="C967" s="1634">
        <f>'Part VI-Revenues &amp; Expenses'!C205</f>
        <v>0</v>
      </c>
      <c r="D967" s="1634"/>
      <c r="E967" s="1634"/>
      <c r="F967" s="1634"/>
      <c r="G967" s="2152">
        <f>'Part VI-Revenues &amp; Expenses'!G205</f>
        <v>0</v>
      </c>
      <c r="H967" s="2152">
        <f>'Part VI-Revenues &amp; Expenses'!H205</f>
        <v>0</v>
      </c>
      <c r="I967" s="2152">
        <f>'Part VI-Revenues &amp; Expenses'!I205</f>
        <v>0</v>
      </c>
      <c r="J967" s="2152">
        <f>'Part VI-Revenues &amp; Expenses'!J205</f>
        <v>0</v>
      </c>
      <c r="K967" s="2152">
        <f>'Part VI-Revenues &amp; Expenses'!K205</f>
        <v>0</v>
      </c>
      <c r="L967" s="1486"/>
      <c r="M967" s="1486"/>
      <c r="N967" s="1486"/>
      <c r="O967" s="1486"/>
      <c r="P967" s="1486"/>
      <c r="R967" s="1838">
        <f>'Part VI-Revenues &amp; Expenses'!R205</f>
        <v>0</v>
      </c>
      <c r="S967" s="1838"/>
      <c r="T967" s="1838"/>
      <c r="U967" s="1838"/>
      <c r="V967" s="1838"/>
      <c r="JV967" s="1637"/>
      <c r="KA967" s="1637"/>
      <c r="KB967" s="1637"/>
      <c r="KC967" s="1637"/>
      <c r="KD967" s="1637"/>
      <c r="KE967" s="1637"/>
      <c r="KF967" s="1637"/>
      <c r="KG967" s="1637"/>
      <c r="KH967" s="1637"/>
      <c r="KI967" s="1637"/>
      <c r="KJ967" s="1637"/>
      <c r="KK967" s="1637"/>
      <c r="KL967" s="1637"/>
      <c r="KM967" s="1637"/>
      <c r="KN967" s="1637"/>
      <c r="KO967" s="1637"/>
      <c r="KP967" s="1637"/>
      <c r="KQ967" s="1637"/>
      <c r="KR967" s="1637"/>
      <c r="KS967" s="1637"/>
      <c r="KT967" s="1637"/>
      <c r="KU967" s="1637"/>
      <c r="KV967" s="1637"/>
      <c r="KW967" s="1637"/>
      <c r="KX967" s="1637"/>
      <c r="KY967" s="1637"/>
      <c r="KZ967" s="1637"/>
      <c r="LA967" s="1637"/>
      <c r="LB967" s="1637"/>
      <c r="LC967" s="1637"/>
      <c r="LD967" s="1637"/>
      <c r="LE967" s="1637"/>
      <c r="LF967" s="1637"/>
    </row>
    <row r="968" spans="1:357">
      <c r="B968" s="1634"/>
      <c r="C968" s="1634" t="s">
        <v>928</v>
      </c>
      <c r="D968" s="1634"/>
      <c r="E968" s="1634"/>
      <c r="F968" s="1634"/>
      <c r="G968" s="1857">
        <f>SUM(G966:G967)</f>
        <v>0</v>
      </c>
      <c r="H968" s="1857">
        <f>SUM(H966:H967)</f>
        <v>0</v>
      </c>
      <c r="I968" s="1857">
        <f>SUM(I966:I967)</f>
        <v>0</v>
      </c>
      <c r="J968" s="1857">
        <f>SUM(J966:J967)</f>
        <v>0</v>
      </c>
      <c r="K968" s="1857">
        <f>SUM(K966:K967)</f>
        <v>0</v>
      </c>
      <c r="L968" s="1486"/>
      <c r="M968" s="1486"/>
      <c r="N968" s="1486"/>
      <c r="O968" s="1486"/>
      <c r="P968" s="1486"/>
      <c r="R968" s="1838">
        <f>'Part VI-Revenues &amp; Expenses'!R206</f>
        <v>0</v>
      </c>
      <c r="S968" s="1838"/>
      <c r="T968" s="1838"/>
      <c r="U968" s="1838"/>
      <c r="V968" s="1838"/>
      <c r="JV968" s="1637"/>
      <c r="KA968" s="1637"/>
      <c r="KB968" s="1637"/>
      <c r="KC968" s="1637"/>
      <c r="KD968" s="1637"/>
      <c r="KE968" s="1637"/>
      <c r="KF968" s="1637"/>
      <c r="KG968" s="1637"/>
      <c r="KH968" s="1637"/>
      <c r="KI968" s="1637"/>
      <c r="KJ968" s="1637"/>
      <c r="KK968" s="1637"/>
      <c r="KL968" s="1637"/>
      <c r="KM968" s="1637"/>
      <c r="KN968" s="1637"/>
      <c r="KO968" s="1637"/>
      <c r="KP968" s="1637"/>
      <c r="KQ968" s="1637"/>
      <c r="KR968" s="1637"/>
      <c r="KS968" s="1637"/>
      <c r="KT968" s="1637"/>
      <c r="KU968" s="1637"/>
      <c r="KV968" s="1637"/>
      <c r="KW968" s="1637"/>
      <c r="KX968" s="1637"/>
      <c r="KY968" s="1637"/>
      <c r="KZ968" s="1637"/>
      <c r="LA968" s="1637"/>
      <c r="LB968" s="1637"/>
      <c r="LC968" s="1637"/>
      <c r="LD968" s="1637"/>
      <c r="LE968" s="1637"/>
      <c r="LF968" s="1637"/>
    </row>
    <row r="969" spans="1:357">
      <c r="B969" s="1806" t="s">
        <v>5114</v>
      </c>
      <c r="C969" s="1486"/>
      <c r="D969" s="1486"/>
      <c r="E969" s="1486"/>
      <c r="F969" s="1486"/>
      <c r="G969" s="1858"/>
      <c r="H969" s="1486"/>
      <c r="I969" s="1486"/>
      <c r="J969" s="1486"/>
      <c r="K969" s="1486"/>
      <c r="L969" s="1486"/>
      <c r="M969" s="1486"/>
      <c r="N969" s="1486"/>
      <c r="O969" s="1486"/>
      <c r="P969" s="1486"/>
      <c r="R969" s="1631" t="str">
        <f>B969</f>
        <v>NOT Included in Mgt Fee:</v>
      </c>
      <c r="JV969" s="1637"/>
      <c r="KA969" s="1637"/>
      <c r="KB969" s="1637"/>
      <c r="KC969" s="1637"/>
      <c r="KD969" s="1637"/>
      <c r="KE969" s="1637"/>
      <c r="KF969" s="1637"/>
      <c r="KG969" s="1637"/>
      <c r="KH969" s="1637"/>
      <c r="KI969" s="1637"/>
      <c r="KJ969" s="1637"/>
      <c r="KK969" s="1637"/>
      <c r="KL969" s="1637"/>
      <c r="KM969" s="1637"/>
      <c r="KN969" s="1637"/>
      <c r="KO969" s="1637"/>
      <c r="KP969" s="1637"/>
      <c r="KQ969" s="1637"/>
      <c r="KR969" s="1637"/>
      <c r="KS969" s="1637"/>
      <c r="KT969" s="1637"/>
      <c r="KU969" s="1637"/>
      <c r="KV969" s="1637"/>
      <c r="KW969" s="1637"/>
      <c r="KX969" s="1637"/>
      <c r="KY969" s="1637"/>
      <c r="KZ969" s="1637"/>
      <c r="LA969" s="1637"/>
      <c r="LB969" s="1637"/>
      <c r="LC969" s="1637"/>
      <c r="LD969" s="1637"/>
      <c r="LE969" s="1637"/>
      <c r="LF969" s="1637"/>
    </row>
    <row r="970" spans="1:357">
      <c r="B970" s="1634" t="s">
        <v>533</v>
      </c>
      <c r="C970" s="1634"/>
      <c r="D970" s="1634"/>
      <c r="E970" s="1634"/>
      <c r="F970" s="1634"/>
      <c r="G970" s="2152">
        <f>'Part VI-Revenues &amp; Expenses'!G208</f>
        <v>0</v>
      </c>
      <c r="H970" s="2152">
        <f>'Part VI-Revenues &amp; Expenses'!H208</f>
        <v>0</v>
      </c>
      <c r="I970" s="2152">
        <f>'Part VI-Revenues &amp; Expenses'!I208</f>
        <v>0</v>
      </c>
      <c r="J970" s="2152">
        <f>'Part VI-Revenues &amp; Expenses'!J208</f>
        <v>0</v>
      </c>
      <c r="K970" s="2152">
        <f>'Part VI-Revenues &amp; Expenses'!K208</f>
        <v>0</v>
      </c>
      <c r="L970" s="1486"/>
      <c r="M970" s="1486"/>
      <c r="N970" s="1486"/>
      <c r="O970" s="1486"/>
      <c r="P970" s="1486"/>
      <c r="R970" s="1838">
        <f>'Part VI-Revenues &amp; Expenses'!R208</f>
        <v>0</v>
      </c>
      <c r="S970" s="1838"/>
      <c r="T970" s="1838"/>
      <c r="U970" s="1838"/>
      <c r="V970" s="1838"/>
      <c r="JV970" s="1637"/>
      <c r="KA970" s="1637"/>
      <c r="KB970" s="1637"/>
      <c r="KC970" s="1637"/>
      <c r="KD970" s="1637"/>
      <c r="KE970" s="1637"/>
      <c r="KF970" s="1637"/>
      <c r="KG970" s="1637"/>
      <c r="KH970" s="1637"/>
      <c r="KI970" s="1637"/>
      <c r="KJ970" s="1637"/>
      <c r="KK970" s="1637"/>
      <c r="KL970" s="1637"/>
      <c r="KM970" s="1637"/>
      <c r="KN970" s="1637"/>
      <c r="KO970" s="1637"/>
      <c r="KP970" s="1637"/>
      <c r="KQ970" s="1637"/>
      <c r="KR970" s="1637"/>
      <c r="KS970" s="1637"/>
      <c r="KT970" s="1637"/>
      <c r="KU970" s="1637"/>
      <c r="KV970" s="1637"/>
      <c r="KW970" s="1637"/>
      <c r="KX970" s="1637"/>
      <c r="KY970" s="1637"/>
      <c r="KZ970" s="1637"/>
      <c r="LA970" s="1637"/>
      <c r="LB970" s="1637"/>
      <c r="LC970" s="1637"/>
      <c r="LD970" s="1637"/>
      <c r="LE970" s="1637"/>
      <c r="LF970" s="1637"/>
    </row>
    <row r="971" spans="1:357">
      <c r="B971" s="1634" t="s">
        <v>741</v>
      </c>
      <c r="C971" s="1634">
        <f>'Part VI-Revenues &amp; Expenses'!C209</f>
        <v>0</v>
      </c>
      <c r="D971" s="1634"/>
      <c r="E971" s="1634"/>
      <c r="F971" s="1634"/>
      <c r="G971" s="2152">
        <f>'Part VI-Revenues &amp; Expenses'!G209</f>
        <v>0</v>
      </c>
      <c r="H971" s="2152">
        <f>'Part VI-Revenues &amp; Expenses'!H209</f>
        <v>0</v>
      </c>
      <c r="I971" s="2152">
        <f>'Part VI-Revenues &amp; Expenses'!I209</f>
        <v>0</v>
      </c>
      <c r="J971" s="2152">
        <f>'Part VI-Revenues &amp; Expenses'!J209</f>
        <v>0</v>
      </c>
      <c r="K971" s="2152">
        <f>'Part VI-Revenues &amp; Expenses'!K209</f>
        <v>0</v>
      </c>
      <c r="L971" s="1486"/>
      <c r="M971" s="1486"/>
      <c r="N971" s="1486"/>
      <c r="O971" s="1486"/>
      <c r="P971" s="1486"/>
      <c r="R971" s="1838">
        <f>'Part VI-Revenues &amp; Expenses'!R209</f>
        <v>0</v>
      </c>
      <c r="S971" s="1838"/>
      <c r="T971" s="1838"/>
      <c r="U971" s="1838"/>
      <c r="V971" s="1838"/>
      <c r="JV971" s="1637"/>
      <c r="KA971" s="1637"/>
      <c r="KB971" s="1637"/>
      <c r="KC971" s="1637"/>
      <c r="KD971" s="1637"/>
      <c r="KE971" s="1637"/>
      <c r="KF971" s="1637"/>
      <c r="KG971" s="1637"/>
      <c r="KH971" s="1637"/>
      <c r="KI971" s="1637"/>
      <c r="KJ971" s="1637"/>
      <c r="KK971" s="1637"/>
      <c r="KL971" s="1637"/>
      <c r="KM971" s="1637"/>
      <c r="KN971" s="1637"/>
      <c r="KO971" s="1637"/>
      <c r="KP971" s="1637"/>
      <c r="KQ971" s="1637"/>
      <c r="KR971" s="1637"/>
      <c r="KS971" s="1637"/>
      <c r="KT971" s="1637"/>
      <c r="KU971" s="1637"/>
      <c r="KV971" s="1637"/>
      <c r="KW971" s="1637"/>
      <c r="KX971" s="1637"/>
      <c r="KY971" s="1637"/>
      <c r="KZ971" s="1637"/>
      <c r="LA971" s="1637"/>
      <c r="LB971" s="1637"/>
      <c r="LC971" s="1637"/>
      <c r="LD971" s="1637"/>
      <c r="LE971" s="1637"/>
      <c r="LF971" s="1637"/>
    </row>
    <row r="972" spans="1:357">
      <c r="B972" s="1634"/>
      <c r="C972" s="1634" t="s">
        <v>5115</v>
      </c>
      <c r="D972" s="1634"/>
      <c r="E972" s="1634"/>
      <c r="F972" s="1634"/>
      <c r="G972" s="1857">
        <f>SUM(G970:G971)</f>
        <v>0</v>
      </c>
      <c r="H972" s="1857">
        <f>SUM(H970:H971)</f>
        <v>0</v>
      </c>
      <c r="I972" s="1857">
        <f>SUM(I970:I971)</f>
        <v>0</v>
      </c>
      <c r="J972" s="1857">
        <f>SUM(J970:J971)</f>
        <v>0</v>
      </c>
      <c r="K972" s="1857">
        <f>SUM(K970:K971)</f>
        <v>0</v>
      </c>
      <c r="L972" s="1486"/>
      <c r="M972" s="1486"/>
      <c r="N972" s="1486"/>
      <c r="O972" s="1486"/>
      <c r="P972" s="1486"/>
      <c r="R972" s="1838">
        <f>'Part VI-Revenues &amp; Expenses'!R210</f>
        <v>0</v>
      </c>
      <c r="S972" s="1838"/>
      <c r="T972" s="1838"/>
      <c r="U972" s="1838"/>
      <c r="V972" s="1838"/>
      <c r="JV972" s="1637"/>
      <c r="KA972" s="1637"/>
      <c r="KB972" s="1637"/>
      <c r="KC972" s="1637"/>
      <c r="KD972" s="1637"/>
      <c r="KE972" s="1637"/>
      <c r="KF972" s="1637"/>
      <c r="KG972" s="1637"/>
      <c r="KH972" s="1637"/>
      <c r="KI972" s="1637"/>
      <c r="KJ972" s="1637"/>
      <c r="KK972" s="1637"/>
      <c r="KL972" s="1637"/>
      <c r="KM972" s="1637"/>
      <c r="KN972" s="1637"/>
      <c r="KO972" s="1637"/>
      <c r="KP972" s="1637"/>
      <c r="KQ972" s="1637"/>
      <c r="KR972" s="1637"/>
      <c r="KS972" s="1637"/>
      <c r="KT972" s="1637"/>
      <c r="KU972" s="1637"/>
      <c r="KV972" s="1637"/>
      <c r="KW972" s="1637"/>
      <c r="KX972" s="1637"/>
      <c r="KY972" s="1637"/>
      <c r="KZ972" s="1637"/>
      <c r="LA972" s="1637"/>
      <c r="LB972" s="1637"/>
      <c r="LC972" s="1637"/>
      <c r="LD972" s="1637"/>
      <c r="LE972" s="1637"/>
      <c r="LF972" s="1637"/>
    </row>
    <row r="973" spans="1:357">
      <c r="F973" s="1859"/>
      <c r="G973" s="1859"/>
      <c r="JV973" s="1637"/>
      <c r="KA973" s="1637"/>
      <c r="KB973" s="1637"/>
      <c r="KC973" s="1637"/>
      <c r="KD973" s="1637"/>
      <c r="KE973" s="1637"/>
      <c r="KF973" s="1637"/>
      <c r="KG973" s="1637"/>
      <c r="KH973" s="1637"/>
      <c r="KI973" s="1637"/>
      <c r="KJ973" s="1637"/>
      <c r="KK973" s="1637"/>
      <c r="KL973" s="1637"/>
      <c r="KM973" s="1637"/>
      <c r="KN973" s="1637"/>
      <c r="KO973" s="1637"/>
      <c r="KP973" s="1637"/>
      <c r="KQ973" s="1637"/>
      <c r="KR973" s="1637"/>
      <c r="KS973" s="1637"/>
      <c r="KT973" s="1637"/>
      <c r="KU973" s="1637"/>
      <c r="KV973" s="1637"/>
      <c r="KW973" s="1637"/>
      <c r="KX973" s="1637"/>
      <c r="KY973" s="1637"/>
      <c r="KZ973" s="1637"/>
      <c r="LA973" s="1637"/>
      <c r="LB973" s="1637"/>
      <c r="LC973" s="1637"/>
      <c r="LD973" s="1637"/>
      <c r="LE973" s="1637"/>
      <c r="LF973" s="1637"/>
    </row>
    <row r="974" spans="1:357">
      <c r="A974" s="1631" t="s">
        <v>1792</v>
      </c>
      <c r="B974" s="1947" t="s">
        <v>1019</v>
      </c>
      <c r="C974" s="1947"/>
      <c r="D974" s="1947"/>
      <c r="E974" s="1947"/>
      <c r="F974" s="1947"/>
      <c r="G974" s="1947"/>
      <c r="H974" s="1947"/>
      <c r="I974" s="1947"/>
      <c r="J974" s="1947"/>
      <c r="K974" s="1947"/>
      <c r="L974" s="1631"/>
      <c r="M974" s="1941"/>
      <c r="N974" s="1630"/>
      <c r="O974" s="1630"/>
      <c r="P974" s="1631"/>
      <c r="Q974" s="1631"/>
      <c r="R974" s="1631" t="str">
        <f>B974</f>
        <v>ANNUAL OPERATING EXPENSE BUDGET</v>
      </c>
      <c r="T974" s="1631"/>
      <c r="U974" s="1631"/>
      <c r="V974" s="1631"/>
      <c r="X974" s="1631"/>
      <c r="Y974" s="1631"/>
      <c r="Z974" s="1631"/>
      <c r="AA974" s="1631"/>
      <c r="AC974" s="1631"/>
      <c r="AD974" s="1631"/>
      <c r="AE974" s="1631"/>
      <c r="AF974" s="1631"/>
      <c r="AH974" s="1631"/>
      <c r="AI974" s="1631"/>
      <c r="AJ974" s="1631"/>
      <c r="AK974" s="1631"/>
      <c r="AM974" s="1631"/>
      <c r="AN974" s="1631"/>
      <c r="AO974" s="1631"/>
      <c r="AP974" s="1631"/>
      <c r="AQ974" s="1631"/>
      <c r="AR974" s="1631"/>
      <c r="AS974" s="1631"/>
      <c r="AT974" s="1631"/>
      <c r="AU974" s="1631"/>
      <c r="AV974" s="1631"/>
      <c r="AW974" s="1631"/>
      <c r="AX974" s="1631"/>
      <c r="AY974" s="1631"/>
      <c r="AZ974" s="1631"/>
      <c r="BA974" s="1631"/>
      <c r="BB974" s="1631"/>
      <c r="BC974" s="1631"/>
      <c r="BD974" s="1631"/>
      <c r="BE974" s="1631"/>
      <c r="BF974" s="1631"/>
      <c r="BG974" s="1631"/>
      <c r="BH974" s="1631"/>
      <c r="BI974" s="1631"/>
      <c r="BJ974" s="1631"/>
      <c r="BK974" s="1631"/>
      <c r="BL974" s="1631"/>
      <c r="BM974" s="1631"/>
      <c r="BN974" s="1631"/>
      <c r="BO974" s="1631"/>
      <c r="BP974" s="1631"/>
      <c r="BQ974" s="1631"/>
      <c r="BR974" s="1631"/>
      <c r="BS974" s="1631"/>
      <c r="BT974" s="1631"/>
      <c r="BU974" s="1631"/>
      <c r="BV974" s="1631"/>
      <c r="BW974" s="1631"/>
      <c r="BX974" s="1631"/>
      <c r="BY974" s="1631"/>
      <c r="BZ974" s="1631"/>
      <c r="CA974" s="1631"/>
      <c r="CB974" s="1631"/>
      <c r="CC974" s="1631"/>
      <c r="CD974" s="1631"/>
      <c r="CE974" s="1631"/>
      <c r="CF974" s="1631"/>
      <c r="CG974" s="1631"/>
      <c r="CH974" s="1631"/>
      <c r="CI974" s="1631"/>
      <c r="CJ974" s="1631"/>
      <c r="CK974" s="1631"/>
      <c r="CL974" s="1631"/>
      <c r="CM974" s="1631"/>
      <c r="CN974" s="1631"/>
      <c r="CO974" s="1631"/>
      <c r="CP974" s="1631"/>
      <c r="CQ974" s="1631"/>
      <c r="CR974" s="1631"/>
      <c r="CS974" s="1631"/>
      <c r="CT974" s="1631"/>
      <c r="CU974" s="1631"/>
      <c r="CV974" s="1631"/>
      <c r="CW974" s="1631"/>
      <c r="CX974" s="1631"/>
      <c r="CY974" s="1631"/>
      <c r="CZ974" s="1631"/>
      <c r="DA974" s="1631"/>
      <c r="DB974" s="1631"/>
      <c r="DC974" s="1631"/>
      <c r="DD974" s="1631"/>
      <c r="DE974" s="1631"/>
      <c r="DF974" s="1631"/>
      <c r="DG974" s="1631"/>
      <c r="DH974" s="1631"/>
      <c r="DI974" s="1631"/>
      <c r="DJ974" s="1631"/>
      <c r="DK974" s="1631"/>
      <c r="DL974" s="1631"/>
      <c r="DM974" s="1631"/>
      <c r="DN974" s="1631"/>
      <c r="DO974" s="1631"/>
      <c r="DP974" s="1631"/>
      <c r="DQ974" s="1631"/>
      <c r="DR974" s="1631"/>
      <c r="DS974" s="1631"/>
      <c r="DT974" s="1631"/>
      <c r="DU974" s="1631"/>
      <c r="DV974" s="1631"/>
      <c r="DW974" s="1631"/>
      <c r="DX974" s="1631"/>
      <c r="DY974" s="1631"/>
      <c r="DZ974" s="1631"/>
      <c r="EA974" s="1631"/>
      <c r="EB974" s="1631"/>
      <c r="EC974" s="1631"/>
      <c r="ED974" s="1631"/>
      <c r="EE974" s="1631"/>
      <c r="EF974" s="1631"/>
      <c r="EG974" s="1631"/>
      <c r="EH974" s="1631"/>
      <c r="EI974" s="1631"/>
      <c r="EJ974" s="1631"/>
      <c r="EK974" s="1631"/>
      <c r="EL974" s="1631"/>
      <c r="EM974" s="1631"/>
      <c r="EN974" s="1631"/>
      <c r="EO974" s="1631"/>
      <c r="EP974" s="1631"/>
      <c r="EQ974" s="1631"/>
      <c r="ER974" s="1631"/>
      <c r="ES974" s="1631"/>
      <c r="ET974" s="1631"/>
      <c r="EU974" s="1631"/>
      <c r="EV974" s="1631"/>
      <c r="EW974" s="1631"/>
      <c r="EX974" s="1631"/>
      <c r="EY974" s="1631"/>
      <c r="EZ974" s="1631"/>
      <c r="FA974" s="1631"/>
      <c r="FB974" s="1631"/>
      <c r="FC974" s="1631"/>
      <c r="FD974" s="1631"/>
      <c r="FE974" s="1631"/>
      <c r="FF974" s="1631"/>
      <c r="FG974" s="1631"/>
      <c r="FH974" s="1631"/>
      <c r="FI974" s="1631"/>
      <c r="FJ974" s="1631"/>
      <c r="FK974" s="1631"/>
      <c r="FL974" s="1631"/>
      <c r="FM974" s="1631"/>
      <c r="FN974" s="1631"/>
      <c r="FO974" s="1631"/>
      <c r="FP974" s="1631"/>
      <c r="FQ974" s="1631"/>
      <c r="FR974" s="1631"/>
      <c r="FS974" s="1631"/>
      <c r="FT974" s="1631"/>
      <c r="FU974" s="1631"/>
      <c r="FV974" s="1631"/>
      <c r="FW974" s="1631"/>
      <c r="FX974" s="1631"/>
      <c r="FY974" s="1631"/>
      <c r="FZ974" s="1631"/>
      <c r="GA974" s="1631"/>
      <c r="GB974" s="1631"/>
      <c r="GC974" s="1631"/>
      <c r="GD974" s="1631"/>
      <c r="GE974" s="1631"/>
      <c r="GF974" s="1631"/>
      <c r="GG974" s="1631"/>
      <c r="GH974" s="1631"/>
      <c r="GI974" s="1631"/>
      <c r="GJ974" s="1631"/>
      <c r="GK974" s="1631"/>
      <c r="GL974" s="1631"/>
      <c r="GM974" s="1631"/>
      <c r="GN974" s="1631"/>
      <c r="GO974" s="1631"/>
      <c r="GP974" s="1631"/>
      <c r="GQ974" s="1631"/>
      <c r="GR974" s="1631"/>
      <c r="GS974" s="1631"/>
      <c r="GT974" s="1631"/>
      <c r="GU974" s="1631"/>
      <c r="GV974" s="1631"/>
      <c r="GW974" s="1631"/>
      <c r="GX974" s="1631"/>
      <c r="GY974" s="1631"/>
      <c r="GZ974" s="1631"/>
      <c r="HA974" s="1631"/>
      <c r="HB974" s="1631"/>
      <c r="HC974" s="1631"/>
      <c r="HD974" s="1631"/>
      <c r="HE974" s="1631"/>
      <c r="HF974" s="1631"/>
      <c r="HG974" s="1631"/>
      <c r="HH974" s="1631"/>
      <c r="HI974" s="1631"/>
      <c r="HJ974" s="1631"/>
      <c r="HK974" s="1631"/>
      <c r="HL974" s="1631"/>
      <c r="HM974" s="1631"/>
      <c r="HN974" s="1631"/>
      <c r="HO974" s="1631"/>
      <c r="HP974" s="1631"/>
      <c r="HQ974" s="1631"/>
      <c r="HR974" s="1631"/>
      <c r="HS974" s="1631"/>
      <c r="HT974" s="1631"/>
      <c r="HU974" s="1631"/>
      <c r="HV974" s="1631"/>
      <c r="HW974" s="1631"/>
      <c r="HX974" s="1631"/>
      <c r="HY974" s="1631"/>
      <c r="HZ974" s="1631"/>
      <c r="IA974" s="1631"/>
      <c r="IB974" s="1631"/>
      <c r="IC974" s="1631"/>
      <c r="ID974" s="1631"/>
      <c r="IE974" s="1631"/>
      <c r="IF974" s="1631"/>
      <c r="IG974" s="1631"/>
      <c r="IH974" s="1631"/>
      <c r="II974" s="1631"/>
      <c r="IJ974" s="1631"/>
      <c r="IK974" s="1631"/>
      <c r="IL974" s="1631"/>
      <c r="IM974" s="1631"/>
      <c r="IN974" s="1631"/>
      <c r="IO974" s="1631"/>
      <c r="IP974" s="1631"/>
      <c r="IQ974" s="1631"/>
      <c r="IR974" s="1631"/>
      <c r="IS974" s="1631"/>
      <c r="IT974" s="1631"/>
      <c r="IU974" s="1631"/>
      <c r="IV974" s="1631"/>
      <c r="IW974" s="1631"/>
      <c r="IX974" s="1631"/>
      <c r="IY974" s="1631"/>
      <c r="IZ974" s="1631"/>
      <c r="JA974" s="1631"/>
      <c r="JB974" s="1631"/>
      <c r="JC974" s="1631"/>
      <c r="JD974" s="1631"/>
      <c r="JE974" s="1631"/>
      <c r="JF974" s="1631"/>
      <c r="JG974" s="1631"/>
      <c r="JH974" s="1631"/>
      <c r="JI974" s="1631"/>
      <c r="JJ974" s="1631"/>
      <c r="JK974" s="1631"/>
      <c r="JL974" s="1631"/>
      <c r="JM974" s="1631"/>
      <c r="JN974" s="1631"/>
      <c r="JO974" s="1631"/>
      <c r="JP974" s="1631"/>
      <c r="JQ974" s="1631"/>
      <c r="JR974" s="1631"/>
      <c r="JS974" s="1631"/>
      <c r="JT974" s="1631"/>
      <c r="JU974" s="1631"/>
      <c r="JV974" s="1630"/>
      <c r="JW974" s="1631"/>
      <c r="JX974" s="1631"/>
      <c r="JY974" s="1631"/>
      <c r="JZ974" s="1631"/>
      <c r="KA974" s="1630"/>
      <c r="KB974" s="1630"/>
      <c r="KC974" s="1630"/>
      <c r="KD974" s="1630"/>
      <c r="KE974" s="1630"/>
      <c r="KF974" s="1630"/>
      <c r="KG974" s="1630"/>
      <c r="KH974" s="1630"/>
      <c r="KI974" s="1630"/>
      <c r="KJ974" s="1630"/>
      <c r="KK974" s="1630"/>
      <c r="KL974" s="1630"/>
      <c r="KM974" s="1630"/>
      <c r="KN974" s="1630"/>
      <c r="KO974" s="1630"/>
      <c r="KP974" s="1630"/>
      <c r="KQ974" s="1630"/>
      <c r="KR974" s="1630"/>
      <c r="KS974" s="1630"/>
      <c r="KT974" s="1630"/>
      <c r="KU974" s="1630"/>
      <c r="KV974" s="1630"/>
      <c r="KW974" s="1630"/>
      <c r="KX974" s="1630"/>
      <c r="KY974" s="1630"/>
      <c r="KZ974" s="1630"/>
      <c r="LA974" s="1630"/>
      <c r="LB974" s="1630"/>
      <c r="LC974" s="1630"/>
      <c r="LD974" s="1630"/>
      <c r="LE974" s="1630"/>
      <c r="LF974" s="1630"/>
      <c r="LG974" s="1631"/>
      <c r="LH974" s="1631"/>
      <c r="LI974" s="1631"/>
      <c r="LJ974" s="1631"/>
      <c r="LK974" s="1631"/>
      <c r="LL974" s="1631"/>
      <c r="LM974" s="1631"/>
      <c r="LN974" s="1631"/>
      <c r="LO974" s="1631"/>
      <c r="LP974" s="1631"/>
      <c r="LQ974" s="1631"/>
      <c r="LR974" s="1631"/>
      <c r="LS974" s="1631"/>
      <c r="LT974" s="1631"/>
      <c r="LU974" s="1631"/>
      <c r="LV974" s="1631"/>
      <c r="LW974" s="1631"/>
      <c r="LX974" s="1631"/>
      <c r="LY974" s="1631"/>
      <c r="LZ974" s="1631"/>
      <c r="MA974" s="1631"/>
      <c r="MB974" s="1631"/>
      <c r="MC974" s="1631"/>
      <c r="MD974" s="1631"/>
      <c r="ME974" s="1631"/>
      <c r="MF974" s="1631"/>
      <c r="MG974" s="1631"/>
      <c r="MH974" s="1631"/>
      <c r="MI974" s="1631"/>
      <c r="MJ974" s="1631"/>
      <c r="MK974" s="1631"/>
      <c r="ML974" s="1631"/>
      <c r="MM974" s="1631"/>
      <c r="MN974" s="1631"/>
      <c r="MO974" s="1631"/>
      <c r="MP974" s="1631"/>
      <c r="MQ974" s="1631"/>
      <c r="MR974" s="1631"/>
      <c r="MS974" s="1631"/>
    </row>
    <row r="975" spans="1:357">
      <c r="A975" s="1631"/>
      <c r="B975" s="1947"/>
      <c r="C975" s="1947"/>
      <c r="D975" s="1947"/>
      <c r="E975" s="1947"/>
      <c r="F975" s="1947"/>
      <c r="G975" s="1947"/>
      <c r="H975" s="1947"/>
      <c r="I975" s="1947"/>
      <c r="J975" s="1947"/>
      <c r="K975" s="1631"/>
      <c r="L975" s="1631"/>
      <c r="M975" s="1631"/>
      <c r="N975" s="1631"/>
      <c r="O975" s="1631"/>
      <c r="P975" s="1631"/>
      <c r="Q975" s="1631"/>
      <c r="R975" s="1955" t="s">
        <v>1845</v>
      </c>
      <c r="S975" s="1955"/>
      <c r="T975" s="1631"/>
      <c r="U975" s="1631"/>
      <c r="V975" s="1631"/>
      <c r="W975" s="1631"/>
      <c r="X975" s="1631"/>
      <c r="Y975" s="1631"/>
      <c r="Z975" s="1631"/>
      <c r="AA975" s="1631"/>
      <c r="AB975" s="1631"/>
      <c r="AC975" s="1631"/>
      <c r="AD975" s="1631"/>
      <c r="AE975" s="1631"/>
      <c r="AF975" s="1631"/>
      <c r="AG975" s="1631"/>
      <c r="AH975" s="1631"/>
      <c r="AI975" s="1631"/>
      <c r="AJ975" s="1631"/>
      <c r="AK975" s="1631"/>
      <c r="AL975" s="1631"/>
      <c r="AM975" s="1631"/>
      <c r="AN975" s="1631"/>
      <c r="AO975" s="1631"/>
      <c r="AP975" s="1631"/>
      <c r="AQ975" s="1631"/>
      <c r="AR975" s="1631"/>
      <c r="AS975" s="1631"/>
      <c r="AT975" s="1631"/>
      <c r="AU975" s="1631"/>
      <c r="AV975" s="1631"/>
      <c r="AW975" s="1631"/>
      <c r="AX975" s="1631"/>
      <c r="AY975" s="1631"/>
      <c r="AZ975" s="1631"/>
      <c r="BA975" s="1631"/>
      <c r="BB975" s="1631"/>
      <c r="BC975" s="1631"/>
      <c r="BD975" s="1631"/>
      <c r="BE975" s="1631"/>
      <c r="BF975" s="1631"/>
      <c r="BG975" s="1631"/>
      <c r="BH975" s="1631"/>
      <c r="BI975" s="1631"/>
      <c r="BJ975" s="1631"/>
      <c r="BK975" s="1631"/>
      <c r="BL975" s="1631"/>
      <c r="BM975" s="1631"/>
      <c r="BN975" s="1631"/>
      <c r="BO975" s="1631"/>
      <c r="BP975" s="1631"/>
      <c r="BQ975" s="1631"/>
      <c r="BR975" s="1631"/>
      <c r="BS975" s="1631"/>
      <c r="BT975" s="1631"/>
      <c r="BU975" s="1631"/>
      <c r="BV975" s="1631"/>
      <c r="BW975" s="1631"/>
      <c r="BX975" s="1631"/>
      <c r="BY975" s="1631"/>
      <c r="BZ975" s="1631"/>
      <c r="CA975" s="1631"/>
      <c r="CB975" s="1631"/>
      <c r="CC975" s="1631"/>
      <c r="CD975" s="1631"/>
      <c r="CE975" s="1631"/>
      <c r="CF975" s="1631"/>
      <c r="CG975" s="1631"/>
      <c r="CH975" s="1631"/>
      <c r="CI975" s="1631"/>
      <c r="CJ975" s="1631"/>
      <c r="CK975" s="1631"/>
      <c r="CL975" s="1631"/>
      <c r="CM975" s="1631"/>
      <c r="CN975" s="1631"/>
      <c r="CO975" s="1631"/>
      <c r="CP975" s="1631"/>
      <c r="CQ975" s="1631"/>
      <c r="CR975" s="1631"/>
      <c r="CS975" s="1631"/>
      <c r="CT975" s="1631"/>
      <c r="CU975" s="1631"/>
      <c r="CV975" s="1631"/>
      <c r="CW975" s="1631"/>
      <c r="CX975" s="1631"/>
      <c r="CY975" s="1631"/>
      <c r="CZ975" s="1631"/>
      <c r="DA975" s="1631"/>
      <c r="DB975" s="1631"/>
      <c r="DC975" s="1631"/>
      <c r="DD975" s="1631"/>
      <c r="DE975" s="1631"/>
      <c r="DF975" s="1631"/>
      <c r="DG975" s="1631"/>
      <c r="DH975" s="1631"/>
      <c r="DI975" s="1631"/>
      <c r="DJ975" s="1631"/>
      <c r="DK975" s="1631"/>
      <c r="DL975" s="1631"/>
      <c r="DM975" s="1631"/>
      <c r="DN975" s="1631"/>
      <c r="DO975" s="1631"/>
      <c r="DP975" s="1631"/>
      <c r="DQ975" s="1631"/>
      <c r="DR975" s="1631"/>
      <c r="DS975" s="1631"/>
      <c r="DT975" s="1631"/>
      <c r="DU975" s="1631"/>
      <c r="DV975" s="1631"/>
      <c r="DW975" s="1631"/>
      <c r="DX975" s="1631"/>
      <c r="DY975" s="1631"/>
      <c r="DZ975" s="1631"/>
      <c r="EA975" s="1631"/>
      <c r="EB975" s="1631"/>
      <c r="EC975" s="1631"/>
      <c r="ED975" s="1631"/>
      <c r="EE975" s="1631"/>
      <c r="EF975" s="1631"/>
      <c r="EG975" s="1631"/>
      <c r="EH975" s="1631"/>
      <c r="EI975" s="1631"/>
      <c r="EJ975" s="1631"/>
      <c r="EK975" s="1631"/>
      <c r="EL975" s="1631"/>
      <c r="EM975" s="1631"/>
      <c r="EN975" s="1631"/>
      <c r="EO975" s="1631"/>
      <c r="EP975" s="1631"/>
      <c r="EQ975" s="1631"/>
      <c r="ER975" s="1631"/>
      <c r="ES975" s="1631"/>
      <c r="ET975" s="1631"/>
      <c r="EU975" s="1631"/>
      <c r="EV975" s="1631"/>
      <c r="EW975" s="1631"/>
      <c r="EX975" s="1631"/>
      <c r="EY975" s="1631"/>
      <c r="EZ975" s="1631"/>
      <c r="FA975" s="1631"/>
      <c r="FB975" s="1631"/>
      <c r="FC975" s="1631"/>
      <c r="FD975" s="1631"/>
      <c r="FE975" s="1631"/>
      <c r="FF975" s="1631"/>
      <c r="FG975" s="1631"/>
      <c r="FH975" s="1631"/>
      <c r="FI975" s="1631"/>
      <c r="FJ975" s="1631"/>
      <c r="FK975" s="1631"/>
      <c r="FL975" s="1631"/>
      <c r="FM975" s="1631"/>
      <c r="FN975" s="1631"/>
      <c r="FO975" s="1631"/>
      <c r="FP975" s="1631"/>
      <c r="FQ975" s="1631"/>
      <c r="FR975" s="1631"/>
      <c r="FS975" s="1631"/>
      <c r="FT975" s="1631"/>
      <c r="FU975" s="1631"/>
      <c r="FV975" s="1631"/>
      <c r="FW975" s="1631"/>
      <c r="FX975" s="1631"/>
      <c r="FY975" s="1631"/>
      <c r="FZ975" s="1631"/>
      <c r="GA975" s="1631"/>
      <c r="GB975" s="1631"/>
      <c r="GC975" s="1631"/>
      <c r="GD975" s="1631"/>
      <c r="GE975" s="1631"/>
      <c r="GF975" s="1631"/>
      <c r="GG975" s="1631"/>
      <c r="GH975" s="1631"/>
      <c r="GI975" s="1631"/>
      <c r="GJ975" s="1631"/>
      <c r="GK975" s="1631"/>
      <c r="GL975" s="1631"/>
      <c r="GM975" s="1631"/>
      <c r="GN975" s="1631"/>
      <c r="GO975" s="1631"/>
      <c r="GP975" s="1631"/>
      <c r="GQ975" s="1631"/>
      <c r="GR975" s="1631"/>
      <c r="GS975" s="1631"/>
      <c r="GT975" s="1631"/>
      <c r="GU975" s="1631"/>
      <c r="GV975" s="1631"/>
      <c r="GW975" s="1631"/>
      <c r="GX975" s="1631"/>
      <c r="GY975" s="1631"/>
      <c r="GZ975" s="1631"/>
      <c r="HA975" s="1631"/>
      <c r="HB975" s="1631"/>
      <c r="HC975" s="1631"/>
      <c r="HD975" s="1631"/>
      <c r="HE975" s="1631"/>
      <c r="HF975" s="1631"/>
      <c r="HG975" s="1631"/>
      <c r="HH975" s="1631"/>
      <c r="HI975" s="1631"/>
      <c r="HJ975" s="1631"/>
      <c r="HK975" s="1631"/>
      <c r="HL975" s="1631"/>
      <c r="HM975" s="1631"/>
      <c r="HN975" s="1631"/>
      <c r="HO975" s="1631"/>
      <c r="HP975" s="1631"/>
      <c r="HQ975" s="1631"/>
      <c r="HR975" s="1631"/>
      <c r="HS975" s="1631"/>
      <c r="HT975" s="1631"/>
      <c r="HU975" s="1631"/>
      <c r="HV975" s="1631"/>
      <c r="HW975" s="1631"/>
      <c r="HX975" s="1631"/>
      <c r="HY975" s="1631"/>
      <c r="HZ975" s="1631"/>
      <c r="IA975" s="1631"/>
      <c r="IB975" s="1631"/>
      <c r="IC975" s="1631"/>
      <c r="ID975" s="1631"/>
      <c r="IE975" s="1631"/>
      <c r="IF975" s="1631"/>
      <c r="IG975" s="1631"/>
      <c r="IH975" s="1631"/>
      <c r="II975" s="1631"/>
      <c r="IJ975" s="1631"/>
      <c r="IK975" s="1631"/>
      <c r="IL975" s="1631"/>
      <c r="IM975" s="1631"/>
      <c r="IN975" s="1631"/>
      <c r="IO975" s="1631"/>
      <c r="IP975" s="1631"/>
      <c r="IQ975" s="1631"/>
      <c r="IR975" s="1631"/>
      <c r="IS975" s="1631"/>
      <c r="IT975" s="1631"/>
      <c r="IU975" s="1631"/>
      <c r="IV975" s="1631"/>
      <c r="IW975" s="1631"/>
      <c r="IX975" s="1631"/>
      <c r="IY975" s="1631"/>
      <c r="IZ975" s="1631"/>
      <c r="JA975" s="1631"/>
      <c r="JB975" s="1631"/>
      <c r="JC975" s="1631"/>
      <c r="JD975" s="1631"/>
      <c r="JE975" s="1631"/>
      <c r="JF975" s="1631"/>
      <c r="JG975" s="1631"/>
      <c r="JH975" s="1631"/>
      <c r="JI975" s="1631"/>
      <c r="JJ975" s="1631"/>
      <c r="JK975" s="1631"/>
      <c r="JL975" s="1631"/>
      <c r="JM975" s="1631"/>
      <c r="JN975" s="1631"/>
      <c r="JO975" s="1631"/>
      <c r="JP975" s="1631"/>
      <c r="JQ975" s="1631"/>
      <c r="JR975" s="1631"/>
      <c r="JS975" s="1631"/>
      <c r="JT975" s="1631"/>
      <c r="JU975" s="1631"/>
      <c r="JV975" s="1630"/>
      <c r="JW975" s="1631"/>
      <c r="JX975" s="1631"/>
      <c r="JY975" s="1631"/>
      <c r="JZ975" s="1631"/>
      <c r="KA975" s="1630"/>
      <c r="KB975" s="1630"/>
      <c r="KC975" s="1630"/>
      <c r="KD975" s="1630"/>
      <c r="KE975" s="1630"/>
      <c r="KF975" s="1630"/>
      <c r="KG975" s="1630"/>
      <c r="KH975" s="1630"/>
      <c r="KI975" s="1630"/>
      <c r="KJ975" s="1630"/>
      <c r="KK975" s="1630"/>
      <c r="KL975" s="1630"/>
      <c r="KM975" s="1630"/>
      <c r="KN975" s="1630"/>
      <c r="KO975" s="1630"/>
      <c r="KP975" s="1630"/>
      <c r="KQ975" s="1630"/>
      <c r="KR975" s="1630"/>
      <c r="KS975" s="1630"/>
      <c r="KT975" s="1630"/>
      <c r="KU975" s="1630"/>
      <c r="KV975" s="1630"/>
      <c r="KW975" s="1630"/>
      <c r="KX975" s="1630"/>
      <c r="KY975" s="1630"/>
      <c r="KZ975" s="1630"/>
      <c r="LA975" s="1630"/>
      <c r="LB975" s="1630"/>
      <c r="LC975" s="1630"/>
      <c r="LD975" s="1630"/>
      <c r="LE975" s="1630"/>
      <c r="LF975" s="1630"/>
      <c r="LG975" s="1631"/>
      <c r="LH975" s="1631"/>
      <c r="LI975" s="1631"/>
      <c r="LJ975" s="1631"/>
      <c r="LK975" s="1631"/>
      <c r="LL975" s="1631"/>
      <c r="LM975" s="1631"/>
      <c r="LN975" s="1631"/>
      <c r="LO975" s="1631"/>
      <c r="LP975" s="1631"/>
      <c r="LQ975" s="1631"/>
      <c r="LR975" s="1631"/>
      <c r="LS975" s="1631"/>
      <c r="LT975" s="1631"/>
      <c r="LU975" s="1631"/>
      <c r="LV975" s="1631"/>
      <c r="LW975" s="1631"/>
      <c r="LX975" s="1631"/>
      <c r="LY975" s="1631"/>
      <c r="LZ975" s="1631"/>
      <c r="MA975" s="1631"/>
      <c r="MB975" s="1631"/>
      <c r="MC975" s="1631"/>
      <c r="MD975" s="1631"/>
      <c r="ME975" s="1631"/>
      <c r="MF975" s="1631"/>
      <c r="MG975" s="1631"/>
      <c r="MH975" s="1631"/>
      <c r="MI975" s="1631"/>
      <c r="MJ975" s="1631"/>
      <c r="MK975" s="1631"/>
      <c r="ML975" s="1631"/>
      <c r="MM975" s="1631"/>
      <c r="MN975" s="1631"/>
      <c r="MO975" s="1631"/>
      <c r="MP975" s="1631"/>
      <c r="MQ975" s="1631"/>
      <c r="MR975" s="1631"/>
      <c r="MS975" s="1631"/>
    </row>
    <row r="976" spans="1:357">
      <c r="A976" s="1631"/>
      <c r="B976" s="1631" t="s">
        <v>1290</v>
      </c>
      <c r="C976" s="1631"/>
      <c r="D976" s="1631"/>
      <c r="E976" s="1631"/>
      <c r="H976" s="1631"/>
      <c r="I976" s="1631" t="s">
        <v>1377</v>
      </c>
      <c r="J976" s="1631"/>
      <c r="K976" s="1631"/>
      <c r="L976" s="1631"/>
      <c r="M976" s="1631"/>
      <c r="N976" s="1631" t="s">
        <v>1376</v>
      </c>
      <c r="O976" s="1631"/>
      <c r="P976" s="1631"/>
      <c r="Q976" s="1631"/>
      <c r="R976" s="1838">
        <f>'Part VI-Revenues &amp; Expenses'!R214</f>
        <v>0</v>
      </c>
      <c r="S976" s="1838"/>
      <c r="T976" s="1838"/>
      <c r="U976" s="1838"/>
      <c r="V976" s="1838"/>
      <c r="X976" s="1631"/>
      <c r="Y976" s="1631"/>
      <c r="Z976" s="1631"/>
      <c r="AA976" s="1631"/>
      <c r="AC976" s="1631"/>
      <c r="AD976" s="1631"/>
      <c r="AE976" s="1631"/>
      <c r="AF976" s="1631"/>
      <c r="AH976" s="1631"/>
      <c r="AI976" s="1631"/>
      <c r="AJ976" s="1631"/>
      <c r="AK976" s="1631"/>
      <c r="AM976" s="1631"/>
      <c r="AN976" s="1631"/>
      <c r="AO976" s="1631"/>
      <c r="AP976" s="1631"/>
      <c r="AQ976" s="1631"/>
      <c r="AR976" s="1631"/>
      <c r="AS976" s="1631"/>
      <c r="AT976" s="1631"/>
      <c r="AU976" s="1631"/>
      <c r="AV976" s="1631"/>
      <c r="AW976" s="1631"/>
      <c r="AX976" s="1631"/>
      <c r="AY976" s="1631"/>
      <c r="AZ976" s="1631"/>
      <c r="BA976" s="1631"/>
      <c r="BB976" s="1631"/>
      <c r="BC976" s="1631"/>
      <c r="BD976" s="1631"/>
      <c r="BE976" s="1631"/>
      <c r="BF976" s="1631"/>
      <c r="BG976" s="1631"/>
      <c r="BH976" s="1631"/>
      <c r="BI976" s="1631"/>
      <c r="BJ976" s="1631"/>
      <c r="BK976" s="1631"/>
      <c r="BL976" s="1631"/>
      <c r="BM976" s="1631"/>
      <c r="BN976" s="1631"/>
      <c r="BO976" s="1631"/>
      <c r="BP976" s="1631"/>
      <c r="BQ976" s="1631"/>
      <c r="BR976" s="1631"/>
      <c r="BS976" s="1631"/>
      <c r="BT976" s="1631"/>
      <c r="BU976" s="1631"/>
      <c r="BV976" s="1631"/>
      <c r="BW976" s="1631"/>
      <c r="BX976" s="1631"/>
      <c r="BY976" s="1631"/>
      <c r="BZ976" s="1631"/>
      <c r="CA976" s="1631"/>
      <c r="CB976" s="1631"/>
      <c r="CC976" s="1631"/>
      <c r="CD976" s="1631"/>
      <c r="CE976" s="1631"/>
      <c r="CF976" s="1631"/>
      <c r="CG976" s="1631"/>
      <c r="CH976" s="1631"/>
      <c r="CI976" s="1631"/>
      <c r="CJ976" s="1631"/>
      <c r="CK976" s="1631"/>
      <c r="CL976" s="1631"/>
      <c r="CM976" s="1631"/>
      <c r="CN976" s="1631"/>
      <c r="CO976" s="1631"/>
      <c r="CP976" s="1631"/>
      <c r="CQ976" s="1631"/>
      <c r="CR976" s="1631"/>
      <c r="CS976" s="1631"/>
      <c r="CT976" s="1631"/>
      <c r="CU976" s="1631"/>
      <c r="CV976" s="1631"/>
      <c r="CW976" s="1631"/>
      <c r="CX976" s="1631"/>
      <c r="CY976" s="1631"/>
      <c r="CZ976" s="1631"/>
      <c r="DA976" s="1631"/>
      <c r="DB976" s="1631"/>
      <c r="DC976" s="1631"/>
      <c r="DD976" s="1631"/>
      <c r="DE976" s="1631"/>
      <c r="DF976" s="1631"/>
      <c r="DG976" s="1631"/>
      <c r="DH976" s="1631"/>
      <c r="DI976" s="1631"/>
      <c r="DJ976" s="1631"/>
      <c r="DK976" s="1631"/>
      <c r="DL976" s="1631"/>
      <c r="DM976" s="1631"/>
      <c r="DN976" s="1631"/>
      <c r="DO976" s="1631"/>
      <c r="DP976" s="1631"/>
      <c r="DQ976" s="1631"/>
      <c r="DR976" s="1631"/>
      <c r="DS976" s="1631"/>
      <c r="DT976" s="1631"/>
      <c r="DU976" s="1631"/>
      <c r="DV976" s="1631"/>
      <c r="DW976" s="1631"/>
      <c r="DX976" s="1631"/>
      <c r="DY976" s="1631"/>
      <c r="DZ976" s="1631"/>
      <c r="EA976" s="1631"/>
      <c r="EB976" s="1631"/>
      <c r="EC976" s="1631"/>
      <c r="ED976" s="1631"/>
      <c r="EE976" s="1631"/>
      <c r="EF976" s="1631"/>
      <c r="EG976" s="1631"/>
      <c r="EH976" s="1631"/>
      <c r="EI976" s="1631"/>
      <c r="EJ976" s="1631"/>
      <c r="EK976" s="1631"/>
      <c r="EL976" s="1631"/>
      <c r="EM976" s="1631"/>
      <c r="EN976" s="1631"/>
      <c r="EO976" s="1631"/>
      <c r="EP976" s="1631"/>
      <c r="EQ976" s="1631"/>
      <c r="ER976" s="1631"/>
      <c r="ES976" s="1631"/>
      <c r="ET976" s="1631"/>
      <c r="EU976" s="1631"/>
      <c r="EV976" s="1631"/>
      <c r="EW976" s="1631"/>
      <c r="EX976" s="1631"/>
      <c r="EY976" s="1631"/>
      <c r="EZ976" s="1631"/>
      <c r="FA976" s="1631"/>
      <c r="FB976" s="1631"/>
      <c r="FC976" s="1631"/>
      <c r="FD976" s="1631"/>
      <c r="FE976" s="1631"/>
      <c r="FF976" s="1631"/>
      <c r="FG976" s="1631"/>
      <c r="FH976" s="1631"/>
      <c r="FI976" s="1631"/>
      <c r="FJ976" s="1631"/>
      <c r="FK976" s="1631"/>
      <c r="FL976" s="1631"/>
      <c r="FM976" s="1631"/>
      <c r="FN976" s="1631"/>
      <c r="FO976" s="1631"/>
      <c r="FP976" s="1631"/>
      <c r="FQ976" s="1631"/>
      <c r="FR976" s="1631"/>
      <c r="FS976" s="1631"/>
      <c r="FT976" s="1631"/>
      <c r="FU976" s="1631"/>
      <c r="FV976" s="1631"/>
      <c r="FW976" s="1631"/>
      <c r="FX976" s="1631"/>
      <c r="FY976" s="1631"/>
      <c r="FZ976" s="1631"/>
      <c r="GA976" s="1631"/>
      <c r="GB976" s="1631"/>
      <c r="GC976" s="1631"/>
      <c r="GD976" s="1631"/>
      <c r="GE976" s="1631"/>
      <c r="GF976" s="1631"/>
      <c r="GG976" s="1631"/>
      <c r="GH976" s="1631"/>
      <c r="GI976" s="1631"/>
      <c r="GJ976" s="1631"/>
      <c r="GK976" s="1631"/>
      <c r="GL976" s="1631"/>
      <c r="GM976" s="1631"/>
      <c r="GN976" s="1631"/>
      <c r="GO976" s="1631"/>
      <c r="GP976" s="1631"/>
      <c r="GQ976" s="1631"/>
      <c r="GR976" s="1631"/>
      <c r="GS976" s="1631"/>
      <c r="GT976" s="1631"/>
      <c r="GU976" s="1631"/>
      <c r="GV976" s="1631"/>
      <c r="GW976" s="1631"/>
      <c r="GX976" s="1631"/>
      <c r="GY976" s="1631"/>
      <c r="GZ976" s="1631"/>
      <c r="HA976" s="1631"/>
      <c r="HB976" s="1631"/>
      <c r="HC976" s="1631"/>
      <c r="HD976" s="1631"/>
      <c r="HE976" s="1631"/>
      <c r="HF976" s="1631"/>
      <c r="HG976" s="1631"/>
      <c r="HH976" s="1631"/>
      <c r="HI976" s="1631"/>
      <c r="HJ976" s="1631"/>
      <c r="HK976" s="1631"/>
      <c r="HL976" s="1631"/>
      <c r="HM976" s="1631"/>
      <c r="HN976" s="1631"/>
      <c r="HO976" s="1631"/>
      <c r="HP976" s="1631"/>
      <c r="HQ976" s="1631"/>
      <c r="HR976" s="1631"/>
      <c r="HS976" s="1631"/>
      <c r="HT976" s="1631"/>
      <c r="HU976" s="1631"/>
      <c r="HV976" s="1631"/>
      <c r="HW976" s="1631"/>
      <c r="HX976" s="1631"/>
      <c r="HY976" s="1631"/>
      <c r="HZ976" s="1631"/>
      <c r="IA976" s="1631"/>
      <c r="IB976" s="1631"/>
      <c r="IC976" s="1631"/>
      <c r="ID976" s="1631"/>
      <c r="IE976" s="1631"/>
      <c r="IF976" s="1631"/>
      <c r="IG976" s="1631"/>
      <c r="IH976" s="1631"/>
      <c r="II976" s="1631"/>
      <c r="IJ976" s="1631"/>
      <c r="IK976" s="1631"/>
      <c r="IL976" s="1631"/>
      <c r="IM976" s="1631"/>
      <c r="IN976" s="1631"/>
      <c r="IO976" s="1631"/>
      <c r="IP976" s="1631"/>
      <c r="IQ976" s="1631"/>
      <c r="IR976" s="1631"/>
      <c r="IS976" s="1631"/>
      <c r="IT976" s="1631"/>
      <c r="IU976" s="1631"/>
      <c r="IV976" s="1631"/>
      <c r="IW976" s="1631"/>
      <c r="IX976" s="1631"/>
      <c r="IY976" s="1631"/>
      <c r="IZ976" s="1631"/>
      <c r="JA976" s="1631"/>
      <c r="JB976" s="1631"/>
      <c r="JC976" s="1631"/>
      <c r="JD976" s="1631"/>
      <c r="JE976" s="1631"/>
      <c r="JF976" s="1631"/>
      <c r="JG976" s="1631"/>
      <c r="JH976" s="1631"/>
      <c r="JI976" s="1631"/>
      <c r="JJ976" s="1631"/>
      <c r="JK976" s="1631"/>
      <c r="JL976" s="1631"/>
      <c r="JM976" s="1631"/>
      <c r="JN976" s="1631"/>
      <c r="JO976" s="1631"/>
      <c r="JP976" s="1631"/>
      <c r="JQ976" s="1631"/>
      <c r="JR976" s="1631"/>
      <c r="JS976" s="1631"/>
      <c r="JT976" s="1631"/>
      <c r="JU976" s="1631"/>
      <c r="JV976" s="1630"/>
      <c r="JW976" s="1631"/>
      <c r="JX976" s="1631"/>
      <c r="JY976" s="1631"/>
      <c r="JZ976" s="1631"/>
      <c r="KA976" s="1630"/>
      <c r="KB976" s="1630"/>
      <c r="KC976" s="1630"/>
      <c r="KD976" s="1630"/>
      <c r="KE976" s="1630"/>
      <c r="KF976" s="1630"/>
      <c r="KG976" s="1630"/>
      <c r="KH976" s="1630"/>
      <c r="KI976" s="1630"/>
      <c r="KJ976" s="1630"/>
      <c r="KK976" s="1630"/>
      <c r="KL976" s="1630"/>
      <c r="KM976" s="1630"/>
      <c r="KN976" s="1630"/>
      <c r="KO976" s="1630"/>
      <c r="KP976" s="1630"/>
      <c r="KQ976" s="1630"/>
      <c r="KR976" s="1630"/>
      <c r="KS976" s="1630"/>
      <c r="KT976" s="1630"/>
      <c r="KU976" s="1630"/>
      <c r="KV976" s="1630"/>
      <c r="KW976" s="1630"/>
      <c r="KX976" s="1630"/>
      <c r="KY976" s="1630"/>
      <c r="KZ976" s="1630"/>
      <c r="LA976" s="1630"/>
      <c r="LB976" s="1630"/>
      <c r="LC976" s="1630"/>
      <c r="LD976" s="1630"/>
      <c r="LE976" s="1630"/>
      <c r="LF976" s="1630"/>
      <c r="LG976" s="1631"/>
      <c r="LH976" s="1631"/>
      <c r="LI976" s="1631"/>
      <c r="LJ976" s="1631"/>
      <c r="LK976" s="1631"/>
      <c r="LL976" s="1631"/>
      <c r="LM976" s="1631"/>
      <c r="LN976" s="1631"/>
      <c r="LO976" s="1631"/>
      <c r="LP976" s="1631"/>
      <c r="LQ976" s="1631"/>
      <c r="LR976" s="1631"/>
      <c r="LS976" s="1631"/>
      <c r="LT976" s="1631"/>
      <c r="LU976" s="1631"/>
      <c r="LV976" s="1631"/>
      <c r="LW976" s="1631"/>
      <c r="LX976" s="1631"/>
      <c r="LY976" s="1631"/>
      <c r="LZ976" s="1631"/>
      <c r="MA976" s="1631"/>
      <c r="MB976" s="1631"/>
      <c r="MC976" s="1631"/>
      <c r="MD976" s="1631"/>
      <c r="ME976" s="1631"/>
      <c r="MF976" s="1631"/>
      <c r="MG976" s="1631"/>
      <c r="MH976" s="1631"/>
      <c r="MI976" s="1631"/>
      <c r="MJ976" s="1631"/>
      <c r="MK976" s="1631"/>
      <c r="ML976" s="1631"/>
      <c r="MM976" s="1631"/>
      <c r="MN976" s="1631"/>
      <c r="MO976" s="1631"/>
      <c r="MP976" s="1631"/>
      <c r="MQ976" s="1631"/>
      <c r="MR976" s="1631"/>
      <c r="MS976" s="1631"/>
    </row>
    <row r="977" spans="1:357">
      <c r="A977" s="1631"/>
      <c r="B977" s="1631" t="s">
        <v>2196</v>
      </c>
      <c r="C977" s="1631"/>
      <c r="D977" s="1631"/>
      <c r="E977" s="1631"/>
      <c r="F977" s="1847">
        <f>'Part VI-Revenues &amp; Expenses'!F215</f>
        <v>49140</v>
      </c>
      <c r="G977" s="1847"/>
      <c r="H977" s="1631"/>
      <c r="I977" s="1631" t="s">
        <v>1378</v>
      </c>
      <c r="J977" s="1631"/>
      <c r="K977" s="1847">
        <f>'Part VI-Revenues &amp; Expenses'!K215</f>
        <v>0</v>
      </c>
      <c r="L977" s="1847"/>
      <c r="M977" s="1631"/>
      <c r="N977" s="1631" t="s">
        <v>929</v>
      </c>
      <c r="O977" s="1631"/>
      <c r="P977" s="1862">
        <f>'Part VI-Revenues &amp; Expenses'!P215</f>
        <v>85260</v>
      </c>
      <c r="Q977" s="1862"/>
      <c r="R977" s="1838">
        <f>'Part VI-Revenues &amp; Expenses'!R215</f>
        <v>0</v>
      </c>
      <c r="S977" s="1838"/>
      <c r="T977" s="1838"/>
      <c r="U977" s="1838"/>
      <c r="V977" s="1838"/>
      <c r="X977" s="1631"/>
      <c r="Y977" s="1631"/>
      <c r="Z977" s="1631"/>
      <c r="AA977" s="1631"/>
      <c r="AC977" s="1631"/>
      <c r="AD977" s="1631"/>
      <c r="AE977" s="1631"/>
      <c r="AF977" s="1631"/>
      <c r="AH977" s="1631"/>
      <c r="AI977" s="1631"/>
      <c r="AJ977" s="1631"/>
      <c r="AK977" s="1631"/>
      <c r="AM977" s="1631"/>
      <c r="AN977" s="1631"/>
      <c r="AO977" s="1631"/>
      <c r="AP977" s="1631"/>
      <c r="AQ977" s="1631"/>
      <c r="AR977" s="1631"/>
      <c r="AS977" s="1631"/>
      <c r="AT977" s="1631"/>
      <c r="AU977" s="1631"/>
      <c r="AV977" s="1631"/>
      <c r="AW977" s="1631"/>
      <c r="AX977" s="1631"/>
      <c r="AY977" s="1631"/>
      <c r="AZ977" s="1631"/>
      <c r="BA977" s="1631"/>
      <c r="BB977" s="1631"/>
      <c r="BC977" s="1631"/>
      <c r="BD977" s="1631"/>
      <c r="BE977" s="1631"/>
      <c r="BF977" s="1631"/>
      <c r="BG977" s="1631"/>
      <c r="BH977" s="1631"/>
      <c r="BI977" s="1631"/>
      <c r="BJ977" s="1631"/>
      <c r="BK977" s="1631"/>
      <c r="BL977" s="1631"/>
      <c r="BM977" s="1631"/>
      <c r="BN977" s="1631"/>
      <c r="BO977" s="1631"/>
      <c r="BP977" s="1631"/>
      <c r="BQ977" s="1631"/>
      <c r="BR977" s="1631"/>
      <c r="BS977" s="1631"/>
      <c r="BT977" s="1631"/>
      <c r="BU977" s="1631"/>
      <c r="BV977" s="1631"/>
      <c r="BW977" s="1631"/>
      <c r="BX977" s="1631"/>
      <c r="BY977" s="1631"/>
      <c r="BZ977" s="1631"/>
      <c r="CA977" s="1631"/>
      <c r="CB977" s="1631"/>
      <c r="CC977" s="1631"/>
      <c r="CD977" s="1631"/>
      <c r="CE977" s="1631"/>
      <c r="CF977" s="1631"/>
      <c r="CG977" s="1631"/>
      <c r="CH977" s="1631"/>
      <c r="CI977" s="1631"/>
      <c r="CJ977" s="1631"/>
      <c r="CK977" s="1631"/>
      <c r="CL977" s="1631"/>
      <c r="CM977" s="1631"/>
      <c r="CN977" s="1631"/>
      <c r="CO977" s="1631"/>
      <c r="CP977" s="1631"/>
      <c r="CQ977" s="1631"/>
      <c r="CR977" s="1631"/>
      <c r="CS977" s="1631"/>
      <c r="CT977" s="1631"/>
      <c r="CU977" s="1631"/>
      <c r="CV977" s="1631"/>
      <c r="CW977" s="1631"/>
      <c r="CX977" s="1631"/>
      <c r="CY977" s="1631"/>
      <c r="CZ977" s="1631"/>
      <c r="DA977" s="1631"/>
      <c r="DB977" s="1631"/>
      <c r="DC977" s="1631"/>
      <c r="DD977" s="1631"/>
      <c r="DE977" s="1631"/>
      <c r="DF977" s="1631"/>
      <c r="DG977" s="1631"/>
      <c r="DH977" s="1631"/>
      <c r="DI977" s="1631"/>
      <c r="DJ977" s="1631"/>
      <c r="DK977" s="1631"/>
      <c r="DL977" s="1631"/>
      <c r="DM977" s="1631"/>
      <c r="DN977" s="1631"/>
      <c r="DO977" s="1631"/>
      <c r="DP977" s="1631"/>
      <c r="DQ977" s="1631"/>
      <c r="DR977" s="1631"/>
      <c r="DS977" s="1631"/>
      <c r="DT977" s="1631"/>
      <c r="DU977" s="1631"/>
      <c r="DV977" s="1631"/>
      <c r="DW977" s="1631"/>
      <c r="DX977" s="1631"/>
      <c r="DY977" s="1631"/>
      <c r="DZ977" s="1631"/>
      <c r="EA977" s="1631"/>
      <c r="EB977" s="1631"/>
      <c r="EC977" s="1631"/>
      <c r="ED977" s="1631"/>
      <c r="EE977" s="1631"/>
      <c r="EF977" s="1631"/>
      <c r="EG977" s="1631"/>
      <c r="EH977" s="1631"/>
      <c r="EI977" s="1631"/>
      <c r="EJ977" s="1631"/>
      <c r="EK977" s="1631"/>
      <c r="EL977" s="1631"/>
      <c r="EM977" s="1631"/>
      <c r="EN977" s="1631"/>
      <c r="EO977" s="1631"/>
      <c r="EP977" s="1631"/>
      <c r="EQ977" s="1631"/>
      <c r="ER977" s="1631"/>
      <c r="ES977" s="1631"/>
      <c r="ET977" s="1631"/>
      <c r="EU977" s="1631"/>
      <c r="EV977" s="1631"/>
      <c r="EW977" s="1631"/>
      <c r="EX977" s="1631"/>
      <c r="EY977" s="1631"/>
      <c r="EZ977" s="1631"/>
      <c r="FA977" s="1631"/>
      <c r="FB977" s="1631"/>
      <c r="FC977" s="1631"/>
      <c r="FD977" s="1631"/>
      <c r="FE977" s="1631"/>
      <c r="FF977" s="1631"/>
      <c r="FG977" s="1631"/>
      <c r="FH977" s="1631"/>
      <c r="FI977" s="1631"/>
      <c r="FJ977" s="1631"/>
      <c r="FK977" s="1631"/>
      <c r="FL977" s="1631"/>
      <c r="FM977" s="1631"/>
      <c r="FN977" s="1631"/>
      <c r="FO977" s="1631"/>
      <c r="FP977" s="1631"/>
      <c r="FQ977" s="1631"/>
      <c r="FR977" s="1631"/>
      <c r="FS977" s="1631"/>
      <c r="FT977" s="1631"/>
      <c r="FU977" s="1631"/>
      <c r="FV977" s="1631"/>
      <c r="FW977" s="1631"/>
      <c r="FX977" s="1631"/>
      <c r="FY977" s="1631"/>
      <c r="FZ977" s="1631"/>
      <c r="GA977" s="1631"/>
      <c r="GB977" s="1631"/>
      <c r="GC977" s="1631"/>
      <c r="GD977" s="1631"/>
      <c r="GE977" s="1631"/>
      <c r="GF977" s="1631"/>
      <c r="GG977" s="1631"/>
      <c r="GH977" s="1631"/>
      <c r="GI977" s="1631"/>
      <c r="GJ977" s="1631"/>
      <c r="GK977" s="1631"/>
      <c r="GL977" s="1631"/>
      <c r="GM977" s="1631"/>
      <c r="GN977" s="1631"/>
      <c r="GO977" s="1631"/>
      <c r="GP977" s="1631"/>
      <c r="GQ977" s="1631"/>
      <c r="GR977" s="1631"/>
      <c r="GS977" s="1631"/>
      <c r="GT977" s="1631"/>
      <c r="GU977" s="1631"/>
      <c r="GV977" s="1631"/>
      <c r="GW977" s="1631"/>
      <c r="GX977" s="1631"/>
      <c r="GY977" s="1631"/>
      <c r="GZ977" s="1631"/>
      <c r="HA977" s="1631"/>
      <c r="HB977" s="1631"/>
      <c r="HC977" s="1631"/>
      <c r="HD977" s="1631"/>
      <c r="HE977" s="1631"/>
      <c r="HF977" s="1631"/>
      <c r="HG977" s="1631"/>
      <c r="HH977" s="1631"/>
      <c r="HI977" s="1631"/>
      <c r="HJ977" s="1631"/>
      <c r="HK977" s="1631"/>
      <c r="HL977" s="1631"/>
      <c r="HM977" s="1631"/>
      <c r="HN977" s="1631"/>
      <c r="HO977" s="1631"/>
      <c r="HP977" s="1631"/>
      <c r="HQ977" s="1631"/>
      <c r="HR977" s="1631"/>
      <c r="HS977" s="1631"/>
      <c r="HT977" s="1631"/>
      <c r="HU977" s="1631"/>
      <c r="HV977" s="1631"/>
      <c r="HW977" s="1631"/>
      <c r="HX977" s="1631"/>
      <c r="HY977" s="1631"/>
      <c r="HZ977" s="1631"/>
      <c r="IA977" s="1631"/>
      <c r="IB977" s="1631"/>
      <c r="IC977" s="1631"/>
      <c r="ID977" s="1631"/>
      <c r="IE977" s="1631"/>
      <c r="IF977" s="1631"/>
      <c r="IG977" s="1631"/>
      <c r="IH977" s="1631"/>
      <c r="II977" s="1631"/>
      <c r="IJ977" s="1631"/>
      <c r="IK977" s="1631"/>
      <c r="IL977" s="1631"/>
      <c r="IM977" s="1631"/>
      <c r="IN977" s="1631"/>
      <c r="IO977" s="1631"/>
      <c r="IP977" s="1631"/>
      <c r="IQ977" s="1631"/>
      <c r="IR977" s="1631"/>
      <c r="IS977" s="1631"/>
      <c r="IT977" s="1631"/>
      <c r="IU977" s="1631"/>
      <c r="IV977" s="1631"/>
      <c r="IW977" s="1631"/>
      <c r="IX977" s="1631"/>
      <c r="IY977" s="1631"/>
      <c r="IZ977" s="1631"/>
      <c r="JA977" s="1631"/>
      <c r="JB977" s="1631"/>
      <c r="JC977" s="1631"/>
      <c r="JD977" s="1631"/>
      <c r="JE977" s="1631"/>
      <c r="JF977" s="1631"/>
      <c r="JG977" s="1631"/>
      <c r="JH977" s="1631"/>
      <c r="JI977" s="1631"/>
      <c r="JJ977" s="1631"/>
      <c r="JK977" s="1631"/>
      <c r="JL977" s="1631"/>
      <c r="JM977" s="1631"/>
      <c r="JN977" s="1631"/>
      <c r="JO977" s="1631"/>
      <c r="JP977" s="1631"/>
      <c r="JQ977" s="1631"/>
      <c r="JR977" s="1631"/>
      <c r="JS977" s="1631"/>
      <c r="JT977" s="1631"/>
      <c r="JU977" s="1631"/>
      <c r="JV977" s="1630"/>
      <c r="JW977" s="1631"/>
      <c r="JX977" s="1631"/>
      <c r="JY977" s="1631"/>
      <c r="JZ977" s="1631"/>
      <c r="KA977" s="1630"/>
      <c r="KB977" s="1630"/>
      <c r="KC977" s="1630"/>
      <c r="KD977" s="1630"/>
      <c r="KE977" s="1630"/>
      <c r="KF977" s="1630"/>
      <c r="KG977" s="1630"/>
      <c r="KH977" s="1630"/>
      <c r="KI977" s="1630"/>
      <c r="KJ977" s="1630"/>
      <c r="KK977" s="1630"/>
      <c r="KL977" s="1630"/>
      <c r="KM977" s="1630"/>
      <c r="KN977" s="1630"/>
      <c r="KO977" s="1630"/>
      <c r="KP977" s="1630"/>
      <c r="KQ977" s="1630"/>
      <c r="KR977" s="1630"/>
      <c r="KS977" s="1630"/>
      <c r="KT977" s="1630"/>
      <c r="KU977" s="1630"/>
      <c r="KV977" s="1630"/>
      <c r="KW977" s="1630"/>
      <c r="KX977" s="1630"/>
      <c r="KY977" s="1630"/>
      <c r="KZ977" s="1630"/>
      <c r="LA977" s="1630"/>
      <c r="LB977" s="1630"/>
      <c r="LC977" s="1630"/>
      <c r="LD977" s="1630"/>
      <c r="LE977" s="1630"/>
      <c r="LF977" s="1630"/>
      <c r="LG977" s="1631"/>
      <c r="LH977" s="1631"/>
      <c r="LI977" s="1631"/>
      <c r="LJ977" s="1631"/>
      <c r="LK977" s="1631"/>
      <c r="LL977" s="1631"/>
      <c r="LM977" s="1631"/>
      <c r="LN977" s="1631"/>
      <c r="LO977" s="1631"/>
      <c r="LP977" s="1631"/>
      <c r="LQ977" s="1631"/>
      <c r="LR977" s="1631"/>
      <c r="LS977" s="1631"/>
      <c r="LT977" s="1631"/>
      <c r="LU977" s="1631"/>
      <c r="LV977" s="1631"/>
      <c r="LW977" s="1631"/>
      <c r="LX977" s="1631"/>
      <c r="LY977" s="1631"/>
      <c r="LZ977" s="1631"/>
      <c r="MA977" s="1631"/>
      <c r="MB977" s="1631"/>
      <c r="MC977" s="1631"/>
      <c r="MD977" s="1631"/>
      <c r="ME977" s="1631"/>
      <c r="MF977" s="1631"/>
      <c r="MG977" s="1631"/>
      <c r="MH977" s="1631"/>
      <c r="MI977" s="1631"/>
      <c r="MJ977" s="1631"/>
      <c r="MK977" s="1631"/>
      <c r="ML977" s="1631"/>
      <c r="MM977" s="1631"/>
      <c r="MN977" s="1631"/>
      <c r="MO977" s="1631"/>
      <c r="MP977" s="1631"/>
      <c r="MQ977" s="1631"/>
      <c r="MR977" s="1631"/>
      <c r="MS977" s="1631"/>
    </row>
    <row r="978" spans="1:357">
      <c r="A978" s="1631"/>
      <c r="B978" s="1631" t="s">
        <v>1367</v>
      </c>
      <c r="C978" s="1631"/>
      <c r="D978" s="1631"/>
      <c r="E978" s="1631"/>
      <c r="F978" s="1847">
        <f>'Part VI-Revenues &amp; Expenses'!F216</f>
        <v>26460</v>
      </c>
      <c r="G978" s="1847"/>
      <c r="H978" s="1631"/>
      <c r="I978" s="1631" t="s">
        <v>1379</v>
      </c>
      <c r="J978" s="1631"/>
      <c r="K978" s="1847">
        <f>'Part VI-Revenues &amp; Expenses'!K216</f>
        <v>0</v>
      </c>
      <c r="L978" s="1847"/>
      <c r="M978" s="1631"/>
      <c r="N978" s="1631" t="s">
        <v>147</v>
      </c>
      <c r="O978" s="1631"/>
      <c r="P978" s="1862">
        <f>'Part VI-Revenues &amp; Expenses'!P216</f>
        <v>25260</v>
      </c>
      <c r="Q978" s="1862"/>
      <c r="R978" s="1838">
        <f>'Part VI-Revenues &amp; Expenses'!R216</f>
        <v>0</v>
      </c>
      <c r="S978" s="1838"/>
      <c r="T978" s="1838"/>
      <c r="U978" s="1838"/>
      <c r="V978" s="1838"/>
      <c r="X978" s="1631"/>
      <c r="Y978" s="1631"/>
      <c r="Z978" s="1631"/>
      <c r="AA978" s="1631"/>
      <c r="AC978" s="1631"/>
      <c r="AD978" s="1631"/>
      <c r="AE978" s="1631"/>
      <c r="AF978" s="1631"/>
      <c r="AH978" s="1631"/>
      <c r="AI978" s="1631"/>
      <c r="AJ978" s="1631"/>
      <c r="AK978" s="1631"/>
      <c r="AM978" s="1631"/>
      <c r="AN978" s="1631"/>
      <c r="AO978" s="1631"/>
      <c r="AP978" s="1631"/>
      <c r="AQ978" s="1631"/>
      <c r="AR978" s="1631"/>
      <c r="AS978" s="1631"/>
      <c r="AT978" s="1631"/>
      <c r="AU978" s="1631"/>
      <c r="AV978" s="1631"/>
      <c r="AW978" s="1631"/>
      <c r="AX978" s="1631"/>
      <c r="AY978" s="1631"/>
      <c r="AZ978" s="1631"/>
      <c r="BA978" s="1631"/>
      <c r="BB978" s="1631"/>
      <c r="BC978" s="1631"/>
      <c r="BD978" s="1631"/>
      <c r="BE978" s="1631"/>
      <c r="BF978" s="1631"/>
      <c r="BG978" s="1631"/>
      <c r="BH978" s="1631"/>
      <c r="BI978" s="1631"/>
      <c r="BJ978" s="1631"/>
      <c r="BK978" s="1631"/>
      <c r="BL978" s="1631"/>
      <c r="BM978" s="1631"/>
      <c r="BN978" s="1631"/>
      <c r="BO978" s="1631"/>
      <c r="BP978" s="1631"/>
      <c r="BQ978" s="1631"/>
      <c r="BR978" s="1631"/>
      <c r="BS978" s="1631"/>
      <c r="BT978" s="1631"/>
      <c r="BU978" s="1631"/>
      <c r="BV978" s="1631"/>
      <c r="BW978" s="1631"/>
      <c r="BX978" s="1631"/>
      <c r="BY978" s="1631"/>
      <c r="BZ978" s="1631"/>
      <c r="CA978" s="1631"/>
      <c r="CB978" s="1631"/>
      <c r="CC978" s="1631"/>
      <c r="CD978" s="1631"/>
      <c r="CE978" s="1631"/>
      <c r="CF978" s="1631"/>
      <c r="CG978" s="1631"/>
      <c r="CH978" s="1631"/>
      <c r="CI978" s="1631"/>
      <c r="CJ978" s="1631"/>
      <c r="CK978" s="1631"/>
      <c r="CL978" s="1631"/>
      <c r="CM978" s="1631"/>
      <c r="CN978" s="1631"/>
      <c r="CO978" s="1631"/>
      <c r="CP978" s="1631"/>
      <c r="CQ978" s="1631"/>
      <c r="CR978" s="1631"/>
      <c r="CS978" s="1631"/>
      <c r="CT978" s="1631"/>
      <c r="CU978" s="1631"/>
      <c r="CV978" s="1631"/>
      <c r="CW978" s="1631"/>
      <c r="CX978" s="1631"/>
      <c r="CY978" s="1631"/>
      <c r="CZ978" s="1631"/>
      <c r="DA978" s="1631"/>
      <c r="DB978" s="1631"/>
      <c r="DC978" s="1631"/>
      <c r="DD978" s="1631"/>
      <c r="DE978" s="1631"/>
      <c r="DF978" s="1631"/>
      <c r="DG978" s="1631"/>
      <c r="DH978" s="1631"/>
      <c r="DI978" s="1631"/>
      <c r="DJ978" s="1631"/>
      <c r="DK978" s="1631"/>
      <c r="DL978" s="1631"/>
      <c r="DM978" s="1631"/>
      <c r="DN978" s="1631"/>
      <c r="DO978" s="1631"/>
      <c r="DP978" s="1631"/>
      <c r="DQ978" s="1631"/>
      <c r="DR978" s="1631"/>
      <c r="DS978" s="1631"/>
      <c r="DT978" s="1631"/>
      <c r="DU978" s="1631"/>
      <c r="DV978" s="1631"/>
      <c r="DW978" s="1631"/>
      <c r="DX978" s="1631"/>
      <c r="DY978" s="1631"/>
      <c r="DZ978" s="1631"/>
      <c r="EA978" s="1631"/>
      <c r="EB978" s="1631"/>
      <c r="EC978" s="1631"/>
      <c r="ED978" s="1631"/>
      <c r="EE978" s="1631"/>
      <c r="EF978" s="1631"/>
      <c r="EG978" s="1631"/>
      <c r="EH978" s="1631"/>
      <c r="EI978" s="1631"/>
      <c r="EJ978" s="1631"/>
      <c r="EK978" s="1631"/>
      <c r="EL978" s="1631"/>
      <c r="EM978" s="1631"/>
      <c r="EN978" s="1631"/>
      <c r="EO978" s="1631"/>
      <c r="EP978" s="1631"/>
      <c r="EQ978" s="1631"/>
      <c r="ER978" s="1631"/>
      <c r="ES978" s="1631"/>
      <c r="ET978" s="1631"/>
      <c r="EU978" s="1631"/>
      <c r="EV978" s="1631"/>
      <c r="EW978" s="1631"/>
      <c r="EX978" s="1631"/>
      <c r="EY978" s="1631"/>
      <c r="EZ978" s="1631"/>
      <c r="FA978" s="1631"/>
      <c r="FB978" s="1631"/>
      <c r="FC978" s="1631"/>
      <c r="FD978" s="1631"/>
      <c r="FE978" s="1631"/>
      <c r="FF978" s="1631"/>
      <c r="FG978" s="1631"/>
      <c r="FH978" s="1631"/>
      <c r="FI978" s="1631"/>
      <c r="FJ978" s="1631"/>
      <c r="FK978" s="1631"/>
      <c r="FL978" s="1631"/>
      <c r="FM978" s="1631"/>
      <c r="FN978" s="1631"/>
      <c r="FO978" s="1631"/>
      <c r="FP978" s="1631"/>
      <c r="FQ978" s="1631"/>
      <c r="FR978" s="1631"/>
      <c r="FS978" s="1631"/>
      <c r="FT978" s="1631"/>
      <c r="FU978" s="1631"/>
      <c r="FV978" s="1631"/>
      <c r="FW978" s="1631"/>
      <c r="FX978" s="1631"/>
      <c r="FY978" s="1631"/>
      <c r="FZ978" s="1631"/>
      <c r="GA978" s="1631"/>
      <c r="GB978" s="1631"/>
      <c r="GC978" s="1631"/>
      <c r="GD978" s="1631"/>
      <c r="GE978" s="1631"/>
      <c r="GF978" s="1631"/>
      <c r="GG978" s="1631"/>
      <c r="GH978" s="1631"/>
      <c r="GI978" s="1631"/>
      <c r="GJ978" s="1631"/>
      <c r="GK978" s="1631"/>
      <c r="GL978" s="1631"/>
      <c r="GM978" s="1631"/>
      <c r="GN978" s="1631"/>
      <c r="GO978" s="1631"/>
      <c r="GP978" s="1631"/>
      <c r="GQ978" s="1631"/>
      <c r="GR978" s="1631"/>
      <c r="GS978" s="1631"/>
      <c r="GT978" s="1631"/>
      <c r="GU978" s="1631"/>
      <c r="GV978" s="1631"/>
      <c r="GW978" s="1631"/>
      <c r="GX978" s="1631"/>
      <c r="GY978" s="1631"/>
      <c r="GZ978" s="1631"/>
      <c r="HA978" s="1631"/>
      <c r="HB978" s="1631"/>
      <c r="HC978" s="1631"/>
      <c r="HD978" s="1631"/>
      <c r="HE978" s="1631"/>
      <c r="HF978" s="1631"/>
      <c r="HG978" s="1631"/>
      <c r="HH978" s="1631"/>
      <c r="HI978" s="1631"/>
      <c r="HJ978" s="1631"/>
      <c r="HK978" s="1631"/>
      <c r="HL978" s="1631"/>
      <c r="HM978" s="1631"/>
      <c r="HN978" s="1631"/>
      <c r="HO978" s="1631"/>
      <c r="HP978" s="1631"/>
      <c r="HQ978" s="1631"/>
      <c r="HR978" s="1631"/>
      <c r="HS978" s="1631"/>
      <c r="HT978" s="1631"/>
      <c r="HU978" s="1631"/>
      <c r="HV978" s="1631"/>
      <c r="HW978" s="1631"/>
      <c r="HX978" s="1631"/>
      <c r="HY978" s="1631"/>
      <c r="HZ978" s="1631"/>
      <c r="IA978" s="1631"/>
      <c r="IB978" s="1631"/>
      <c r="IC978" s="1631"/>
      <c r="ID978" s="1631"/>
      <c r="IE978" s="1631"/>
      <c r="IF978" s="1631"/>
      <c r="IG978" s="1631"/>
      <c r="IH978" s="1631"/>
      <c r="II978" s="1631"/>
      <c r="IJ978" s="1631"/>
      <c r="IK978" s="1631"/>
      <c r="IL978" s="1631"/>
      <c r="IM978" s="1631"/>
      <c r="IN978" s="1631"/>
      <c r="IO978" s="1631"/>
      <c r="IP978" s="1631"/>
      <c r="IQ978" s="1631"/>
      <c r="IR978" s="1631"/>
      <c r="IS978" s="1631"/>
      <c r="IT978" s="1631"/>
      <c r="IU978" s="1631"/>
      <c r="IV978" s="1631"/>
      <c r="IW978" s="1631"/>
      <c r="IX978" s="1631"/>
      <c r="IY978" s="1631"/>
      <c r="IZ978" s="1631"/>
      <c r="JA978" s="1631"/>
      <c r="JB978" s="1631"/>
      <c r="JC978" s="1631"/>
      <c r="JD978" s="1631"/>
      <c r="JE978" s="1631"/>
      <c r="JF978" s="1631"/>
      <c r="JG978" s="1631"/>
      <c r="JH978" s="1631"/>
      <c r="JI978" s="1631"/>
      <c r="JJ978" s="1631"/>
      <c r="JK978" s="1631"/>
      <c r="JL978" s="1631"/>
      <c r="JM978" s="1631"/>
      <c r="JN978" s="1631"/>
      <c r="JO978" s="1631"/>
      <c r="JP978" s="1631"/>
      <c r="JQ978" s="1631"/>
      <c r="JR978" s="1631"/>
      <c r="JS978" s="1631"/>
      <c r="JT978" s="1631"/>
      <c r="JU978" s="1631"/>
      <c r="JV978" s="1630"/>
      <c r="JW978" s="1631"/>
      <c r="JX978" s="1631"/>
      <c r="JY978" s="1631"/>
      <c r="JZ978" s="1631"/>
      <c r="KA978" s="1630"/>
      <c r="KB978" s="1630"/>
      <c r="KC978" s="1630"/>
      <c r="KD978" s="1630"/>
      <c r="KE978" s="1630"/>
      <c r="KF978" s="1630"/>
      <c r="KG978" s="1630"/>
      <c r="KH978" s="1630"/>
      <c r="KI978" s="1630"/>
      <c r="KJ978" s="1630"/>
      <c r="KK978" s="1630"/>
      <c r="KL978" s="1630"/>
      <c r="KM978" s="1630"/>
      <c r="KN978" s="1630"/>
      <c r="KO978" s="1630"/>
      <c r="KP978" s="1630"/>
      <c r="KQ978" s="1630"/>
      <c r="KR978" s="1630"/>
      <c r="KS978" s="1630"/>
      <c r="KT978" s="1630"/>
      <c r="KU978" s="1630"/>
      <c r="KV978" s="1630"/>
      <c r="KW978" s="1630"/>
      <c r="KX978" s="1630"/>
      <c r="KY978" s="1630"/>
      <c r="KZ978" s="1630"/>
      <c r="LA978" s="1630"/>
      <c r="LB978" s="1630"/>
      <c r="LC978" s="1630"/>
      <c r="LD978" s="1630"/>
      <c r="LE978" s="1630"/>
      <c r="LF978" s="1630"/>
      <c r="LG978" s="1631"/>
      <c r="LH978" s="1631"/>
      <c r="LI978" s="1631"/>
      <c r="LJ978" s="1631"/>
      <c r="LK978" s="1631"/>
      <c r="LL978" s="1631"/>
      <c r="LM978" s="1631"/>
      <c r="LN978" s="1631"/>
      <c r="LO978" s="1631"/>
      <c r="LP978" s="1631"/>
      <c r="LQ978" s="1631"/>
      <c r="LR978" s="1631"/>
      <c r="LS978" s="1631"/>
      <c r="LT978" s="1631"/>
      <c r="LU978" s="1631"/>
      <c r="LV978" s="1631"/>
      <c r="LW978" s="1631"/>
      <c r="LX978" s="1631"/>
      <c r="LY978" s="1631"/>
      <c r="LZ978" s="1631"/>
      <c r="MA978" s="1631"/>
      <c r="MB978" s="1631"/>
      <c r="MC978" s="1631"/>
      <c r="MD978" s="1631"/>
      <c r="ME978" s="1631"/>
      <c r="MF978" s="1631"/>
      <c r="MG978" s="1631"/>
      <c r="MH978" s="1631"/>
      <c r="MI978" s="1631"/>
      <c r="MJ978" s="1631"/>
      <c r="MK978" s="1631"/>
      <c r="ML978" s="1631"/>
      <c r="MM978" s="1631"/>
      <c r="MN978" s="1631"/>
      <c r="MO978" s="1631"/>
      <c r="MP978" s="1631"/>
      <c r="MQ978" s="1631"/>
      <c r="MR978" s="1631"/>
      <c r="MS978" s="1631"/>
    </row>
    <row r="979" spans="1:357" ht="14.25" customHeight="1">
      <c r="A979" s="1631"/>
      <c r="B979" s="1631" t="s">
        <v>1239</v>
      </c>
      <c r="C979" s="1631"/>
      <c r="D979" s="1631"/>
      <c r="E979" s="1631"/>
      <c r="F979" s="1847">
        <f>'Part VI-Revenues &amp; Expenses'!F217</f>
        <v>0</v>
      </c>
      <c r="G979" s="1847"/>
      <c r="H979" s="1631"/>
      <c r="I979" s="1631"/>
      <c r="J979" s="2774" t="s">
        <v>191</v>
      </c>
      <c r="K979" s="1847">
        <f>SUM(K977:L978)</f>
        <v>0</v>
      </c>
      <c r="L979" s="1847"/>
      <c r="M979" s="1631"/>
      <c r="N979" s="2154" t="str">
        <f>'Part VI-Revenues &amp; Expenses'!N217</f>
        <v>Other (describe here)</v>
      </c>
      <c r="O979" s="2154"/>
      <c r="P979" s="1862">
        <f>'Part VI-Revenues &amp; Expenses'!P217</f>
        <v>0</v>
      </c>
      <c r="Q979" s="1862"/>
      <c r="R979" s="1838">
        <f>'Part VI-Revenues &amp; Expenses'!R217</f>
        <v>0</v>
      </c>
      <c r="S979" s="1838"/>
      <c r="T979" s="1838"/>
      <c r="U979" s="1838"/>
      <c r="V979" s="1838"/>
      <c r="X979" s="1631"/>
      <c r="Y979" s="1631"/>
      <c r="Z979" s="1631"/>
      <c r="AA979" s="1631"/>
      <c r="AC979" s="1631"/>
      <c r="AD979" s="1631"/>
      <c r="AE979" s="1631"/>
      <c r="AF979" s="1631"/>
      <c r="AH979" s="1631"/>
      <c r="AI979" s="1631"/>
      <c r="AJ979" s="1631"/>
      <c r="AK979" s="1631"/>
      <c r="AM979" s="1631"/>
      <c r="AN979" s="1631"/>
      <c r="AO979" s="1631"/>
      <c r="AP979" s="1631"/>
      <c r="AQ979" s="1631"/>
      <c r="AR979" s="1631"/>
      <c r="AS979" s="1631"/>
      <c r="AT979" s="1631"/>
      <c r="AU979" s="1631"/>
      <c r="AV979" s="1631"/>
      <c r="AW979" s="1631"/>
      <c r="AX979" s="1631"/>
      <c r="AY979" s="1631"/>
      <c r="AZ979" s="1631"/>
      <c r="BA979" s="1631"/>
      <c r="BB979" s="1631"/>
      <c r="BC979" s="1631"/>
      <c r="BD979" s="1631"/>
      <c r="BE979" s="1631"/>
      <c r="BF979" s="1631"/>
      <c r="BG979" s="1631"/>
      <c r="BH979" s="1631"/>
      <c r="BI979" s="1631"/>
      <c r="BJ979" s="1631"/>
      <c r="BK979" s="1631"/>
      <c r="BL979" s="1631"/>
      <c r="BM979" s="1631"/>
      <c r="BN979" s="1631"/>
      <c r="BO979" s="1631"/>
      <c r="BP979" s="1631"/>
      <c r="BQ979" s="1631"/>
      <c r="BR979" s="1631"/>
      <c r="BS979" s="1631"/>
      <c r="BT979" s="1631"/>
      <c r="BU979" s="1631"/>
      <c r="BV979" s="1631"/>
      <c r="BW979" s="1631"/>
      <c r="BX979" s="1631"/>
      <c r="BY979" s="1631"/>
      <c r="BZ979" s="1631"/>
      <c r="CA979" s="1631"/>
      <c r="CB979" s="1631"/>
      <c r="CC979" s="1631"/>
      <c r="CD979" s="1631"/>
      <c r="CE979" s="1631"/>
      <c r="CF979" s="1631"/>
      <c r="CG979" s="1631"/>
      <c r="CH979" s="1631"/>
      <c r="CI979" s="1631"/>
      <c r="CJ979" s="1631"/>
      <c r="CK979" s="1631"/>
      <c r="CL979" s="1631"/>
      <c r="CM979" s="1631"/>
      <c r="CN979" s="1631"/>
      <c r="CO979" s="1631"/>
      <c r="CP979" s="1631"/>
      <c r="CQ979" s="1631"/>
      <c r="CR979" s="1631"/>
      <c r="CS979" s="1631"/>
      <c r="CT979" s="1631"/>
      <c r="CU979" s="1631"/>
      <c r="CV979" s="1631"/>
      <c r="CW979" s="1631"/>
      <c r="CX979" s="1631"/>
      <c r="CY979" s="1631"/>
      <c r="CZ979" s="1631"/>
      <c r="DA979" s="1631"/>
      <c r="DB979" s="1631"/>
      <c r="DC979" s="1631"/>
      <c r="DD979" s="1631"/>
      <c r="DE979" s="1631"/>
      <c r="DF979" s="1631"/>
      <c r="DG979" s="1631"/>
      <c r="DH979" s="1631"/>
      <c r="DI979" s="1631"/>
      <c r="DJ979" s="1631"/>
      <c r="DK979" s="1631"/>
      <c r="DL979" s="1631"/>
      <c r="DM979" s="1631"/>
      <c r="DN979" s="1631"/>
      <c r="DO979" s="1631"/>
      <c r="DP979" s="1631"/>
      <c r="DQ979" s="1631"/>
      <c r="DR979" s="1631"/>
      <c r="DS979" s="1631"/>
      <c r="DT979" s="1631"/>
      <c r="DU979" s="1631"/>
      <c r="DV979" s="1631"/>
      <c r="DW979" s="1631"/>
      <c r="DX979" s="1631"/>
      <c r="DY979" s="1631"/>
      <c r="DZ979" s="1631"/>
      <c r="EA979" s="1631"/>
      <c r="EB979" s="1631"/>
      <c r="EC979" s="1631"/>
      <c r="ED979" s="1631"/>
      <c r="EE979" s="1631"/>
      <c r="EF979" s="1631"/>
      <c r="EG979" s="1631"/>
      <c r="EH979" s="1631"/>
      <c r="EI979" s="1631"/>
      <c r="EJ979" s="1631"/>
      <c r="EK979" s="1631"/>
      <c r="EL979" s="1631"/>
      <c r="EM979" s="1631"/>
      <c r="EN979" s="1631"/>
      <c r="EO979" s="1631"/>
      <c r="EP979" s="1631"/>
      <c r="EQ979" s="1631"/>
      <c r="ER979" s="1631"/>
      <c r="ES979" s="1631"/>
      <c r="ET979" s="1631"/>
      <c r="EU979" s="1631"/>
      <c r="EV979" s="1631"/>
      <c r="EW979" s="1631"/>
      <c r="EX979" s="1631"/>
      <c r="EY979" s="1631"/>
      <c r="EZ979" s="1631"/>
      <c r="FA979" s="1631"/>
      <c r="FB979" s="1631"/>
      <c r="FC979" s="1631"/>
      <c r="FD979" s="1631"/>
      <c r="FE979" s="1631"/>
      <c r="FF979" s="1631"/>
      <c r="FG979" s="1631"/>
      <c r="FH979" s="1631"/>
      <c r="FI979" s="1631"/>
      <c r="FJ979" s="1631"/>
      <c r="FK979" s="1631"/>
      <c r="FL979" s="1631"/>
      <c r="FM979" s="1631"/>
      <c r="FN979" s="1631"/>
      <c r="FO979" s="1631"/>
      <c r="FP979" s="1631"/>
      <c r="FQ979" s="1631"/>
      <c r="FR979" s="1631"/>
      <c r="FS979" s="1631"/>
      <c r="FT979" s="1631"/>
      <c r="FU979" s="1631"/>
      <c r="FV979" s="1631"/>
      <c r="FW979" s="1631"/>
      <c r="FX979" s="1631"/>
      <c r="FY979" s="1631"/>
      <c r="FZ979" s="1631"/>
      <c r="GA979" s="1631"/>
      <c r="GB979" s="1631"/>
      <c r="GC979" s="1631"/>
      <c r="GD979" s="1631"/>
      <c r="GE979" s="1631"/>
      <c r="GF979" s="1631"/>
      <c r="GG979" s="1631"/>
      <c r="GH979" s="1631"/>
      <c r="GI979" s="1631"/>
      <c r="GJ979" s="1631"/>
      <c r="GK979" s="1631"/>
      <c r="GL979" s="1631"/>
      <c r="GM979" s="1631"/>
      <c r="GN979" s="1631"/>
      <c r="GO979" s="1631"/>
      <c r="GP979" s="1631"/>
      <c r="GQ979" s="1631"/>
      <c r="GR979" s="1631"/>
      <c r="GS979" s="1631"/>
      <c r="GT979" s="1631"/>
      <c r="GU979" s="1631"/>
      <c r="GV979" s="1631"/>
      <c r="GW979" s="1631"/>
      <c r="GX979" s="1631"/>
      <c r="GY979" s="1631"/>
      <c r="GZ979" s="1631"/>
      <c r="HA979" s="1631"/>
      <c r="HB979" s="1631"/>
      <c r="HC979" s="1631"/>
      <c r="HD979" s="1631"/>
      <c r="HE979" s="1631"/>
      <c r="HF979" s="1631"/>
      <c r="HG979" s="1631"/>
      <c r="HH979" s="1631"/>
      <c r="HI979" s="1631"/>
      <c r="HJ979" s="1631"/>
      <c r="HK979" s="1631"/>
      <c r="HL979" s="1631"/>
      <c r="HM979" s="1631"/>
      <c r="HN979" s="1631"/>
      <c r="HO979" s="1631"/>
      <c r="HP979" s="1631"/>
      <c r="HQ979" s="1631"/>
      <c r="HR979" s="1631"/>
      <c r="HS979" s="1631"/>
      <c r="HT979" s="1631"/>
      <c r="HU979" s="1631"/>
      <c r="HV979" s="1631"/>
      <c r="HW979" s="1631"/>
      <c r="HX979" s="1631"/>
      <c r="HY979" s="1631"/>
      <c r="HZ979" s="1631"/>
      <c r="IA979" s="1631"/>
      <c r="IB979" s="1631"/>
      <c r="IC979" s="1631"/>
      <c r="ID979" s="1631"/>
      <c r="IE979" s="1631"/>
      <c r="IF979" s="1631"/>
      <c r="IG979" s="1631"/>
      <c r="IH979" s="1631"/>
      <c r="II979" s="1631"/>
      <c r="IJ979" s="1631"/>
      <c r="IK979" s="1631"/>
      <c r="IL979" s="1631"/>
      <c r="IM979" s="1631"/>
      <c r="IN979" s="1631"/>
      <c r="IO979" s="1631"/>
      <c r="IP979" s="1631"/>
      <c r="IQ979" s="1631"/>
      <c r="IR979" s="1631"/>
      <c r="IS979" s="1631"/>
      <c r="IT979" s="1631"/>
      <c r="IU979" s="1631"/>
      <c r="IV979" s="1631"/>
      <c r="IW979" s="1631"/>
      <c r="IX979" s="1631"/>
      <c r="IY979" s="1631"/>
      <c r="IZ979" s="1631"/>
      <c r="JA979" s="1631"/>
      <c r="JB979" s="1631"/>
      <c r="JC979" s="1631"/>
      <c r="JD979" s="1631"/>
      <c r="JE979" s="1631"/>
      <c r="JF979" s="1631"/>
      <c r="JG979" s="1631"/>
      <c r="JH979" s="1631"/>
      <c r="JI979" s="1631"/>
      <c r="JJ979" s="1631"/>
      <c r="JK979" s="1631"/>
      <c r="JL979" s="1631"/>
      <c r="JM979" s="1631"/>
      <c r="JN979" s="1631"/>
      <c r="JO979" s="1631"/>
      <c r="JP979" s="1631"/>
      <c r="JQ979" s="1631"/>
      <c r="JR979" s="1631"/>
      <c r="JS979" s="1631"/>
      <c r="JT979" s="1631"/>
      <c r="JU979" s="1631"/>
      <c r="JV979" s="1630"/>
      <c r="JW979" s="1631"/>
      <c r="JX979" s="1631"/>
      <c r="JY979" s="1631"/>
      <c r="JZ979" s="1631"/>
      <c r="KA979" s="1630"/>
      <c r="KB979" s="1630"/>
      <c r="KC979" s="1630"/>
      <c r="KD979" s="1630"/>
      <c r="KE979" s="1630"/>
      <c r="KF979" s="1630"/>
      <c r="KG979" s="1630"/>
      <c r="KH979" s="1630"/>
      <c r="KI979" s="1630"/>
      <c r="KJ979" s="1630"/>
      <c r="KK979" s="1630"/>
      <c r="KL979" s="1630"/>
      <c r="KM979" s="1630"/>
      <c r="KN979" s="1630"/>
      <c r="KO979" s="1630"/>
      <c r="KP979" s="1630"/>
      <c r="KQ979" s="1630"/>
      <c r="KR979" s="1630"/>
      <c r="KS979" s="1630"/>
      <c r="KT979" s="1630"/>
      <c r="KU979" s="1630"/>
      <c r="KV979" s="1630"/>
      <c r="KW979" s="1630"/>
      <c r="KX979" s="1630"/>
      <c r="KY979" s="1630"/>
      <c r="KZ979" s="1630"/>
      <c r="LA979" s="1630"/>
      <c r="LB979" s="1630"/>
      <c r="LC979" s="1630"/>
      <c r="LD979" s="1630"/>
      <c r="LE979" s="1630"/>
      <c r="LF979" s="1630"/>
      <c r="LG979" s="1631"/>
      <c r="LH979" s="1631"/>
      <c r="LI979" s="1631"/>
      <c r="LJ979" s="1631"/>
      <c r="LK979" s="1631"/>
      <c r="LL979" s="1631"/>
      <c r="LM979" s="1631"/>
      <c r="LN979" s="1631"/>
      <c r="LO979" s="1631"/>
      <c r="LP979" s="1631"/>
      <c r="LQ979" s="1631"/>
      <c r="LR979" s="1631"/>
      <c r="LS979" s="1631"/>
      <c r="LT979" s="1631"/>
      <c r="LU979" s="1631"/>
      <c r="LV979" s="1631"/>
      <c r="LW979" s="1631"/>
      <c r="LX979" s="1631"/>
      <c r="LY979" s="1631"/>
      <c r="LZ979" s="1631"/>
      <c r="MA979" s="1631"/>
      <c r="MB979" s="1631"/>
      <c r="MC979" s="1631"/>
      <c r="MD979" s="1631"/>
      <c r="ME979" s="1631"/>
      <c r="MF979" s="1631"/>
      <c r="MG979" s="1631"/>
      <c r="MH979" s="1631"/>
      <c r="MI979" s="1631"/>
      <c r="MJ979" s="1631"/>
      <c r="MK979" s="1631"/>
      <c r="ML979" s="1631"/>
      <c r="MM979" s="1631"/>
      <c r="MN979" s="1631"/>
      <c r="MO979" s="1631"/>
      <c r="MP979" s="1631"/>
      <c r="MQ979" s="1631"/>
      <c r="MR979" s="1631"/>
      <c r="MS979" s="1631"/>
    </row>
    <row r="980" spans="1:357">
      <c r="A980" s="1631"/>
      <c r="B980" s="521" t="str">
        <f>'Part VI-Revenues &amp; Expenses'!B218</f>
        <v>Payroll Taxes</v>
      </c>
      <c r="C980" s="521"/>
      <c r="D980" s="521"/>
      <c r="E980" s="521"/>
      <c r="F980" s="1847">
        <f>'Part VI-Revenues &amp; Expenses'!F218</f>
        <v>8400</v>
      </c>
      <c r="G980" s="1847"/>
      <c r="H980" s="1631"/>
      <c r="I980" s="1631"/>
      <c r="J980" s="1631"/>
      <c r="K980" s="1631"/>
      <c r="L980" s="1631"/>
      <c r="M980" s="1631"/>
      <c r="N980" s="2774" t="s">
        <v>191</v>
      </c>
      <c r="O980" s="1631"/>
      <c r="P980" s="1862">
        <f>SUM(P977:P979)</f>
        <v>110520</v>
      </c>
      <c r="Q980" s="1862"/>
      <c r="R980" s="1838">
        <f>'Part VI-Revenues &amp; Expenses'!R218</f>
        <v>0</v>
      </c>
      <c r="S980" s="1838"/>
      <c r="T980" s="1838"/>
      <c r="U980" s="1838"/>
      <c r="V980" s="1838"/>
      <c r="X980" s="1631"/>
      <c r="Y980" s="1631"/>
      <c r="Z980" s="1631"/>
      <c r="AA980" s="1631"/>
      <c r="AC980" s="1631"/>
      <c r="AD980" s="1631"/>
      <c r="AE980" s="1631"/>
      <c r="AF980" s="1631"/>
      <c r="AH980" s="1631"/>
      <c r="AI980" s="1631"/>
      <c r="AJ980" s="1631"/>
      <c r="AK980" s="1631"/>
      <c r="AM980" s="1631"/>
      <c r="AN980" s="1631"/>
      <c r="AO980" s="1631"/>
      <c r="AP980" s="1631"/>
      <c r="AQ980" s="1631"/>
      <c r="AR980" s="1631"/>
      <c r="AS980" s="1631"/>
      <c r="AT980" s="1631"/>
      <c r="AU980" s="1631"/>
      <c r="AV980" s="1631"/>
      <c r="AW980" s="1631"/>
      <c r="AX980" s="1631"/>
      <c r="AY980" s="1631"/>
      <c r="AZ980" s="1631"/>
      <c r="BA980" s="1631"/>
      <c r="BB980" s="1631"/>
      <c r="BC980" s="1631"/>
      <c r="BD980" s="1631"/>
      <c r="BE980" s="1631"/>
      <c r="BF980" s="1631"/>
      <c r="BG980" s="1631"/>
      <c r="BH980" s="1631"/>
      <c r="BI980" s="1631"/>
      <c r="BJ980" s="1631"/>
      <c r="BK980" s="1631"/>
      <c r="BL980" s="1631"/>
      <c r="BM980" s="1631"/>
      <c r="BN980" s="1631"/>
      <c r="BO980" s="1631"/>
      <c r="BP980" s="1631"/>
      <c r="BQ980" s="1631"/>
      <c r="BR980" s="1631"/>
      <c r="BS980" s="1631"/>
      <c r="BT980" s="1631"/>
      <c r="BU980" s="1631"/>
      <c r="BV980" s="1631"/>
      <c r="BW980" s="1631"/>
      <c r="BX980" s="1631"/>
      <c r="BY980" s="1631"/>
      <c r="BZ980" s="1631"/>
      <c r="CA980" s="1631"/>
      <c r="CB980" s="1631"/>
      <c r="CC980" s="1631"/>
      <c r="CD980" s="1631"/>
      <c r="CE980" s="1631"/>
      <c r="CF980" s="1631"/>
      <c r="CG980" s="1631"/>
      <c r="CH980" s="1631"/>
      <c r="CI980" s="1631"/>
      <c r="CJ980" s="1631"/>
      <c r="CK980" s="1631"/>
      <c r="CL980" s="1631"/>
      <c r="CM980" s="1631"/>
      <c r="CN980" s="1631"/>
      <c r="CO980" s="1631"/>
      <c r="CP980" s="1631"/>
      <c r="CQ980" s="1631"/>
      <c r="CR980" s="1631"/>
      <c r="CS980" s="1631"/>
      <c r="CT980" s="1631"/>
      <c r="CU980" s="1631"/>
      <c r="CV980" s="1631"/>
      <c r="CW980" s="1631"/>
      <c r="CX980" s="1631"/>
      <c r="CY980" s="1631"/>
      <c r="CZ980" s="1631"/>
      <c r="DA980" s="1631"/>
      <c r="DB980" s="1631"/>
      <c r="DC980" s="1631"/>
      <c r="DD980" s="1631"/>
      <c r="DE980" s="1631"/>
      <c r="DF980" s="1631"/>
      <c r="DG980" s="1631"/>
      <c r="DH980" s="1631"/>
      <c r="DI980" s="1631"/>
      <c r="DJ980" s="1631"/>
      <c r="DK980" s="1631"/>
      <c r="DL980" s="1631"/>
      <c r="DM980" s="1631"/>
      <c r="DN980" s="1631"/>
      <c r="DO980" s="1631"/>
      <c r="DP980" s="1631"/>
      <c r="DQ980" s="1631"/>
      <c r="DR980" s="1631"/>
      <c r="DS980" s="1631"/>
      <c r="DT980" s="1631"/>
      <c r="DU980" s="1631"/>
      <c r="DV980" s="1631"/>
      <c r="DW980" s="1631"/>
      <c r="DX980" s="1631"/>
      <c r="DY980" s="1631"/>
      <c r="DZ980" s="1631"/>
      <c r="EA980" s="1631"/>
      <c r="EB980" s="1631"/>
      <c r="EC980" s="1631"/>
      <c r="ED980" s="1631"/>
      <c r="EE980" s="1631"/>
      <c r="EF980" s="1631"/>
      <c r="EG980" s="1631"/>
      <c r="EH980" s="1631"/>
      <c r="EI980" s="1631"/>
      <c r="EJ980" s="1631"/>
      <c r="EK980" s="1631"/>
      <c r="EL980" s="1631"/>
      <c r="EM980" s="1631"/>
      <c r="EN980" s="1631"/>
      <c r="EO980" s="1631"/>
      <c r="EP980" s="1631"/>
      <c r="EQ980" s="1631"/>
      <c r="ER980" s="1631"/>
      <c r="ES980" s="1631"/>
      <c r="ET980" s="1631"/>
      <c r="EU980" s="1631"/>
      <c r="EV980" s="1631"/>
      <c r="EW980" s="1631"/>
      <c r="EX980" s="1631"/>
      <c r="EY980" s="1631"/>
      <c r="EZ980" s="1631"/>
      <c r="FA980" s="1631"/>
      <c r="FB980" s="1631"/>
      <c r="FC980" s="1631"/>
      <c r="FD980" s="1631"/>
      <c r="FE980" s="1631"/>
      <c r="FF980" s="1631"/>
      <c r="FG980" s="1631"/>
      <c r="FH980" s="1631"/>
      <c r="FI980" s="1631"/>
      <c r="FJ980" s="1631"/>
      <c r="FK980" s="1631"/>
      <c r="FL980" s="1631"/>
      <c r="FM980" s="1631"/>
      <c r="FN980" s="1631"/>
      <c r="FO980" s="1631"/>
      <c r="FP980" s="1631"/>
      <c r="FQ980" s="1631"/>
      <c r="FR980" s="1631"/>
      <c r="FS980" s="1631"/>
      <c r="FT980" s="1631"/>
      <c r="FU980" s="1631"/>
      <c r="FV980" s="1631"/>
      <c r="FW980" s="1631"/>
      <c r="FX980" s="1631"/>
      <c r="FY980" s="1631"/>
      <c r="FZ980" s="1631"/>
      <c r="GA980" s="1631"/>
      <c r="GB980" s="1631"/>
      <c r="GC980" s="1631"/>
      <c r="GD980" s="1631"/>
      <c r="GE980" s="1631"/>
      <c r="GF980" s="1631"/>
      <c r="GG980" s="1631"/>
      <c r="GH980" s="1631"/>
      <c r="GI980" s="1631"/>
      <c r="GJ980" s="1631"/>
      <c r="GK980" s="1631"/>
      <c r="GL980" s="1631"/>
      <c r="GM980" s="1631"/>
      <c r="GN980" s="1631"/>
      <c r="GO980" s="1631"/>
      <c r="GP980" s="1631"/>
      <c r="GQ980" s="1631"/>
      <c r="GR980" s="1631"/>
      <c r="GS980" s="1631"/>
      <c r="GT980" s="1631"/>
      <c r="GU980" s="1631"/>
      <c r="GV980" s="1631"/>
      <c r="GW980" s="1631"/>
      <c r="GX980" s="1631"/>
      <c r="GY980" s="1631"/>
      <c r="GZ980" s="1631"/>
      <c r="HA980" s="1631"/>
      <c r="HB980" s="1631"/>
      <c r="HC980" s="1631"/>
      <c r="HD980" s="1631"/>
      <c r="HE980" s="1631"/>
      <c r="HF980" s="1631"/>
      <c r="HG980" s="1631"/>
      <c r="HH980" s="1631"/>
      <c r="HI980" s="1631"/>
      <c r="HJ980" s="1631"/>
      <c r="HK980" s="1631"/>
      <c r="HL980" s="1631"/>
      <c r="HM980" s="1631"/>
      <c r="HN980" s="1631"/>
      <c r="HO980" s="1631"/>
      <c r="HP980" s="1631"/>
      <c r="HQ980" s="1631"/>
      <c r="HR980" s="1631"/>
      <c r="HS980" s="1631"/>
      <c r="HT980" s="1631"/>
      <c r="HU980" s="1631"/>
      <c r="HV980" s="1631"/>
      <c r="HW980" s="1631"/>
      <c r="HX980" s="1631"/>
      <c r="HY980" s="1631"/>
      <c r="HZ980" s="1631"/>
      <c r="IA980" s="1631"/>
      <c r="IB980" s="1631"/>
      <c r="IC980" s="1631"/>
      <c r="ID980" s="1631"/>
      <c r="IE980" s="1631"/>
      <c r="IF980" s="1631"/>
      <c r="IG980" s="1631"/>
      <c r="IH980" s="1631"/>
      <c r="II980" s="1631"/>
      <c r="IJ980" s="1631"/>
      <c r="IK980" s="1631"/>
      <c r="IL980" s="1631"/>
      <c r="IM980" s="1631"/>
      <c r="IN980" s="1631"/>
      <c r="IO980" s="1631"/>
      <c r="IP980" s="1631"/>
      <c r="IQ980" s="1631"/>
      <c r="IR980" s="1631"/>
      <c r="IS980" s="1631"/>
      <c r="IT980" s="1631"/>
      <c r="IU980" s="1631"/>
      <c r="IV980" s="1631"/>
      <c r="IW980" s="1631"/>
      <c r="IX980" s="1631"/>
      <c r="IY980" s="1631"/>
      <c r="IZ980" s="1631"/>
      <c r="JA980" s="1631"/>
      <c r="JB980" s="1631"/>
      <c r="JC980" s="1631"/>
      <c r="JD980" s="1631"/>
      <c r="JE980" s="1631"/>
      <c r="JF980" s="1631"/>
      <c r="JG980" s="1631"/>
      <c r="JH980" s="1631"/>
      <c r="JI980" s="1631"/>
      <c r="JJ980" s="1631"/>
      <c r="JK980" s="1631"/>
      <c r="JL980" s="1631"/>
      <c r="JM980" s="1631"/>
      <c r="JN980" s="1631"/>
      <c r="JO980" s="1631"/>
      <c r="JP980" s="1631"/>
      <c r="JQ980" s="1631"/>
      <c r="JR980" s="1631"/>
      <c r="JS980" s="1631"/>
      <c r="JT980" s="1631"/>
      <c r="JU980" s="1631"/>
      <c r="JV980" s="1630"/>
      <c r="JW980" s="1631"/>
      <c r="JX980" s="1631"/>
      <c r="JY980" s="1631"/>
      <c r="JZ980" s="1631"/>
      <c r="KA980" s="1630"/>
      <c r="KB980" s="1630"/>
      <c r="KC980" s="1630"/>
      <c r="KD980" s="1630"/>
      <c r="KE980" s="1630"/>
      <c r="KF980" s="1630"/>
      <c r="KG980" s="1630"/>
      <c r="KH980" s="1630"/>
      <c r="KI980" s="1630"/>
      <c r="KJ980" s="1630"/>
      <c r="KK980" s="1630"/>
      <c r="KL980" s="1630"/>
      <c r="KM980" s="1630"/>
      <c r="KN980" s="1630"/>
      <c r="KO980" s="1630"/>
      <c r="KP980" s="1630"/>
      <c r="KQ980" s="1630"/>
      <c r="KR980" s="1630"/>
      <c r="KS980" s="1630"/>
      <c r="KT980" s="1630"/>
      <c r="KU980" s="1630"/>
      <c r="KV980" s="1630"/>
      <c r="KW980" s="1630"/>
      <c r="KX980" s="1630"/>
      <c r="KY980" s="1630"/>
      <c r="KZ980" s="1630"/>
      <c r="LA980" s="1630"/>
      <c r="LB980" s="1630"/>
      <c r="LC980" s="1630"/>
      <c r="LD980" s="1630"/>
      <c r="LE980" s="1630"/>
      <c r="LF980" s="1630"/>
      <c r="LG980" s="1631"/>
      <c r="LH980" s="1631"/>
      <c r="LI980" s="1631"/>
      <c r="LJ980" s="1631"/>
      <c r="LK980" s="1631"/>
      <c r="LL980" s="1631"/>
      <c r="LM980" s="1631"/>
      <c r="LN980" s="1631"/>
      <c r="LO980" s="1631"/>
      <c r="LP980" s="1631"/>
      <c r="LQ980" s="1631"/>
      <c r="LR980" s="1631"/>
      <c r="LS980" s="1631"/>
      <c r="LT980" s="1631"/>
      <c r="LU980" s="1631"/>
      <c r="LV980" s="1631"/>
      <c r="LW980" s="1631"/>
      <c r="LX980" s="1631"/>
      <c r="LY980" s="1631"/>
      <c r="LZ980" s="1631"/>
      <c r="MA980" s="1631"/>
      <c r="MB980" s="1631"/>
      <c r="MC980" s="1631"/>
      <c r="MD980" s="1631"/>
      <c r="ME980" s="1631"/>
      <c r="MF980" s="1631"/>
      <c r="MG980" s="1631"/>
      <c r="MH980" s="1631"/>
      <c r="MI980" s="1631"/>
      <c r="MJ980" s="1631"/>
      <c r="MK980" s="1631"/>
      <c r="ML980" s="1631"/>
      <c r="MM980" s="1631"/>
      <c r="MN980" s="1631"/>
      <c r="MO980" s="1631"/>
      <c r="MP980" s="1631"/>
      <c r="MQ980" s="1631"/>
      <c r="MR980" s="1631"/>
      <c r="MS980" s="1631"/>
    </row>
    <row r="981" spans="1:357">
      <c r="A981" s="1631"/>
      <c r="B981" s="1631"/>
      <c r="C981" s="2774" t="s">
        <v>191</v>
      </c>
      <c r="D981" s="1631"/>
      <c r="E981" s="1631"/>
      <c r="F981" s="1847">
        <f>SUM(F977:G980)</f>
        <v>84000</v>
      </c>
      <c r="G981" s="1847"/>
      <c r="H981" s="1631"/>
      <c r="I981" s="1631"/>
      <c r="J981" s="1833"/>
      <c r="K981" s="1631"/>
      <c r="L981" s="1631"/>
      <c r="M981" s="1631"/>
      <c r="N981" s="1631"/>
      <c r="O981" s="1631"/>
      <c r="P981" s="1631"/>
      <c r="Q981" s="1631"/>
      <c r="R981" s="1838">
        <f>'Part VI-Revenues &amp; Expenses'!R219</f>
        <v>0</v>
      </c>
      <c r="S981" s="1838"/>
      <c r="T981" s="1838"/>
      <c r="U981" s="1838"/>
      <c r="V981" s="1838"/>
      <c r="X981" s="1631"/>
      <c r="Y981" s="1631"/>
      <c r="Z981" s="1631"/>
      <c r="AA981" s="1631"/>
      <c r="AC981" s="1631"/>
      <c r="AD981" s="1631"/>
      <c r="AE981" s="1631"/>
      <c r="AF981" s="1631"/>
      <c r="AH981" s="1631"/>
      <c r="AI981" s="1631"/>
      <c r="AJ981" s="1631"/>
      <c r="AK981" s="1631"/>
      <c r="AM981" s="1631"/>
      <c r="AN981" s="1631"/>
      <c r="AO981" s="1631"/>
      <c r="AP981" s="1631"/>
      <c r="AQ981" s="1631"/>
      <c r="AR981" s="1631"/>
      <c r="AS981" s="1631"/>
      <c r="AT981" s="1631"/>
      <c r="AU981" s="1631"/>
      <c r="AV981" s="1631"/>
      <c r="AW981" s="1631"/>
      <c r="AX981" s="1631"/>
      <c r="AY981" s="1631"/>
      <c r="AZ981" s="1631"/>
      <c r="BA981" s="1631"/>
      <c r="BB981" s="1631"/>
      <c r="BC981" s="1631"/>
      <c r="BD981" s="1631"/>
      <c r="BE981" s="1631"/>
      <c r="BF981" s="1631"/>
      <c r="BG981" s="1631"/>
      <c r="BH981" s="1631"/>
      <c r="BI981" s="1631"/>
      <c r="BJ981" s="1631"/>
      <c r="BK981" s="1631"/>
      <c r="BL981" s="1631"/>
      <c r="BM981" s="1631"/>
      <c r="BN981" s="1631"/>
      <c r="BO981" s="1631"/>
      <c r="BP981" s="1631"/>
      <c r="BQ981" s="1631"/>
      <c r="BR981" s="1631"/>
      <c r="BS981" s="1631"/>
      <c r="BT981" s="1631"/>
      <c r="BU981" s="1631"/>
      <c r="BV981" s="1631"/>
      <c r="BW981" s="1631"/>
      <c r="BX981" s="1631"/>
      <c r="BY981" s="1631"/>
      <c r="BZ981" s="1631"/>
      <c r="CA981" s="1631"/>
      <c r="CB981" s="1631"/>
      <c r="CC981" s="1631"/>
      <c r="CD981" s="1631"/>
      <c r="CE981" s="1631"/>
      <c r="CF981" s="1631"/>
      <c r="CG981" s="1631"/>
      <c r="CH981" s="1631"/>
      <c r="CI981" s="1631"/>
      <c r="CJ981" s="1631"/>
      <c r="CK981" s="1631"/>
      <c r="CL981" s="1631"/>
      <c r="CM981" s="1631"/>
      <c r="CN981" s="1631"/>
      <c r="CO981" s="1631"/>
      <c r="CP981" s="1631"/>
      <c r="CQ981" s="1631"/>
      <c r="CR981" s="1631"/>
      <c r="CS981" s="1631"/>
      <c r="CT981" s="1631"/>
      <c r="CU981" s="1631"/>
      <c r="CV981" s="1631"/>
      <c r="CW981" s="1631"/>
      <c r="CX981" s="1631"/>
      <c r="CY981" s="1631"/>
      <c r="CZ981" s="1631"/>
      <c r="DA981" s="1631"/>
      <c r="DB981" s="1631"/>
      <c r="DC981" s="1631"/>
      <c r="DD981" s="1631"/>
      <c r="DE981" s="1631"/>
      <c r="DF981" s="1631"/>
      <c r="DG981" s="1631"/>
      <c r="DH981" s="1631"/>
      <c r="DI981" s="1631"/>
      <c r="DJ981" s="1631"/>
      <c r="DK981" s="1631"/>
      <c r="DL981" s="1631"/>
      <c r="DM981" s="1631"/>
      <c r="DN981" s="1631"/>
      <c r="DO981" s="1631"/>
      <c r="DP981" s="1631"/>
      <c r="DQ981" s="1631"/>
      <c r="DR981" s="1631"/>
      <c r="DS981" s="1631"/>
      <c r="DT981" s="1631"/>
      <c r="DU981" s="1631"/>
      <c r="DV981" s="1631"/>
      <c r="DW981" s="1631"/>
      <c r="DX981" s="1631"/>
      <c r="DY981" s="1631"/>
      <c r="DZ981" s="1631"/>
      <c r="EA981" s="1631"/>
      <c r="EB981" s="1631"/>
      <c r="EC981" s="1631"/>
      <c r="ED981" s="1631"/>
      <c r="EE981" s="1631"/>
      <c r="EF981" s="1631"/>
      <c r="EG981" s="1631"/>
      <c r="EH981" s="1631"/>
      <c r="EI981" s="1631"/>
      <c r="EJ981" s="1631"/>
      <c r="EK981" s="1631"/>
      <c r="EL981" s="1631"/>
      <c r="EM981" s="1631"/>
      <c r="EN981" s="1631"/>
      <c r="EO981" s="1631"/>
      <c r="EP981" s="1631"/>
      <c r="EQ981" s="1631"/>
      <c r="ER981" s="1631"/>
      <c r="ES981" s="1631"/>
      <c r="ET981" s="1631"/>
      <c r="EU981" s="1631"/>
      <c r="EV981" s="1631"/>
      <c r="EW981" s="1631"/>
      <c r="EX981" s="1631"/>
      <c r="EY981" s="1631"/>
      <c r="EZ981" s="1631"/>
      <c r="FA981" s="1631"/>
      <c r="FB981" s="1631"/>
      <c r="FC981" s="1631"/>
      <c r="FD981" s="1631"/>
      <c r="FE981" s="1631"/>
      <c r="FF981" s="1631"/>
      <c r="FG981" s="1631"/>
      <c r="FH981" s="1631"/>
      <c r="FI981" s="1631"/>
      <c r="FJ981" s="1631"/>
      <c r="FK981" s="1631"/>
      <c r="FL981" s="1631"/>
      <c r="FM981" s="1631"/>
      <c r="FN981" s="1631"/>
      <c r="FO981" s="1631"/>
      <c r="FP981" s="1631"/>
      <c r="FQ981" s="1631"/>
      <c r="FR981" s="1631"/>
      <c r="FS981" s="1631"/>
      <c r="FT981" s="1631"/>
      <c r="FU981" s="1631"/>
      <c r="FV981" s="1631"/>
      <c r="FW981" s="1631"/>
      <c r="FX981" s="1631"/>
      <c r="FY981" s="1631"/>
      <c r="FZ981" s="1631"/>
      <c r="GA981" s="1631"/>
      <c r="GB981" s="1631"/>
      <c r="GC981" s="1631"/>
      <c r="GD981" s="1631"/>
      <c r="GE981" s="1631"/>
      <c r="GF981" s="1631"/>
      <c r="GG981" s="1631"/>
      <c r="GH981" s="1631"/>
      <c r="GI981" s="1631"/>
      <c r="GJ981" s="1631"/>
      <c r="GK981" s="1631"/>
      <c r="GL981" s="1631"/>
      <c r="GM981" s="1631"/>
      <c r="GN981" s="1631"/>
      <c r="GO981" s="1631"/>
      <c r="GP981" s="1631"/>
      <c r="GQ981" s="1631"/>
      <c r="GR981" s="1631"/>
      <c r="GS981" s="1631"/>
      <c r="GT981" s="1631"/>
      <c r="GU981" s="1631"/>
      <c r="GV981" s="1631"/>
      <c r="GW981" s="1631"/>
      <c r="GX981" s="1631"/>
      <c r="GY981" s="1631"/>
      <c r="GZ981" s="1631"/>
      <c r="HA981" s="1631"/>
      <c r="HB981" s="1631"/>
      <c r="HC981" s="1631"/>
      <c r="HD981" s="1631"/>
      <c r="HE981" s="1631"/>
      <c r="HF981" s="1631"/>
      <c r="HG981" s="1631"/>
      <c r="HH981" s="1631"/>
      <c r="HI981" s="1631"/>
      <c r="HJ981" s="1631"/>
      <c r="HK981" s="1631"/>
      <c r="HL981" s="1631"/>
      <c r="HM981" s="1631"/>
      <c r="HN981" s="1631"/>
      <c r="HO981" s="1631"/>
      <c r="HP981" s="1631"/>
      <c r="HQ981" s="1631"/>
      <c r="HR981" s="1631"/>
      <c r="HS981" s="1631"/>
      <c r="HT981" s="1631"/>
      <c r="HU981" s="1631"/>
      <c r="HV981" s="1631"/>
      <c r="HW981" s="1631"/>
      <c r="HX981" s="1631"/>
      <c r="HY981" s="1631"/>
      <c r="HZ981" s="1631"/>
      <c r="IA981" s="1631"/>
      <c r="IB981" s="1631"/>
      <c r="IC981" s="1631"/>
      <c r="ID981" s="1631"/>
      <c r="IE981" s="1631"/>
      <c r="IF981" s="1631"/>
      <c r="IG981" s="1631"/>
      <c r="IH981" s="1631"/>
      <c r="II981" s="1631"/>
      <c r="IJ981" s="1631"/>
      <c r="IK981" s="1631"/>
      <c r="IL981" s="1631"/>
      <c r="IM981" s="1631"/>
      <c r="IN981" s="1631"/>
      <c r="IO981" s="1631"/>
      <c r="IP981" s="1631"/>
      <c r="IQ981" s="1631"/>
      <c r="IR981" s="1631"/>
      <c r="IS981" s="1631"/>
      <c r="IT981" s="1631"/>
      <c r="IU981" s="1631"/>
      <c r="IV981" s="1631"/>
      <c r="IW981" s="1631"/>
      <c r="IX981" s="1631"/>
      <c r="IY981" s="1631"/>
      <c r="IZ981" s="1631"/>
      <c r="JA981" s="1631"/>
      <c r="JB981" s="1631"/>
      <c r="JC981" s="1631"/>
      <c r="JD981" s="1631"/>
      <c r="JE981" s="1631"/>
      <c r="JF981" s="1631"/>
      <c r="JG981" s="1631"/>
      <c r="JH981" s="1631"/>
      <c r="JI981" s="1631"/>
      <c r="JJ981" s="1631"/>
      <c r="JK981" s="1631"/>
      <c r="JL981" s="1631"/>
      <c r="JM981" s="1631"/>
      <c r="JN981" s="1631"/>
      <c r="JO981" s="1631"/>
      <c r="JP981" s="1631"/>
      <c r="JQ981" s="1631"/>
      <c r="JR981" s="1631"/>
      <c r="JS981" s="1631"/>
      <c r="JT981" s="1631"/>
      <c r="JU981" s="1631"/>
      <c r="JV981" s="1630"/>
      <c r="JW981" s="1631"/>
      <c r="JX981" s="1631"/>
      <c r="JY981" s="1631"/>
      <c r="JZ981" s="1631"/>
      <c r="KA981" s="1630"/>
      <c r="KB981" s="1630"/>
      <c r="KC981" s="1630"/>
      <c r="KD981" s="1630"/>
      <c r="KE981" s="1630"/>
      <c r="KF981" s="1630"/>
      <c r="KG981" s="1630"/>
      <c r="KH981" s="1630"/>
      <c r="KI981" s="1630"/>
      <c r="KJ981" s="1630"/>
      <c r="KK981" s="1630"/>
      <c r="KL981" s="1630"/>
      <c r="KM981" s="1630"/>
      <c r="KN981" s="1630"/>
      <c r="KO981" s="1630"/>
      <c r="KP981" s="1630"/>
      <c r="KQ981" s="1630"/>
      <c r="KR981" s="1630"/>
      <c r="KS981" s="1630"/>
      <c r="KT981" s="1630"/>
      <c r="KU981" s="1630"/>
      <c r="KV981" s="1630"/>
      <c r="KW981" s="1630"/>
      <c r="KX981" s="1630"/>
      <c r="KY981" s="1630"/>
      <c r="KZ981" s="1630"/>
      <c r="LA981" s="1630"/>
      <c r="LB981" s="1630"/>
      <c r="LC981" s="1630"/>
      <c r="LD981" s="1630"/>
      <c r="LE981" s="1630"/>
      <c r="LF981" s="1630"/>
      <c r="LG981" s="1631"/>
      <c r="LH981" s="1631"/>
      <c r="LI981" s="1631"/>
      <c r="LJ981" s="1631"/>
      <c r="LK981" s="1631"/>
      <c r="LL981" s="1631"/>
      <c r="LM981" s="1631"/>
      <c r="LN981" s="1631"/>
      <c r="LO981" s="1631"/>
      <c r="LP981" s="1631"/>
      <c r="LQ981" s="1631"/>
      <c r="LR981" s="1631"/>
      <c r="LS981" s="1631"/>
      <c r="LT981" s="1631"/>
      <c r="LU981" s="1631"/>
      <c r="LV981" s="1631"/>
      <c r="LW981" s="1631"/>
      <c r="LX981" s="1631"/>
      <c r="LY981" s="1631"/>
      <c r="LZ981" s="1631"/>
      <c r="MA981" s="1631"/>
      <c r="MB981" s="1631"/>
      <c r="MC981" s="1631"/>
      <c r="MD981" s="1631"/>
      <c r="ME981" s="1631"/>
      <c r="MF981" s="1631"/>
      <c r="MG981" s="1631"/>
      <c r="MH981" s="1631"/>
      <c r="MI981" s="1631"/>
      <c r="MJ981" s="1631"/>
      <c r="MK981" s="1631"/>
      <c r="ML981" s="1631"/>
      <c r="MM981" s="1631"/>
      <c r="MN981" s="1631"/>
      <c r="MO981" s="1631"/>
      <c r="MP981" s="1631"/>
      <c r="MQ981" s="1631"/>
      <c r="MR981" s="1631"/>
      <c r="MS981" s="1631"/>
    </row>
    <row r="982" spans="1:357">
      <c r="A982" s="1631"/>
      <c r="B982" s="1631"/>
      <c r="C982" s="1631"/>
      <c r="D982" s="2774"/>
      <c r="E982" s="1631"/>
      <c r="F982" s="1833"/>
      <c r="G982" s="1833"/>
      <c r="H982" s="1631"/>
      <c r="I982" s="1631"/>
      <c r="J982" s="1833"/>
      <c r="K982" s="1631"/>
      <c r="L982" s="1631"/>
      <c r="M982" s="1631"/>
      <c r="N982" s="1631"/>
      <c r="O982" s="2774"/>
      <c r="P982" s="1631"/>
      <c r="Q982" s="1631"/>
      <c r="R982" s="1838">
        <f>'Part VI-Revenues &amp; Expenses'!R220</f>
        <v>0</v>
      </c>
      <c r="S982" s="1838"/>
      <c r="T982" s="1838"/>
      <c r="U982" s="1838"/>
      <c r="V982" s="1838"/>
      <c r="W982" s="1631"/>
      <c r="X982" s="1631"/>
      <c r="Y982" s="1631"/>
      <c r="Z982" s="1631"/>
      <c r="AA982" s="1631"/>
      <c r="AB982" s="1631"/>
      <c r="AC982" s="1631"/>
      <c r="AD982" s="1631"/>
      <c r="AE982" s="1631"/>
      <c r="AF982" s="1631"/>
      <c r="AG982" s="1631"/>
      <c r="AH982" s="1631"/>
      <c r="AI982" s="1631"/>
      <c r="AJ982" s="1631"/>
      <c r="AK982" s="1631"/>
      <c r="AL982" s="1631"/>
      <c r="AM982" s="1631"/>
      <c r="AN982" s="1631"/>
      <c r="AO982" s="1631"/>
      <c r="AP982" s="1631"/>
      <c r="AQ982" s="1631"/>
      <c r="AR982" s="1631"/>
      <c r="AS982" s="1631"/>
      <c r="AT982" s="1631"/>
      <c r="AU982" s="1631"/>
      <c r="AV982" s="1631"/>
      <c r="AW982" s="1631"/>
      <c r="AX982" s="1631"/>
      <c r="AY982" s="1631"/>
      <c r="AZ982" s="1631"/>
      <c r="BA982" s="1631"/>
      <c r="BB982" s="1631"/>
      <c r="BC982" s="1631"/>
      <c r="BD982" s="1631"/>
      <c r="BE982" s="1631"/>
      <c r="BF982" s="1631"/>
      <c r="BG982" s="1631"/>
      <c r="BH982" s="1631"/>
      <c r="BI982" s="1631"/>
      <c r="BJ982" s="1631"/>
      <c r="BK982" s="1631"/>
      <c r="BL982" s="1631"/>
      <c r="BM982" s="1631"/>
      <c r="BN982" s="1631"/>
      <c r="BO982" s="1631"/>
      <c r="BP982" s="1631"/>
      <c r="BQ982" s="1631"/>
      <c r="BR982" s="1631"/>
      <c r="BS982" s="1631"/>
      <c r="BT982" s="1631"/>
      <c r="BU982" s="1631"/>
      <c r="BV982" s="1631"/>
      <c r="BW982" s="1631"/>
      <c r="BX982" s="1631"/>
      <c r="BY982" s="1631"/>
      <c r="BZ982" s="1631"/>
      <c r="CA982" s="1631"/>
      <c r="CB982" s="1631"/>
      <c r="CC982" s="1631"/>
      <c r="CD982" s="1631"/>
      <c r="CE982" s="1631"/>
      <c r="CF982" s="1631"/>
      <c r="CG982" s="1631"/>
      <c r="CH982" s="1631"/>
      <c r="CI982" s="1631"/>
      <c r="CJ982" s="1631"/>
      <c r="CK982" s="1631"/>
      <c r="CL982" s="1631"/>
      <c r="CM982" s="1631"/>
      <c r="CN982" s="1631"/>
      <c r="CO982" s="1631"/>
      <c r="CP982" s="1631"/>
      <c r="CQ982" s="1631"/>
      <c r="CR982" s="1631"/>
      <c r="CS982" s="1631"/>
      <c r="CT982" s="1631"/>
      <c r="CU982" s="1631"/>
      <c r="CV982" s="1631"/>
      <c r="CW982" s="1631"/>
      <c r="CX982" s="1631"/>
      <c r="CY982" s="1631"/>
      <c r="CZ982" s="1631"/>
      <c r="DA982" s="1631"/>
      <c r="DB982" s="1631"/>
      <c r="DC982" s="1631"/>
      <c r="DD982" s="1631"/>
      <c r="DE982" s="1631"/>
      <c r="DF982" s="1631"/>
      <c r="DG982" s="1631"/>
      <c r="DH982" s="1631"/>
      <c r="DI982" s="1631"/>
      <c r="DJ982" s="1631"/>
      <c r="DK982" s="1631"/>
      <c r="DL982" s="1631"/>
      <c r="DM982" s="1631"/>
      <c r="DN982" s="1631"/>
      <c r="DO982" s="1631"/>
      <c r="DP982" s="1631"/>
      <c r="DQ982" s="1631"/>
      <c r="DR982" s="1631"/>
      <c r="DS982" s="1631"/>
      <c r="DT982" s="1631"/>
      <c r="DU982" s="1631"/>
      <c r="DV982" s="1631"/>
      <c r="DW982" s="1631"/>
      <c r="DX982" s="1631"/>
      <c r="DY982" s="1631"/>
      <c r="DZ982" s="1631"/>
      <c r="EA982" s="1631"/>
      <c r="EB982" s="1631"/>
      <c r="EC982" s="1631"/>
      <c r="ED982" s="1631"/>
      <c r="EE982" s="1631"/>
      <c r="EF982" s="1631"/>
      <c r="EG982" s="1631"/>
      <c r="EH982" s="1631"/>
      <c r="EI982" s="1631"/>
      <c r="EJ982" s="1631"/>
      <c r="EK982" s="1631"/>
      <c r="EL982" s="1631"/>
      <c r="EM982" s="1631"/>
      <c r="EN982" s="1631"/>
      <c r="EO982" s="1631"/>
      <c r="EP982" s="1631"/>
      <c r="EQ982" s="1631"/>
      <c r="ER982" s="1631"/>
      <c r="ES982" s="1631"/>
      <c r="ET982" s="1631"/>
      <c r="EU982" s="1631"/>
      <c r="EV982" s="1631"/>
      <c r="EW982" s="1631"/>
      <c r="EX982" s="1631"/>
      <c r="EY982" s="1631"/>
      <c r="EZ982" s="1631"/>
      <c r="FA982" s="1631"/>
      <c r="FB982" s="1631"/>
      <c r="FC982" s="1631"/>
      <c r="FD982" s="1631"/>
      <c r="FE982" s="1631"/>
      <c r="FF982" s="1631"/>
      <c r="FG982" s="1631"/>
      <c r="FH982" s="1631"/>
      <c r="FI982" s="1631"/>
      <c r="FJ982" s="1631"/>
      <c r="FK982" s="1631"/>
      <c r="FL982" s="1631"/>
      <c r="FM982" s="1631"/>
      <c r="FN982" s="1631"/>
      <c r="FO982" s="1631"/>
      <c r="FP982" s="1631"/>
      <c r="FQ982" s="1631"/>
      <c r="FR982" s="1631"/>
      <c r="FS982" s="1631"/>
      <c r="FT982" s="1631"/>
      <c r="FU982" s="1631"/>
      <c r="FV982" s="1631"/>
      <c r="FW982" s="1631"/>
      <c r="FX982" s="1631"/>
      <c r="FY982" s="1631"/>
      <c r="FZ982" s="1631"/>
      <c r="GA982" s="1631"/>
      <c r="GB982" s="1631"/>
      <c r="GC982" s="1631"/>
      <c r="GD982" s="1631"/>
      <c r="GE982" s="1631"/>
      <c r="GF982" s="1631"/>
      <c r="GG982" s="1631"/>
      <c r="GH982" s="1631"/>
      <c r="GI982" s="1631"/>
      <c r="GJ982" s="1631"/>
      <c r="GK982" s="1631"/>
      <c r="GL982" s="1631"/>
      <c r="GM982" s="1631"/>
      <c r="GN982" s="1631"/>
      <c r="GO982" s="1631"/>
      <c r="GP982" s="1631"/>
      <c r="GQ982" s="1631"/>
      <c r="GR982" s="1631"/>
      <c r="GS982" s="1631"/>
      <c r="GT982" s="1631"/>
      <c r="GU982" s="1631"/>
      <c r="GV982" s="1631"/>
      <c r="GW982" s="1631"/>
      <c r="GX982" s="1631"/>
      <c r="GY982" s="1631"/>
      <c r="GZ982" s="1631"/>
      <c r="HA982" s="1631"/>
      <c r="HB982" s="1631"/>
      <c r="HC982" s="1631"/>
      <c r="HD982" s="1631"/>
      <c r="HE982" s="1631"/>
      <c r="HF982" s="1631"/>
      <c r="HG982" s="1631"/>
      <c r="HH982" s="1631"/>
      <c r="HI982" s="1631"/>
      <c r="HJ982" s="1631"/>
      <c r="HK982" s="1631"/>
      <c r="HL982" s="1631"/>
      <c r="HM982" s="1631"/>
      <c r="HN982" s="1631"/>
      <c r="HO982" s="1631"/>
      <c r="HP982" s="1631"/>
      <c r="HQ982" s="1631"/>
      <c r="HR982" s="1631"/>
      <c r="HS982" s="1631"/>
      <c r="HT982" s="1631"/>
      <c r="HU982" s="1631"/>
      <c r="HV982" s="1631"/>
      <c r="HW982" s="1631"/>
      <c r="HX982" s="1631"/>
      <c r="HY982" s="1631"/>
      <c r="HZ982" s="1631"/>
      <c r="IA982" s="1631"/>
      <c r="IB982" s="1631"/>
      <c r="IC982" s="1631"/>
      <c r="ID982" s="1631"/>
      <c r="IE982" s="1631"/>
      <c r="IF982" s="1631"/>
      <c r="IG982" s="1631"/>
      <c r="IH982" s="1631"/>
      <c r="II982" s="1631"/>
      <c r="IJ982" s="1631"/>
      <c r="IK982" s="1631"/>
      <c r="IL982" s="1631"/>
      <c r="IM982" s="1631"/>
      <c r="IN982" s="1631"/>
      <c r="IO982" s="1631"/>
      <c r="IP982" s="1631"/>
      <c r="IQ982" s="1631"/>
      <c r="IR982" s="1631"/>
      <c r="IS982" s="1631"/>
      <c r="IT982" s="1631"/>
      <c r="IU982" s="1631"/>
      <c r="IV982" s="1631"/>
      <c r="IW982" s="1631"/>
      <c r="IX982" s="1631"/>
      <c r="IY982" s="1631"/>
      <c r="IZ982" s="1631"/>
      <c r="JA982" s="1631"/>
      <c r="JB982" s="1631"/>
      <c r="JC982" s="1631"/>
      <c r="JD982" s="1631"/>
      <c r="JE982" s="1631"/>
      <c r="JF982" s="1631"/>
      <c r="JG982" s="1631"/>
      <c r="JH982" s="1631"/>
      <c r="JI982" s="1631"/>
      <c r="JJ982" s="1631"/>
      <c r="JK982" s="1631"/>
      <c r="JL982" s="1631"/>
      <c r="JM982" s="1631"/>
      <c r="JN982" s="1631"/>
      <c r="JO982" s="1631"/>
      <c r="JP982" s="1631"/>
      <c r="JQ982" s="1631"/>
      <c r="JR982" s="1631"/>
      <c r="JS982" s="1631"/>
      <c r="JT982" s="1631"/>
      <c r="JU982" s="1631"/>
      <c r="JV982" s="1630"/>
      <c r="JW982" s="1631"/>
      <c r="JX982" s="1631"/>
      <c r="JY982" s="1631"/>
      <c r="JZ982" s="1631"/>
      <c r="KA982" s="1630"/>
      <c r="KB982" s="1630"/>
      <c r="KC982" s="1630"/>
      <c r="KD982" s="1630"/>
      <c r="KE982" s="1630"/>
      <c r="KF982" s="1630"/>
      <c r="KG982" s="1630"/>
      <c r="KH982" s="1630"/>
      <c r="KI982" s="1630"/>
      <c r="KJ982" s="1630"/>
      <c r="KK982" s="1630"/>
      <c r="KL982" s="1630"/>
      <c r="KM982" s="1630"/>
      <c r="KN982" s="1630"/>
      <c r="KO982" s="1630"/>
      <c r="KP982" s="1630"/>
      <c r="KQ982" s="1630"/>
      <c r="KR982" s="1630"/>
      <c r="KS982" s="1630"/>
      <c r="KT982" s="1630"/>
      <c r="KU982" s="1630"/>
      <c r="KV982" s="1630"/>
      <c r="KW982" s="1630"/>
      <c r="KX982" s="1630"/>
      <c r="KY982" s="1630"/>
      <c r="KZ982" s="1630"/>
      <c r="LA982" s="1630"/>
      <c r="LB982" s="1630"/>
      <c r="LC982" s="1630"/>
      <c r="LD982" s="1630"/>
      <c r="LE982" s="1630"/>
      <c r="LF982" s="1630"/>
      <c r="LG982" s="1631"/>
      <c r="LH982" s="1631"/>
      <c r="LI982" s="1631"/>
      <c r="LJ982" s="1631"/>
      <c r="LK982" s="1631"/>
      <c r="LL982" s="1631"/>
      <c r="LM982" s="1631"/>
      <c r="LN982" s="1631"/>
      <c r="LO982" s="1631"/>
      <c r="LP982" s="1631"/>
      <c r="LQ982" s="1631"/>
      <c r="LR982" s="1631"/>
      <c r="LS982" s="1631"/>
      <c r="LT982" s="1631"/>
      <c r="LU982" s="1631"/>
      <c r="LV982" s="1631"/>
      <c r="LW982" s="1631"/>
      <c r="LX982" s="1631"/>
      <c r="LY982" s="1631"/>
      <c r="LZ982" s="1631"/>
      <c r="MA982" s="1631"/>
      <c r="MB982" s="1631"/>
      <c r="MC982" s="1631"/>
      <c r="MD982" s="1631"/>
      <c r="ME982" s="1631"/>
      <c r="MF982" s="1631"/>
      <c r="MG982" s="1631"/>
      <c r="MH982" s="1631"/>
      <c r="MI982" s="1631"/>
      <c r="MJ982" s="1631"/>
      <c r="MK982" s="1631"/>
      <c r="ML982" s="1631"/>
      <c r="MM982" s="1631"/>
      <c r="MN982" s="1631"/>
      <c r="MO982" s="1631"/>
      <c r="MP982" s="1631"/>
      <c r="MQ982" s="1631"/>
      <c r="MR982" s="1631"/>
      <c r="MS982" s="1631"/>
    </row>
    <row r="983" spans="1:357">
      <c r="A983" s="1631"/>
      <c r="B983" s="1631" t="s">
        <v>1291</v>
      </c>
      <c r="C983" s="1631"/>
      <c r="D983" s="1863"/>
      <c r="E983" s="1631"/>
      <c r="F983" s="1631"/>
      <c r="G983" s="1631"/>
      <c r="H983" s="1631"/>
      <c r="I983" s="1631" t="s">
        <v>1292</v>
      </c>
      <c r="J983" s="1631"/>
      <c r="K983" s="1631"/>
      <c r="L983" s="1631"/>
      <c r="M983" s="1631"/>
      <c r="N983" s="1631" t="s">
        <v>1380</v>
      </c>
      <c r="O983" s="1631"/>
      <c r="P983" s="1864">
        <f>'Part VI-Revenues &amp; Expenses'!P221</f>
        <v>39873</v>
      </c>
      <c r="Q983" s="1864"/>
      <c r="R983" s="1838">
        <f>'Part VI-Revenues &amp; Expenses'!R221</f>
        <v>0</v>
      </c>
      <c r="S983" s="1838"/>
      <c r="T983" s="1838"/>
      <c r="U983" s="1838"/>
      <c r="V983" s="1838"/>
      <c r="X983" s="1631"/>
      <c r="Y983" s="1631"/>
      <c r="Z983" s="1631"/>
      <c r="AA983" s="1631"/>
      <c r="AC983" s="1631"/>
      <c r="AD983" s="1631"/>
      <c r="AE983" s="1631"/>
      <c r="AF983" s="1631"/>
      <c r="AH983" s="1631"/>
      <c r="AI983" s="1631"/>
      <c r="AJ983" s="1631"/>
      <c r="AK983" s="1631"/>
      <c r="AM983" s="1631"/>
      <c r="AN983" s="1631"/>
      <c r="AO983" s="1631"/>
      <c r="AP983" s="1631"/>
      <c r="AQ983" s="1631"/>
      <c r="AR983" s="1631"/>
      <c r="AS983" s="1631"/>
      <c r="AT983" s="1631"/>
      <c r="AU983" s="1631"/>
      <c r="AV983" s="1631"/>
      <c r="AW983" s="1631"/>
      <c r="AX983" s="1631"/>
      <c r="AY983" s="1631"/>
      <c r="AZ983" s="1631"/>
      <c r="BA983" s="1631"/>
      <c r="BB983" s="1631"/>
      <c r="BC983" s="1631"/>
      <c r="BD983" s="1631"/>
      <c r="BE983" s="1631"/>
      <c r="BF983" s="1631"/>
      <c r="BG983" s="1631"/>
      <c r="BH983" s="1631"/>
      <c r="BI983" s="1631"/>
      <c r="BJ983" s="1631"/>
      <c r="BK983" s="1631"/>
      <c r="BL983" s="1631"/>
      <c r="BM983" s="1631"/>
      <c r="BN983" s="1631"/>
      <c r="BO983" s="1631"/>
      <c r="BP983" s="1631"/>
      <c r="BQ983" s="1631"/>
      <c r="BR983" s="1631"/>
      <c r="BS983" s="1631"/>
      <c r="BT983" s="1631"/>
      <c r="BU983" s="1631"/>
      <c r="BV983" s="1631"/>
      <c r="BW983" s="1631"/>
      <c r="BX983" s="1631"/>
      <c r="BY983" s="1631"/>
      <c r="BZ983" s="1631"/>
      <c r="CA983" s="1631"/>
      <c r="CB983" s="1631"/>
      <c r="CC983" s="1631"/>
      <c r="CD983" s="1631"/>
      <c r="CE983" s="1631"/>
      <c r="CF983" s="1631"/>
      <c r="CG983" s="1631"/>
      <c r="CH983" s="1631"/>
      <c r="CI983" s="1631"/>
      <c r="CJ983" s="1631"/>
      <c r="CK983" s="1631"/>
      <c r="CL983" s="1631"/>
      <c r="CM983" s="1631"/>
      <c r="CN983" s="1631"/>
      <c r="CO983" s="1631"/>
      <c r="CP983" s="1631"/>
      <c r="CQ983" s="1631"/>
      <c r="CR983" s="1631"/>
      <c r="CS983" s="1631"/>
      <c r="CT983" s="1631"/>
      <c r="CU983" s="1631"/>
      <c r="CV983" s="1631"/>
      <c r="CW983" s="1631"/>
      <c r="CX983" s="1631"/>
      <c r="CY983" s="1631"/>
      <c r="CZ983" s="1631"/>
      <c r="DA983" s="1631"/>
      <c r="DB983" s="1631"/>
      <c r="DC983" s="1631"/>
      <c r="DD983" s="1631"/>
      <c r="DE983" s="1631"/>
      <c r="DF983" s="1631"/>
      <c r="DG983" s="1631"/>
      <c r="DH983" s="1631"/>
      <c r="DI983" s="1631"/>
      <c r="DJ983" s="1631"/>
      <c r="DK983" s="1631"/>
      <c r="DL983" s="1631"/>
      <c r="DM983" s="1631"/>
      <c r="DN983" s="1631"/>
      <c r="DO983" s="1631"/>
      <c r="DP983" s="1631"/>
      <c r="DQ983" s="1631"/>
      <c r="DR983" s="1631"/>
      <c r="DS983" s="1631"/>
      <c r="DT983" s="1631"/>
      <c r="DU983" s="1631"/>
      <c r="DV983" s="1631"/>
      <c r="DW983" s="1631"/>
      <c r="DX983" s="1631"/>
      <c r="DY983" s="1631"/>
      <c r="DZ983" s="1631"/>
      <c r="EA983" s="1631"/>
      <c r="EB983" s="1631"/>
      <c r="EC983" s="1631"/>
      <c r="ED983" s="1631"/>
      <c r="EE983" s="1631"/>
      <c r="EF983" s="1631"/>
      <c r="EG983" s="1631"/>
      <c r="EH983" s="1631"/>
      <c r="EI983" s="1631"/>
      <c r="EJ983" s="1631"/>
      <c r="EK983" s="1631"/>
      <c r="EL983" s="1631"/>
      <c r="EM983" s="1631"/>
      <c r="EN983" s="1631"/>
      <c r="EO983" s="1631"/>
      <c r="EP983" s="1631"/>
      <c r="EQ983" s="1631"/>
      <c r="ER983" s="1631"/>
      <c r="ES983" s="1631"/>
      <c r="ET983" s="1631"/>
      <c r="EU983" s="1631"/>
      <c r="EV983" s="1631"/>
      <c r="EW983" s="1631"/>
      <c r="EX983" s="1631"/>
      <c r="EY983" s="1631"/>
      <c r="EZ983" s="1631"/>
      <c r="FA983" s="1631"/>
      <c r="FB983" s="1631"/>
      <c r="FC983" s="1631"/>
      <c r="FD983" s="1631"/>
      <c r="FE983" s="1631"/>
      <c r="FF983" s="1631"/>
      <c r="FG983" s="1631"/>
      <c r="FH983" s="1631"/>
      <c r="FI983" s="1631"/>
      <c r="FJ983" s="1631"/>
      <c r="FK983" s="1631"/>
      <c r="FL983" s="1631"/>
      <c r="FM983" s="1631"/>
      <c r="FN983" s="1631"/>
      <c r="FO983" s="1631"/>
      <c r="FP983" s="1631"/>
      <c r="FQ983" s="1631"/>
      <c r="FR983" s="1631"/>
      <c r="FS983" s="1631"/>
      <c r="FT983" s="1631"/>
      <c r="FU983" s="1631"/>
      <c r="FV983" s="1631"/>
      <c r="FW983" s="1631"/>
      <c r="FX983" s="1631"/>
      <c r="FY983" s="1631"/>
      <c r="FZ983" s="1631"/>
      <c r="GA983" s="1631"/>
      <c r="GB983" s="1631"/>
      <c r="GC983" s="1631"/>
      <c r="GD983" s="1631"/>
      <c r="GE983" s="1631"/>
      <c r="GF983" s="1631"/>
      <c r="GG983" s="1631"/>
      <c r="GH983" s="1631"/>
      <c r="GI983" s="1631"/>
      <c r="GJ983" s="1631"/>
      <c r="GK983" s="1631"/>
      <c r="GL983" s="1631"/>
      <c r="GM983" s="1631"/>
      <c r="GN983" s="1631"/>
      <c r="GO983" s="1631"/>
      <c r="GP983" s="1631"/>
      <c r="GQ983" s="1631"/>
      <c r="GR983" s="1631"/>
      <c r="GS983" s="1631"/>
      <c r="GT983" s="1631"/>
      <c r="GU983" s="1631"/>
      <c r="GV983" s="1631"/>
      <c r="GW983" s="1631"/>
      <c r="GX983" s="1631"/>
      <c r="GY983" s="1631"/>
      <c r="GZ983" s="1631"/>
      <c r="HA983" s="1631"/>
      <c r="HB983" s="1631"/>
      <c r="HC983" s="1631"/>
      <c r="HD983" s="1631"/>
      <c r="HE983" s="1631"/>
      <c r="HF983" s="1631"/>
      <c r="HG983" s="1631"/>
      <c r="HH983" s="1631"/>
      <c r="HI983" s="1631"/>
      <c r="HJ983" s="1631"/>
      <c r="HK983" s="1631"/>
      <c r="HL983" s="1631"/>
      <c r="HM983" s="1631"/>
      <c r="HN983" s="1631"/>
      <c r="HO983" s="1631"/>
      <c r="HP983" s="1631"/>
      <c r="HQ983" s="1631"/>
      <c r="HR983" s="1631"/>
      <c r="HS983" s="1631"/>
      <c r="HT983" s="1631"/>
      <c r="HU983" s="1631"/>
      <c r="HV983" s="1631"/>
      <c r="HW983" s="1631"/>
      <c r="HX983" s="1631"/>
      <c r="HY983" s="1631"/>
      <c r="HZ983" s="1631"/>
      <c r="IA983" s="1631"/>
      <c r="IB983" s="1631"/>
      <c r="IC983" s="1631"/>
      <c r="ID983" s="1631"/>
      <c r="IE983" s="1631"/>
      <c r="IF983" s="1631"/>
      <c r="IG983" s="1631"/>
      <c r="IH983" s="1631"/>
      <c r="II983" s="1631"/>
      <c r="IJ983" s="1631"/>
      <c r="IK983" s="1631"/>
      <c r="IL983" s="1631"/>
      <c r="IM983" s="1631"/>
      <c r="IN983" s="1631"/>
      <c r="IO983" s="1631"/>
      <c r="IP983" s="1631"/>
      <c r="IQ983" s="1631"/>
      <c r="IR983" s="1631"/>
      <c r="IS983" s="1631"/>
      <c r="IT983" s="1631"/>
      <c r="IU983" s="1631"/>
      <c r="IV983" s="1631"/>
      <c r="IW983" s="1631"/>
      <c r="IX983" s="1631"/>
      <c r="IY983" s="1631"/>
      <c r="IZ983" s="1631"/>
      <c r="JA983" s="1631"/>
      <c r="JB983" s="1631"/>
      <c r="JC983" s="1631"/>
      <c r="JD983" s="1631"/>
      <c r="JE983" s="1631"/>
      <c r="JF983" s="1631"/>
      <c r="JG983" s="1631"/>
      <c r="JH983" s="1631"/>
      <c r="JI983" s="1631"/>
      <c r="JJ983" s="1631"/>
      <c r="JK983" s="1631"/>
      <c r="JL983" s="1631"/>
      <c r="JM983" s="1631"/>
      <c r="JN983" s="1631"/>
      <c r="JO983" s="1631"/>
      <c r="JP983" s="1631"/>
      <c r="JQ983" s="1631"/>
      <c r="JR983" s="1631"/>
      <c r="JS983" s="1631"/>
      <c r="JT983" s="1631"/>
      <c r="JU983" s="1631"/>
      <c r="JV983" s="1630"/>
      <c r="JW983" s="1631"/>
      <c r="JX983" s="1631"/>
      <c r="JY983" s="1631"/>
      <c r="JZ983" s="1631"/>
      <c r="KA983" s="1630"/>
      <c r="KB983" s="1630"/>
      <c r="KC983" s="1630"/>
      <c r="KD983" s="1630"/>
      <c r="KE983" s="1630"/>
      <c r="KF983" s="1630"/>
      <c r="KG983" s="1630"/>
      <c r="KH983" s="1630"/>
      <c r="KI983" s="1630"/>
      <c r="KJ983" s="1630"/>
      <c r="KK983" s="1630"/>
      <c r="KL983" s="1630"/>
      <c r="KM983" s="1630"/>
      <c r="KN983" s="1630"/>
      <c r="KO983" s="1630"/>
      <c r="KP983" s="1630"/>
      <c r="KQ983" s="1630"/>
      <c r="KR983" s="1630"/>
      <c r="KS983" s="1630"/>
      <c r="KT983" s="1630"/>
      <c r="KU983" s="1630"/>
      <c r="KV983" s="1630"/>
      <c r="KW983" s="1630"/>
      <c r="KX983" s="1630"/>
      <c r="KY983" s="1630"/>
      <c r="KZ983" s="1630"/>
      <c r="LA983" s="1630"/>
      <c r="LB983" s="1630"/>
      <c r="LC983" s="1630"/>
      <c r="LD983" s="1630"/>
      <c r="LE983" s="1630"/>
      <c r="LF983" s="1630"/>
      <c r="LG983" s="1631"/>
      <c r="LH983" s="1631"/>
      <c r="LI983" s="1631"/>
      <c r="LJ983" s="1631"/>
      <c r="LK983" s="1631"/>
      <c r="LL983" s="1631"/>
      <c r="LM983" s="1631"/>
      <c r="LN983" s="1631"/>
      <c r="LO983" s="1631"/>
      <c r="LP983" s="1631"/>
      <c r="LQ983" s="1631"/>
      <c r="LR983" s="1631"/>
      <c r="LS983" s="1631"/>
      <c r="LT983" s="1631"/>
      <c r="LU983" s="1631"/>
      <c r="LV983" s="1631"/>
      <c r="LW983" s="1631"/>
      <c r="LX983" s="1631"/>
      <c r="LY983" s="1631"/>
      <c r="LZ983" s="1631"/>
      <c r="MA983" s="1631"/>
      <c r="MB983" s="1631"/>
      <c r="MC983" s="1631"/>
      <c r="MD983" s="1631"/>
      <c r="ME983" s="1631"/>
      <c r="MF983" s="1631"/>
      <c r="MG983" s="1631"/>
      <c r="MH983" s="1631"/>
      <c r="MI983" s="1631"/>
      <c r="MJ983" s="1631"/>
      <c r="MK983" s="1631"/>
      <c r="ML983" s="1631"/>
      <c r="MM983" s="1631"/>
      <c r="MN983" s="1631"/>
      <c r="MO983" s="1631"/>
      <c r="MP983" s="1631"/>
      <c r="MQ983" s="1631"/>
      <c r="MR983" s="1631"/>
      <c r="MS983" s="1631"/>
    </row>
    <row r="984" spans="1:357">
      <c r="A984" s="1631"/>
      <c r="B984" s="1631" t="s">
        <v>1372</v>
      </c>
      <c r="C984" s="1631"/>
      <c r="D984" s="1863"/>
      <c r="E984" s="1631"/>
      <c r="F984" s="1847">
        <f>'Part VI-Revenues &amp; Expenses'!F222</f>
        <v>2772</v>
      </c>
      <c r="G984" s="1847"/>
      <c r="H984" s="1631"/>
      <c r="I984" s="1631" t="s">
        <v>1602</v>
      </c>
      <c r="J984" s="1631"/>
      <c r="K984" s="1847">
        <f>'Part VI-Revenues &amp; Expenses'!K222</f>
        <v>840</v>
      </c>
      <c r="L984" s="1847"/>
      <c r="M984" s="1631"/>
      <c r="N984" s="1865">
        <f>+P983/(O829*0.93)</f>
        <v>510.40706605222732</v>
      </c>
      <c r="O984" s="1866" t="s">
        <v>2756</v>
      </c>
      <c r="P984" s="1631"/>
      <c r="Q984" s="1631"/>
      <c r="R984" s="1838">
        <f>'Part VI-Revenues &amp; Expenses'!R222</f>
        <v>0</v>
      </c>
      <c r="S984" s="1838"/>
      <c r="T984" s="1838"/>
      <c r="U984" s="1838"/>
      <c r="V984" s="1838"/>
      <c r="X984" s="1631"/>
      <c r="Y984" s="1631"/>
      <c r="Z984" s="1631"/>
      <c r="AA984" s="1631"/>
      <c r="AC984" s="1631"/>
      <c r="AD984" s="1631"/>
      <c r="AE984" s="1631"/>
      <c r="AF984" s="1631"/>
      <c r="AH984" s="1631"/>
      <c r="AI984" s="1631"/>
      <c r="AJ984" s="1631"/>
      <c r="AK984" s="1631"/>
      <c r="AM984" s="1631"/>
      <c r="AN984" s="1631"/>
      <c r="AO984" s="1631"/>
      <c r="AP984" s="1631"/>
      <c r="AQ984" s="1631"/>
      <c r="AR984" s="1631"/>
      <c r="AS984" s="1631"/>
      <c r="AT984" s="1631"/>
      <c r="AU984" s="1631"/>
      <c r="AV984" s="1631"/>
      <c r="AW984" s="1631"/>
      <c r="AX984" s="1631"/>
      <c r="AY984" s="1631"/>
      <c r="AZ984" s="1631"/>
      <c r="BA984" s="1631"/>
      <c r="BB984" s="1631"/>
      <c r="BC984" s="1631"/>
      <c r="BD984" s="1631"/>
      <c r="BE984" s="1631"/>
      <c r="BF984" s="1631"/>
      <c r="BG984" s="1631"/>
      <c r="BH984" s="1631"/>
      <c r="BI984" s="1631"/>
      <c r="BJ984" s="1631"/>
      <c r="BK984" s="1631"/>
      <c r="BL984" s="1631"/>
      <c r="BM984" s="1631"/>
      <c r="BN984" s="1631"/>
      <c r="BO984" s="1631"/>
      <c r="BP984" s="1631"/>
      <c r="BQ984" s="1631"/>
      <c r="BR984" s="1631"/>
      <c r="BS984" s="1631"/>
      <c r="BT984" s="1631"/>
      <c r="BU984" s="1631"/>
      <c r="BV984" s="1631"/>
      <c r="BW984" s="1631"/>
      <c r="BX984" s="1631"/>
      <c r="BY984" s="1631"/>
      <c r="BZ984" s="1631"/>
      <c r="CA984" s="1631"/>
      <c r="CB984" s="1631"/>
      <c r="CC984" s="1631"/>
      <c r="CD984" s="1631"/>
      <c r="CE984" s="1631"/>
      <c r="CF984" s="1631"/>
      <c r="CG984" s="1631"/>
      <c r="CH984" s="1631"/>
      <c r="CI984" s="1631"/>
      <c r="CJ984" s="1631"/>
      <c r="CK984" s="1631"/>
      <c r="CL984" s="1631"/>
      <c r="CM984" s="1631"/>
      <c r="CN984" s="1631"/>
      <c r="CO984" s="1631"/>
      <c r="CP984" s="1631"/>
      <c r="CQ984" s="1631"/>
      <c r="CR984" s="1631"/>
      <c r="CS984" s="1631"/>
      <c r="CT984" s="1631"/>
      <c r="CU984" s="1631"/>
      <c r="CV984" s="1631"/>
      <c r="CW984" s="1631"/>
      <c r="CX984" s="1631"/>
      <c r="CY984" s="1631"/>
      <c r="CZ984" s="1631"/>
      <c r="DA984" s="1631"/>
      <c r="DB984" s="1631"/>
      <c r="DC984" s="1631"/>
      <c r="DD984" s="1631"/>
      <c r="DE984" s="1631"/>
      <c r="DF984" s="1631"/>
      <c r="DG984" s="1631"/>
      <c r="DH984" s="1631"/>
      <c r="DI984" s="1631"/>
      <c r="DJ984" s="1631"/>
      <c r="DK984" s="1631"/>
      <c r="DL984" s="1631"/>
      <c r="DM984" s="1631"/>
      <c r="DN984" s="1631"/>
      <c r="DO984" s="1631"/>
      <c r="DP984" s="1631"/>
      <c r="DQ984" s="1631"/>
      <c r="DR984" s="1631"/>
      <c r="DS984" s="1631"/>
      <c r="DT984" s="1631"/>
      <c r="DU984" s="1631"/>
      <c r="DV984" s="1631"/>
      <c r="DW984" s="1631"/>
      <c r="DX984" s="1631"/>
      <c r="DY984" s="1631"/>
      <c r="DZ984" s="1631"/>
      <c r="EA984" s="1631"/>
      <c r="EB984" s="1631"/>
      <c r="EC984" s="1631"/>
      <c r="ED984" s="1631"/>
      <c r="EE984" s="1631"/>
      <c r="EF984" s="1631"/>
      <c r="EG984" s="1631"/>
      <c r="EH984" s="1631"/>
      <c r="EI984" s="1631"/>
      <c r="EJ984" s="1631"/>
      <c r="EK984" s="1631"/>
      <c r="EL984" s="1631"/>
      <c r="EM984" s="1631"/>
      <c r="EN984" s="1631"/>
      <c r="EO984" s="1631"/>
      <c r="EP984" s="1631"/>
      <c r="EQ984" s="1631"/>
      <c r="ER984" s="1631"/>
      <c r="ES984" s="1631"/>
      <c r="ET984" s="1631"/>
      <c r="EU984" s="1631"/>
      <c r="EV984" s="1631"/>
      <c r="EW984" s="1631"/>
      <c r="EX984" s="1631"/>
      <c r="EY984" s="1631"/>
      <c r="EZ984" s="1631"/>
      <c r="FA984" s="1631"/>
      <c r="FB984" s="1631"/>
      <c r="FC984" s="1631"/>
      <c r="FD984" s="1631"/>
      <c r="FE984" s="1631"/>
      <c r="FF984" s="1631"/>
      <c r="FG984" s="1631"/>
      <c r="FH984" s="1631"/>
      <c r="FI984" s="1631"/>
      <c r="FJ984" s="1631"/>
      <c r="FK984" s="1631"/>
      <c r="FL984" s="1631"/>
      <c r="FM984" s="1631"/>
      <c r="FN984" s="1631"/>
      <c r="FO984" s="1631"/>
      <c r="FP984" s="1631"/>
      <c r="FQ984" s="1631"/>
      <c r="FR984" s="1631"/>
      <c r="FS984" s="1631"/>
      <c r="FT984" s="1631"/>
      <c r="FU984" s="1631"/>
      <c r="FV984" s="1631"/>
      <c r="FW984" s="1631"/>
      <c r="FX984" s="1631"/>
      <c r="FY984" s="1631"/>
      <c r="FZ984" s="1631"/>
      <c r="GA984" s="1631"/>
      <c r="GB984" s="1631"/>
      <c r="GC984" s="1631"/>
      <c r="GD984" s="1631"/>
      <c r="GE984" s="1631"/>
      <c r="GF984" s="1631"/>
      <c r="GG984" s="1631"/>
      <c r="GH984" s="1631"/>
      <c r="GI984" s="1631"/>
      <c r="GJ984" s="1631"/>
      <c r="GK984" s="1631"/>
      <c r="GL984" s="1631"/>
      <c r="GM984" s="1631"/>
      <c r="GN984" s="1631"/>
      <c r="GO984" s="1631"/>
      <c r="GP984" s="1631"/>
      <c r="GQ984" s="1631"/>
      <c r="GR984" s="1631"/>
      <c r="GS984" s="1631"/>
      <c r="GT984" s="1631"/>
      <c r="GU984" s="1631"/>
      <c r="GV984" s="1631"/>
      <c r="GW984" s="1631"/>
      <c r="GX984" s="1631"/>
      <c r="GY984" s="1631"/>
      <c r="GZ984" s="1631"/>
      <c r="HA984" s="1631"/>
      <c r="HB984" s="1631"/>
      <c r="HC984" s="1631"/>
      <c r="HD984" s="1631"/>
      <c r="HE984" s="1631"/>
      <c r="HF984" s="1631"/>
      <c r="HG984" s="1631"/>
      <c r="HH984" s="1631"/>
      <c r="HI984" s="1631"/>
      <c r="HJ984" s="1631"/>
      <c r="HK984" s="1631"/>
      <c r="HL984" s="1631"/>
      <c r="HM984" s="1631"/>
      <c r="HN984" s="1631"/>
      <c r="HO984" s="1631"/>
      <c r="HP984" s="1631"/>
      <c r="HQ984" s="1631"/>
      <c r="HR984" s="1631"/>
      <c r="HS984" s="1631"/>
      <c r="HT984" s="1631"/>
      <c r="HU984" s="1631"/>
      <c r="HV984" s="1631"/>
      <c r="HW984" s="1631"/>
      <c r="HX984" s="1631"/>
      <c r="HY984" s="1631"/>
      <c r="HZ984" s="1631"/>
      <c r="IA984" s="1631"/>
      <c r="IB984" s="1631"/>
      <c r="IC984" s="1631"/>
      <c r="ID984" s="1631"/>
      <c r="IE984" s="1631"/>
      <c r="IF984" s="1631"/>
      <c r="IG984" s="1631"/>
      <c r="IH984" s="1631"/>
      <c r="II984" s="1631"/>
      <c r="IJ984" s="1631"/>
      <c r="IK984" s="1631"/>
      <c r="IL984" s="1631"/>
      <c r="IM984" s="1631"/>
      <c r="IN984" s="1631"/>
      <c r="IO984" s="1631"/>
      <c r="IP984" s="1631"/>
      <c r="IQ984" s="1631"/>
      <c r="IR984" s="1631"/>
      <c r="IS984" s="1631"/>
      <c r="IT984" s="1631"/>
      <c r="IU984" s="1631"/>
      <c r="IV984" s="1631"/>
      <c r="IW984" s="1631"/>
      <c r="IX984" s="1631"/>
      <c r="IY984" s="1631"/>
      <c r="IZ984" s="1631"/>
      <c r="JA984" s="1631"/>
      <c r="JB984" s="1631"/>
      <c r="JC984" s="1631"/>
      <c r="JD984" s="1631"/>
      <c r="JE984" s="1631"/>
      <c r="JF984" s="1631"/>
      <c r="JG984" s="1631"/>
      <c r="JH984" s="1631"/>
      <c r="JI984" s="1631"/>
      <c r="JJ984" s="1631"/>
      <c r="JK984" s="1631"/>
      <c r="JL984" s="1631"/>
      <c r="JM984" s="1631"/>
      <c r="JN984" s="1631"/>
      <c r="JO984" s="1631"/>
      <c r="JP984" s="1631"/>
      <c r="JQ984" s="1631"/>
      <c r="JR984" s="1631"/>
      <c r="JS984" s="1631"/>
      <c r="JT984" s="1631"/>
      <c r="JU984" s="1631"/>
      <c r="JV984" s="1630"/>
      <c r="JW984" s="1631"/>
      <c r="JX984" s="1631"/>
      <c r="JY984" s="1631"/>
      <c r="JZ984" s="1631"/>
      <c r="KA984" s="1630"/>
      <c r="KB984" s="1630"/>
      <c r="KC984" s="1630"/>
      <c r="KD984" s="1630"/>
      <c r="KE984" s="1630"/>
      <c r="KF984" s="1630"/>
      <c r="KG984" s="1630"/>
      <c r="KH984" s="1630"/>
      <c r="KI984" s="1630"/>
      <c r="KJ984" s="1630"/>
      <c r="KK984" s="1630"/>
      <c r="KL984" s="1630"/>
      <c r="KM984" s="1630"/>
      <c r="KN984" s="1630"/>
      <c r="KO984" s="1630"/>
      <c r="KP984" s="1630"/>
      <c r="KQ984" s="1630"/>
      <c r="KR984" s="1630"/>
      <c r="KS984" s="1630"/>
      <c r="KT984" s="1630"/>
      <c r="KU984" s="1630"/>
      <c r="KV984" s="1630"/>
      <c r="KW984" s="1630"/>
      <c r="KX984" s="1630"/>
      <c r="KY984" s="1630"/>
      <c r="KZ984" s="1630"/>
      <c r="LA984" s="1630"/>
      <c r="LB984" s="1630"/>
      <c r="LC984" s="1630"/>
      <c r="LD984" s="1630"/>
      <c r="LE984" s="1630"/>
      <c r="LF984" s="1630"/>
      <c r="LG984" s="1631"/>
      <c r="LH984" s="1631"/>
      <c r="LI984" s="1631"/>
      <c r="LJ984" s="1631"/>
      <c r="LK984" s="1631"/>
      <c r="LL984" s="1631"/>
      <c r="LM984" s="1631"/>
      <c r="LN984" s="1631"/>
      <c r="LO984" s="1631"/>
      <c r="LP984" s="1631"/>
      <c r="LQ984" s="1631"/>
      <c r="LR984" s="1631"/>
      <c r="LS984" s="1631"/>
      <c r="LT984" s="1631"/>
      <c r="LU984" s="1631"/>
      <c r="LV984" s="1631"/>
      <c r="LW984" s="1631"/>
      <c r="LX984" s="1631"/>
      <c r="LY984" s="1631"/>
      <c r="LZ984" s="1631"/>
      <c r="MA984" s="1631"/>
      <c r="MB984" s="1631"/>
      <c r="MC984" s="1631"/>
      <c r="MD984" s="1631"/>
      <c r="ME984" s="1631"/>
      <c r="MF984" s="1631"/>
      <c r="MG984" s="1631"/>
      <c r="MH984" s="1631"/>
      <c r="MI984" s="1631"/>
      <c r="MJ984" s="1631"/>
      <c r="MK984" s="1631"/>
      <c r="ML984" s="1631"/>
      <c r="MM984" s="1631"/>
      <c r="MN984" s="1631"/>
      <c r="MO984" s="1631"/>
      <c r="MP984" s="1631"/>
      <c r="MQ984" s="1631"/>
      <c r="MR984" s="1631"/>
      <c r="MS984" s="1631"/>
    </row>
    <row r="985" spans="1:357">
      <c r="A985" s="1631"/>
      <c r="B985" s="1631" t="s">
        <v>1373</v>
      </c>
      <c r="C985" s="1631"/>
      <c r="D985" s="1863"/>
      <c r="E985" s="1631"/>
      <c r="F985" s="1847">
        <f>'Part VI-Revenues &amp; Expenses'!F223</f>
        <v>2352</v>
      </c>
      <c r="G985" s="1847"/>
      <c r="H985" s="1631"/>
      <c r="I985" s="1631" t="s">
        <v>2049</v>
      </c>
      <c r="J985" s="1631"/>
      <c r="K985" s="1847">
        <f>'Part VI-Revenues &amp; Expenses'!K223</f>
        <v>2520</v>
      </c>
      <c r="L985" s="1847"/>
      <c r="M985" s="1631"/>
      <c r="N985" s="1865">
        <f>+P983/(O829*0.93)/12</f>
        <v>42.533922171018943</v>
      </c>
      <c r="O985" s="1866" t="s">
        <v>2757</v>
      </c>
      <c r="P985" s="1631"/>
      <c r="Q985" s="1631"/>
      <c r="R985" s="1838">
        <f>'Part VI-Revenues &amp; Expenses'!R223</f>
        <v>0</v>
      </c>
      <c r="S985" s="1838"/>
      <c r="T985" s="1838"/>
      <c r="U985" s="1838"/>
      <c r="V985" s="1838"/>
      <c r="X985" s="1631"/>
      <c r="Y985" s="1631"/>
      <c r="Z985" s="1631"/>
      <c r="AA985" s="1631"/>
      <c r="AC985" s="1631"/>
      <c r="AD985" s="1631"/>
      <c r="AE985" s="1631"/>
      <c r="AF985" s="1631"/>
      <c r="AH985" s="1631"/>
      <c r="AI985" s="1631"/>
      <c r="AJ985" s="1631"/>
      <c r="AK985" s="1631"/>
      <c r="AM985" s="1631"/>
      <c r="AN985" s="1631"/>
      <c r="AO985" s="1631"/>
      <c r="AP985" s="1631"/>
      <c r="AQ985" s="1631"/>
      <c r="AR985" s="1631"/>
      <c r="AS985" s="1631"/>
      <c r="AT985" s="1631"/>
      <c r="AU985" s="1631"/>
      <c r="AV985" s="1631"/>
      <c r="AW985" s="1631"/>
      <c r="AX985" s="1631"/>
      <c r="AY985" s="1631"/>
      <c r="AZ985" s="1631"/>
      <c r="BA985" s="1631"/>
      <c r="BB985" s="1631"/>
      <c r="BC985" s="1631"/>
      <c r="BD985" s="1631"/>
      <c r="BE985" s="1631"/>
      <c r="BF985" s="1631"/>
      <c r="BG985" s="1631"/>
      <c r="BH985" s="1631"/>
      <c r="BI985" s="1631"/>
      <c r="BJ985" s="1631"/>
      <c r="BK985" s="1631"/>
      <c r="BL985" s="1631"/>
      <c r="BM985" s="1631"/>
      <c r="BN985" s="1631"/>
      <c r="BO985" s="1631"/>
      <c r="BP985" s="1631"/>
      <c r="BQ985" s="1631"/>
      <c r="BR985" s="1631"/>
      <c r="BS985" s="1631"/>
      <c r="BT985" s="1631"/>
      <c r="BU985" s="1631"/>
      <c r="BV985" s="1631"/>
      <c r="BW985" s="1631"/>
      <c r="BX985" s="1631"/>
      <c r="BY985" s="1631"/>
      <c r="BZ985" s="1631"/>
      <c r="CA985" s="1631"/>
      <c r="CB985" s="1631"/>
      <c r="CC985" s="1631"/>
      <c r="CD985" s="1631"/>
      <c r="CE985" s="1631"/>
      <c r="CF985" s="1631"/>
      <c r="CG985" s="1631"/>
      <c r="CH985" s="1631"/>
      <c r="CI985" s="1631"/>
      <c r="CJ985" s="1631"/>
      <c r="CK985" s="1631"/>
      <c r="CL985" s="1631"/>
      <c r="CM985" s="1631"/>
      <c r="CN985" s="1631"/>
      <c r="CO985" s="1631"/>
      <c r="CP985" s="1631"/>
      <c r="CQ985" s="1631"/>
      <c r="CR985" s="1631"/>
      <c r="CS985" s="1631"/>
      <c r="CT985" s="1631"/>
      <c r="CU985" s="1631"/>
      <c r="CV985" s="1631"/>
      <c r="CW985" s="1631"/>
      <c r="CX985" s="1631"/>
      <c r="CY985" s="1631"/>
      <c r="CZ985" s="1631"/>
      <c r="DA985" s="1631"/>
      <c r="DB985" s="1631"/>
      <c r="DC985" s="1631"/>
      <c r="DD985" s="1631"/>
      <c r="DE985" s="1631"/>
      <c r="DF985" s="1631"/>
      <c r="DG985" s="1631"/>
      <c r="DH985" s="1631"/>
      <c r="DI985" s="1631"/>
      <c r="DJ985" s="1631"/>
      <c r="DK985" s="1631"/>
      <c r="DL985" s="1631"/>
      <c r="DM985" s="1631"/>
      <c r="DN985" s="1631"/>
      <c r="DO985" s="1631"/>
      <c r="DP985" s="1631"/>
      <c r="DQ985" s="1631"/>
      <c r="DR985" s="1631"/>
      <c r="DS985" s="1631"/>
      <c r="DT985" s="1631"/>
      <c r="DU985" s="1631"/>
      <c r="DV985" s="1631"/>
      <c r="DW985" s="1631"/>
      <c r="DX985" s="1631"/>
      <c r="DY985" s="1631"/>
      <c r="DZ985" s="1631"/>
      <c r="EA985" s="1631"/>
      <c r="EB985" s="1631"/>
      <c r="EC985" s="1631"/>
      <c r="ED985" s="1631"/>
      <c r="EE985" s="1631"/>
      <c r="EF985" s="1631"/>
      <c r="EG985" s="1631"/>
      <c r="EH985" s="1631"/>
      <c r="EI985" s="1631"/>
      <c r="EJ985" s="1631"/>
      <c r="EK985" s="1631"/>
      <c r="EL985" s="1631"/>
      <c r="EM985" s="1631"/>
      <c r="EN985" s="1631"/>
      <c r="EO985" s="1631"/>
      <c r="EP985" s="1631"/>
      <c r="EQ985" s="1631"/>
      <c r="ER985" s="1631"/>
      <c r="ES985" s="1631"/>
      <c r="ET985" s="1631"/>
      <c r="EU985" s="1631"/>
      <c r="EV985" s="1631"/>
      <c r="EW985" s="1631"/>
      <c r="EX985" s="1631"/>
      <c r="EY985" s="1631"/>
      <c r="EZ985" s="1631"/>
      <c r="FA985" s="1631"/>
      <c r="FB985" s="1631"/>
      <c r="FC985" s="1631"/>
      <c r="FD985" s="1631"/>
      <c r="FE985" s="1631"/>
      <c r="FF985" s="1631"/>
      <c r="FG985" s="1631"/>
      <c r="FH985" s="1631"/>
      <c r="FI985" s="1631"/>
      <c r="FJ985" s="1631"/>
      <c r="FK985" s="1631"/>
      <c r="FL985" s="1631"/>
      <c r="FM985" s="1631"/>
      <c r="FN985" s="1631"/>
      <c r="FO985" s="1631"/>
      <c r="FP985" s="1631"/>
      <c r="FQ985" s="1631"/>
      <c r="FR985" s="1631"/>
      <c r="FS985" s="1631"/>
      <c r="FT985" s="1631"/>
      <c r="FU985" s="1631"/>
      <c r="FV985" s="1631"/>
      <c r="FW985" s="1631"/>
      <c r="FX985" s="1631"/>
      <c r="FY985" s="1631"/>
      <c r="FZ985" s="1631"/>
      <c r="GA985" s="1631"/>
      <c r="GB985" s="1631"/>
      <c r="GC985" s="1631"/>
      <c r="GD985" s="1631"/>
      <c r="GE985" s="1631"/>
      <c r="GF985" s="1631"/>
      <c r="GG985" s="1631"/>
      <c r="GH985" s="1631"/>
      <c r="GI985" s="1631"/>
      <c r="GJ985" s="1631"/>
      <c r="GK985" s="1631"/>
      <c r="GL985" s="1631"/>
      <c r="GM985" s="1631"/>
      <c r="GN985" s="1631"/>
      <c r="GO985" s="1631"/>
      <c r="GP985" s="1631"/>
      <c r="GQ985" s="1631"/>
      <c r="GR985" s="1631"/>
      <c r="GS985" s="1631"/>
      <c r="GT985" s="1631"/>
      <c r="GU985" s="1631"/>
      <c r="GV985" s="1631"/>
      <c r="GW985" s="1631"/>
      <c r="GX985" s="1631"/>
      <c r="GY985" s="1631"/>
      <c r="GZ985" s="1631"/>
      <c r="HA985" s="1631"/>
      <c r="HB985" s="1631"/>
      <c r="HC985" s="1631"/>
      <c r="HD985" s="1631"/>
      <c r="HE985" s="1631"/>
      <c r="HF985" s="1631"/>
      <c r="HG985" s="1631"/>
      <c r="HH985" s="1631"/>
      <c r="HI985" s="1631"/>
      <c r="HJ985" s="1631"/>
      <c r="HK985" s="1631"/>
      <c r="HL985" s="1631"/>
      <c r="HM985" s="1631"/>
      <c r="HN985" s="1631"/>
      <c r="HO985" s="1631"/>
      <c r="HP985" s="1631"/>
      <c r="HQ985" s="1631"/>
      <c r="HR985" s="1631"/>
      <c r="HS985" s="1631"/>
      <c r="HT985" s="1631"/>
      <c r="HU985" s="1631"/>
      <c r="HV985" s="1631"/>
      <c r="HW985" s="1631"/>
      <c r="HX985" s="1631"/>
      <c r="HY985" s="1631"/>
      <c r="HZ985" s="1631"/>
      <c r="IA985" s="1631"/>
      <c r="IB985" s="1631"/>
      <c r="IC985" s="1631"/>
      <c r="ID985" s="1631"/>
      <c r="IE985" s="1631"/>
      <c r="IF985" s="1631"/>
      <c r="IG985" s="1631"/>
      <c r="IH985" s="1631"/>
      <c r="II985" s="1631"/>
      <c r="IJ985" s="1631"/>
      <c r="IK985" s="1631"/>
      <c r="IL985" s="1631"/>
      <c r="IM985" s="1631"/>
      <c r="IN985" s="1631"/>
      <c r="IO985" s="1631"/>
      <c r="IP985" s="1631"/>
      <c r="IQ985" s="1631"/>
      <c r="IR985" s="1631"/>
      <c r="IS985" s="1631"/>
      <c r="IT985" s="1631"/>
      <c r="IU985" s="1631"/>
      <c r="IV985" s="1631"/>
      <c r="IW985" s="1631"/>
      <c r="IX985" s="1631"/>
      <c r="IY985" s="1631"/>
      <c r="IZ985" s="1631"/>
      <c r="JA985" s="1631"/>
      <c r="JB985" s="1631"/>
      <c r="JC985" s="1631"/>
      <c r="JD985" s="1631"/>
      <c r="JE985" s="1631"/>
      <c r="JF985" s="1631"/>
      <c r="JG985" s="1631"/>
      <c r="JH985" s="1631"/>
      <c r="JI985" s="1631"/>
      <c r="JJ985" s="1631"/>
      <c r="JK985" s="1631"/>
      <c r="JL985" s="1631"/>
      <c r="JM985" s="1631"/>
      <c r="JN985" s="1631"/>
      <c r="JO985" s="1631"/>
      <c r="JP985" s="1631"/>
      <c r="JQ985" s="1631"/>
      <c r="JR985" s="1631"/>
      <c r="JS985" s="1631"/>
      <c r="JT985" s="1631"/>
      <c r="JU985" s="1631"/>
      <c r="JV985" s="1630"/>
      <c r="JW985" s="1631"/>
      <c r="JX985" s="1631"/>
      <c r="JY985" s="1631"/>
      <c r="JZ985" s="1631"/>
      <c r="KA985" s="1630"/>
      <c r="KB985" s="1630"/>
      <c r="KC985" s="1630"/>
      <c r="KD985" s="1630"/>
      <c r="KE985" s="1630"/>
      <c r="KF985" s="1630"/>
      <c r="KG985" s="1630"/>
      <c r="KH985" s="1630"/>
      <c r="KI985" s="1630"/>
      <c r="KJ985" s="1630"/>
      <c r="KK985" s="1630"/>
      <c r="KL985" s="1630"/>
      <c r="KM985" s="1630"/>
      <c r="KN985" s="1630"/>
      <c r="KO985" s="1630"/>
      <c r="KP985" s="1630"/>
      <c r="KQ985" s="1630"/>
      <c r="KR985" s="1630"/>
      <c r="KS985" s="1630"/>
      <c r="KT985" s="1630"/>
      <c r="KU985" s="1630"/>
      <c r="KV985" s="1630"/>
      <c r="KW985" s="1630"/>
      <c r="KX985" s="1630"/>
      <c r="KY985" s="1630"/>
      <c r="KZ985" s="1630"/>
      <c r="LA985" s="1630"/>
      <c r="LB985" s="1630"/>
      <c r="LC985" s="1630"/>
      <c r="LD985" s="1630"/>
      <c r="LE985" s="1630"/>
      <c r="LF985" s="1630"/>
      <c r="LG985" s="1631"/>
      <c r="LH985" s="1631"/>
      <c r="LI985" s="1631"/>
      <c r="LJ985" s="1631"/>
      <c r="LK985" s="1631"/>
      <c r="LL985" s="1631"/>
      <c r="LM985" s="1631"/>
      <c r="LN985" s="1631"/>
      <c r="LO985" s="1631"/>
      <c r="LP985" s="1631"/>
      <c r="LQ985" s="1631"/>
      <c r="LR985" s="1631"/>
      <c r="LS985" s="1631"/>
      <c r="LT985" s="1631"/>
      <c r="LU985" s="1631"/>
      <c r="LV985" s="1631"/>
      <c r="LW985" s="1631"/>
      <c r="LX985" s="1631"/>
      <c r="LY985" s="1631"/>
      <c r="LZ985" s="1631"/>
      <c r="MA985" s="1631"/>
      <c r="MB985" s="1631"/>
      <c r="MC985" s="1631"/>
      <c r="MD985" s="1631"/>
      <c r="ME985" s="1631"/>
      <c r="MF985" s="1631"/>
      <c r="MG985" s="1631"/>
      <c r="MH985" s="1631"/>
      <c r="MI985" s="1631"/>
      <c r="MJ985" s="1631"/>
      <c r="MK985" s="1631"/>
      <c r="ML985" s="1631"/>
      <c r="MM985" s="1631"/>
      <c r="MN985" s="1631"/>
      <c r="MO985" s="1631"/>
      <c r="MP985" s="1631"/>
      <c r="MQ985" s="1631"/>
      <c r="MR985" s="1631"/>
      <c r="MS985" s="1631"/>
    </row>
    <row r="986" spans="1:357">
      <c r="A986" s="1631"/>
      <c r="B986" s="1631" t="s">
        <v>1374</v>
      </c>
      <c r="C986" s="1631"/>
      <c r="D986" s="1863"/>
      <c r="E986" s="1631"/>
      <c r="F986" s="1847">
        <f>'Part VI-Revenues &amp; Expenses'!F224</f>
        <v>0</v>
      </c>
      <c r="G986" s="1847"/>
      <c r="H986" s="1631"/>
      <c r="I986" s="1631" t="s">
        <v>1603</v>
      </c>
      <c r="J986" s="1631"/>
      <c r="K986" s="1847">
        <f>'Part VI-Revenues &amp; Expenses'!K224</f>
        <v>2100</v>
      </c>
      <c r="L986" s="1847"/>
      <c r="M986" s="1631"/>
      <c r="N986" s="521" t="s">
        <v>3729</v>
      </c>
      <c r="O986" s="1867"/>
      <c r="P986" s="1867"/>
      <c r="Q986" s="1834"/>
      <c r="R986" s="1838">
        <f>'Part VI-Revenues &amp; Expenses'!R224</f>
        <v>0</v>
      </c>
      <c r="S986" s="1838"/>
      <c r="T986" s="1838"/>
      <c r="U986" s="1838"/>
      <c r="V986" s="1838"/>
      <c r="X986" s="1631"/>
      <c r="Y986" s="1631"/>
      <c r="Z986" s="1631"/>
      <c r="AA986" s="1631"/>
      <c r="AC986" s="1631"/>
      <c r="AD986" s="1631"/>
      <c r="AE986" s="1631"/>
      <c r="AF986" s="1631"/>
      <c r="AH986" s="1631"/>
      <c r="AI986" s="1631"/>
      <c r="AJ986" s="1631"/>
      <c r="AK986" s="1631"/>
      <c r="AM986" s="1631"/>
      <c r="AN986" s="1631"/>
      <c r="AO986" s="1631"/>
      <c r="AP986" s="1631"/>
      <c r="AQ986" s="1631"/>
      <c r="AR986" s="1631"/>
      <c r="AS986" s="1631"/>
      <c r="AT986" s="1631"/>
      <c r="AU986" s="1631"/>
      <c r="AV986" s="1631"/>
      <c r="AW986" s="1631"/>
      <c r="AX986" s="1631"/>
      <c r="AY986" s="1631"/>
      <c r="AZ986" s="1631"/>
      <c r="BA986" s="1631"/>
      <c r="BB986" s="1631"/>
      <c r="BC986" s="1631"/>
      <c r="BD986" s="1631"/>
      <c r="BE986" s="1631"/>
      <c r="BF986" s="1631"/>
      <c r="BG986" s="1631"/>
      <c r="BH986" s="1631"/>
      <c r="BI986" s="1631"/>
      <c r="BJ986" s="1631"/>
      <c r="BK986" s="1631"/>
      <c r="BL986" s="1631"/>
      <c r="BM986" s="1631"/>
      <c r="BN986" s="1631"/>
      <c r="BO986" s="1631"/>
      <c r="BP986" s="1631"/>
      <c r="BQ986" s="1631"/>
      <c r="BR986" s="1631"/>
      <c r="BS986" s="1631"/>
      <c r="BT986" s="1631"/>
      <c r="BU986" s="1631"/>
      <c r="BV986" s="1631"/>
      <c r="BW986" s="1631"/>
      <c r="BX986" s="1631"/>
      <c r="BY986" s="1631"/>
      <c r="BZ986" s="1631"/>
      <c r="CA986" s="1631"/>
      <c r="CB986" s="1631"/>
      <c r="CC986" s="1631"/>
      <c r="CD986" s="1631"/>
      <c r="CE986" s="1631"/>
      <c r="CF986" s="1631"/>
      <c r="CG986" s="1631"/>
      <c r="CH986" s="1631"/>
      <c r="CI986" s="1631"/>
      <c r="CJ986" s="1631"/>
      <c r="CK986" s="1631"/>
      <c r="CL986" s="1631"/>
      <c r="CM986" s="1631"/>
      <c r="CN986" s="1631"/>
      <c r="CO986" s="1631"/>
      <c r="CP986" s="1631"/>
      <c r="CQ986" s="1631"/>
      <c r="CR986" s="1631"/>
      <c r="CS986" s="1631"/>
      <c r="CT986" s="1631"/>
      <c r="CU986" s="1631"/>
      <c r="CV986" s="1631"/>
      <c r="CW986" s="1631"/>
      <c r="CX986" s="1631"/>
      <c r="CY986" s="1631"/>
      <c r="CZ986" s="1631"/>
      <c r="DA986" s="1631"/>
      <c r="DB986" s="1631"/>
      <c r="DC986" s="1631"/>
      <c r="DD986" s="1631"/>
      <c r="DE986" s="1631"/>
      <c r="DF986" s="1631"/>
      <c r="DG986" s="1631"/>
      <c r="DH986" s="1631"/>
      <c r="DI986" s="1631"/>
      <c r="DJ986" s="1631"/>
      <c r="DK986" s="1631"/>
      <c r="DL986" s="1631"/>
      <c r="DM986" s="1631"/>
      <c r="DN986" s="1631"/>
      <c r="DO986" s="1631"/>
      <c r="DP986" s="1631"/>
      <c r="DQ986" s="1631"/>
      <c r="DR986" s="1631"/>
      <c r="DS986" s="1631"/>
      <c r="DT986" s="1631"/>
      <c r="DU986" s="1631"/>
      <c r="DV986" s="1631"/>
      <c r="DW986" s="1631"/>
      <c r="DX986" s="1631"/>
      <c r="DY986" s="1631"/>
      <c r="DZ986" s="1631"/>
      <c r="EA986" s="1631"/>
      <c r="EB986" s="1631"/>
      <c r="EC986" s="1631"/>
      <c r="ED986" s="1631"/>
      <c r="EE986" s="1631"/>
      <c r="EF986" s="1631"/>
      <c r="EG986" s="1631"/>
      <c r="EH986" s="1631"/>
      <c r="EI986" s="1631"/>
      <c r="EJ986" s="1631"/>
      <c r="EK986" s="1631"/>
      <c r="EL986" s="1631"/>
      <c r="EM986" s="1631"/>
      <c r="EN986" s="1631"/>
      <c r="EO986" s="1631"/>
      <c r="EP986" s="1631"/>
      <c r="EQ986" s="1631"/>
      <c r="ER986" s="1631"/>
      <c r="ES986" s="1631"/>
      <c r="ET986" s="1631"/>
      <c r="EU986" s="1631"/>
      <c r="EV986" s="1631"/>
      <c r="EW986" s="1631"/>
      <c r="EX986" s="1631"/>
      <c r="EY986" s="1631"/>
      <c r="EZ986" s="1631"/>
      <c r="FA986" s="1631"/>
      <c r="FB986" s="1631"/>
      <c r="FC986" s="1631"/>
      <c r="FD986" s="1631"/>
      <c r="FE986" s="1631"/>
      <c r="FF986" s="1631"/>
      <c r="FG986" s="1631"/>
      <c r="FH986" s="1631"/>
      <c r="FI986" s="1631"/>
      <c r="FJ986" s="1631"/>
      <c r="FK986" s="1631"/>
      <c r="FL986" s="1631"/>
      <c r="FM986" s="1631"/>
      <c r="FN986" s="1631"/>
      <c r="FO986" s="1631"/>
      <c r="FP986" s="1631"/>
      <c r="FQ986" s="1631"/>
      <c r="FR986" s="1631"/>
      <c r="FS986" s="1631"/>
      <c r="FT986" s="1631"/>
      <c r="FU986" s="1631"/>
      <c r="FV986" s="1631"/>
      <c r="FW986" s="1631"/>
      <c r="FX986" s="1631"/>
      <c r="FY986" s="1631"/>
      <c r="FZ986" s="1631"/>
      <c r="GA986" s="1631"/>
      <c r="GB986" s="1631"/>
      <c r="GC986" s="1631"/>
      <c r="GD986" s="1631"/>
      <c r="GE986" s="1631"/>
      <c r="GF986" s="1631"/>
      <c r="GG986" s="1631"/>
      <c r="GH986" s="1631"/>
      <c r="GI986" s="1631"/>
      <c r="GJ986" s="1631"/>
      <c r="GK986" s="1631"/>
      <c r="GL986" s="1631"/>
      <c r="GM986" s="1631"/>
      <c r="GN986" s="1631"/>
      <c r="GO986" s="1631"/>
      <c r="GP986" s="1631"/>
      <c r="GQ986" s="1631"/>
      <c r="GR986" s="1631"/>
      <c r="GS986" s="1631"/>
      <c r="GT986" s="1631"/>
      <c r="GU986" s="1631"/>
      <c r="GV986" s="1631"/>
      <c r="GW986" s="1631"/>
      <c r="GX986" s="1631"/>
      <c r="GY986" s="1631"/>
      <c r="GZ986" s="1631"/>
      <c r="HA986" s="1631"/>
      <c r="HB986" s="1631"/>
      <c r="HC986" s="1631"/>
      <c r="HD986" s="1631"/>
      <c r="HE986" s="1631"/>
      <c r="HF986" s="1631"/>
      <c r="HG986" s="1631"/>
      <c r="HH986" s="1631"/>
      <c r="HI986" s="1631"/>
      <c r="HJ986" s="1631"/>
      <c r="HK986" s="1631"/>
      <c r="HL986" s="1631"/>
      <c r="HM986" s="1631"/>
      <c r="HN986" s="1631"/>
      <c r="HO986" s="1631"/>
      <c r="HP986" s="1631"/>
      <c r="HQ986" s="1631"/>
      <c r="HR986" s="1631"/>
      <c r="HS986" s="1631"/>
      <c r="HT986" s="1631"/>
      <c r="HU986" s="1631"/>
      <c r="HV986" s="1631"/>
      <c r="HW986" s="1631"/>
      <c r="HX986" s="1631"/>
      <c r="HY986" s="1631"/>
      <c r="HZ986" s="1631"/>
      <c r="IA986" s="1631"/>
      <c r="IB986" s="1631"/>
      <c r="IC986" s="1631"/>
      <c r="ID986" s="1631"/>
      <c r="IE986" s="1631"/>
      <c r="IF986" s="1631"/>
      <c r="IG986" s="1631"/>
      <c r="IH986" s="1631"/>
      <c r="II986" s="1631"/>
      <c r="IJ986" s="1631"/>
      <c r="IK986" s="1631"/>
      <c r="IL986" s="1631"/>
      <c r="IM986" s="1631"/>
      <c r="IN986" s="1631"/>
      <c r="IO986" s="1631"/>
      <c r="IP986" s="1631"/>
      <c r="IQ986" s="1631"/>
      <c r="IR986" s="1631"/>
      <c r="IS986" s="1631"/>
      <c r="IT986" s="1631"/>
      <c r="IU986" s="1631"/>
      <c r="IV986" s="1631"/>
      <c r="IW986" s="1631"/>
      <c r="IX986" s="1631"/>
      <c r="IY986" s="1631"/>
      <c r="IZ986" s="1631"/>
      <c r="JA986" s="1631"/>
      <c r="JB986" s="1631"/>
      <c r="JC986" s="1631"/>
      <c r="JD986" s="1631"/>
      <c r="JE986" s="1631"/>
      <c r="JF986" s="1631"/>
      <c r="JG986" s="1631"/>
      <c r="JH986" s="1631"/>
      <c r="JI986" s="1631"/>
      <c r="JJ986" s="1631"/>
      <c r="JK986" s="1631"/>
      <c r="JL986" s="1631"/>
      <c r="JM986" s="1631"/>
      <c r="JN986" s="1631"/>
      <c r="JO986" s="1631"/>
      <c r="JP986" s="1631"/>
      <c r="JQ986" s="1631"/>
      <c r="JR986" s="1631"/>
      <c r="JS986" s="1631"/>
      <c r="JT986" s="1631"/>
      <c r="JU986" s="1631"/>
      <c r="JV986" s="1630"/>
      <c r="JW986" s="1631"/>
      <c r="JX986" s="1631"/>
      <c r="JY986" s="1631"/>
      <c r="JZ986" s="1631"/>
      <c r="KA986" s="1630"/>
      <c r="KB986" s="1630"/>
      <c r="KC986" s="1630"/>
      <c r="KD986" s="1630"/>
      <c r="KE986" s="1630"/>
      <c r="KF986" s="1630"/>
      <c r="KG986" s="1630"/>
      <c r="KH986" s="1630"/>
      <c r="KI986" s="1630"/>
      <c r="KJ986" s="1630"/>
      <c r="KK986" s="1630"/>
      <c r="KL986" s="1630"/>
      <c r="KM986" s="1630"/>
      <c r="KN986" s="1630"/>
      <c r="KO986" s="1630"/>
      <c r="KP986" s="1630"/>
      <c r="KQ986" s="1630"/>
      <c r="KR986" s="1630"/>
      <c r="KS986" s="1630"/>
      <c r="KT986" s="1630"/>
      <c r="KU986" s="1630"/>
      <c r="KV986" s="1630"/>
      <c r="KW986" s="1630"/>
      <c r="KX986" s="1630"/>
      <c r="KY986" s="1630"/>
      <c r="KZ986" s="1630"/>
      <c r="LA986" s="1630"/>
      <c r="LB986" s="1630"/>
      <c r="LC986" s="1630"/>
      <c r="LD986" s="1630"/>
      <c r="LE986" s="1630"/>
      <c r="LF986" s="1630"/>
      <c r="LG986" s="1631"/>
      <c r="LH986" s="1631"/>
      <c r="LI986" s="1631"/>
      <c r="LJ986" s="1631"/>
      <c r="LK986" s="1631"/>
      <c r="LL986" s="1631"/>
      <c r="LM986" s="1631"/>
      <c r="LN986" s="1631"/>
      <c r="LO986" s="1631"/>
      <c r="LP986" s="1631"/>
      <c r="LQ986" s="1631"/>
      <c r="LR986" s="1631"/>
      <c r="LS986" s="1631"/>
      <c r="LT986" s="1631"/>
      <c r="LU986" s="1631"/>
      <c r="LV986" s="1631"/>
      <c r="LW986" s="1631"/>
      <c r="LX986" s="1631"/>
      <c r="LY986" s="1631"/>
      <c r="LZ986" s="1631"/>
      <c r="MA986" s="1631"/>
      <c r="MB986" s="1631"/>
      <c r="MC986" s="1631"/>
      <c r="MD986" s="1631"/>
      <c r="ME986" s="1631"/>
      <c r="MF986" s="1631"/>
      <c r="MG986" s="1631"/>
      <c r="MH986" s="1631"/>
      <c r="MI986" s="1631"/>
      <c r="MJ986" s="1631"/>
      <c r="MK986" s="1631"/>
      <c r="ML986" s="1631"/>
      <c r="MM986" s="1631"/>
      <c r="MN986" s="1631"/>
      <c r="MO986" s="1631"/>
      <c r="MP986" s="1631"/>
      <c r="MQ986" s="1631"/>
      <c r="MR986" s="1631"/>
      <c r="MS986" s="1631"/>
    </row>
    <row r="987" spans="1:357" ht="13.5" customHeight="1">
      <c r="A987" s="1631"/>
      <c r="B987" s="1631" t="s">
        <v>2341</v>
      </c>
      <c r="C987" s="1631"/>
      <c r="D987" s="1863"/>
      <c r="E987" s="1631"/>
      <c r="F987" s="1847">
        <f>'Part VI-Revenues &amp; Expenses'!F225</f>
        <v>0</v>
      </c>
      <c r="G987" s="1847"/>
      <c r="H987" s="1631"/>
      <c r="I987" s="2154" t="str">
        <f>'Part VI-Revenues &amp; Expenses'!I225</f>
        <v>Professional Fees</v>
      </c>
      <c r="J987" s="2154"/>
      <c r="K987" s="1847">
        <f>'Part VI-Revenues &amp; Expenses'!K225</f>
        <v>4200</v>
      </c>
      <c r="L987" s="1847"/>
      <c r="M987" s="1631"/>
      <c r="N987" s="1867"/>
      <c r="O987" s="1867"/>
      <c r="P987" s="1867"/>
      <c r="Q987" s="1834"/>
      <c r="R987" s="1838">
        <f>'Part VI-Revenues &amp; Expenses'!R225</f>
        <v>0</v>
      </c>
      <c r="S987" s="1838"/>
      <c r="T987" s="1838"/>
      <c r="U987" s="1838"/>
      <c r="V987" s="1838"/>
      <c r="X987" s="1631"/>
      <c r="Y987" s="1631"/>
      <c r="Z987" s="1631"/>
      <c r="AA987" s="1631"/>
      <c r="AC987" s="1631"/>
      <c r="AD987" s="1631"/>
      <c r="AE987" s="1631"/>
      <c r="AF987" s="1631"/>
      <c r="AH987" s="1631"/>
      <c r="AI987" s="1631"/>
      <c r="AJ987" s="1631"/>
      <c r="AK987" s="1631"/>
      <c r="AM987" s="1631"/>
      <c r="AN987" s="1631"/>
      <c r="AO987" s="1631"/>
      <c r="AP987" s="1631"/>
      <c r="AQ987" s="1631"/>
      <c r="AR987" s="1631"/>
      <c r="AS987" s="1631"/>
      <c r="AT987" s="1631"/>
      <c r="AU987" s="1631"/>
      <c r="AV987" s="1631"/>
      <c r="AW987" s="1631"/>
      <c r="AX987" s="1631"/>
      <c r="AY987" s="1631"/>
      <c r="AZ987" s="1631"/>
      <c r="BA987" s="1631"/>
      <c r="BB987" s="1631"/>
      <c r="BC987" s="1631"/>
      <c r="BD987" s="1631"/>
      <c r="BE987" s="1631"/>
      <c r="BF987" s="1631"/>
      <c r="BG987" s="1631"/>
      <c r="BH987" s="1631"/>
      <c r="BI987" s="1631"/>
      <c r="BJ987" s="1631"/>
      <c r="BK987" s="1631"/>
      <c r="BL987" s="1631"/>
      <c r="BM987" s="1631"/>
      <c r="BN987" s="1631"/>
      <c r="BO987" s="1631"/>
      <c r="BP987" s="1631"/>
      <c r="BQ987" s="1631"/>
      <c r="BR987" s="1631"/>
      <c r="BS987" s="1631"/>
      <c r="BT987" s="1631"/>
      <c r="BU987" s="1631"/>
      <c r="BV987" s="1631"/>
      <c r="BW987" s="1631"/>
      <c r="BX987" s="1631"/>
      <c r="BY987" s="1631"/>
      <c r="BZ987" s="1631"/>
      <c r="CA987" s="1631"/>
      <c r="CB987" s="1631"/>
      <c r="CC987" s="1631"/>
      <c r="CD987" s="1631"/>
      <c r="CE987" s="1631"/>
      <c r="CF987" s="1631"/>
      <c r="CG987" s="1631"/>
      <c r="CH987" s="1631"/>
      <c r="CI987" s="1631"/>
      <c r="CJ987" s="1631"/>
      <c r="CK987" s="1631"/>
      <c r="CL987" s="1631"/>
      <c r="CM987" s="1631"/>
      <c r="CN987" s="1631"/>
      <c r="CO987" s="1631"/>
      <c r="CP987" s="1631"/>
      <c r="CQ987" s="1631"/>
      <c r="CR987" s="1631"/>
      <c r="CS987" s="1631"/>
      <c r="CT987" s="1631"/>
      <c r="CU987" s="1631"/>
      <c r="CV987" s="1631"/>
      <c r="CW987" s="1631"/>
      <c r="CX987" s="1631"/>
      <c r="CY987" s="1631"/>
      <c r="CZ987" s="1631"/>
      <c r="DA987" s="1631"/>
      <c r="DB987" s="1631"/>
      <c r="DC987" s="1631"/>
      <c r="DD987" s="1631"/>
      <c r="DE987" s="1631"/>
      <c r="DF987" s="1631"/>
      <c r="DG987" s="1631"/>
      <c r="DH987" s="1631"/>
      <c r="DI987" s="1631"/>
      <c r="DJ987" s="1631"/>
      <c r="DK987" s="1631"/>
      <c r="DL987" s="1631"/>
      <c r="DM987" s="1631"/>
      <c r="DN987" s="1631"/>
      <c r="DO987" s="1631"/>
      <c r="DP987" s="1631"/>
      <c r="DQ987" s="1631"/>
      <c r="DR987" s="1631"/>
      <c r="DS987" s="1631"/>
      <c r="DT987" s="1631"/>
      <c r="DU987" s="1631"/>
      <c r="DV987" s="1631"/>
      <c r="DW987" s="1631"/>
      <c r="DX987" s="1631"/>
      <c r="DY987" s="1631"/>
      <c r="DZ987" s="1631"/>
      <c r="EA987" s="1631"/>
      <c r="EB987" s="1631"/>
      <c r="EC987" s="1631"/>
      <c r="ED987" s="1631"/>
      <c r="EE987" s="1631"/>
      <c r="EF987" s="1631"/>
      <c r="EG987" s="1631"/>
      <c r="EH987" s="1631"/>
      <c r="EI987" s="1631"/>
      <c r="EJ987" s="1631"/>
      <c r="EK987" s="1631"/>
      <c r="EL987" s="1631"/>
      <c r="EM987" s="1631"/>
      <c r="EN987" s="1631"/>
      <c r="EO987" s="1631"/>
      <c r="EP987" s="1631"/>
      <c r="EQ987" s="1631"/>
      <c r="ER987" s="1631"/>
      <c r="ES987" s="1631"/>
      <c r="ET987" s="1631"/>
      <c r="EU987" s="1631"/>
      <c r="EV987" s="1631"/>
      <c r="EW987" s="1631"/>
      <c r="EX987" s="1631"/>
      <c r="EY987" s="1631"/>
      <c r="EZ987" s="1631"/>
      <c r="FA987" s="1631"/>
      <c r="FB987" s="1631"/>
      <c r="FC987" s="1631"/>
      <c r="FD987" s="1631"/>
      <c r="FE987" s="1631"/>
      <c r="FF987" s="1631"/>
      <c r="FG987" s="1631"/>
      <c r="FH987" s="1631"/>
      <c r="FI987" s="1631"/>
      <c r="FJ987" s="1631"/>
      <c r="FK987" s="1631"/>
      <c r="FL987" s="1631"/>
      <c r="FM987" s="1631"/>
      <c r="FN987" s="1631"/>
      <c r="FO987" s="1631"/>
      <c r="FP987" s="1631"/>
      <c r="FQ987" s="1631"/>
      <c r="FR987" s="1631"/>
      <c r="FS987" s="1631"/>
      <c r="FT987" s="1631"/>
      <c r="FU987" s="1631"/>
      <c r="FV987" s="1631"/>
      <c r="FW987" s="1631"/>
      <c r="FX987" s="1631"/>
      <c r="FY987" s="1631"/>
      <c r="FZ987" s="1631"/>
      <c r="GA987" s="1631"/>
      <c r="GB987" s="1631"/>
      <c r="GC987" s="1631"/>
      <c r="GD987" s="1631"/>
      <c r="GE987" s="1631"/>
      <c r="GF987" s="1631"/>
      <c r="GG987" s="1631"/>
      <c r="GH987" s="1631"/>
      <c r="GI987" s="1631"/>
      <c r="GJ987" s="1631"/>
      <c r="GK987" s="1631"/>
      <c r="GL987" s="1631"/>
      <c r="GM987" s="1631"/>
      <c r="GN987" s="1631"/>
      <c r="GO987" s="1631"/>
      <c r="GP987" s="1631"/>
      <c r="GQ987" s="1631"/>
      <c r="GR987" s="1631"/>
      <c r="GS987" s="1631"/>
      <c r="GT987" s="1631"/>
      <c r="GU987" s="1631"/>
      <c r="GV987" s="1631"/>
      <c r="GW987" s="1631"/>
      <c r="GX987" s="1631"/>
      <c r="GY987" s="1631"/>
      <c r="GZ987" s="1631"/>
      <c r="HA987" s="1631"/>
      <c r="HB987" s="1631"/>
      <c r="HC987" s="1631"/>
      <c r="HD987" s="1631"/>
      <c r="HE987" s="1631"/>
      <c r="HF987" s="1631"/>
      <c r="HG987" s="1631"/>
      <c r="HH987" s="1631"/>
      <c r="HI987" s="1631"/>
      <c r="HJ987" s="1631"/>
      <c r="HK987" s="1631"/>
      <c r="HL987" s="1631"/>
      <c r="HM987" s="1631"/>
      <c r="HN987" s="1631"/>
      <c r="HO987" s="1631"/>
      <c r="HP987" s="1631"/>
      <c r="HQ987" s="1631"/>
      <c r="HR987" s="1631"/>
      <c r="HS987" s="1631"/>
      <c r="HT987" s="1631"/>
      <c r="HU987" s="1631"/>
      <c r="HV987" s="1631"/>
      <c r="HW987" s="1631"/>
      <c r="HX987" s="1631"/>
      <c r="HY987" s="1631"/>
      <c r="HZ987" s="1631"/>
      <c r="IA987" s="1631"/>
      <c r="IB987" s="1631"/>
      <c r="IC987" s="1631"/>
      <c r="ID987" s="1631"/>
      <c r="IE987" s="1631"/>
      <c r="IF987" s="1631"/>
      <c r="IG987" s="1631"/>
      <c r="IH987" s="1631"/>
      <c r="II987" s="1631"/>
      <c r="IJ987" s="1631"/>
      <c r="IK987" s="1631"/>
      <c r="IL987" s="1631"/>
      <c r="IM987" s="1631"/>
      <c r="IN987" s="1631"/>
      <c r="IO987" s="1631"/>
      <c r="IP987" s="1631"/>
      <c r="IQ987" s="1631"/>
      <c r="IR987" s="1631"/>
      <c r="IS987" s="1631"/>
      <c r="IT987" s="1631"/>
      <c r="IU987" s="1631"/>
      <c r="IV987" s="1631"/>
      <c r="IW987" s="1631"/>
      <c r="IX987" s="1631"/>
      <c r="IY987" s="1631"/>
      <c r="IZ987" s="1631"/>
      <c r="JA987" s="1631"/>
      <c r="JB987" s="1631"/>
      <c r="JC987" s="1631"/>
      <c r="JD987" s="1631"/>
      <c r="JE987" s="1631"/>
      <c r="JF987" s="1631"/>
      <c r="JG987" s="1631"/>
      <c r="JH987" s="1631"/>
      <c r="JI987" s="1631"/>
      <c r="JJ987" s="1631"/>
      <c r="JK987" s="1631"/>
      <c r="JL987" s="1631"/>
      <c r="JM987" s="1631"/>
      <c r="JN987" s="1631"/>
      <c r="JO987" s="1631"/>
      <c r="JP987" s="1631"/>
      <c r="JQ987" s="1631"/>
      <c r="JR987" s="1631"/>
      <c r="JS987" s="1631"/>
      <c r="JT987" s="1631"/>
      <c r="JU987" s="1631"/>
      <c r="JV987" s="1630"/>
      <c r="JW987" s="1631"/>
      <c r="JX987" s="1631"/>
      <c r="JY987" s="1631"/>
      <c r="JZ987" s="1631"/>
      <c r="KA987" s="1630"/>
      <c r="KB987" s="1630"/>
      <c r="KC987" s="1630"/>
      <c r="KD987" s="1630"/>
      <c r="KE987" s="1630"/>
      <c r="KF987" s="1630"/>
      <c r="KG987" s="1630"/>
      <c r="KH987" s="1630"/>
      <c r="KI987" s="1630"/>
      <c r="KJ987" s="1630"/>
      <c r="KK987" s="1630"/>
      <c r="KL987" s="1630"/>
      <c r="KM987" s="1630"/>
      <c r="KN987" s="1630"/>
      <c r="KO987" s="1630"/>
      <c r="KP987" s="1630"/>
      <c r="KQ987" s="1630"/>
      <c r="KR987" s="1630"/>
      <c r="KS987" s="1630"/>
      <c r="KT987" s="1630"/>
      <c r="KU987" s="1630"/>
      <c r="KV987" s="1630"/>
      <c r="KW987" s="1630"/>
      <c r="KX987" s="1630"/>
      <c r="KY987" s="1630"/>
      <c r="KZ987" s="1630"/>
      <c r="LA987" s="1630"/>
      <c r="LB987" s="1630"/>
      <c r="LC987" s="1630"/>
      <c r="LD987" s="1630"/>
      <c r="LE987" s="1630"/>
      <c r="LF987" s="1630"/>
      <c r="LG987" s="1631"/>
      <c r="LH987" s="1631"/>
      <c r="LI987" s="1631"/>
      <c r="LJ987" s="1631"/>
      <c r="LK987" s="1631"/>
      <c r="LL987" s="1631"/>
      <c r="LM987" s="1631"/>
      <c r="LN987" s="1631"/>
      <c r="LO987" s="1631"/>
      <c r="LP987" s="1631"/>
      <c r="LQ987" s="1631"/>
      <c r="LR987" s="1631"/>
      <c r="LS987" s="1631"/>
      <c r="LT987" s="1631"/>
      <c r="LU987" s="1631"/>
      <c r="LV987" s="1631"/>
      <c r="LW987" s="1631"/>
      <c r="LX987" s="1631"/>
      <c r="LY987" s="1631"/>
      <c r="LZ987" s="1631"/>
      <c r="MA987" s="1631"/>
      <c r="MB987" s="1631"/>
      <c r="MC987" s="1631"/>
      <c r="MD987" s="1631"/>
      <c r="ME987" s="1631"/>
      <c r="MF987" s="1631"/>
      <c r="MG987" s="1631"/>
      <c r="MH987" s="1631"/>
      <c r="MI987" s="1631"/>
      <c r="MJ987" s="1631"/>
      <c r="MK987" s="1631"/>
      <c r="ML987" s="1631"/>
      <c r="MM987" s="1631"/>
      <c r="MN987" s="1631"/>
      <c r="MO987" s="1631"/>
      <c r="MP987" s="1631"/>
      <c r="MQ987" s="1631"/>
      <c r="MR987" s="1631"/>
      <c r="MS987" s="1631"/>
    </row>
    <row r="988" spans="1:357">
      <c r="A988" s="1631"/>
      <c r="B988" s="1631" t="s">
        <v>1600</v>
      </c>
      <c r="C988" s="1631"/>
      <c r="D988" s="1863"/>
      <c r="E988" s="1631"/>
      <c r="F988" s="1847">
        <f>'Part VI-Revenues &amp; Expenses'!F226</f>
        <v>0</v>
      </c>
      <c r="G988" s="1847"/>
      <c r="H988" s="1631"/>
      <c r="I988" s="1631"/>
      <c r="J988" s="2774" t="s">
        <v>191</v>
      </c>
      <c r="K988" s="1862">
        <f>SUM(K984:K987)</f>
        <v>9660</v>
      </c>
      <c r="L988" s="1862"/>
      <c r="M988" s="2038" t="str">
        <f>IF(P990="","",IF(P988&lt;P990, "WARNING! OE below required minimum.",""))</f>
        <v/>
      </c>
      <c r="N988" s="1631" t="s">
        <v>2186</v>
      </c>
      <c r="O988" s="1631"/>
      <c r="P988" s="1862">
        <f>F981+F990+F1001+K979+K988+K998+P980+P983</f>
        <v>394749</v>
      </c>
      <c r="Q988" s="1631"/>
      <c r="R988" s="1838">
        <f>'Part VI-Revenues &amp; Expenses'!R226</f>
        <v>0</v>
      </c>
      <c r="S988" s="1838"/>
      <c r="T988" s="1838"/>
      <c r="U988" s="1838"/>
      <c r="V988" s="1838"/>
      <c r="X988" s="1631"/>
      <c r="Y988" s="1631"/>
      <c r="Z988" s="1631"/>
      <c r="AA988" s="1631"/>
      <c r="AC988" s="1631"/>
      <c r="AD988" s="1631"/>
      <c r="AE988" s="1631"/>
      <c r="AF988" s="1631"/>
      <c r="AH988" s="1631"/>
      <c r="AI988" s="1631"/>
      <c r="AJ988" s="1631"/>
      <c r="AK988" s="1631"/>
      <c r="AM988" s="1631"/>
      <c r="AN988" s="1631"/>
      <c r="AO988" s="1631"/>
      <c r="AP988" s="1631"/>
      <c r="AQ988" s="1631"/>
      <c r="AR988" s="1631"/>
      <c r="AS988" s="1631"/>
      <c r="AT988" s="1631"/>
      <c r="AU988" s="1631"/>
      <c r="AV988" s="1631"/>
      <c r="AW988" s="1631"/>
      <c r="AX988" s="1631"/>
      <c r="AY988" s="1631"/>
      <c r="AZ988" s="1631"/>
      <c r="BA988" s="1631"/>
      <c r="BB988" s="1631"/>
      <c r="BC988" s="1631"/>
      <c r="BD988" s="1631"/>
      <c r="BE988" s="1631"/>
      <c r="BF988" s="1631"/>
      <c r="BG988" s="1631"/>
      <c r="BH988" s="1631"/>
      <c r="BI988" s="1631"/>
      <c r="BJ988" s="1631"/>
      <c r="BK988" s="1631"/>
      <c r="BL988" s="1631"/>
      <c r="BM988" s="1631"/>
      <c r="BN988" s="1631"/>
      <c r="BO988" s="1631"/>
      <c r="BP988" s="1631"/>
      <c r="BQ988" s="1631"/>
      <c r="BR988" s="1631"/>
      <c r="BS988" s="1631"/>
      <c r="BT988" s="1631"/>
      <c r="BU988" s="1631"/>
      <c r="BV988" s="1631"/>
      <c r="BW988" s="1631"/>
      <c r="BX988" s="1631"/>
      <c r="BY988" s="1631"/>
      <c r="BZ988" s="1631"/>
      <c r="CA988" s="1631"/>
      <c r="CB988" s="1631"/>
      <c r="CC988" s="1631"/>
      <c r="CD988" s="1631"/>
      <c r="CE988" s="1631"/>
      <c r="CF988" s="1631"/>
      <c r="CG988" s="1631"/>
      <c r="CH988" s="1631"/>
      <c r="CI988" s="1631"/>
      <c r="CJ988" s="1631"/>
      <c r="CK988" s="1631"/>
      <c r="CL988" s="1631"/>
      <c r="CM988" s="1631"/>
      <c r="CN988" s="1631"/>
      <c r="CO988" s="1631"/>
      <c r="CP988" s="1631"/>
      <c r="CQ988" s="1631"/>
      <c r="CR988" s="1631"/>
      <c r="CS988" s="1631"/>
      <c r="CT988" s="1631"/>
      <c r="CU988" s="1631"/>
      <c r="CV988" s="1631"/>
      <c r="CW988" s="1631"/>
      <c r="CX988" s="1631"/>
      <c r="CY988" s="1631"/>
      <c r="CZ988" s="1631"/>
      <c r="DA988" s="1631"/>
      <c r="DB988" s="1631"/>
      <c r="DC988" s="1631"/>
      <c r="DD988" s="1631"/>
      <c r="DE988" s="1631"/>
      <c r="DF988" s="1631"/>
      <c r="DG988" s="1631"/>
      <c r="DH988" s="1631"/>
      <c r="DI988" s="1631"/>
      <c r="DJ988" s="1631"/>
      <c r="DK988" s="1631"/>
      <c r="DL988" s="1631"/>
      <c r="DM988" s="1631"/>
      <c r="DN988" s="1631"/>
      <c r="DO988" s="1631"/>
      <c r="DP988" s="1631"/>
      <c r="DQ988" s="1631"/>
      <c r="DR988" s="1631"/>
      <c r="DS988" s="1631"/>
      <c r="DT988" s="1631"/>
      <c r="DU988" s="1631"/>
      <c r="DV988" s="1631"/>
      <c r="DW988" s="1631"/>
      <c r="DX988" s="1631"/>
      <c r="DY988" s="1631"/>
      <c r="DZ988" s="1631"/>
      <c r="EA988" s="1631"/>
      <c r="EB988" s="1631"/>
      <c r="EC988" s="1631"/>
      <c r="ED988" s="1631"/>
      <c r="EE988" s="1631"/>
      <c r="EF988" s="1631"/>
      <c r="EG988" s="1631"/>
      <c r="EH988" s="1631"/>
      <c r="EI988" s="1631"/>
      <c r="EJ988" s="1631"/>
      <c r="EK988" s="1631"/>
      <c r="EL988" s="1631"/>
      <c r="EM988" s="1631"/>
      <c r="EN988" s="1631"/>
      <c r="EO988" s="1631"/>
      <c r="EP988" s="1631"/>
      <c r="EQ988" s="1631"/>
      <c r="ER988" s="1631"/>
      <c r="ES988" s="1631"/>
      <c r="ET988" s="1631"/>
      <c r="EU988" s="1631"/>
      <c r="EV988" s="1631"/>
      <c r="EW988" s="1631"/>
      <c r="EX988" s="1631"/>
      <c r="EY988" s="1631"/>
      <c r="EZ988" s="1631"/>
      <c r="FA988" s="1631"/>
      <c r="FB988" s="1631"/>
      <c r="FC988" s="1631"/>
      <c r="FD988" s="1631"/>
      <c r="FE988" s="1631"/>
      <c r="FF988" s="1631"/>
      <c r="FG988" s="1631"/>
      <c r="FH988" s="1631"/>
      <c r="FI988" s="1631"/>
      <c r="FJ988" s="1631"/>
      <c r="FK988" s="1631"/>
      <c r="FL988" s="1631"/>
      <c r="FM988" s="1631"/>
      <c r="FN988" s="1631"/>
      <c r="FO988" s="1631"/>
      <c r="FP988" s="1631"/>
      <c r="FQ988" s="1631"/>
      <c r="FR988" s="1631"/>
      <c r="FS988" s="1631"/>
      <c r="FT988" s="1631"/>
      <c r="FU988" s="1631"/>
      <c r="FV988" s="1631"/>
      <c r="FW988" s="1631"/>
      <c r="FX988" s="1631"/>
      <c r="FY988" s="1631"/>
      <c r="FZ988" s="1631"/>
      <c r="GA988" s="1631"/>
      <c r="GB988" s="1631"/>
      <c r="GC988" s="1631"/>
      <c r="GD988" s="1631"/>
      <c r="GE988" s="1631"/>
      <c r="GF988" s="1631"/>
      <c r="GG988" s="1631"/>
      <c r="GH988" s="1631"/>
      <c r="GI988" s="1631"/>
      <c r="GJ988" s="1631"/>
      <c r="GK988" s="1631"/>
      <c r="GL988" s="1631"/>
      <c r="GM988" s="1631"/>
      <c r="GN988" s="1631"/>
      <c r="GO988" s="1631"/>
      <c r="GP988" s="1631"/>
      <c r="GQ988" s="1631"/>
      <c r="GR988" s="1631"/>
      <c r="GS988" s="1631"/>
      <c r="GT988" s="1631"/>
      <c r="GU988" s="1631"/>
      <c r="GV988" s="1631"/>
      <c r="GW988" s="1631"/>
      <c r="GX988" s="1631"/>
      <c r="GY988" s="1631"/>
      <c r="GZ988" s="1631"/>
      <c r="HA988" s="1631"/>
      <c r="HB988" s="1631"/>
      <c r="HC988" s="1631"/>
      <c r="HD988" s="1631"/>
      <c r="HE988" s="1631"/>
      <c r="HF988" s="1631"/>
      <c r="HG988" s="1631"/>
      <c r="HH988" s="1631"/>
      <c r="HI988" s="1631"/>
      <c r="HJ988" s="1631"/>
      <c r="HK988" s="1631"/>
      <c r="HL988" s="1631"/>
      <c r="HM988" s="1631"/>
      <c r="HN988" s="1631"/>
      <c r="HO988" s="1631"/>
      <c r="HP988" s="1631"/>
      <c r="HQ988" s="1631"/>
      <c r="HR988" s="1631"/>
      <c r="HS988" s="1631"/>
      <c r="HT988" s="1631"/>
      <c r="HU988" s="1631"/>
      <c r="HV988" s="1631"/>
      <c r="HW988" s="1631"/>
      <c r="HX988" s="1631"/>
      <c r="HY988" s="1631"/>
      <c r="HZ988" s="1631"/>
      <c r="IA988" s="1631"/>
      <c r="IB988" s="1631"/>
      <c r="IC988" s="1631"/>
      <c r="ID988" s="1631"/>
      <c r="IE988" s="1631"/>
      <c r="IF988" s="1631"/>
      <c r="IG988" s="1631"/>
      <c r="IH988" s="1631"/>
      <c r="II988" s="1631"/>
      <c r="IJ988" s="1631"/>
      <c r="IK988" s="1631"/>
      <c r="IL988" s="1631"/>
      <c r="IM988" s="1631"/>
      <c r="IN988" s="1631"/>
      <c r="IO988" s="1631"/>
      <c r="IP988" s="1631"/>
      <c r="IQ988" s="1631"/>
      <c r="IR988" s="1631"/>
      <c r="IS988" s="1631"/>
      <c r="IT988" s="1631"/>
      <c r="IU988" s="1631"/>
      <c r="IV988" s="1631"/>
      <c r="IW988" s="1631"/>
      <c r="IX988" s="1631"/>
      <c r="IY988" s="1631"/>
      <c r="IZ988" s="1631"/>
      <c r="JA988" s="1631"/>
      <c r="JB988" s="1631"/>
      <c r="JC988" s="1631"/>
      <c r="JD988" s="1631"/>
      <c r="JE988" s="1631"/>
      <c r="JF988" s="1631"/>
      <c r="JG988" s="1631"/>
      <c r="JH988" s="1631"/>
      <c r="JI988" s="1631"/>
      <c r="JJ988" s="1631"/>
      <c r="JK988" s="1631"/>
      <c r="JL988" s="1631"/>
      <c r="JM988" s="1631"/>
      <c r="JN988" s="1631"/>
      <c r="JO988" s="1631"/>
      <c r="JP988" s="1631"/>
      <c r="JQ988" s="1631"/>
      <c r="JR988" s="1631"/>
      <c r="JS988" s="1631"/>
      <c r="JT988" s="1631"/>
      <c r="JU988" s="1631"/>
      <c r="JV988" s="1630"/>
      <c r="JW988" s="1631"/>
      <c r="JX988" s="1631"/>
      <c r="JY988" s="1631"/>
      <c r="JZ988" s="1631"/>
      <c r="KA988" s="1630"/>
      <c r="KB988" s="1630"/>
      <c r="KC988" s="1630"/>
      <c r="KD988" s="1630"/>
      <c r="KE988" s="1630"/>
      <c r="KF988" s="1630"/>
      <c r="KG988" s="1630"/>
      <c r="KH988" s="1630"/>
      <c r="KI988" s="1630"/>
      <c r="KJ988" s="1630"/>
      <c r="KK988" s="1630"/>
      <c r="KL988" s="1630"/>
      <c r="KM988" s="1630"/>
      <c r="KN988" s="1630"/>
      <c r="KO988" s="1630"/>
      <c r="KP988" s="1630"/>
      <c r="KQ988" s="1630"/>
      <c r="KR988" s="1630"/>
      <c r="KS988" s="1630"/>
      <c r="KT988" s="1630"/>
      <c r="KU988" s="1630"/>
      <c r="KV988" s="1630"/>
      <c r="KW988" s="1630"/>
      <c r="KX988" s="1630"/>
      <c r="KY988" s="1630"/>
      <c r="KZ988" s="1630"/>
      <c r="LA988" s="1630"/>
      <c r="LB988" s="1630"/>
      <c r="LC988" s="1630"/>
      <c r="LD988" s="1630"/>
      <c r="LE988" s="1630"/>
      <c r="LF988" s="1630"/>
      <c r="LG988" s="1631"/>
      <c r="LH988" s="1631"/>
      <c r="LI988" s="1631"/>
      <c r="LJ988" s="1631"/>
      <c r="LK988" s="1631"/>
      <c r="LL988" s="1631"/>
      <c r="LM988" s="1631"/>
      <c r="LN988" s="1631"/>
      <c r="LO988" s="1631"/>
      <c r="LP988" s="1631"/>
      <c r="LQ988" s="1631"/>
      <c r="LR988" s="1631"/>
      <c r="LS988" s="1631"/>
      <c r="LT988" s="1631"/>
      <c r="LU988" s="1631"/>
      <c r="LV988" s="1631"/>
      <c r="LW988" s="1631"/>
      <c r="LX988" s="1631"/>
      <c r="LY988" s="1631"/>
      <c r="LZ988" s="1631"/>
      <c r="MA988" s="1631"/>
      <c r="MB988" s="1631"/>
      <c r="MC988" s="1631"/>
      <c r="MD988" s="1631"/>
      <c r="ME988" s="1631"/>
      <c r="MF988" s="1631"/>
      <c r="MG988" s="1631"/>
      <c r="MH988" s="1631"/>
      <c r="MI988" s="1631"/>
      <c r="MJ988" s="1631"/>
      <c r="MK988" s="1631"/>
      <c r="ML988" s="1631"/>
      <c r="MM988" s="1631"/>
      <c r="MN988" s="1631"/>
      <c r="MO988" s="1631"/>
      <c r="MP988" s="1631"/>
      <c r="MQ988" s="1631"/>
      <c r="MR988" s="1631"/>
      <c r="MS988" s="1631"/>
    </row>
    <row r="989" spans="1:357">
      <c r="A989" s="1631"/>
      <c r="B989" s="521" t="str">
        <f>'Part VI-Revenues &amp; Expenses'!B227</f>
        <v>Other Administrative</v>
      </c>
      <c r="C989" s="521"/>
      <c r="D989" s="521"/>
      <c r="E989" s="521"/>
      <c r="F989" s="1847">
        <f>'Part VI-Revenues &amp; Expenses'!F227</f>
        <v>4200</v>
      </c>
      <c r="G989" s="1847"/>
      <c r="H989" s="1631"/>
      <c r="I989" s="1631"/>
      <c r="J989" s="1833"/>
      <c r="K989" s="1631"/>
      <c r="L989" s="1631"/>
      <c r="M989" s="2038"/>
      <c r="N989" s="1866" t="s">
        <v>2758</v>
      </c>
      <c r="O989" s="1865">
        <f>+P988/O829</f>
        <v>4699.3928571428569</v>
      </c>
      <c r="P989" s="1631"/>
      <c r="Q989" s="1862"/>
      <c r="R989" s="1838">
        <f>'Part VI-Revenues &amp; Expenses'!R227</f>
        <v>0</v>
      </c>
      <c r="S989" s="1838"/>
      <c r="T989" s="1838"/>
      <c r="U989" s="1838"/>
      <c r="V989" s="1838"/>
      <c r="X989" s="1631"/>
      <c r="Y989" s="1631"/>
      <c r="Z989" s="1631"/>
      <c r="AA989" s="1631"/>
      <c r="AC989" s="1631"/>
      <c r="AD989" s="1631"/>
      <c r="AE989" s="1631"/>
      <c r="AF989" s="1631"/>
      <c r="AH989" s="1631"/>
      <c r="AI989" s="1631"/>
      <c r="AJ989" s="1631"/>
      <c r="AK989" s="1631"/>
      <c r="AM989" s="1631"/>
      <c r="AN989" s="1631"/>
      <c r="AO989" s="1631"/>
      <c r="AP989" s="1631"/>
      <c r="AQ989" s="1631"/>
      <c r="AR989" s="1631"/>
      <c r="AS989" s="1631"/>
      <c r="AT989" s="1631"/>
      <c r="AU989" s="1631"/>
      <c r="AV989" s="1631"/>
      <c r="AW989" s="1631"/>
      <c r="AX989" s="1631"/>
      <c r="AY989" s="1631"/>
      <c r="AZ989" s="1631"/>
      <c r="BA989" s="1631"/>
      <c r="BB989" s="1631"/>
      <c r="BC989" s="1631"/>
      <c r="BD989" s="1631"/>
      <c r="BE989" s="1631"/>
      <c r="BF989" s="1631"/>
      <c r="BG989" s="1631"/>
      <c r="BH989" s="1631"/>
      <c r="BI989" s="1631"/>
      <c r="BJ989" s="1631"/>
      <c r="BK989" s="1631"/>
      <c r="BL989" s="1631"/>
      <c r="BM989" s="1631"/>
      <c r="BN989" s="1631"/>
      <c r="BO989" s="1631"/>
      <c r="BP989" s="1631"/>
      <c r="BQ989" s="1631"/>
      <c r="BR989" s="1631"/>
      <c r="BS989" s="1631"/>
      <c r="BT989" s="1631"/>
      <c r="BU989" s="1631"/>
      <c r="BV989" s="1631"/>
      <c r="BW989" s="1631"/>
      <c r="BX989" s="1631"/>
      <c r="BY989" s="1631"/>
      <c r="BZ989" s="1631"/>
      <c r="CA989" s="1631"/>
      <c r="CB989" s="1631"/>
      <c r="CC989" s="1631"/>
      <c r="CD989" s="1631"/>
      <c r="CE989" s="1631"/>
      <c r="CF989" s="1631"/>
      <c r="CG989" s="1631"/>
      <c r="CH989" s="1631"/>
      <c r="CI989" s="1631"/>
      <c r="CJ989" s="1631"/>
      <c r="CK989" s="1631"/>
      <c r="CL989" s="1631"/>
      <c r="CM989" s="1631"/>
      <c r="CN989" s="1631"/>
      <c r="CO989" s="1631"/>
      <c r="CP989" s="1631"/>
      <c r="CQ989" s="1631"/>
      <c r="CR989" s="1631"/>
      <c r="CS989" s="1631"/>
      <c r="CT989" s="1631"/>
      <c r="CU989" s="1631"/>
      <c r="CV989" s="1631"/>
      <c r="CW989" s="1631"/>
      <c r="CX989" s="1631"/>
      <c r="CY989" s="1631"/>
      <c r="CZ989" s="1631"/>
      <c r="DA989" s="1631"/>
      <c r="DB989" s="1631"/>
      <c r="DC989" s="1631"/>
      <c r="DD989" s="1631"/>
      <c r="DE989" s="1631"/>
      <c r="DF989" s="1631"/>
      <c r="DG989" s="1631"/>
      <c r="DH989" s="1631"/>
      <c r="DI989" s="1631"/>
      <c r="DJ989" s="1631"/>
      <c r="DK989" s="1631"/>
      <c r="DL989" s="1631"/>
      <c r="DM989" s="1631"/>
      <c r="DN989" s="1631"/>
      <c r="DO989" s="1631"/>
      <c r="DP989" s="1631"/>
      <c r="DQ989" s="1631"/>
      <c r="DR989" s="1631"/>
      <c r="DS989" s="1631"/>
      <c r="DT989" s="1631"/>
      <c r="DU989" s="1631"/>
      <c r="DV989" s="1631"/>
      <c r="DW989" s="1631"/>
      <c r="DX989" s="1631"/>
      <c r="DY989" s="1631"/>
      <c r="DZ989" s="1631"/>
      <c r="EA989" s="1631"/>
      <c r="EB989" s="1631"/>
      <c r="EC989" s="1631"/>
      <c r="ED989" s="1631"/>
      <c r="EE989" s="1631"/>
      <c r="EF989" s="1631"/>
      <c r="EG989" s="1631"/>
      <c r="EH989" s="1631"/>
      <c r="EI989" s="1631"/>
      <c r="EJ989" s="1631"/>
      <c r="EK989" s="1631"/>
      <c r="EL989" s="1631"/>
      <c r="EM989" s="1631"/>
      <c r="EN989" s="1631"/>
      <c r="EO989" s="1631"/>
      <c r="EP989" s="1631"/>
      <c r="EQ989" s="1631"/>
      <c r="ER989" s="1631"/>
      <c r="ES989" s="1631"/>
      <c r="ET989" s="1631"/>
      <c r="EU989" s="1631"/>
      <c r="EV989" s="1631"/>
      <c r="EW989" s="1631"/>
      <c r="EX989" s="1631"/>
      <c r="EY989" s="1631"/>
      <c r="EZ989" s="1631"/>
      <c r="FA989" s="1631"/>
      <c r="FB989" s="1631"/>
      <c r="FC989" s="1631"/>
      <c r="FD989" s="1631"/>
      <c r="FE989" s="1631"/>
      <c r="FF989" s="1631"/>
      <c r="FG989" s="1631"/>
      <c r="FH989" s="1631"/>
      <c r="FI989" s="1631"/>
      <c r="FJ989" s="1631"/>
      <c r="FK989" s="1631"/>
      <c r="FL989" s="1631"/>
      <c r="FM989" s="1631"/>
      <c r="FN989" s="1631"/>
      <c r="FO989" s="1631"/>
      <c r="FP989" s="1631"/>
      <c r="FQ989" s="1631"/>
      <c r="FR989" s="1631"/>
      <c r="FS989" s="1631"/>
      <c r="FT989" s="1631"/>
      <c r="FU989" s="1631"/>
      <c r="FV989" s="1631"/>
      <c r="FW989" s="1631"/>
      <c r="FX989" s="1631"/>
      <c r="FY989" s="1631"/>
      <c r="FZ989" s="1631"/>
      <c r="GA989" s="1631"/>
      <c r="GB989" s="1631"/>
      <c r="GC989" s="1631"/>
      <c r="GD989" s="1631"/>
      <c r="GE989" s="1631"/>
      <c r="GF989" s="1631"/>
      <c r="GG989" s="1631"/>
      <c r="GH989" s="1631"/>
      <c r="GI989" s="1631"/>
      <c r="GJ989" s="1631"/>
      <c r="GK989" s="1631"/>
      <c r="GL989" s="1631"/>
      <c r="GM989" s="1631"/>
      <c r="GN989" s="1631"/>
      <c r="GO989" s="1631"/>
      <c r="GP989" s="1631"/>
      <c r="GQ989" s="1631"/>
      <c r="GR989" s="1631"/>
      <c r="GS989" s="1631"/>
      <c r="GT989" s="1631"/>
      <c r="GU989" s="1631"/>
      <c r="GV989" s="1631"/>
      <c r="GW989" s="1631"/>
      <c r="GX989" s="1631"/>
      <c r="GY989" s="1631"/>
      <c r="GZ989" s="1631"/>
      <c r="HA989" s="1631"/>
      <c r="HB989" s="1631"/>
      <c r="HC989" s="1631"/>
      <c r="HD989" s="1631"/>
      <c r="HE989" s="1631"/>
      <c r="HF989" s="1631"/>
      <c r="HG989" s="1631"/>
      <c r="HH989" s="1631"/>
      <c r="HI989" s="1631"/>
      <c r="HJ989" s="1631"/>
      <c r="HK989" s="1631"/>
      <c r="HL989" s="1631"/>
      <c r="HM989" s="1631"/>
      <c r="HN989" s="1631"/>
      <c r="HO989" s="1631"/>
      <c r="HP989" s="1631"/>
      <c r="HQ989" s="1631"/>
      <c r="HR989" s="1631"/>
      <c r="HS989" s="1631"/>
      <c r="HT989" s="1631"/>
      <c r="HU989" s="1631"/>
      <c r="HV989" s="1631"/>
      <c r="HW989" s="1631"/>
      <c r="HX989" s="1631"/>
      <c r="HY989" s="1631"/>
      <c r="HZ989" s="1631"/>
      <c r="IA989" s="1631"/>
      <c r="IB989" s="1631"/>
      <c r="IC989" s="1631"/>
      <c r="ID989" s="1631"/>
      <c r="IE989" s="1631"/>
      <c r="IF989" s="1631"/>
      <c r="IG989" s="1631"/>
      <c r="IH989" s="1631"/>
      <c r="II989" s="1631"/>
      <c r="IJ989" s="1631"/>
      <c r="IK989" s="1631"/>
      <c r="IL989" s="1631"/>
      <c r="IM989" s="1631"/>
      <c r="IN989" s="1631"/>
      <c r="IO989" s="1631"/>
      <c r="IP989" s="1631"/>
      <c r="IQ989" s="1631"/>
      <c r="IR989" s="1631"/>
      <c r="IS989" s="1631"/>
      <c r="IT989" s="1631"/>
      <c r="IU989" s="1631"/>
      <c r="IV989" s="1631"/>
      <c r="IW989" s="1631"/>
      <c r="IX989" s="1631"/>
      <c r="IY989" s="1631"/>
      <c r="IZ989" s="1631"/>
      <c r="JA989" s="1631"/>
      <c r="JB989" s="1631"/>
      <c r="JC989" s="1631"/>
      <c r="JD989" s="1631"/>
      <c r="JE989" s="1631"/>
      <c r="JF989" s="1631"/>
      <c r="JG989" s="1631"/>
      <c r="JH989" s="1631"/>
      <c r="JI989" s="1631"/>
      <c r="JJ989" s="1631"/>
      <c r="JK989" s="1631"/>
      <c r="JL989" s="1631"/>
      <c r="JM989" s="1631"/>
      <c r="JN989" s="1631"/>
      <c r="JO989" s="1631"/>
      <c r="JP989" s="1631"/>
      <c r="JQ989" s="1631"/>
      <c r="JR989" s="1631"/>
      <c r="JS989" s="1631"/>
      <c r="JT989" s="1631"/>
      <c r="JU989" s="1631"/>
      <c r="JV989" s="1630"/>
      <c r="JW989" s="1631"/>
      <c r="JX989" s="1631"/>
      <c r="JY989" s="1631"/>
      <c r="JZ989" s="1631"/>
      <c r="KA989" s="1630"/>
      <c r="KB989" s="1630"/>
      <c r="KC989" s="1630"/>
      <c r="KD989" s="1630"/>
      <c r="KE989" s="1630"/>
      <c r="KF989" s="1630"/>
      <c r="KG989" s="1630"/>
      <c r="KH989" s="1630"/>
      <c r="KI989" s="1630"/>
      <c r="KJ989" s="1630"/>
      <c r="KK989" s="1630"/>
      <c r="KL989" s="1630"/>
      <c r="KM989" s="1630"/>
      <c r="KN989" s="1630"/>
      <c r="KO989" s="1630"/>
      <c r="KP989" s="1630"/>
      <c r="KQ989" s="1630"/>
      <c r="KR989" s="1630"/>
      <c r="KS989" s="1630"/>
      <c r="KT989" s="1630"/>
      <c r="KU989" s="1630"/>
      <c r="KV989" s="1630"/>
      <c r="KW989" s="1630"/>
      <c r="KX989" s="1630"/>
      <c r="KY989" s="1630"/>
      <c r="KZ989" s="1630"/>
      <c r="LA989" s="1630"/>
      <c r="LB989" s="1630"/>
      <c r="LC989" s="1630"/>
      <c r="LD989" s="1630"/>
      <c r="LE989" s="1630"/>
      <c r="LF989" s="1630"/>
      <c r="LG989" s="1631"/>
      <c r="LH989" s="1631"/>
      <c r="LI989" s="1631"/>
      <c r="LJ989" s="1631"/>
      <c r="LK989" s="1631"/>
      <c r="LL989" s="1631"/>
      <c r="LM989" s="1631"/>
      <c r="LN989" s="1631"/>
      <c r="LO989" s="1631"/>
      <c r="LP989" s="1631"/>
      <c r="LQ989" s="1631"/>
      <c r="LR989" s="1631"/>
      <c r="LS989" s="1631"/>
      <c r="LT989" s="1631"/>
      <c r="LU989" s="1631"/>
      <c r="LV989" s="1631"/>
      <c r="LW989" s="1631"/>
      <c r="LX989" s="1631"/>
      <c r="LY989" s="1631"/>
      <c r="LZ989" s="1631"/>
      <c r="MA989" s="1631"/>
      <c r="MB989" s="1631"/>
      <c r="MC989" s="1631"/>
      <c r="MD989" s="1631"/>
      <c r="ME989" s="1631"/>
      <c r="MF989" s="1631"/>
      <c r="MG989" s="1631"/>
      <c r="MH989" s="1631"/>
      <c r="MI989" s="1631"/>
      <c r="MJ989" s="1631"/>
      <c r="MK989" s="1631"/>
      <c r="ML989" s="1631"/>
      <c r="MM989" s="1631"/>
      <c r="MN989" s="1631"/>
      <c r="MO989" s="1631"/>
      <c r="MP989" s="1631"/>
      <c r="MQ989" s="1631"/>
      <c r="MR989" s="1631"/>
      <c r="MS989" s="1631"/>
    </row>
    <row r="990" spans="1:357">
      <c r="A990" s="1631"/>
      <c r="B990" s="1631"/>
      <c r="C990" s="2774" t="s">
        <v>191</v>
      </c>
      <c r="D990" s="1631"/>
      <c r="E990" s="1631"/>
      <c r="F990" s="1847">
        <f>SUM(F984:G989)</f>
        <v>9324</v>
      </c>
      <c r="G990" s="1847"/>
      <c r="H990" s="1631"/>
      <c r="I990" s="1631"/>
      <c r="J990" s="1833"/>
      <c r="K990" s="1631"/>
      <c r="L990" s="1631"/>
      <c r="M990" s="2038"/>
      <c r="N990" s="1631"/>
      <c r="O990" s="1866" t="s">
        <v>3730</v>
      </c>
      <c r="P990" s="1862">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31"/>
      <c r="R990" s="1838">
        <f>'Part VI-Revenues &amp; Expenses'!R228</f>
        <v>0</v>
      </c>
      <c r="S990" s="1838"/>
      <c r="T990" s="1838"/>
      <c r="U990" s="1838"/>
      <c r="V990" s="1838"/>
      <c r="X990" s="1631"/>
      <c r="Y990" s="1631"/>
      <c r="Z990" s="1631"/>
      <c r="AA990" s="1631"/>
      <c r="AC990" s="1631"/>
      <c r="AD990" s="1631"/>
      <c r="AE990" s="1631"/>
      <c r="AF990" s="1631"/>
      <c r="AH990" s="1631"/>
      <c r="AI990" s="1631"/>
      <c r="AJ990" s="1631"/>
      <c r="AK990" s="1631"/>
      <c r="AM990" s="1631"/>
      <c r="AN990" s="1631"/>
      <c r="AO990" s="1631"/>
      <c r="AP990" s="1631"/>
      <c r="AQ990" s="1631"/>
      <c r="AR990" s="1631"/>
      <c r="AS990" s="1631"/>
      <c r="AT990" s="1631"/>
      <c r="AU990" s="1631"/>
      <c r="AV990" s="1631"/>
      <c r="AW990" s="1631"/>
      <c r="AX990" s="1631"/>
      <c r="AY990" s="1631"/>
      <c r="AZ990" s="1631"/>
      <c r="BA990" s="1631"/>
      <c r="BB990" s="1631"/>
      <c r="BC990" s="1631"/>
      <c r="BD990" s="1631"/>
      <c r="BE990" s="1631"/>
      <c r="BF990" s="1631"/>
      <c r="BG990" s="1631"/>
      <c r="BH990" s="1631"/>
      <c r="BI990" s="1631"/>
      <c r="BJ990" s="1631"/>
      <c r="BK990" s="1631"/>
      <c r="BL990" s="1631"/>
      <c r="BM990" s="1631"/>
      <c r="BN990" s="1631"/>
      <c r="BO990" s="1631"/>
      <c r="BP990" s="1631"/>
      <c r="BQ990" s="1631"/>
      <c r="BR990" s="1631"/>
      <c r="BS990" s="1631"/>
      <c r="BT990" s="1631"/>
      <c r="BU990" s="1631"/>
      <c r="BV990" s="1631"/>
      <c r="BW990" s="1631"/>
      <c r="BX990" s="1631"/>
      <c r="BY990" s="1631"/>
      <c r="BZ990" s="1631"/>
      <c r="CA990" s="1631"/>
      <c r="CB990" s="1631"/>
      <c r="CC990" s="1631"/>
      <c r="CD990" s="1631"/>
      <c r="CE990" s="1631"/>
      <c r="CF990" s="1631"/>
      <c r="CG990" s="1631"/>
      <c r="CH990" s="1631"/>
      <c r="CI990" s="1631"/>
      <c r="CJ990" s="1631"/>
      <c r="CK990" s="1631"/>
      <c r="CL990" s="1631"/>
      <c r="CM990" s="1631"/>
      <c r="CN990" s="1631"/>
      <c r="CO990" s="1631"/>
      <c r="CP990" s="1631"/>
      <c r="CQ990" s="1631"/>
      <c r="CR990" s="1631"/>
      <c r="CS990" s="1631"/>
      <c r="CT990" s="1631"/>
      <c r="CU990" s="1631"/>
      <c r="CV990" s="1631"/>
      <c r="CW990" s="1631"/>
      <c r="CX990" s="1631"/>
      <c r="CY990" s="1631"/>
      <c r="CZ990" s="1631"/>
      <c r="DA990" s="1631"/>
      <c r="DB990" s="1631"/>
      <c r="DC990" s="1631"/>
      <c r="DD990" s="1631"/>
      <c r="DE990" s="1631"/>
      <c r="DF990" s="1631"/>
      <c r="DG990" s="1631"/>
      <c r="DH990" s="1631"/>
      <c r="DI990" s="1631"/>
      <c r="DJ990" s="1631"/>
      <c r="DK990" s="1631"/>
      <c r="DL990" s="1631"/>
      <c r="DM990" s="1631"/>
      <c r="DN990" s="1631"/>
      <c r="DO990" s="1631"/>
      <c r="DP990" s="1631"/>
      <c r="DQ990" s="1631"/>
      <c r="DR990" s="1631"/>
      <c r="DS990" s="1631"/>
      <c r="DT990" s="1631"/>
      <c r="DU990" s="1631"/>
      <c r="DV990" s="1631"/>
      <c r="DW990" s="1631"/>
      <c r="DX990" s="1631"/>
      <c r="DY990" s="1631"/>
      <c r="DZ990" s="1631"/>
      <c r="EA990" s="1631"/>
      <c r="EB990" s="1631"/>
      <c r="EC990" s="1631"/>
      <c r="ED990" s="1631"/>
      <c r="EE990" s="1631"/>
      <c r="EF990" s="1631"/>
      <c r="EG990" s="1631"/>
      <c r="EH990" s="1631"/>
      <c r="EI990" s="1631"/>
      <c r="EJ990" s="1631"/>
      <c r="EK990" s="1631"/>
      <c r="EL990" s="1631"/>
      <c r="EM990" s="1631"/>
      <c r="EN990" s="1631"/>
      <c r="EO990" s="1631"/>
      <c r="EP990" s="1631"/>
      <c r="EQ990" s="1631"/>
      <c r="ER990" s="1631"/>
      <c r="ES990" s="1631"/>
      <c r="ET990" s="1631"/>
      <c r="EU990" s="1631"/>
      <c r="EV990" s="1631"/>
      <c r="EW990" s="1631"/>
      <c r="EX990" s="1631"/>
      <c r="EY990" s="1631"/>
      <c r="EZ990" s="1631"/>
      <c r="FA990" s="1631"/>
      <c r="FB990" s="1631"/>
      <c r="FC990" s="1631"/>
      <c r="FD990" s="1631"/>
      <c r="FE990" s="1631"/>
      <c r="FF990" s="1631"/>
      <c r="FG990" s="1631"/>
      <c r="FH990" s="1631"/>
      <c r="FI990" s="1631"/>
      <c r="FJ990" s="1631"/>
      <c r="FK990" s="1631"/>
      <c r="FL990" s="1631"/>
      <c r="FM990" s="1631"/>
      <c r="FN990" s="1631"/>
      <c r="FO990" s="1631"/>
      <c r="FP990" s="1631"/>
      <c r="FQ990" s="1631"/>
      <c r="FR990" s="1631"/>
      <c r="FS990" s="1631"/>
      <c r="FT990" s="1631"/>
      <c r="FU990" s="1631"/>
      <c r="FV990" s="1631"/>
      <c r="FW990" s="1631"/>
      <c r="FX990" s="1631"/>
      <c r="FY990" s="1631"/>
      <c r="FZ990" s="1631"/>
      <c r="GA990" s="1631"/>
      <c r="GB990" s="1631"/>
      <c r="GC990" s="1631"/>
      <c r="GD990" s="1631"/>
      <c r="GE990" s="1631"/>
      <c r="GF990" s="1631"/>
      <c r="GG990" s="1631"/>
      <c r="GH990" s="1631"/>
      <c r="GI990" s="1631"/>
      <c r="GJ990" s="1631"/>
      <c r="GK990" s="1631"/>
      <c r="GL990" s="1631"/>
      <c r="GM990" s="1631"/>
      <c r="GN990" s="1631"/>
      <c r="GO990" s="1631"/>
      <c r="GP990" s="1631"/>
      <c r="GQ990" s="1631"/>
      <c r="GR990" s="1631"/>
      <c r="GS990" s="1631"/>
      <c r="GT990" s="1631"/>
      <c r="GU990" s="1631"/>
      <c r="GV990" s="1631"/>
      <c r="GW990" s="1631"/>
      <c r="GX990" s="1631"/>
      <c r="GY990" s="1631"/>
      <c r="GZ990" s="1631"/>
      <c r="HA990" s="1631"/>
      <c r="HB990" s="1631"/>
      <c r="HC990" s="1631"/>
      <c r="HD990" s="1631"/>
      <c r="HE990" s="1631"/>
      <c r="HF990" s="1631"/>
      <c r="HG990" s="1631"/>
      <c r="HH990" s="1631"/>
      <c r="HI990" s="1631"/>
      <c r="HJ990" s="1631"/>
      <c r="HK990" s="1631"/>
      <c r="HL990" s="1631"/>
      <c r="HM990" s="1631"/>
      <c r="HN990" s="1631"/>
      <c r="HO990" s="1631"/>
      <c r="HP990" s="1631"/>
      <c r="HQ990" s="1631"/>
      <c r="HR990" s="1631"/>
      <c r="HS990" s="1631"/>
      <c r="HT990" s="1631"/>
      <c r="HU990" s="1631"/>
      <c r="HV990" s="1631"/>
      <c r="HW990" s="1631"/>
      <c r="HX990" s="1631"/>
      <c r="HY990" s="1631"/>
      <c r="HZ990" s="1631"/>
      <c r="IA990" s="1631"/>
      <c r="IB990" s="1631"/>
      <c r="IC990" s="1631"/>
      <c r="ID990" s="1631"/>
      <c r="IE990" s="1631"/>
      <c r="IF990" s="1631"/>
      <c r="IG990" s="1631"/>
      <c r="IH990" s="1631"/>
      <c r="II990" s="1631"/>
      <c r="IJ990" s="1631"/>
      <c r="IK990" s="1631"/>
      <c r="IL990" s="1631"/>
      <c r="IM990" s="1631"/>
      <c r="IN990" s="1631"/>
      <c r="IO990" s="1631"/>
      <c r="IP990" s="1631"/>
      <c r="IQ990" s="1631"/>
      <c r="IR990" s="1631"/>
      <c r="IS990" s="1631"/>
      <c r="IT990" s="1631"/>
      <c r="IU990" s="1631"/>
      <c r="IV990" s="1631"/>
      <c r="IW990" s="1631"/>
      <c r="IX990" s="1631"/>
      <c r="IY990" s="1631"/>
      <c r="IZ990" s="1631"/>
      <c r="JA990" s="1631"/>
      <c r="JB990" s="1631"/>
      <c r="JC990" s="1631"/>
      <c r="JD990" s="1631"/>
      <c r="JE990" s="1631"/>
      <c r="JF990" s="1631"/>
      <c r="JG990" s="1631"/>
      <c r="JH990" s="1631"/>
      <c r="JI990" s="1631"/>
      <c r="JJ990" s="1631"/>
      <c r="JK990" s="1631"/>
      <c r="JL990" s="1631"/>
      <c r="JM990" s="1631"/>
      <c r="JN990" s="1631"/>
      <c r="JO990" s="1631"/>
      <c r="JP990" s="1631"/>
      <c r="JQ990" s="1631"/>
      <c r="JR990" s="1631"/>
      <c r="JS990" s="1631"/>
      <c r="JT990" s="1631"/>
      <c r="JU990" s="1631"/>
      <c r="JV990" s="1630"/>
      <c r="JW990" s="1631"/>
      <c r="JX990" s="1631"/>
      <c r="JY990" s="1631"/>
      <c r="JZ990" s="1631"/>
      <c r="KA990" s="1630"/>
      <c r="KB990" s="1630"/>
      <c r="KC990" s="1630"/>
      <c r="KD990" s="1630"/>
      <c r="KE990" s="1630"/>
      <c r="KF990" s="1630"/>
      <c r="KG990" s="1630"/>
      <c r="KH990" s="1630"/>
      <c r="KI990" s="1630"/>
      <c r="KJ990" s="1630"/>
      <c r="KK990" s="1630"/>
      <c r="KL990" s="1630"/>
      <c r="KM990" s="1630"/>
      <c r="KN990" s="1630"/>
      <c r="KO990" s="1630"/>
      <c r="KP990" s="1630"/>
      <c r="KQ990" s="1630"/>
      <c r="KR990" s="1630"/>
      <c r="KS990" s="1630"/>
      <c r="KT990" s="1630"/>
      <c r="KU990" s="1630"/>
      <c r="KV990" s="1630"/>
      <c r="KW990" s="1630"/>
      <c r="KX990" s="1630"/>
      <c r="KY990" s="1630"/>
      <c r="KZ990" s="1630"/>
      <c r="LA990" s="1630"/>
      <c r="LB990" s="1630"/>
      <c r="LC990" s="1630"/>
      <c r="LD990" s="1630"/>
      <c r="LE990" s="1630"/>
      <c r="LF990" s="1630"/>
      <c r="LG990" s="1631"/>
      <c r="LH990" s="1631"/>
      <c r="LI990" s="1631"/>
      <c r="LJ990" s="1631"/>
      <c r="LK990" s="1631"/>
      <c r="LL990" s="1631"/>
      <c r="LM990" s="1631"/>
      <c r="LN990" s="1631"/>
      <c r="LO990" s="1631"/>
      <c r="LP990" s="1631"/>
      <c r="LQ990" s="1631"/>
      <c r="LR990" s="1631"/>
      <c r="LS990" s="1631"/>
      <c r="LT990" s="1631"/>
      <c r="LU990" s="1631"/>
      <c r="LV990" s="1631"/>
      <c r="LW990" s="1631"/>
      <c r="LX990" s="1631"/>
      <c r="LY990" s="1631"/>
      <c r="LZ990" s="1631"/>
      <c r="MA990" s="1631"/>
      <c r="MB990" s="1631"/>
      <c r="MC990" s="1631"/>
      <c r="MD990" s="1631"/>
      <c r="ME990" s="1631"/>
      <c r="MF990" s="1631"/>
      <c r="MG990" s="1631"/>
      <c r="MH990" s="1631"/>
      <c r="MI990" s="1631"/>
      <c r="MJ990" s="1631"/>
      <c r="MK990" s="1631"/>
      <c r="ML990" s="1631"/>
      <c r="MM990" s="1631"/>
      <c r="MN990" s="1631"/>
      <c r="MO990" s="1631"/>
      <c r="MP990" s="1631"/>
      <c r="MQ990" s="1631"/>
      <c r="MR990" s="1631"/>
      <c r="MS990" s="1631"/>
    </row>
    <row r="991" spans="1:357">
      <c r="A991" s="1631"/>
      <c r="B991" s="1631"/>
      <c r="C991" s="1631"/>
      <c r="D991" s="2774"/>
      <c r="E991" s="1631"/>
      <c r="F991" s="1833"/>
      <c r="G991" s="1833"/>
      <c r="H991" s="1631"/>
      <c r="I991" s="1631"/>
      <c r="J991" s="1833"/>
      <c r="K991" s="1631"/>
      <c r="L991" s="1631"/>
      <c r="M991" s="2038"/>
      <c r="N991" s="1631"/>
      <c r="O991" s="1631"/>
      <c r="P991" s="1631"/>
      <c r="Q991" s="1631"/>
      <c r="R991" s="1838">
        <f>'Part VI-Revenues &amp; Expenses'!R229</f>
        <v>0</v>
      </c>
      <c r="S991" s="1838"/>
      <c r="T991" s="1838"/>
      <c r="U991" s="1838"/>
      <c r="V991" s="1838"/>
      <c r="W991" s="1631"/>
      <c r="X991" s="1631"/>
      <c r="Y991" s="1631"/>
      <c r="Z991" s="1631"/>
      <c r="AA991" s="1631"/>
      <c r="AB991" s="1631"/>
      <c r="AC991" s="1631"/>
      <c r="AD991" s="1631"/>
      <c r="AE991" s="1631"/>
      <c r="AF991" s="1631"/>
      <c r="AG991" s="1631"/>
      <c r="AH991" s="1631"/>
      <c r="AI991" s="1631"/>
      <c r="AJ991" s="1631"/>
      <c r="AK991" s="1631"/>
      <c r="AL991" s="1631"/>
      <c r="AM991" s="1631"/>
      <c r="AN991" s="1631"/>
      <c r="AO991" s="1631"/>
      <c r="AP991" s="1631"/>
      <c r="AQ991" s="1631"/>
      <c r="AR991" s="1631"/>
      <c r="AS991" s="1631"/>
      <c r="AT991" s="1631"/>
      <c r="AU991" s="1631"/>
      <c r="AV991" s="1631"/>
      <c r="AW991" s="1631"/>
      <c r="AX991" s="1631"/>
      <c r="AY991" s="1631"/>
      <c r="AZ991" s="1631"/>
      <c r="BA991" s="1631"/>
      <c r="BB991" s="1631"/>
      <c r="BC991" s="1631"/>
      <c r="BD991" s="1631"/>
      <c r="BE991" s="1631"/>
      <c r="BF991" s="1631"/>
      <c r="BG991" s="1631"/>
      <c r="BH991" s="1631"/>
      <c r="BI991" s="1631"/>
      <c r="BJ991" s="1631"/>
      <c r="BK991" s="1631"/>
      <c r="BL991" s="1631"/>
      <c r="BM991" s="1631"/>
      <c r="BN991" s="1631"/>
      <c r="BO991" s="1631"/>
      <c r="BP991" s="1631"/>
      <c r="BQ991" s="1631"/>
      <c r="BR991" s="1631"/>
      <c r="BS991" s="1631"/>
      <c r="BT991" s="1631"/>
      <c r="BU991" s="1631"/>
      <c r="BV991" s="1631"/>
      <c r="BW991" s="1631"/>
      <c r="BX991" s="1631"/>
      <c r="BY991" s="1631"/>
      <c r="BZ991" s="1631"/>
      <c r="CA991" s="1631"/>
      <c r="CB991" s="1631"/>
      <c r="CC991" s="1631"/>
      <c r="CD991" s="1631"/>
      <c r="CE991" s="1631"/>
      <c r="CF991" s="1631"/>
      <c r="CG991" s="1631"/>
      <c r="CH991" s="1631"/>
      <c r="CI991" s="1631"/>
      <c r="CJ991" s="1631"/>
      <c r="CK991" s="1631"/>
      <c r="CL991" s="1631"/>
      <c r="CM991" s="1631"/>
      <c r="CN991" s="1631"/>
      <c r="CO991" s="1631"/>
      <c r="CP991" s="1631"/>
      <c r="CQ991" s="1631"/>
      <c r="CR991" s="1631"/>
      <c r="CS991" s="1631"/>
      <c r="CT991" s="1631"/>
      <c r="CU991" s="1631"/>
      <c r="CV991" s="1631"/>
      <c r="CW991" s="1631"/>
      <c r="CX991" s="1631"/>
      <c r="CY991" s="1631"/>
      <c r="CZ991" s="1631"/>
      <c r="DA991" s="1631"/>
      <c r="DB991" s="1631"/>
      <c r="DC991" s="1631"/>
      <c r="DD991" s="1631"/>
      <c r="DE991" s="1631"/>
      <c r="DF991" s="1631"/>
      <c r="DG991" s="1631"/>
      <c r="DH991" s="1631"/>
      <c r="DI991" s="1631"/>
      <c r="DJ991" s="1631"/>
      <c r="DK991" s="1631"/>
      <c r="DL991" s="1631"/>
      <c r="DM991" s="1631"/>
      <c r="DN991" s="1631"/>
      <c r="DO991" s="1631"/>
      <c r="DP991" s="1631"/>
      <c r="DQ991" s="1631"/>
      <c r="DR991" s="1631"/>
      <c r="DS991" s="1631"/>
      <c r="DT991" s="1631"/>
      <c r="DU991" s="1631"/>
      <c r="DV991" s="1631"/>
      <c r="DW991" s="1631"/>
      <c r="DX991" s="1631"/>
      <c r="DY991" s="1631"/>
      <c r="DZ991" s="1631"/>
      <c r="EA991" s="1631"/>
      <c r="EB991" s="1631"/>
      <c r="EC991" s="1631"/>
      <c r="ED991" s="1631"/>
      <c r="EE991" s="1631"/>
      <c r="EF991" s="1631"/>
      <c r="EG991" s="1631"/>
      <c r="EH991" s="1631"/>
      <c r="EI991" s="1631"/>
      <c r="EJ991" s="1631"/>
      <c r="EK991" s="1631"/>
      <c r="EL991" s="1631"/>
      <c r="EM991" s="1631"/>
      <c r="EN991" s="1631"/>
      <c r="EO991" s="1631"/>
      <c r="EP991" s="1631"/>
      <c r="EQ991" s="1631"/>
      <c r="ER991" s="1631"/>
      <c r="ES991" s="1631"/>
      <c r="ET991" s="1631"/>
      <c r="EU991" s="1631"/>
      <c r="EV991" s="1631"/>
      <c r="EW991" s="1631"/>
      <c r="EX991" s="1631"/>
      <c r="EY991" s="1631"/>
      <c r="EZ991" s="1631"/>
      <c r="FA991" s="1631"/>
      <c r="FB991" s="1631"/>
      <c r="FC991" s="1631"/>
      <c r="FD991" s="1631"/>
      <c r="FE991" s="1631"/>
      <c r="FF991" s="1631"/>
      <c r="FG991" s="1631"/>
      <c r="FH991" s="1631"/>
      <c r="FI991" s="1631"/>
      <c r="FJ991" s="1631"/>
      <c r="FK991" s="1631"/>
      <c r="FL991" s="1631"/>
      <c r="FM991" s="1631"/>
      <c r="FN991" s="1631"/>
      <c r="FO991" s="1631"/>
      <c r="FP991" s="1631"/>
      <c r="FQ991" s="1631"/>
      <c r="FR991" s="1631"/>
      <c r="FS991" s="1631"/>
      <c r="FT991" s="1631"/>
      <c r="FU991" s="1631"/>
      <c r="FV991" s="1631"/>
      <c r="FW991" s="1631"/>
      <c r="FX991" s="1631"/>
      <c r="FY991" s="1631"/>
      <c r="FZ991" s="1631"/>
      <c r="GA991" s="1631"/>
      <c r="GB991" s="1631"/>
      <c r="GC991" s="1631"/>
      <c r="GD991" s="1631"/>
      <c r="GE991" s="1631"/>
      <c r="GF991" s="1631"/>
      <c r="GG991" s="1631"/>
      <c r="GH991" s="1631"/>
      <c r="GI991" s="1631"/>
      <c r="GJ991" s="1631"/>
      <c r="GK991" s="1631"/>
      <c r="GL991" s="1631"/>
      <c r="GM991" s="1631"/>
      <c r="GN991" s="1631"/>
      <c r="GO991" s="1631"/>
      <c r="GP991" s="1631"/>
      <c r="GQ991" s="1631"/>
      <c r="GR991" s="1631"/>
      <c r="GS991" s="1631"/>
      <c r="GT991" s="1631"/>
      <c r="GU991" s="1631"/>
      <c r="GV991" s="1631"/>
      <c r="GW991" s="1631"/>
      <c r="GX991" s="1631"/>
      <c r="GY991" s="1631"/>
      <c r="GZ991" s="1631"/>
      <c r="HA991" s="1631"/>
      <c r="HB991" s="1631"/>
      <c r="HC991" s="1631"/>
      <c r="HD991" s="1631"/>
      <c r="HE991" s="1631"/>
      <c r="HF991" s="1631"/>
      <c r="HG991" s="1631"/>
      <c r="HH991" s="1631"/>
      <c r="HI991" s="1631"/>
      <c r="HJ991" s="1631"/>
      <c r="HK991" s="1631"/>
      <c r="HL991" s="1631"/>
      <c r="HM991" s="1631"/>
      <c r="HN991" s="1631"/>
      <c r="HO991" s="1631"/>
      <c r="HP991" s="1631"/>
      <c r="HQ991" s="1631"/>
      <c r="HR991" s="1631"/>
      <c r="HS991" s="1631"/>
      <c r="HT991" s="1631"/>
      <c r="HU991" s="1631"/>
      <c r="HV991" s="1631"/>
      <c r="HW991" s="1631"/>
      <c r="HX991" s="1631"/>
      <c r="HY991" s="1631"/>
      <c r="HZ991" s="1631"/>
      <c r="IA991" s="1631"/>
      <c r="IB991" s="1631"/>
      <c r="IC991" s="1631"/>
      <c r="ID991" s="1631"/>
      <c r="IE991" s="1631"/>
      <c r="IF991" s="1631"/>
      <c r="IG991" s="1631"/>
      <c r="IH991" s="1631"/>
      <c r="II991" s="1631"/>
      <c r="IJ991" s="1631"/>
      <c r="IK991" s="1631"/>
      <c r="IL991" s="1631"/>
      <c r="IM991" s="1631"/>
      <c r="IN991" s="1631"/>
      <c r="IO991" s="1631"/>
      <c r="IP991" s="1631"/>
      <c r="IQ991" s="1631"/>
      <c r="IR991" s="1631"/>
      <c r="IS991" s="1631"/>
      <c r="IT991" s="1631"/>
      <c r="IU991" s="1631"/>
      <c r="IV991" s="1631"/>
      <c r="IW991" s="1631"/>
      <c r="IX991" s="1631"/>
      <c r="IY991" s="1631"/>
      <c r="IZ991" s="1631"/>
      <c r="JA991" s="1631"/>
      <c r="JB991" s="1631"/>
      <c r="JC991" s="1631"/>
      <c r="JD991" s="1631"/>
      <c r="JE991" s="1631"/>
      <c r="JF991" s="1631"/>
      <c r="JG991" s="1631"/>
      <c r="JH991" s="1631"/>
      <c r="JI991" s="1631"/>
      <c r="JJ991" s="1631"/>
      <c r="JK991" s="1631"/>
      <c r="JL991" s="1631"/>
      <c r="JM991" s="1631"/>
      <c r="JN991" s="1631"/>
      <c r="JO991" s="1631"/>
      <c r="JP991" s="1631"/>
      <c r="JQ991" s="1631"/>
      <c r="JR991" s="1631"/>
      <c r="JS991" s="1631"/>
      <c r="JT991" s="1631"/>
      <c r="JU991" s="1631"/>
      <c r="JV991" s="1630"/>
      <c r="JW991" s="1631"/>
      <c r="JX991" s="1631"/>
      <c r="JY991" s="1631"/>
      <c r="JZ991" s="1631"/>
      <c r="KA991" s="1630"/>
      <c r="KB991" s="1630"/>
      <c r="KC991" s="1630"/>
      <c r="KD991" s="1630"/>
      <c r="KE991" s="1630"/>
      <c r="KF991" s="1630"/>
      <c r="KG991" s="1630"/>
      <c r="KH991" s="1630"/>
      <c r="KI991" s="1630"/>
      <c r="KJ991" s="1630"/>
      <c r="KK991" s="1630"/>
      <c r="KL991" s="1630"/>
      <c r="KM991" s="1630"/>
      <c r="KN991" s="1630"/>
      <c r="KO991" s="1630"/>
      <c r="KP991" s="1630"/>
      <c r="KQ991" s="1630"/>
      <c r="KR991" s="1630"/>
      <c r="KS991" s="1630"/>
      <c r="KT991" s="1630"/>
      <c r="KU991" s="1630"/>
      <c r="KV991" s="1630"/>
      <c r="KW991" s="1630"/>
      <c r="KX991" s="1630"/>
      <c r="KY991" s="1630"/>
      <c r="KZ991" s="1630"/>
      <c r="LA991" s="1630"/>
      <c r="LB991" s="1630"/>
      <c r="LC991" s="1630"/>
      <c r="LD991" s="1630"/>
      <c r="LE991" s="1630"/>
      <c r="LF991" s="1630"/>
      <c r="LG991" s="1631"/>
      <c r="LH991" s="1631"/>
      <c r="LI991" s="1631"/>
      <c r="LJ991" s="1631"/>
      <c r="LK991" s="1631"/>
      <c r="LL991" s="1631"/>
      <c r="LM991" s="1631"/>
      <c r="LN991" s="1631"/>
      <c r="LO991" s="1631"/>
      <c r="LP991" s="1631"/>
      <c r="LQ991" s="1631"/>
      <c r="LR991" s="1631"/>
      <c r="LS991" s="1631"/>
      <c r="LT991" s="1631"/>
      <c r="LU991" s="1631"/>
      <c r="LV991" s="1631"/>
      <c r="LW991" s="1631"/>
      <c r="LX991" s="1631"/>
      <c r="LY991" s="1631"/>
      <c r="LZ991" s="1631"/>
      <c r="MA991" s="1631"/>
      <c r="MB991" s="1631"/>
      <c r="MC991" s="1631"/>
      <c r="MD991" s="1631"/>
      <c r="ME991" s="1631"/>
      <c r="MF991" s="1631"/>
      <c r="MG991" s="1631"/>
      <c r="MH991" s="1631"/>
      <c r="MI991" s="1631"/>
      <c r="MJ991" s="1631"/>
      <c r="MK991" s="1631"/>
      <c r="ML991" s="1631"/>
      <c r="MM991" s="1631"/>
      <c r="MN991" s="1631"/>
      <c r="MO991" s="1631"/>
      <c r="MP991" s="1631"/>
      <c r="MQ991" s="1631"/>
      <c r="MR991" s="1631"/>
      <c r="MS991" s="1631"/>
    </row>
    <row r="992" spans="1:357">
      <c r="A992" s="1631"/>
      <c r="B992" s="1631" t="s">
        <v>1293</v>
      </c>
      <c r="C992" s="1631"/>
      <c r="D992" s="1863"/>
      <c r="E992" s="1631"/>
      <c r="F992" s="1631"/>
      <c r="G992" s="1631"/>
      <c r="H992" s="1631"/>
      <c r="I992" s="1631" t="s">
        <v>1375</v>
      </c>
      <c r="J992" s="1651" t="s">
        <v>5019</v>
      </c>
      <c r="K992" s="1631"/>
      <c r="L992" s="1631"/>
      <c r="M992" s="1631"/>
      <c r="N992" s="1631" t="s">
        <v>3481</v>
      </c>
      <c r="O992" s="1631"/>
      <c r="P992" s="2155">
        <f>'Part VI-Revenues &amp; Expenses'!P230</f>
        <v>21000</v>
      </c>
      <c r="Q992" s="1864"/>
      <c r="R992" s="1838">
        <f>'Part VI-Revenues &amp; Expenses'!R230</f>
        <v>0</v>
      </c>
      <c r="S992" s="1838"/>
      <c r="T992" s="1838"/>
      <c r="U992" s="1838"/>
      <c r="V992" s="1838"/>
      <c r="X992" s="1631"/>
      <c r="Y992" s="1631"/>
      <c r="Z992" s="1631"/>
      <c r="AA992" s="1631"/>
      <c r="AC992" s="1631"/>
      <c r="AD992" s="1631"/>
      <c r="AE992" s="1631"/>
      <c r="AF992" s="1631"/>
      <c r="AH992" s="1631"/>
      <c r="AI992" s="1631"/>
      <c r="AJ992" s="1631"/>
      <c r="AK992" s="1631"/>
      <c r="AM992" s="1631"/>
      <c r="AN992" s="1631"/>
      <c r="AO992" s="1631"/>
      <c r="AP992" s="1631"/>
      <c r="AQ992" s="1631"/>
      <c r="AR992" s="1631"/>
      <c r="AS992" s="1631"/>
      <c r="AT992" s="1631"/>
      <c r="AU992" s="1631"/>
      <c r="AV992" s="1631"/>
      <c r="AW992" s="1631"/>
      <c r="AX992" s="1631"/>
      <c r="AY992" s="1631"/>
      <c r="AZ992" s="1631"/>
      <c r="BA992" s="1631"/>
      <c r="BB992" s="1631"/>
      <c r="BC992" s="1631"/>
      <c r="BD992" s="1631"/>
      <c r="BE992" s="1631"/>
      <c r="BF992" s="1631"/>
      <c r="BG992" s="1631"/>
      <c r="BH992" s="1631"/>
      <c r="BI992" s="1631"/>
      <c r="BJ992" s="1631"/>
      <c r="BK992" s="1631"/>
      <c r="BL992" s="1631"/>
      <c r="BM992" s="1631"/>
      <c r="BN992" s="1631"/>
      <c r="BO992" s="1631"/>
      <c r="BP992" s="1631"/>
      <c r="BQ992" s="1631"/>
      <c r="BR992" s="1631"/>
      <c r="BS992" s="1631"/>
      <c r="BT992" s="1631"/>
      <c r="BU992" s="1631"/>
      <c r="BV992" s="1631"/>
      <c r="BW992" s="1631"/>
      <c r="BX992" s="1631"/>
      <c r="BY992" s="1631"/>
      <c r="BZ992" s="1631"/>
      <c r="CA992" s="1631"/>
      <c r="CB992" s="1631"/>
      <c r="CC992" s="1631"/>
      <c r="CD992" s="1631"/>
      <c r="CE992" s="1631"/>
      <c r="CF992" s="1631"/>
      <c r="CG992" s="1631"/>
      <c r="CH992" s="1631"/>
      <c r="CI992" s="1631"/>
      <c r="CJ992" s="1631"/>
      <c r="CK992" s="1631"/>
      <c r="CL992" s="1631"/>
      <c r="CM992" s="1631"/>
      <c r="CN992" s="1631"/>
      <c r="CO992" s="1631"/>
      <c r="CP992" s="1631"/>
      <c r="CQ992" s="1631"/>
      <c r="CR992" s="1631"/>
      <c r="CS992" s="1631"/>
      <c r="CT992" s="1631"/>
      <c r="CU992" s="1631"/>
      <c r="CV992" s="1631"/>
      <c r="CW992" s="1631"/>
      <c r="CX992" s="1631"/>
      <c r="CY992" s="1631"/>
      <c r="CZ992" s="1631"/>
      <c r="DA992" s="1631"/>
      <c r="DB992" s="1631"/>
      <c r="DC992" s="1631"/>
      <c r="DD992" s="1631"/>
      <c r="DE992" s="1631"/>
      <c r="DF992" s="1631"/>
      <c r="DG992" s="1631"/>
      <c r="DH992" s="1631"/>
      <c r="DI992" s="1631"/>
      <c r="DJ992" s="1631"/>
      <c r="DK992" s="1631"/>
      <c r="DL992" s="1631"/>
      <c r="DM992" s="1631"/>
      <c r="DN992" s="1631"/>
      <c r="DO992" s="1631"/>
      <c r="DP992" s="1631"/>
      <c r="DQ992" s="1631"/>
      <c r="DR992" s="1631"/>
      <c r="DS992" s="1631"/>
      <c r="DT992" s="1631"/>
      <c r="DU992" s="1631"/>
      <c r="DV992" s="1631"/>
      <c r="DW992" s="1631"/>
      <c r="DX992" s="1631"/>
      <c r="DY992" s="1631"/>
      <c r="DZ992" s="1631"/>
      <c r="EA992" s="1631"/>
      <c r="EB992" s="1631"/>
      <c r="EC992" s="1631"/>
      <c r="ED992" s="1631"/>
      <c r="EE992" s="1631"/>
      <c r="EF992" s="1631"/>
      <c r="EG992" s="1631"/>
      <c r="EH992" s="1631"/>
      <c r="EI992" s="1631"/>
      <c r="EJ992" s="1631"/>
      <c r="EK992" s="1631"/>
      <c r="EL992" s="1631"/>
      <c r="EM992" s="1631"/>
      <c r="EN992" s="1631"/>
      <c r="EO992" s="1631"/>
      <c r="EP992" s="1631"/>
      <c r="EQ992" s="1631"/>
      <c r="ER992" s="1631"/>
      <c r="ES992" s="1631"/>
      <c r="ET992" s="1631"/>
      <c r="EU992" s="1631"/>
      <c r="EV992" s="1631"/>
      <c r="EW992" s="1631"/>
      <c r="EX992" s="1631"/>
      <c r="EY992" s="1631"/>
      <c r="EZ992" s="1631"/>
      <c r="FA992" s="1631"/>
      <c r="FB992" s="1631"/>
      <c r="FC992" s="1631"/>
      <c r="FD992" s="1631"/>
      <c r="FE992" s="1631"/>
      <c r="FF992" s="1631"/>
      <c r="FG992" s="1631"/>
      <c r="FH992" s="1631"/>
      <c r="FI992" s="1631"/>
      <c r="FJ992" s="1631"/>
      <c r="FK992" s="1631"/>
      <c r="FL992" s="1631"/>
      <c r="FM992" s="1631"/>
      <c r="FN992" s="1631"/>
      <c r="FO992" s="1631"/>
      <c r="FP992" s="1631"/>
      <c r="FQ992" s="1631"/>
      <c r="FR992" s="1631"/>
      <c r="FS992" s="1631"/>
      <c r="FT992" s="1631"/>
      <c r="FU992" s="1631"/>
      <c r="FV992" s="1631"/>
      <c r="FW992" s="1631"/>
      <c r="FX992" s="1631"/>
      <c r="FY992" s="1631"/>
      <c r="FZ992" s="1631"/>
      <c r="GA992" s="1631"/>
      <c r="GB992" s="1631"/>
      <c r="GC992" s="1631"/>
      <c r="GD992" s="1631"/>
      <c r="GE992" s="1631"/>
      <c r="GF992" s="1631"/>
      <c r="GG992" s="1631"/>
      <c r="GH992" s="1631"/>
      <c r="GI992" s="1631"/>
      <c r="GJ992" s="1631"/>
      <c r="GK992" s="1631"/>
      <c r="GL992" s="1631"/>
      <c r="GM992" s="1631"/>
      <c r="GN992" s="1631"/>
      <c r="GO992" s="1631"/>
      <c r="GP992" s="1631"/>
      <c r="GQ992" s="1631"/>
      <c r="GR992" s="1631"/>
      <c r="GS992" s="1631"/>
      <c r="GT992" s="1631"/>
      <c r="GU992" s="1631"/>
      <c r="GV992" s="1631"/>
      <c r="GW992" s="1631"/>
      <c r="GX992" s="1631"/>
      <c r="GY992" s="1631"/>
      <c r="GZ992" s="1631"/>
      <c r="HA992" s="1631"/>
      <c r="HB992" s="1631"/>
      <c r="HC992" s="1631"/>
      <c r="HD992" s="1631"/>
      <c r="HE992" s="1631"/>
      <c r="HF992" s="1631"/>
      <c r="HG992" s="1631"/>
      <c r="HH992" s="1631"/>
      <c r="HI992" s="1631"/>
      <c r="HJ992" s="1631"/>
      <c r="HK992" s="1631"/>
      <c r="HL992" s="1631"/>
      <c r="HM992" s="1631"/>
      <c r="HN992" s="1631"/>
      <c r="HO992" s="1631"/>
      <c r="HP992" s="1631"/>
      <c r="HQ992" s="1631"/>
      <c r="HR992" s="1631"/>
      <c r="HS992" s="1631"/>
      <c r="HT992" s="1631"/>
      <c r="HU992" s="1631"/>
      <c r="HV992" s="1631"/>
      <c r="HW992" s="1631"/>
      <c r="HX992" s="1631"/>
      <c r="HY992" s="1631"/>
      <c r="HZ992" s="1631"/>
      <c r="IA992" s="1631"/>
      <c r="IB992" s="1631"/>
      <c r="IC992" s="1631"/>
      <c r="ID992" s="1631"/>
      <c r="IE992" s="1631"/>
      <c r="IF992" s="1631"/>
      <c r="IG992" s="1631"/>
      <c r="IH992" s="1631"/>
      <c r="II992" s="1631"/>
      <c r="IJ992" s="1631"/>
      <c r="IK992" s="1631"/>
      <c r="IL992" s="1631"/>
      <c r="IM992" s="1631"/>
      <c r="IN992" s="1631"/>
      <c r="IO992" s="1631"/>
      <c r="IP992" s="1631"/>
      <c r="IQ992" s="1631"/>
      <c r="IR992" s="1631"/>
      <c r="IS992" s="1631"/>
      <c r="IT992" s="1631"/>
      <c r="IU992" s="1631"/>
      <c r="IV992" s="1631"/>
      <c r="IW992" s="1631"/>
      <c r="IX992" s="1631"/>
      <c r="IY992" s="1631"/>
      <c r="IZ992" s="1631"/>
      <c r="JA992" s="1631"/>
      <c r="JB992" s="1631"/>
      <c r="JC992" s="1631"/>
      <c r="JD992" s="1631"/>
      <c r="JE992" s="1631"/>
      <c r="JF992" s="1631"/>
      <c r="JG992" s="1631"/>
      <c r="JH992" s="1631"/>
      <c r="JI992" s="1631"/>
      <c r="JJ992" s="1631"/>
      <c r="JK992" s="1631"/>
      <c r="JL992" s="1631"/>
      <c r="JM992" s="1631"/>
      <c r="JN992" s="1631"/>
      <c r="JO992" s="1631"/>
      <c r="JP992" s="1631"/>
      <c r="JQ992" s="1631"/>
      <c r="JR992" s="1631"/>
      <c r="JS992" s="1631"/>
      <c r="JT992" s="1631"/>
      <c r="JU992" s="1631"/>
      <c r="JV992" s="1630"/>
      <c r="JW992" s="1631"/>
      <c r="JX992" s="1631"/>
      <c r="JY992" s="1631"/>
      <c r="JZ992" s="1631"/>
      <c r="KA992" s="1630"/>
      <c r="KB992" s="1630"/>
      <c r="KC992" s="1630"/>
      <c r="KD992" s="1630"/>
      <c r="KE992" s="1630"/>
      <c r="KF992" s="1630"/>
      <c r="KG992" s="1630"/>
      <c r="KH992" s="1630"/>
      <c r="KI992" s="1630"/>
      <c r="KJ992" s="1630"/>
      <c r="KK992" s="1630"/>
      <c r="KL992" s="1630"/>
      <c r="KM992" s="1630"/>
      <c r="KN992" s="1630"/>
      <c r="KO992" s="1630"/>
      <c r="KP992" s="1630"/>
      <c r="KQ992" s="1630"/>
      <c r="KR992" s="1630"/>
      <c r="KS992" s="1630"/>
      <c r="KT992" s="1630"/>
      <c r="KU992" s="1630"/>
      <c r="KV992" s="1630"/>
      <c r="KW992" s="1630"/>
      <c r="KX992" s="1630"/>
      <c r="KY992" s="1630"/>
      <c r="KZ992" s="1630"/>
      <c r="LA992" s="1630"/>
      <c r="LB992" s="1630"/>
      <c r="LC992" s="1630"/>
      <c r="LD992" s="1630"/>
      <c r="LE992" s="1630"/>
      <c r="LF992" s="1630"/>
      <c r="LG992" s="1631"/>
      <c r="LH992" s="1631"/>
      <c r="LI992" s="1631"/>
      <c r="LJ992" s="1631"/>
      <c r="LK992" s="1631"/>
      <c r="LL992" s="1631"/>
      <c r="LM992" s="1631"/>
      <c r="LN992" s="1631"/>
      <c r="LO992" s="1631"/>
      <c r="LP992" s="1631"/>
      <c r="LQ992" s="1631"/>
      <c r="LR992" s="1631"/>
      <c r="LS992" s="1631"/>
      <c r="LT992" s="1631"/>
      <c r="LU992" s="1631"/>
      <c r="LV992" s="1631"/>
      <c r="LW992" s="1631"/>
      <c r="LX992" s="1631"/>
      <c r="LY992" s="1631"/>
      <c r="LZ992" s="1631"/>
      <c r="MA992" s="1631"/>
      <c r="MB992" s="1631"/>
      <c r="MC992" s="1631"/>
      <c r="MD992" s="1631"/>
      <c r="ME992" s="1631"/>
      <c r="MF992" s="1631"/>
      <c r="MG992" s="1631"/>
      <c r="MH992" s="1631"/>
      <c r="MI992" s="1631"/>
      <c r="MJ992" s="1631"/>
      <c r="MK992" s="1631"/>
      <c r="ML992" s="1631"/>
      <c r="MM992" s="1631"/>
      <c r="MN992" s="1631"/>
      <c r="MO992" s="1631"/>
      <c r="MP992" s="1631"/>
      <c r="MQ992" s="1631"/>
      <c r="MR992" s="1631"/>
      <c r="MS992" s="1631"/>
    </row>
    <row r="993" spans="1:357">
      <c r="A993" s="1631"/>
      <c r="B993" s="1631" t="s">
        <v>1604</v>
      </c>
      <c r="C993" s="1631"/>
      <c r="D993" s="1863"/>
      <c r="E993" s="1631"/>
      <c r="F993" s="1847">
        <f>'Part VI-Revenues &amp; Expenses'!F231</f>
        <v>12600</v>
      </c>
      <c r="G993" s="1847"/>
      <c r="H993" s="1631"/>
      <c r="I993" s="1631" t="s">
        <v>1368</v>
      </c>
      <c r="J993" s="1736">
        <f>K993/12/O829</f>
        <v>11.25</v>
      </c>
      <c r="K993" s="1847">
        <f>'Part VI-Revenues &amp; Expenses'!K231</f>
        <v>11340</v>
      </c>
      <c r="L993" s="1847"/>
      <c r="M993" s="2038" t="str">
        <f>IF(P992&lt;P1001, "WARNING! RR proposed is below the DCA required minimum.","")</f>
        <v/>
      </c>
      <c r="N993" s="521" t="s">
        <v>5018</v>
      </c>
      <c r="O993" s="1631"/>
      <c r="P993" s="1869">
        <f>P992/O1001</f>
        <v>250</v>
      </c>
      <c r="Q993" s="2155"/>
      <c r="R993" s="1838">
        <f>'Part VI-Revenues &amp; Expenses'!R231</f>
        <v>0</v>
      </c>
      <c r="S993" s="1838"/>
      <c r="T993" s="1838"/>
      <c r="U993" s="1838"/>
      <c r="V993" s="1838"/>
      <c r="X993" s="1631"/>
      <c r="Y993" s="1631"/>
      <c r="Z993" s="1631"/>
      <c r="AA993" s="1631"/>
      <c r="AC993" s="1631"/>
      <c r="AD993" s="1631"/>
      <c r="AE993" s="1631"/>
      <c r="AF993" s="1631"/>
      <c r="AH993" s="1631"/>
      <c r="AI993" s="1631"/>
      <c r="AJ993" s="1631"/>
      <c r="AK993" s="1631"/>
      <c r="AM993" s="1631"/>
      <c r="AN993" s="1631"/>
      <c r="AO993" s="1631"/>
      <c r="AP993" s="1631"/>
      <c r="AQ993" s="1631"/>
      <c r="AR993" s="1631"/>
      <c r="AS993" s="1631"/>
      <c r="AT993" s="1631"/>
      <c r="AU993" s="1631"/>
      <c r="AV993" s="1631"/>
      <c r="AW993" s="1631"/>
      <c r="AX993" s="1631"/>
      <c r="AY993" s="1631"/>
      <c r="AZ993" s="1631"/>
      <c r="BA993" s="1631"/>
      <c r="BB993" s="1631"/>
      <c r="BC993" s="1631"/>
      <c r="BD993" s="1631"/>
      <c r="BE993" s="1631"/>
      <c r="BF993" s="1631"/>
      <c r="BG993" s="1631"/>
      <c r="BH993" s="1631"/>
      <c r="BI993" s="1631"/>
      <c r="BJ993" s="1631"/>
      <c r="BK993" s="1631"/>
      <c r="BL993" s="1631"/>
      <c r="BM993" s="1631"/>
      <c r="BN993" s="1631"/>
      <c r="BO993" s="1631"/>
      <c r="BP993" s="1631"/>
      <c r="BQ993" s="1631"/>
      <c r="BR993" s="1631"/>
      <c r="BS993" s="1631"/>
      <c r="BT993" s="1631"/>
      <c r="BU993" s="1631"/>
      <c r="BV993" s="1631"/>
      <c r="BW993" s="1631"/>
      <c r="BX993" s="1631"/>
      <c r="BY993" s="1631"/>
      <c r="BZ993" s="1631"/>
      <c r="CA993" s="1631"/>
      <c r="CB993" s="1631"/>
      <c r="CC993" s="1631"/>
      <c r="CD993" s="1631"/>
      <c r="CE993" s="1631"/>
      <c r="CF993" s="1631"/>
      <c r="CG993" s="1631"/>
      <c r="CH993" s="1631"/>
      <c r="CI993" s="1631"/>
      <c r="CJ993" s="1631"/>
      <c r="CK993" s="1631"/>
      <c r="CL993" s="1631"/>
      <c r="CM993" s="1631"/>
      <c r="CN993" s="1631"/>
      <c r="CO993" s="1631"/>
      <c r="CP993" s="1631"/>
      <c r="CQ993" s="1631"/>
      <c r="CR993" s="1631"/>
      <c r="CS993" s="1631"/>
      <c r="CT993" s="1631"/>
      <c r="CU993" s="1631"/>
      <c r="CV993" s="1631"/>
      <c r="CW993" s="1631"/>
      <c r="CX993" s="1631"/>
      <c r="CY993" s="1631"/>
      <c r="CZ993" s="1631"/>
      <c r="DA993" s="1631"/>
      <c r="DB993" s="1631"/>
      <c r="DC993" s="1631"/>
      <c r="DD993" s="1631"/>
      <c r="DE993" s="1631"/>
      <c r="DF993" s="1631"/>
      <c r="DG993" s="1631"/>
      <c r="DH993" s="1631"/>
      <c r="DI993" s="1631"/>
      <c r="DJ993" s="1631"/>
      <c r="DK993" s="1631"/>
      <c r="DL993" s="1631"/>
      <c r="DM993" s="1631"/>
      <c r="DN993" s="1631"/>
      <c r="DO993" s="1631"/>
      <c r="DP993" s="1631"/>
      <c r="DQ993" s="1631"/>
      <c r="DR993" s="1631"/>
      <c r="DS993" s="1631"/>
      <c r="DT993" s="1631"/>
      <c r="DU993" s="1631"/>
      <c r="DV993" s="1631"/>
      <c r="DW993" s="1631"/>
      <c r="DX993" s="1631"/>
      <c r="DY993" s="1631"/>
      <c r="DZ993" s="1631"/>
      <c r="EA993" s="1631"/>
      <c r="EB993" s="1631"/>
      <c r="EC993" s="1631"/>
      <c r="ED993" s="1631"/>
      <c r="EE993" s="1631"/>
      <c r="EF993" s="1631"/>
      <c r="EG993" s="1631"/>
      <c r="EH993" s="1631"/>
      <c r="EI993" s="1631"/>
      <c r="EJ993" s="1631"/>
      <c r="EK993" s="1631"/>
      <c r="EL993" s="1631"/>
      <c r="EM993" s="1631"/>
      <c r="EN993" s="1631"/>
      <c r="EO993" s="1631"/>
      <c r="EP993" s="1631"/>
      <c r="EQ993" s="1631"/>
      <c r="ER993" s="1631"/>
      <c r="ES993" s="1631"/>
      <c r="ET993" s="1631"/>
      <c r="EU993" s="1631"/>
      <c r="EV993" s="1631"/>
      <c r="EW993" s="1631"/>
      <c r="EX993" s="1631"/>
      <c r="EY993" s="1631"/>
      <c r="EZ993" s="1631"/>
      <c r="FA993" s="1631"/>
      <c r="FB993" s="1631"/>
      <c r="FC993" s="1631"/>
      <c r="FD993" s="1631"/>
      <c r="FE993" s="1631"/>
      <c r="FF993" s="1631"/>
      <c r="FG993" s="1631"/>
      <c r="FH993" s="1631"/>
      <c r="FI993" s="1631"/>
      <c r="FJ993" s="1631"/>
      <c r="FK993" s="1631"/>
      <c r="FL993" s="1631"/>
      <c r="FM993" s="1631"/>
      <c r="FN993" s="1631"/>
      <c r="FO993" s="1631"/>
      <c r="FP993" s="1631"/>
      <c r="FQ993" s="1631"/>
      <c r="FR993" s="1631"/>
      <c r="FS993" s="1631"/>
      <c r="FT993" s="1631"/>
      <c r="FU993" s="1631"/>
      <c r="FV993" s="1631"/>
      <c r="FW993" s="1631"/>
      <c r="FX993" s="1631"/>
      <c r="FY993" s="1631"/>
      <c r="FZ993" s="1631"/>
      <c r="GA993" s="1631"/>
      <c r="GB993" s="1631"/>
      <c r="GC993" s="1631"/>
      <c r="GD993" s="1631"/>
      <c r="GE993" s="1631"/>
      <c r="GF993" s="1631"/>
      <c r="GG993" s="1631"/>
      <c r="GH993" s="1631"/>
      <c r="GI993" s="1631"/>
      <c r="GJ993" s="1631"/>
      <c r="GK993" s="1631"/>
      <c r="GL993" s="1631"/>
      <c r="GM993" s="1631"/>
      <c r="GN993" s="1631"/>
      <c r="GO993" s="1631"/>
      <c r="GP993" s="1631"/>
      <c r="GQ993" s="1631"/>
      <c r="GR993" s="1631"/>
      <c r="GS993" s="1631"/>
      <c r="GT993" s="1631"/>
      <c r="GU993" s="1631"/>
      <c r="GV993" s="1631"/>
      <c r="GW993" s="1631"/>
      <c r="GX993" s="1631"/>
      <c r="GY993" s="1631"/>
      <c r="GZ993" s="1631"/>
      <c r="HA993" s="1631"/>
      <c r="HB993" s="1631"/>
      <c r="HC993" s="1631"/>
      <c r="HD993" s="1631"/>
      <c r="HE993" s="1631"/>
      <c r="HF993" s="1631"/>
      <c r="HG993" s="1631"/>
      <c r="HH993" s="1631"/>
      <c r="HI993" s="1631"/>
      <c r="HJ993" s="1631"/>
      <c r="HK993" s="1631"/>
      <c r="HL993" s="1631"/>
      <c r="HM993" s="1631"/>
      <c r="HN993" s="1631"/>
      <c r="HO993" s="1631"/>
      <c r="HP993" s="1631"/>
      <c r="HQ993" s="1631"/>
      <c r="HR993" s="1631"/>
      <c r="HS993" s="1631"/>
      <c r="HT993" s="1631"/>
      <c r="HU993" s="1631"/>
      <c r="HV993" s="1631"/>
      <c r="HW993" s="1631"/>
      <c r="HX993" s="1631"/>
      <c r="HY993" s="1631"/>
      <c r="HZ993" s="1631"/>
      <c r="IA993" s="1631"/>
      <c r="IB993" s="1631"/>
      <c r="IC993" s="1631"/>
      <c r="ID993" s="1631"/>
      <c r="IE993" s="1631"/>
      <c r="IF993" s="1631"/>
      <c r="IG993" s="1631"/>
      <c r="IH993" s="1631"/>
      <c r="II993" s="1631"/>
      <c r="IJ993" s="1631"/>
      <c r="IK993" s="1631"/>
      <c r="IL993" s="1631"/>
      <c r="IM993" s="1631"/>
      <c r="IN993" s="1631"/>
      <c r="IO993" s="1631"/>
      <c r="IP993" s="1631"/>
      <c r="IQ993" s="1631"/>
      <c r="IR993" s="1631"/>
      <c r="IS993" s="1631"/>
      <c r="IT993" s="1631"/>
      <c r="IU993" s="1631"/>
      <c r="IV993" s="1631"/>
      <c r="IW993" s="1631"/>
      <c r="IX993" s="1631"/>
      <c r="IY993" s="1631"/>
      <c r="IZ993" s="1631"/>
      <c r="JA993" s="1631"/>
      <c r="JB993" s="1631"/>
      <c r="JC993" s="1631"/>
      <c r="JD993" s="1631"/>
      <c r="JE993" s="1631"/>
      <c r="JF993" s="1631"/>
      <c r="JG993" s="1631"/>
      <c r="JH993" s="1631"/>
      <c r="JI993" s="1631"/>
      <c r="JJ993" s="1631"/>
      <c r="JK993" s="1631"/>
      <c r="JL993" s="1631"/>
      <c r="JM993" s="1631"/>
      <c r="JN993" s="1631"/>
      <c r="JO993" s="1631"/>
      <c r="JP993" s="1631"/>
      <c r="JQ993" s="1631"/>
      <c r="JR993" s="1631"/>
      <c r="JS993" s="1631"/>
      <c r="JT993" s="1631"/>
      <c r="JU993" s="1631"/>
      <c r="JV993" s="1630"/>
      <c r="JW993" s="1631"/>
      <c r="JX993" s="1631"/>
      <c r="JY993" s="1631"/>
      <c r="JZ993" s="1631"/>
      <c r="KA993" s="1630"/>
      <c r="KB993" s="1630"/>
      <c r="KC993" s="1630"/>
      <c r="KD993" s="1630"/>
      <c r="KE993" s="1630"/>
      <c r="KF993" s="1630"/>
      <c r="KG993" s="1630"/>
      <c r="KH993" s="1630"/>
      <c r="KI993" s="1630"/>
      <c r="KJ993" s="1630"/>
      <c r="KK993" s="1630"/>
      <c r="KL993" s="1630"/>
      <c r="KM993" s="1630"/>
      <c r="KN993" s="1630"/>
      <c r="KO993" s="1630"/>
      <c r="KP993" s="1630"/>
      <c r="KQ993" s="1630"/>
      <c r="KR993" s="1630"/>
      <c r="KS993" s="1630"/>
      <c r="KT993" s="1630"/>
      <c r="KU993" s="1630"/>
      <c r="KV993" s="1630"/>
      <c r="KW993" s="1630"/>
      <c r="KX993" s="1630"/>
      <c r="KY993" s="1630"/>
      <c r="KZ993" s="1630"/>
      <c r="LA993" s="1630"/>
      <c r="LB993" s="1630"/>
      <c r="LC993" s="1630"/>
      <c r="LD993" s="1630"/>
      <c r="LE993" s="1630"/>
      <c r="LF993" s="1630"/>
      <c r="LG993" s="1631"/>
      <c r="LH993" s="1631"/>
      <c r="LI993" s="1631"/>
      <c r="LJ993" s="1631"/>
      <c r="LK993" s="1631"/>
      <c r="LL993" s="1631"/>
      <c r="LM993" s="1631"/>
      <c r="LN993" s="1631"/>
      <c r="LO993" s="1631"/>
      <c r="LP993" s="1631"/>
      <c r="LQ993" s="1631"/>
      <c r="LR993" s="1631"/>
      <c r="LS993" s="1631"/>
      <c r="LT993" s="1631"/>
      <c r="LU993" s="1631"/>
      <c r="LV993" s="1631"/>
      <c r="LW993" s="1631"/>
      <c r="LX993" s="1631"/>
      <c r="LY993" s="1631"/>
      <c r="LZ993" s="1631"/>
      <c r="MA993" s="1631"/>
      <c r="MB993" s="1631"/>
      <c r="MC993" s="1631"/>
      <c r="MD993" s="1631"/>
      <c r="ME993" s="1631"/>
      <c r="MF993" s="1631"/>
      <c r="MG993" s="1631"/>
      <c r="MH993" s="1631"/>
      <c r="MI993" s="1631"/>
      <c r="MJ993" s="1631"/>
      <c r="MK993" s="1631"/>
      <c r="ML993" s="1631"/>
      <c r="MM993" s="1631"/>
      <c r="MN993" s="1631"/>
      <c r="MO993" s="1631"/>
      <c r="MP993" s="1631"/>
      <c r="MQ993" s="1631"/>
      <c r="MR993" s="1631"/>
      <c r="MS993" s="1631"/>
    </row>
    <row r="994" spans="1:357">
      <c r="A994" s="1631"/>
      <c r="B994" s="1631" t="s">
        <v>1605</v>
      </c>
      <c r="C994" s="1631"/>
      <c r="D994" s="1863"/>
      <c r="E994" s="1631"/>
      <c r="F994" s="1847">
        <f>'Part VI-Revenues &amp; Expenses'!F232</f>
        <v>13440</v>
      </c>
      <c r="G994" s="1847"/>
      <c r="H994" s="1631"/>
      <c r="I994" s="1631" t="s">
        <v>1369</v>
      </c>
      <c r="J994" s="1736">
        <f>K994/12/O829</f>
        <v>0</v>
      </c>
      <c r="K994" s="1847">
        <f>'Part VI-Revenues &amp; Expenses'!K232</f>
        <v>0</v>
      </c>
      <c r="L994" s="1847"/>
      <c r="M994" s="2038"/>
      <c r="N994" s="1870" t="s">
        <v>3739</v>
      </c>
      <c r="O994" s="1870"/>
      <c r="P994" s="1870"/>
      <c r="Q994" s="1631"/>
      <c r="R994" s="1838">
        <f>'Part VI-Revenues &amp; Expenses'!R232</f>
        <v>0</v>
      </c>
      <c r="S994" s="1838"/>
      <c r="T994" s="1838"/>
      <c r="U994" s="1838"/>
      <c r="V994" s="1838"/>
      <c r="X994" s="1631"/>
      <c r="Y994" s="1631"/>
      <c r="Z994" s="1631"/>
      <c r="AA994" s="1631"/>
      <c r="AC994" s="1631"/>
      <c r="AD994" s="1631"/>
      <c r="AE994" s="1631"/>
      <c r="AF994" s="1631"/>
      <c r="AH994" s="1631"/>
      <c r="AI994" s="1631"/>
      <c r="AJ994" s="1631"/>
      <c r="AK994" s="1631"/>
      <c r="AM994" s="1631"/>
      <c r="AN994" s="1631"/>
      <c r="AO994" s="1631"/>
      <c r="AP994" s="1631"/>
      <c r="AQ994" s="1631"/>
      <c r="AR994" s="1631"/>
      <c r="AS994" s="1631"/>
      <c r="AT994" s="1631"/>
      <c r="AU994" s="1631"/>
      <c r="AV994" s="1631"/>
      <c r="AW994" s="1631"/>
      <c r="AX994" s="1631"/>
      <c r="AY994" s="1631"/>
      <c r="AZ994" s="1631"/>
      <c r="BA994" s="1631"/>
      <c r="BB994" s="1631"/>
      <c r="BC994" s="1631"/>
      <c r="BD994" s="1631"/>
      <c r="BE994" s="1631"/>
      <c r="BF994" s="1631"/>
      <c r="BG994" s="1631"/>
      <c r="BH994" s="1631"/>
      <c r="BI994" s="1631"/>
      <c r="BJ994" s="1631"/>
      <c r="BK994" s="1631"/>
      <c r="BL994" s="1631"/>
      <c r="BM994" s="1631"/>
      <c r="BN994" s="1631"/>
      <c r="BO994" s="1631"/>
      <c r="BP994" s="1631"/>
      <c r="BQ994" s="1631"/>
      <c r="BR994" s="1631"/>
      <c r="BS994" s="1631"/>
      <c r="BT994" s="1631"/>
      <c r="BU994" s="1631"/>
      <c r="BV994" s="1631"/>
      <c r="BW994" s="1631"/>
      <c r="BX994" s="1631"/>
      <c r="BY994" s="1631"/>
      <c r="BZ994" s="1631"/>
      <c r="CA994" s="1631"/>
      <c r="CB994" s="1631"/>
      <c r="CC994" s="1631"/>
      <c r="CD994" s="1631"/>
      <c r="CE994" s="1631"/>
      <c r="CF994" s="1631"/>
      <c r="CG994" s="1631"/>
      <c r="CH994" s="1631"/>
      <c r="CI994" s="1631"/>
      <c r="CJ994" s="1631"/>
      <c r="CK994" s="1631"/>
      <c r="CL994" s="1631"/>
      <c r="CM994" s="1631"/>
      <c r="CN994" s="1631"/>
      <c r="CO994" s="1631"/>
      <c r="CP994" s="1631"/>
      <c r="CQ994" s="1631"/>
      <c r="CR994" s="1631"/>
      <c r="CS994" s="1631"/>
      <c r="CT994" s="1631"/>
      <c r="CU994" s="1631"/>
      <c r="CV994" s="1631"/>
      <c r="CW994" s="1631"/>
      <c r="CX994" s="1631"/>
      <c r="CY994" s="1631"/>
      <c r="CZ994" s="1631"/>
      <c r="DA994" s="1631"/>
      <c r="DB994" s="1631"/>
      <c r="DC994" s="1631"/>
      <c r="DD994" s="1631"/>
      <c r="DE994" s="1631"/>
      <c r="DF994" s="1631"/>
      <c r="DG994" s="1631"/>
      <c r="DH994" s="1631"/>
      <c r="DI994" s="1631"/>
      <c r="DJ994" s="1631"/>
      <c r="DK994" s="1631"/>
      <c r="DL994" s="1631"/>
      <c r="DM994" s="1631"/>
      <c r="DN994" s="1631"/>
      <c r="DO994" s="1631"/>
      <c r="DP994" s="1631"/>
      <c r="DQ994" s="1631"/>
      <c r="DR994" s="1631"/>
      <c r="DS994" s="1631"/>
      <c r="DT994" s="1631"/>
      <c r="DU994" s="1631"/>
      <c r="DV994" s="1631"/>
      <c r="DW994" s="1631"/>
      <c r="DX994" s="1631"/>
      <c r="DY994" s="1631"/>
      <c r="DZ994" s="1631"/>
      <c r="EA994" s="1631"/>
      <c r="EB994" s="1631"/>
      <c r="EC994" s="1631"/>
      <c r="ED994" s="1631"/>
      <c r="EE994" s="1631"/>
      <c r="EF994" s="1631"/>
      <c r="EG994" s="1631"/>
      <c r="EH994" s="1631"/>
      <c r="EI994" s="1631"/>
      <c r="EJ994" s="1631"/>
      <c r="EK994" s="1631"/>
      <c r="EL994" s="1631"/>
      <c r="EM994" s="1631"/>
      <c r="EN994" s="1631"/>
      <c r="EO994" s="1631"/>
      <c r="EP994" s="1631"/>
      <c r="EQ994" s="1631"/>
      <c r="ER994" s="1631"/>
      <c r="ES994" s="1631"/>
      <c r="ET994" s="1631"/>
      <c r="EU994" s="1631"/>
      <c r="EV994" s="1631"/>
      <c r="EW994" s="1631"/>
      <c r="EX994" s="1631"/>
      <c r="EY994" s="1631"/>
      <c r="EZ994" s="1631"/>
      <c r="FA994" s="1631"/>
      <c r="FB994" s="1631"/>
      <c r="FC994" s="1631"/>
      <c r="FD994" s="1631"/>
      <c r="FE994" s="1631"/>
      <c r="FF994" s="1631"/>
      <c r="FG994" s="1631"/>
      <c r="FH994" s="1631"/>
      <c r="FI994" s="1631"/>
      <c r="FJ994" s="1631"/>
      <c r="FK994" s="1631"/>
      <c r="FL994" s="1631"/>
      <c r="FM994" s="1631"/>
      <c r="FN994" s="1631"/>
      <c r="FO994" s="1631"/>
      <c r="FP994" s="1631"/>
      <c r="FQ994" s="1631"/>
      <c r="FR994" s="1631"/>
      <c r="FS994" s="1631"/>
      <c r="FT994" s="1631"/>
      <c r="FU994" s="1631"/>
      <c r="FV994" s="1631"/>
      <c r="FW994" s="1631"/>
      <c r="FX994" s="1631"/>
      <c r="FY994" s="1631"/>
      <c r="FZ994" s="1631"/>
      <c r="GA994" s="1631"/>
      <c r="GB994" s="1631"/>
      <c r="GC994" s="1631"/>
      <c r="GD994" s="1631"/>
      <c r="GE994" s="1631"/>
      <c r="GF994" s="1631"/>
      <c r="GG994" s="1631"/>
      <c r="GH994" s="1631"/>
      <c r="GI994" s="1631"/>
      <c r="GJ994" s="1631"/>
      <c r="GK994" s="1631"/>
      <c r="GL994" s="1631"/>
      <c r="GM994" s="1631"/>
      <c r="GN994" s="1631"/>
      <c r="GO994" s="1631"/>
      <c r="GP994" s="1631"/>
      <c r="GQ994" s="1631"/>
      <c r="GR994" s="1631"/>
      <c r="GS994" s="1631"/>
      <c r="GT994" s="1631"/>
      <c r="GU994" s="1631"/>
      <c r="GV994" s="1631"/>
      <c r="GW994" s="1631"/>
      <c r="GX994" s="1631"/>
      <c r="GY994" s="1631"/>
      <c r="GZ994" s="1631"/>
      <c r="HA994" s="1631"/>
      <c r="HB994" s="1631"/>
      <c r="HC994" s="1631"/>
      <c r="HD994" s="1631"/>
      <c r="HE994" s="1631"/>
      <c r="HF994" s="1631"/>
      <c r="HG994" s="1631"/>
      <c r="HH994" s="1631"/>
      <c r="HI994" s="1631"/>
      <c r="HJ994" s="1631"/>
      <c r="HK994" s="1631"/>
      <c r="HL994" s="1631"/>
      <c r="HM994" s="1631"/>
      <c r="HN994" s="1631"/>
      <c r="HO994" s="1631"/>
      <c r="HP994" s="1631"/>
      <c r="HQ994" s="1631"/>
      <c r="HR994" s="1631"/>
      <c r="HS994" s="1631"/>
      <c r="HT994" s="1631"/>
      <c r="HU994" s="1631"/>
      <c r="HV994" s="1631"/>
      <c r="HW994" s="1631"/>
      <c r="HX994" s="1631"/>
      <c r="HY994" s="1631"/>
      <c r="HZ994" s="1631"/>
      <c r="IA994" s="1631"/>
      <c r="IB994" s="1631"/>
      <c r="IC994" s="1631"/>
      <c r="ID994" s="1631"/>
      <c r="IE994" s="1631"/>
      <c r="IF994" s="1631"/>
      <c r="IG994" s="1631"/>
      <c r="IH994" s="1631"/>
      <c r="II994" s="1631"/>
      <c r="IJ994" s="1631"/>
      <c r="IK994" s="1631"/>
      <c r="IL994" s="1631"/>
      <c r="IM994" s="1631"/>
      <c r="IN994" s="1631"/>
      <c r="IO994" s="1631"/>
      <c r="IP994" s="1631"/>
      <c r="IQ994" s="1631"/>
      <c r="IR994" s="1631"/>
      <c r="IS994" s="1631"/>
      <c r="IT994" s="1631"/>
      <c r="IU994" s="1631"/>
      <c r="IV994" s="1631"/>
      <c r="IW994" s="1631"/>
      <c r="IX994" s="1631"/>
      <c r="IY994" s="1631"/>
      <c r="IZ994" s="1631"/>
      <c r="JA994" s="1631"/>
      <c r="JB994" s="1631"/>
      <c r="JC994" s="1631"/>
      <c r="JD994" s="1631"/>
      <c r="JE994" s="1631"/>
      <c r="JF994" s="1631"/>
      <c r="JG994" s="1631"/>
      <c r="JH994" s="1631"/>
      <c r="JI994" s="1631"/>
      <c r="JJ994" s="1631"/>
      <c r="JK994" s="1631"/>
      <c r="JL994" s="1631"/>
      <c r="JM994" s="1631"/>
      <c r="JN994" s="1631"/>
      <c r="JO994" s="1631"/>
      <c r="JP994" s="1631"/>
      <c r="JQ994" s="1631"/>
      <c r="JR994" s="1631"/>
      <c r="JS994" s="1631"/>
      <c r="JT994" s="1631"/>
      <c r="JU994" s="1631"/>
      <c r="JV994" s="1630"/>
      <c r="JW994" s="1631"/>
      <c r="JX994" s="1631"/>
      <c r="JY994" s="1631"/>
      <c r="JZ994" s="1631"/>
      <c r="KA994" s="1630"/>
      <c r="KB994" s="1630"/>
      <c r="KC994" s="1630"/>
      <c r="KD994" s="1630"/>
      <c r="KE994" s="1630"/>
      <c r="KF994" s="1630"/>
      <c r="KG994" s="1630"/>
      <c r="KH994" s="1630"/>
      <c r="KI994" s="1630"/>
      <c r="KJ994" s="1630"/>
      <c r="KK994" s="1630"/>
      <c r="KL994" s="1630"/>
      <c r="KM994" s="1630"/>
      <c r="KN994" s="1630"/>
      <c r="KO994" s="1630"/>
      <c r="KP994" s="1630"/>
      <c r="KQ994" s="1630"/>
      <c r="KR994" s="1630"/>
      <c r="KS994" s="1630"/>
      <c r="KT994" s="1630"/>
      <c r="KU994" s="1630"/>
      <c r="KV994" s="1630"/>
      <c r="KW994" s="1630"/>
      <c r="KX994" s="1630"/>
      <c r="KY994" s="1630"/>
      <c r="KZ994" s="1630"/>
      <c r="LA994" s="1630"/>
      <c r="LB994" s="1630"/>
      <c r="LC994" s="1630"/>
      <c r="LD994" s="1630"/>
      <c r="LE994" s="1630"/>
      <c r="LF994" s="1630"/>
      <c r="LG994" s="1631"/>
      <c r="LH994" s="1631"/>
      <c r="LI994" s="1631"/>
      <c r="LJ994" s="1631"/>
      <c r="LK994" s="1631"/>
      <c r="LL994" s="1631"/>
      <c r="LM994" s="1631"/>
      <c r="LN994" s="1631"/>
      <c r="LO994" s="1631"/>
      <c r="LP994" s="1631"/>
      <c r="LQ994" s="1631"/>
      <c r="LR994" s="1631"/>
      <c r="LS994" s="1631"/>
      <c r="LT994" s="1631"/>
      <c r="LU994" s="1631"/>
      <c r="LV994" s="1631"/>
      <c r="LW994" s="1631"/>
      <c r="LX994" s="1631"/>
      <c r="LY994" s="1631"/>
      <c r="LZ994" s="1631"/>
      <c r="MA994" s="1631"/>
      <c r="MB994" s="1631"/>
      <c r="MC994" s="1631"/>
      <c r="MD994" s="1631"/>
      <c r="ME994" s="1631"/>
      <c r="MF994" s="1631"/>
      <c r="MG994" s="1631"/>
      <c r="MH994" s="1631"/>
      <c r="MI994" s="1631"/>
      <c r="MJ994" s="1631"/>
      <c r="MK994" s="1631"/>
      <c r="ML994" s="1631"/>
      <c r="MM994" s="1631"/>
      <c r="MN994" s="1631"/>
      <c r="MO994" s="1631"/>
      <c r="MP994" s="1631"/>
      <c r="MQ994" s="1631"/>
      <c r="MR994" s="1631"/>
      <c r="MS994" s="1631"/>
    </row>
    <row r="995" spans="1:357">
      <c r="A995" s="1631"/>
      <c r="B995" s="1631" t="s">
        <v>1606</v>
      </c>
      <c r="C995" s="1631"/>
      <c r="D995" s="1863"/>
      <c r="E995" s="1631"/>
      <c r="F995" s="1847">
        <f>'Part VI-Revenues &amp; Expenses'!F233</f>
        <v>14700</v>
      </c>
      <c r="G995" s="1847"/>
      <c r="H995" s="1631"/>
      <c r="I995" s="1631" t="s">
        <v>2352</v>
      </c>
      <c r="J995" s="1736">
        <f>K995/12/O829</f>
        <v>55.833333333333336</v>
      </c>
      <c r="K995" s="1847">
        <f>'Part VI-Revenues &amp; Expenses'!K233</f>
        <v>56280</v>
      </c>
      <c r="L995" s="1847"/>
      <c r="M995" s="2038"/>
      <c r="N995" s="1871" t="s">
        <v>2714</v>
      </c>
      <c r="O995" s="1872" t="s">
        <v>3851</v>
      </c>
      <c r="P995" s="1872" t="s">
        <v>3438</v>
      </c>
      <c r="Q995" s="1872"/>
      <c r="R995" s="1838">
        <f>'Part VI-Revenues &amp; Expenses'!R233</f>
        <v>0</v>
      </c>
      <c r="S995" s="1838"/>
      <c r="T995" s="1838"/>
      <c r="U995" s="1838"/>
      <c r="V995" s="1838"/>
      <c r="X995" s="1631"/>
      <c r="Y995" s="1631"/>
      <c r="Z995" s="1631"/>
      <c r="AA995" s="1631"/>
      <c r="AC995" s="1631"/>
      <c r="AD995" s="1631"/>
      <c r="AE995" s="1631"/>
      <c r="AF995" s="1631"/>
      <c r="AH995" s="1631"/>
      <c r="AI995" s="1631"/>
      <c r="AJ995" s="1631"/>
      <c r="AK995" s="1631"/>
      <c r="AM995" s="1631"/>
      <c r="AN995" s="1631"/>
      <c r="AO995" s="1631"/>
      <c r="AP995" s="1631"/>
      <c r="AQ995" s="1631"/>
      <c r="AR995" s="1631"/>
      <c r="AS995" s="1631"/>
      <c r="AT995" s="1631"/>
      <c r="AU995" s="1631"/>
      <c r="AV995" s="1631"/>
      <c r="AW995" s="1631"/>
      <c r="AX995" s="1631"/>
      <c r="AY995" s="1631"/>
      <c r="AZ995" s="1631"/>
      <c r="BA995" s="1631"/>
      <c r="BB995" s="1631"/>
      <c r="BC995" s="1631"/>
      <c r="BD995" s="1631"/>
      <c r="BE995" s="1631"/>
      <c r="BF995" s="1631"/>
      <c r="BG995" s="1631"/>
      <c r="BH995" s="1631"/>
      <c r="BI995" s="1631"/>
      <c r="BJ995" s="1631"/>
      <c r="BK995" s="1631"/>
      <c r="BL995" s="1631"/>
      <c r="BM995" s="1631"/>
      <c r="BN995" s="1631"/>
      <c r="BO995" s="1631"/>
      <c r="BP995" s="1631"/>
      <c r="BQ995" s="1631"/>
      <c r="BR995" s="1631"/>
      <c r="BS995" s="1631"/>
      <c r="BT995" s="1631"/>
      <c r="BU995" s="1631"/>
      <c r="BV995" s="1631"/>
      <c r="BW995" s="1631"/>
      <c r="BX995" s="1631"/>
      <c r="BY995" s="1631"/>
      <c r="BZ995" s="1631"/>
      <c r="CA995" s="1631"/>
      <c r="CB995" s="1631"/>
      <c r="CC995" s="1631"/>
      <c r="CD995" s="1631"/>
      <c r="CE995" s="1631"/>
      <c r="CF995" s="1631"/>
      <c r="CG995" s="1631"/>
      <c r="CH995" s="1631"/>
      <c r="CI995" s="1631"/>
      <c r="CJ995" s="1631"/>
      <c r="CK995" s="1631"/>
      <c r="CL995" s="1631"/>
      <c r="CM995" s="1631"/>
      <c r="CN995" s="1631"/>
      <c r="CO995" s="1631"/>
      <c r="CP995" s="1631"/>
      <c r="CQ995" s="1631"/>
      <c r="CR995" s="1631"/>
      <c r="CS995" s="1631"/>
      <c r="CT995" s="1631"/>
      <c r="CU995" s="1631"/>
      <c r="CV995" s="1631"/>
      <c r="CW995" s="1631"/>
      <c r="CX995" s="1631"/>
      <c r="CY995" s="1631"/>
      <c r="CZ995" s="1631"/>
      <c r="DA995" s="1631"/>
      <c r="DB995" s="1631"/>
      <c r="DC995" s="1631"/>
      <c r="DD995" s="1631"/>
      <c r="DE995" s="1631"/>
      <c r="DF995" s="1631"/>
      <c r="DG995" s="1631"/>
      <c r="DH995" s="1631"/>
      <c r="DI995" s="1631"/>
      <c r="DJ995" s="1631"/>
      <c r="DK995" s="1631"/>
      <c r="DL995" s="1631"/>
      <c r="DM995" s="1631"/>
      <c r="DN995" s="1631"/>
      <c r="DO995" s="1631"/>
      <c r="DP995" s="1631"/>
      <c r="DQ995" s="1631"/>
      <c r="DR995" s="1631"/>
      <c r="DS995" s="1631"/>
      <c r="DT995" s="1631"/>
      <c r="DU995" s="1631"/>
      <c r="DV995" s="1631"/>
      <c r="DW995" s="1631"/>
      <c r="DX995" s="1631"/>
      <c r="DY995" s="1631"/>
      <c r="DZ995" s="1631"/>
      <c r="EA995" s="1631"/>
      <c r="EB995" s="1631"/>
      <c r="EC995" s="1631"/>
      <c r="ED995" s="1631"/>
      <c r="EE995" s="1631"/>
      <c r="EF995" s="1631"/>
      <c r="EG995" s="1631"/>
      <c r="EH995" s="1631"/>
      <c r="EI995" s="1631"/>
      <c r="EJ995" s="1631"/>
      <c r="EK995" s="1631"/>
      <c r="EL995" s="1631"/>
      <c r="EM995" s="1631"/>
      <c r="EN995" s="1631"/>
      <c r="EO995" s="1631"/>
      <c r="EP995" s="1631"/>
      <c r="EQ995" s="1631"/>
      <c r="ER995" s="1631"/>
      <c r="ES995" s="1631"/>
      <c r="ET995" s="1631"/>
      <c r="EU995" s="1631"/>
      <c r="EV995" s="1631"/>
      <c r="EW995" s="1631"/>
      <c r="EX995" s="1631"/>
      <c r="EY995" s="1631"/>
      <c r="EZ995" s="1631"/>
      <c r="FA995" s="1631"/>
      <c r="FB995" s="1631"/>
      <c r="FC995" s="1631"/>
      <c r="FD995" s="1631"/>
      <c r="FE995" s="1631"/>
      <c r="FF995" s="1631"/>
      <c r="FG995" s="1631"/>
      <c r="FH995" s="1631"/>
      <c r="FI995" s="1631"/>
      <c r="FJ995" s="1631"/>
      <c r="FK995" s="1631"/>
      <c r="FL995" s="1631"/>
      <c r="FM995" s="1631"/>
      <c r="FN995" s="1631"/>
      <c r="FO995" s="1631"/>
      <c r="FP995" s="1631"/>
      <c r="FQ995" s="1631"/>
      <c r="FR995" s="1631"/>
      <c r="FS995" s="1631"/>
      <c r="FT995" s="1631"/>
      <c r="FU995" s="1631"/>
      <c r="FV995" s="1631"/>
      <c r="FW995" s="1631"/>
      <c r="FX995" s="1631"/>
      <c r="FY995" s="1631"/>
      <c r="FZ995" s="1631"/>
      <c r="GA995" s="1631"/>
      <c r="GB995" s="1631"/>
      <c r="GC995" s="1631"/>
      <c r="GD995" s="1631"/>
      <c r="GE995" s="1631"/>
      <c r="GF995" s="1631"/>
      <c r="GG995" s="1631"/>
      <c r="GH995" s="1631"/>
      <c r="GI995" s="1631"/>
      <c r="GJ995" s="1631"/>
      <c r="GK995" s="1631"/>
      <c r="GL995" s="1631"/>
      <c r="GM995" s="1631"/>
      <c r="GN995" s="1631"/>
      <c r="GO995" s="1631"/>
      <c r="GP995" s="1631"/>
      <c r="GQ995" s="1631"/>
      <c r="GR995" s="1631"/>
      <c r="GS995" s="1631"/>
      <c r="GT995" s="1631"/>
      <c r="GU995" s="1631"/>
      <c r="GV995" s="1631"/>
      <c r="GW995" s="1631"/>
      <c r="GX995" s="1631"/>
      <c r="GY995" s="1631"/>
      <c r="GZ995" s="1631"/>
      <c r="HA995" s="1631"/>
      <c r="HB995" s="1631"/>
      <c r="HC995" s="1631"/>
      <c r="HD995" s="1631"/>
      <c r="HE995" s="1631"/>
      <c r="HF995" s="1631"/>
      <c r="HG995" s="1631"/>
      <c r="HH995" s="1631"/>
      <c r="HI995" s="1631"/>
      <c r="HJ995" s="1631"/>
      <c r="HK995" s="1631"/>
      <c r="HL995" s="1631"/>
      <c r="HM995" s="1631"/>
      <c r="HN995" s="1631"/>
      <c r="HO995" s="1631"/>
      <c r="HP995" s="1631"/>
      <c r="HQ995" s="1631"/>
      <c r="HR995" s="1631"/>
      <c r="HS995" s="1631"/>
      <c r="HT995" s="1631"/>
      <c r="HU995" s="1631"/>
      <c r="HV995" s="1631"/>
      <c r="HW995" s="1631"/>
      <c r="HX995" s="1631"/>
      <c r="HY995" s="1631"/>
      <c r="HZ995" s="1631"/>
      <c r="IA995" s="1631"/>
      <c r="IB995" s="1631"/>
      <c r="IC995" s="1631"/>
      <c r="ID995" s="1631"/>
      <c r="IE995" s="1631"/>
      <c r="IF995" s="1631"/>
      <c r="IG995" s="1631"/>
      <c r="IH995" s="1631"/>
      <c r="II995" s="1631"/>
      <c r="IJ995" s="1631"/>
      <c r="IK995" s="1631"/>
      <c r="IL995" s="1631"/>
      <c r="IM995" s="1631"/>
      <c r="IN995" s="1631"/>
      <c r="IO995" s="1631"/>
      <c r="IP995" s="1631"/>
      <c r="IQ995" s="1631"/>
      <c r="IR995" s="1631"/>
      <c r="IS995" s="1631"/>
      <c r="IT995" s="1631"/>
      <c r="IU995" s="1631"/>
      <c r="IV995" s="1631"/>
      <c r="IW995" s="1631"/>
      <c r="IX995" s="1631"/>
      <c r="IY995" s="1631"/>
      <c r="IZ995" s="1631"/>
      <c r="JA995" s="1631"/>
      <c r="JB995" s="1631"/>
      <c r="JC995" s="1631"/>
      <c r="JD995" s="1631"/>
      <c r="JE995" s="1631"/>
      <c r="JF995" s="1631"/>
      <c r="JG995" s="1631"/>
      <c r="JH995" s="1631"/>
      <c r="JI995" s="1631"/>
      <c r="JJ995" s="1631"/>
      <c r="JK995" s="1631"/>
      <c r="JL995" s="1631"/>
      <c r="JM995" s="1631"/>
      <c r="JN995" s="1631"/>
      <c r="JO995" s="1631"/>
      <c r="JP995" s="1631"/>
      <c r="JQ995" s="1631"/>
      <c r="JR995" s="1631"/>
      <c r="JS995" s="1631"/>
      <c r="JT995" s="1631"/>
      <c r="JU995" s="1631"/>
      <c r="JV995" s="1630"/>
      <c r="JW995" s="1631"/>
      <c r="JX995" s="1631"/>
      <c r="JY995" s="1631"/>
      <c r="JZ995" s="1631"/>
      <c r="KA995" s="1630"/>
      <c r="KB995" s="1630"/>
      <c r="KC995" s="1630"/>
      <c r="KD995" s="1630"/>
      <c r="KE995" s="1630"/>
      <c r="KF995" s="1630"/>
      <c r="KG995" s="1630"/>
      <c r="KH995" s="1630"/>
      <c r="KI995" s="1630"/>
      <c r="KJ995" s="1630"/>
      <c r="KK995" s="1630"/>
      <c r="KL995" s="1630"/>
      <c r="KM995" s="1630"/>
      <c r="KN995" s="1630"/>
      <c r="KO995" s="1630"/>
      <c r="KP995" s="1630"/>
      <c r="KQ995" s="1630"/>
      <c r="KR995" s="1630"/>
      <c r="KS995" s="1630"/>
      <c r="KT995" s="1630"/>
      <c r="KU995" s="1630"/>
      <c r="KV995" s="1630"/>
      <c r="KW995" s="1630"/>
      <c r="KX995" s="1630"/>
      <c r="KY995" s="1630"/>
      <c r="KZ995" s="1630"/>
      <c r="LA995" s="1630"/>
      <c r="LB995" s="1630"/>
      <c r="LC995" s="1630"/>
      <c r="LD995" s="1630"/>
      <c r="LE995" s="1630"/>
      <c r="LF995" s="1630"/>
      <c r="LG995" s="1631"/>
      <c r="LH995" s="1631"/>
      <c r="LI995" s="1631"/>
      <c r="LJ995" s="1631"/>
      <c r="LK995" s="1631"/>
      <c r="LL995" s="1631"/>
      <c r="LM995" s="1631"/>
      <c r="LN995" s="1631"/>
      <c r="LO995" s="1631"/>
      <c r="LP995" s="1631"/>
      <c r="LQ995" s="1631"/>
      <c r="LR995" s="1631"/>
      <c r="LS995" s="1631"/>
      <c r="LT995" s="1631"/>
      <c r="LU995" s="1631"/>
      <c r="LV995" s="1631"/>
      <c r="LW995" s="1631"/>
      <c r="LX995" s="1631"/>
      <c r="LY995" s="1631"/>
      <c r="LZ995" s="1631"/>
      <c r="MA995" s="1631"/>
      <c r="MB995" s="1631"/>
      <c r="MC995" s="1631"/>
      <c r="MD995" s="1631"/>
      <c r="ME995" s="1631"/>
      <c r="MF995" s="1631"/>
      <c r="MG995" s="1631"/>
      <c r="MH995" s="1631"/>
      <c r="MI995" s="1631"/>
      <c r="MJ995" s="1631"/>
      <c r="MK995" s="1631"/>
      <c r="ML995" s="1631"/>
      <c r="MM995" s="1631"/>
      <c r="MN995" s="1631"/>
      <c r="MO995" s="1631"/>
      <c r="MP995" s="1631"/>
      <c r="MQ995" s="1631"/>
      <c r="MR995" s="1631"/>
      <c r="MS995" s="1631"/>
    </row>
    <row r="996" spans="1:357" ht="13.5">
      <c r="A996" s="1631"/>
      <c r="B996" s="1631" t="s">
        <v>1003</v>
      </c>
      <c r="C996" s="1631"/>
      <c r="D996" s="1863"/>
      <c r="E996" s="1631"/>
      <c r="F996" s="1847">
        <f>'Part VI-Revenues &amp; Expenses'!F234</f>
        <v>2352</v>
      </c>
      <c r="G996" s="1847"/>
      <c r="H996" s="1631"/>
      <c r="I996" s="1631" t="s">
        <v>1371</v>
      </c>
      <c r="J996" s="1631"/>
      <c r="K996" s="1847">
        <f>'Part VI-Revenues &amp; Expenses'!K234</f>
        <v>10500</v>
      </c>
      <c r="L996" s="1847"/>
      <c r="M996" s="2038"/>
      <c r="N996" s="2055" t="s">
        <v>39</v>
      </c>
      <c r="O996" s="1631"/>
      <c r="P996" s="1631"/>
      <c r="Q996" s="1631"/>
      <c r="R996" s="1838">
        <f>'Part VI-Revenues &amp; Expenses'!R234</f>
        <v>0</v>
      </c>
      <c r="S996" s="1838"/>
      <c r="T996" s="1838"/>
      <c r="U996" s="1838"/>
      <c r="V996" s="1838"/>
      <c r="X996" s="1631"/>
      <c r="Y996" s="1631"/>
      <c r="Z996" s="1631"/>
      <c r="AA996" s="1631"/>
      <c r="AC996" s="1631"/>
      <c r="AD996" s="1631"/>
      <c r="AE996" s="1631"/>
      <c r="AF996" s="1631"/>
      <c r="AH996" s="1631"/>
      <c r="AI996" s="1631"/>
      <c r="AJ996" s="1631"/>
      <c r="AK996" s="1631"/>
      <c r="AM996" s="1631"/>
      <c r="AN996" s="1631"/>
      <c r="AO996" s="1631"/>
      <c r="AP996" s="1631"/>
      <c r="AQ996" s="1631"/>
      <c r="AR996" s="1631"/>
      <c r="AS996" s="1631"/>
      <c r="AT996" s="1631"/>
      <c r="AU996" s="1631"/>
      <c r="AV996" s="1631"/>
      <c r="AW996" s="1631"/>
      <c r="AX996" s="1631"/>
      <c r="AY996" s="1631"/>
      <c r="AZ996" s="1631"/>
      <c r="BA996" s="1631"/>
      <c r="BB996" s="1631"/>
      <c r="BC996" s="1631"/>
      <c r="BD996" s="1631"/>
      <c r="BE996" s="1631"/>
      <c r="BF996" s="1631"/>
      <c r="BG996" s="1631"/>
      <c r="BH996" s="1631"/>
      <c r="BI996" s="1631"/>
      <c r="BJ996" s="1631"/>
      <c r="BK996" s="1631"/>
      <c r="BL996" s="1631"/>
      <c r="BM996" s="1631"/>
      <c r="BN996" s="1631"/>
      <c r="BO996" s="1631"/>
      <c r="BP996" s="1631"/>
      <c r="BQ996" s="1631"/>
      <c r="BR996" s="1631"/>
      <c r="BS996" s="1631"/>
      <c r="BT996" s="1631"/>
      <c r="BU996" s="1631"/>
      <c r="BV996" s="1631"/>
      <c r="BW996" s="1631"/>
      <c r="BX996" s="1631"/>
      <c r="BY996" s="1631"/>
      <c r="BZ996" s="1631"/>
      <c r="CA996" s="1631"/>
      <c r="CB996" s="1631"/>
      <c r="CC996" s="1631"/>
      <c r="CD996" s="1631"/>
      <c r="CE996" s="1631"/>
      <c r="CF996" s="1631"/>
      <c r="CG996" s="1631"/>
      <c r="CH996" s="1631"/>
      <c r="CI996" s="1631"/>
      <c r="CJ996" s="1631"/>
      <c r="CK996" s="1631"/>
      <c r="CL996" s="1631"/>
      <c r="CM996" s="1631"/>
      <c r="CN996" s="1631"/>
      <c r="CO996" s="1631"/>
      <c r="CP996" s="1631"/>
      <c r="CQ996" s="1631"/>
      <c r="CR996" s="1631"/>
      <c r="CS996" s="1631"/>
      <c r="CT996" s="1631"/>
      <c r="CU996" s="1631"/>
      <c r="CV996" s="1631"/>
      <c r="CW996" s="1631"/>
      <c r="CX996" s="1631"/>
      <c r="CY996" s="1631"/>
      <c r="CZ996" s="1631"/>
      <c r="DA996" s="1631"/>
      <c r="DB996" s="1631"/>
      <c r="DC996" s="1631"/>
      <c r="DD996" s="1631"/>
      <c r="DE996" s="1631"/>
      <c r="DF996" s="1631"/>
      <c r="DG996" s="1631"/>
      <c r="DH996" s="1631"/>
      <c r="DI996" s="1631"/>
      <c r="DJ996" s="1631"/>
      <c r="DK996" s="1631"/>
      <c r="DL996" s="1631"/>
      <c r="DM996" s="1631"/>
      <c r="DN996" s="1631"/>
      <c r="DO996" s="1631"/>
      <c r="DP996" s="1631"/>
      <c r="DQ996" s="1631"/>
      <c r="DR996" s="1631"/>
      <c r="DS996" s="1631"/>
      <c r="DT996" s="1631"/>
      <c r="DU996" s="1631"/>
      <c r="DV996" s="1631"/>
      <c r="DW996" s="1631"/>
      <c r="DX996" s="1631"/>
      <c r="DY996" s="1631"/>
      <c r="DZ996" s="1631"/>
      <c r="EA996" s="1631"/>
      <c r="EB996" s="1631"/>
      <c r="EC996" s="1631"/>
      <c r="ED996" s="1631"/>
      <c r="EE996" s="1631"/>
      <c r="EF996" s="1631"/>
      <c r="EG996" s="1631"/>
      <c r="EH996" s="1631"/>
      <c r="EI996" s="1631"/>
      <c r="EJ996" s="1631"/>
      <c r="EK996" s="1631"/>
      <c r="EL996" s="1631"/>
      <c r="EM996" s="1631"/>
      <c r="EN996" s="1631"/>
      <c r="EO996" s="1631"/>
      <c r="EP996" s="1631"/>
      <c r="EQ996" s="1631"/>
      <c r="ER996" s="1631"/>
      <c r="ES996" s="1631"/>
      <c r="ET996" s="1631"/>
      <c r="EU996" s="1631"/>
      <c r="EV996" s="1631"/>
      <c r="EW996" s="1631"/>
      <c r="EX996" s="1631"/>
      <c r="EY996" s="1631"/>
      <c r="EZ996" s="1631"/>
      <c r="FA996" s="1631"/>
      <c r="FB996" s="1631"/>
      <c r="FC996" s="1631"/>
      <c r="FD996" s="1631"/>
      <c r="FE996" s="1631"/>
      <c r="FF996" s="1631"/>
      <c r="FG996" s="1631"/>
      <c r="FH996" s="1631"/>
      <c r="FI996" s="1631"/>
      <c r="FJ996" s="1631"/>
      <c r="FK996" s="1631"/>
      <c r="FL996" s="1631"/>
      <c r="FM996" s="1631"/>
      <c r="FN996" s="1631"/>
      <c r="FO996" s="1631"/>
      <c r="FP996" s="1631"/>
      <c r="FQ996" s="1631"/>
      <c r="FR996" s="1631"/>
      <c r="FS996" s="1631"/>
      <c r="FT996" s="1631"/>
      <c r="FU996" s="1631"/>
      <c r="FV996" s="1631"/>
      <c r="FW996" s="1631"/>
      <c r="FX996" s="1631"/>
      <c r="FY996" s="1631"/>
      <c r="FZ996" s="1631"/>
      <c r="GA996" s="1631"/>
      <c r="GB996" s="1631"/>
      <c r="GC996" s="1631"/>
      <c r="GD996" s="1631"/>
      <c r="GE996" s="1631"/>
      <c r="GF996" s="1631"/>
      <c r="GG996" s="1631"/>
      <c r="GH996" s="1631"/>
      <c r="GI996" s="1631"/>
      <c r="GJ996" s="1631"/>
      <c r="GK996" s="1631"/>
      <c r="GL996" s="1631"/>
      <c r="GM996" s="1631"/>
      <c r="GN996" s="1631"/>
      <c r="GO996" s="1631"/>
      <c r="GP996" s="1631"/>
      <c r="GQ996" s="1631"/>
      <c r="GR996" s="1631"/>
      <c r="GS996" s="1631"/>
      <c r="GT996" s="1631"/>
      <c r="GU996" s="1631"/>
      <c r="GV996" s="1631"/>
      <c r="GW996" s="1631"/>
      <c r="GX996" s="1631"/>
      <c r="GY996" s="1631"/>
      <c r="GZ996" s="1631"/>
      <c r="HA996" s="1631"/>
      <c r="HB996" s="1631"/>
      <c r="HC996" s="1631"/>
      <c r="HD996" s="1631"/>
      <c r="HE996" s="1631"/>
      <c r="HF996" s="1631"/>
      <c r="HG996" s="1631"/>
      <c r="HH996" s="1631"/>
      <c r="HI996" s="1631"/>
      <c r="HJ996" s="1631"/>
      <c r="HK996" s="1631"/>
      <c r="HL996" s="1631"/>
      <c r="HM996" s="1631"/>
      <c r="HN996" s="1631"/>
      <c r="HO996" s="1631"/>
      <c r="HP996" s="1631"/>
      <c r="HQ996" s="1631"/>
      <c r="HR996" s="1631"/>
      <c r="HS996" s="1631"/>
      <c r="HT996" s="1631"/>
      <c r="HU996" s="1631"/>
      <c r="HV996" s="1631"/>
      <c r="HW996" s="1631"/>
      <c r="HX996" s="1631"/>
      <c r="HY996" s="1631"/>
      <c r="HZ996" s="1631"/>
      <c r="IA996" s="1631"/>
      <c r="IB996" s="1631"/>
      <c r="IC996" s="1631"/>
      <c r="ID996" s="1631"/>
      <c r="IE996" s="1631"/>
      <c r="IF996" s="1631"/>
      <c r="IG996" s="1631"/>
      <c r="IH996" s="1631"/>
      <c r="II996" s="1631"/>
      <c r="IJ996" s="1631"/>
      <c r="IK996" s="1631"/>
      <c r="IL996" s="1631"/>
      <c r="IM996" s="1631"/>
      <c r="IN996" s="1631"/>
      <c r="IO996" s="1631"/>
      <c r="IP996" s="1631"/>
      <c r="IQ996" s="1631"/>
      <c r="IR996" s="1631"/>
      <c r="IS996" s="1631"/>
      <c r="IT996" s="1631"/>
      <c r="IU996" s="1631"/>
      <c r="IV996" s="1631"/>
      <c r="IW996" s="1631"/>
      <c r="IX996" s="1631"/>
      <c r="IY996" s="1631"/>
      <c r="IZ996" s="1631"/>
      <c r="JA996" s="1631"/>
      <c r="JB996" s="1631"/>
      <c r="JC996" s="1631"/>
      <c r="JD996" s="1631"/>
      <c r="JE996" s="1631"/>
      <c r="JF996" s="1631"/>
      <c r="JG996" s="1631"/>
      <c r="JH996" s="1631"/>
      <c r="JI996" s="1631"/>
      <c r="JJ996" s="1631"/>
      <c r="JK996" s="1631"/>
      <c r="JL996" s="1631"/>
      <c r="JM996" s="1631"/>
      <c r="JN996" s="1631"/>
      <c r="JO996" s="1631"/>
      <c r="JP996" s="1631"/>
      <c r="JQ996" s="1631"/>
      <c r="JR996" s="1631"/>
      <c r="JS996" s="1631"/>
      <c r="JT996" s="1631"/>
      <c r="JU996" s="1631"/>
      <c r="JV996" s="1630"/>
      <c r="JW996" s="1631"/>
      <c r="JX996" s="1631"/>
      <c r="JY996" s="1631"/>
      <c r="JZ996" s="1631"/>
      <c r="KA996" s="1630"/>
      <c r="KB996" s="1630"/>
      <c r="KC996" s="1630"/>
      <c r="KD996" s="1630"/>
      <c r="KE996" s="1630"/>
      <c r="KF996" s="1630"/>
      <c r="KG996" s="1630"/>
      <c r="KH996" s="1630"/>
      <c r="KI996" s="1630"/>
      <c r="KJ996" s="1630"/>
      <c r="KK996" s="1630"/>
      <c r="KL996" s="1630"/>
      <c r="KM996" s="1630"/>
      <c r="KN996" s="1630"/>
      <c r="KO996" s="1630"/>
      <c r="KP996" s="1630"/>
      <c r="KQ996" s="1630"/>
      <c r="KR996" s="1630"/>
      <c r="KS996" s="1630"/>
      <c r="KT996" s="1630"/>
      <c r="KU996" s="1630"/>
      <c r="KV996" s="1630"/>
      <c r="KW996" s="1630"/>
      <c r="KX996" s="1630"/>
      <c r="KY996" s="1630"/>
      <c r="KZ996" s="1630"/>
      <c r="LA996" s="1630"/>
      <c r="LB996" s="1630"/>
      <c r="LC996" s="1630"/>
      <c r="LD996" s="1630"/>
      <c r="LE996" s="1630"/>
      <c r="LF996" s="1630"/>
      <c r="LG996" s="1631"/>
      <c r="LH996" s="1631"/>
      <c r="LI996" s="1631"/>
      <c r="LJ996" s="1631"/>
      <c r="LK996" s="1631"/>
      <c r="LL996" s="1631"/>
      <c r="LM996" s="1631"/>
      <c r="LN996" s="1631"/>
      <c r="LO996" s="1631"/>
      <c r="LP996" s="1631"/>
      <c r="LQ996" s="1631"/>
      <c r="LR996" s="1631"/>
      <c r="LS996" s="1631"/>
      <c r="LT996" s="1631"/>
      <c r="LU996" s="1631"/>
      <c r="LV996" s="1631"/>
      <c r="LW996" s="1631"/>
      <c r="LX996" s="1631"/>
      <c r="LY996" s="1631"/>
      <c r="LZ996" s="1631"/>
      <c r="MA996" s="1631"/>
      <c r="MB996" s="1631"/>
      <c r="MC996" s="1631"/>
      <c r="MD996" s="1631"/>
      <c r="ME996" s="1631"/>
      <c r="MF996" s="1631"/>
      <c r="MG996" s="1631"/>
      <c r="MH996" s="1631"/>
      <c r="MI996" s="1631"/>
      <c r="MJ996" s="1631"/>
      <c r="MK996" s="1631"/>
      <c r="ML996" s="1631"/>
      <c r="MM996" s="1631"/>
      <c r="MN996" s="1631"/>
      <c r="MO996" s="1631"/>
      <c r="MP996" s="1631"/>
      <c r="MQ996" s="1631"/>
      <c r="MR996" s="1631"/>
      <c r="MS996" s="1631"/>
    </row>
    <row r="997" spans="1:357" ht="13.5" customHeight="1">
      <c r="A997" s="1631"/>
      <c r="B997" s="1631" t="s">
        <v>1004</v>
      </c>
      <c r="C997" s="1631"/>
      <c r="D997" s="1863"/>
      <c r="E997" s="1631"/>
      <c r="F997" s="1847">
        <f>'Part VI-Revenues &amp; Expenses'!F235</f>
        <v>1260</v>
      </c>
      <c r="G997" s="1847"/>
      <c r="H997" s="1631"/>
      <c r="I997" s="2154" t="str">
        <f>'Part VI-Revenues &amp; Expenses'!I235</f>
        <v>Other (describe here)</v>
      </c>
      <c r="J997" s="2154"/>
      <c r="K997" s="1847">
        <f>'Part VI-Revenues &amp; Expenses'!K235</f>
        <v>0</v>
      </c>
      <c r="L997" s="1847"/>
      <c r="M997" s="2038"/>
      <c r="N997" s="1652" t="s">
        <v>3430</v>
      </c>
      <c r="O997" s="1874" t="str">
        <f>CONCATENATE(SUM(ME810:MI810)," units x $",'DCA Underwriting Assumptions'!$Q$64," =")</f>
        <v>0 units x $350 =</v>
      </c>
      <c r="P997" s="1874">
        <f>SUM(ME810:MI810)*'DCA Underwriting Assumptions'!$Q$64</f>
        <v>0</v>
      </c>
      <c r="Q997" s="1874"/>
      <c r="R997" s="1838">
        <f>'Part VI-Revenues &amp; Expenses'!R235</f>
        <v>0</v>
      </c>
      <c r="S997" s="1838"/>
      <c r="T997" s="1838"/>
      <c r="U997" s="1838"/>
      <c r="V997" s="1838"/>
      <c r="X997" s="1631"/>
      <c r="Y997" s="1631"/>
      <c r="Z997" s="1631"/>
      <c r="AA997" s="1631"/>
      <c r="AC997" s="1631"/>
      <c r="AD997" s="1631"/>
      <c r="AE997" s="1631"/>
      <c r="AF997" s="1631"/>
      <c r="AH997" s="1631"/>
      <c r="AI997" s="1631"/>
      <c r="AJ997" s="1631"/>
      <c r="AK997" s="1631"/>
      <c r="AM997" s="1631"/>
      <c r="AN997" s="1631"/>
      <c r="AO997" s="1631"/>
      <c r="AP997" s="1631"/>
      <c r="AQ997" s="1631"/>
      <c r="AR997" s="1631"/>
      <c r="AS997" s="1631"/>
      <c r="AT997" s="1631"/>
      <c r="AU997" s="1631"/>
      <c r="AV997" s="1631"/>
      <c r="AW997" s="1631"/>
      <c r="AX997" s="1631"/>
      <c r="AY997" s="1631"/>
      <c r="AZ997" s="1631"/>
      <c r="BA997" s="1631"/>
      <c r="BB997" s="1631"/>
      <c r="BC997" s="1631"/>
      <c r="BD997" s="1631"/>
      <c r="BE997" s="1631"/>
      <c r="BF997" s="1631"/>
      <c r="BG997" s="1631"/>
      <c r="BH997" s="1631"/>
      <c r="BI997" s="1631"/>
      <c r="BJ997" s="1631"/>
      <c r="BK997" s="1631"/>
      <c r="BL997" s="1631"/>
      <c r="BM997" s="1631"/>
      <c r="BN997" s="1631"/>
      <c r="BO997" s="1631"/>
      <c r="BP997" s="1631"/>
      <c r="BQ997" s="1631"/>
      <c r="BR997" s="1631"/>
      <c r="BS997" s="1631"/>
      <c r="BT997" s="1631"/>
      <c r="BU997" s="1631"/>
      <c r="BV997" s="1631"/>
      <c r="BW997" s="1631"/>
      <c r="BX997" s="1631"/>
      <c r="BY997" s="1631"/>
      <c r="BZ997" s="1631"/>
      <c r="CA997" s="1631"/>
      <c r="CB997" s="1631"/>
      <c r="CC997" s="1631"/>
      <c r="CD997" s="1631"/>
      <c r="CE997" s="1631"/>
      <c r="CF997" s="1631"/>
      <c r="CG997" s="1631"/>
      <c r="CH997" s="1631"/>
      <c r="CI997" s="1631"/>
      <c r="CJ997" s="1631"/>
      <c r="CK997" s="1631"/>
      <c r="CL997" s="1631"/>
      <c r="CM997" s="1631"/>
      <c r="CN997" s="1631"/>
      <c r="CO997" s="1631"/>
      <c r="CP997" s="1631"/>
      <c r="CQ997" s="1631"/>
      <c r="CR997" s="1631"/>
      <c r="CS997" s="1631"/>
      <c r="CT997" s="1631"/>
      <c r="CU997" s="1631"/>
      <c r="CV997" s="1631"/>
      <c r="CW997" s="1631"/>
      <c r="CX997" s="1631"/>
      <c r="CY997" s="1631"/>
      <c r="CZ997" s="1631"/>
      <c r="DA997" s="1631"/>
      <c r="DB997" s="1631"/>
      <c r="DC997" s="1631"/>
      <c r="DD997" s="1631"/>
      <c r="DE997" s="1631"/>
      <c r="DF997" s="1631"/>
      <c r="DG997" s="1631"/>
      <c r="DH997" s="1631"/>
      <c r="DI997" s="1631"/>
      <c r="DJ997" s="1631"/>
      <c r="DK997" s="1631"/>
      <c r="DL997" s="1631"/>
      <c r="DM997" s="1631"/>
      <c r="DN997" s="1631"/>
      <c r="DO997" s="1631"/>
      <c r="DP997" s="1631"/>
      <c r="DQ997" s="1631"/>
      <c r="DR997" s="1631"/>
      <c r="DS997" s="1631"/>
      <c r="DT997" s="1631"/>
      <c r="DU997" s="1631"/>
      <c r="DV997" s="1631"/>
      <c r="DW997" s="1631"/>
      <c r="DX997" s="1631"/>
      <c r="DY997" s="1631"/>
      <c r="DZ997" s="1631"/>
      <c r="EA997" s="1631"/>
      <c r="EB997" s="1631"/>
      <c r="EC997" s="1631"/>
      <c r="ED997" s="1631"/>
      <c r="EE997" s="1631"/>
      <c r="EF997" s="1631"/>
      <c r="EG997" s="1631"/>
      <c r="EH997" s="1631"/>
      <c r="EI997" s="1631"/>
      <c r="EJ997" s="1631"/>
      <c r="EK997" s="1631"/>
      <c r="EL997" s="1631"/>
      <c r="EM997" s="1631"/>
      <c r="EN997" s="1631"/>
      <c r="EO997" s="1631"/>
      <c r="EP997" s="1631"/>
      <c r="EQ997" s="1631"/>
      <c r="ER997" s="1631"/>
      <c r="ES997" s="1631"/>
      <c r="ET997" s="1631"/>
      <c r="EU997" s="1631"/>
      <c r="EV997" s="1631"/>
      <c r="EW997" s="1631"/>
      <c r="EX997" s="1631"/>
      <c r="EY997" s="1631"/>
      <c r="EZ997" s="1631"/>
      <c r="FA997" s="1631"/>
      <c r="FB997" s="1631"/>
      <c r="FC997" s="1631"/>
      <c r="FD997" s="1631"/>
      <c r="FE997" s="1631"/>
      <c r="FF997" s="1631"/>
      <c r="FG997" s="1631"/>
      <c r="FH997" s="1631"/>
      <c r="FI997" s="1631"/>
      <c r="FJ997" s="1631"/>
      <c r="FK997" s="1631"/>
      <c r="FL997" s="1631"/>
      <c r="FM997" s="1631"/>
      <c r="FN997" s="1631"/>
      <c r="FO997" s="1631"/>
      <c r="FP997" s="1631"/>
      <c r="FQ997" s="1631"/>
      <c r="FR997" s="1631"/>
      <c r="FS997" s="1631"/>
      <c r="FT997" s="1631"/>
      <c r="FU997" s="1631"/>
      <c r="FV997" s="1631"/>
      <c r="FW997" s="1631"/>
      <c r="FX997" s="1631"/>
      <c r="FY997" s="1631"/>
      <c r="FZ997" s="1631"/>
      <c r="GA997" s="1631"/>
      <c r="GB997" s="1631"/>
      <c r="GC997" s="1631"/>
      <c r="GD997" s="1631"/>
      <c r="GE997" s="1631"/>
      <c r="GF997" s="1631"/>
      <c r="GG997" s="1631"/>
      <c r="GH997" s="1631"/>
      <c r="GI997" s="1631"/>
      <c r="GJ997" s="1631"/>
      <c r="GK997" s="1631"/>
      <c r="GL997" s="1631"/>
      <c r="GM997" s="1631"/>
      <c r="GN997" s="1631"/>
      <c r="GO997" s="1631"/>
      <c r="GP997" s="1631"/>
      <c r="GQ997" s="1631"/>
      <c r="GR997" s="1631"/>
      <c r="GS997" s="1631"/>
      <c r="GT997" s="1631"/>
      <c r="GU997" s="1631"/>
      <c r="GV997" s="1631"/>
      <c r="GW997" s="1631"/>
      <c r="GX997" s="1631"/>
      <c r="GY997" s="1631"/>
      <c r="GZ997" s="1631"/>
      <c r="HA997" s="1631"/>
      <c r="HB997" s="1631"/>
      <c r="HC997" s="1631"/>
      <c r="HD997" s="1631"/>
      <c r="HE997" s="1631"/>
      <c r="HF997" s="1631"/>
      <c r="HG997" s="1631"/>
      <c r="HH997" s="1631"/>
      <c r="HI997" s="1631"/>
      <c r="HJ997" s="1631"/>
      <c r="HK997" s="1631"/>
      <c r="HL997" s="1631"/>
      <c r="HM997" s="1631"/>
      <c r="HN997" s="1631"/>
      <c r="HO997" s="1631"/>
      <c r="HP997" s="1631"/>
      <c r="HQ997" s="1631"/>
      <c r="HR997" s="1631"/>
      <c r="HS997" s="1631"/>
      <c r="HT997" s="1631"/>
      <c r="HU997" s="1631"/>
      <c r="HV997" s="1631"/>
      <c r="HW997" s="1631"/>
      <c r="HX997" s="1631"/>
      <c r="HY997" s="1631"/>
      <c r="HZ997" s="1631"/>
      <c r="IA997" s="1631"/>
      <c r="IB997" s="1631"/>
      <c r="IC997" s="1631"/>
      <c r="ID997" s="1631"/>
      <c r="IE997" s="1631"/>
      <c r="IF997" s="1631"/>
      <c r="IG997" s="1631"/>
      <c r="IH997" s="1631"/>
      <c r="II997" s="1631"/>
      <c r="IJ997" s="1631"/>
      <c r="IK997" s="1631"/>
      <c r="IL997" s="1631"/>
      <c r="IM997" s="1631"/>
      <c r="IN997" s="1631"/>
      <c r="IO997" s="1631"/>
      <c r="IP997" s="1631"/>
      <c r="IQ997" s="1631"/>
      <c r="IR997" s="1631"/>
      <c r="IS997" s="1631"/>
      <c r="IT997" s="1631"/>
      <c r="IU997" s="1631"/>
      <c r="IV997" s="1631"/>
      <c r="IW997" s="1631"/>
      <c r="IX997" s="1631"/>
      <c r="IY997" s="1631"/>
      <c r="IZ997" s="1631"/>
      <c r="JA997" s="1631"/>
      <c r="JB997" s="1631"/>
      <c r="JC997" s="1631"/>
      <c r="JD997" s="1631"/>
      <c r="JE997" s="1631"/>
      <c r="JF997" s="1631"/>
      <c r="JG997" s="1631"/>
      <c r="JH997" s="1631"/>
      <c r="JI997" s="1631"/>
      <c r="JJ997" s="1631"/>
      <c r="JK997" s="1631"/>
      <c r="JL997" s="1631"/>
      <c r="JM997" s="1631"/>
      <c r="JN997" s="1631"/>
      <c r="JO997" s="1631"/>
      <c r="JP997" s="1631"/>
      <c r="JQ997" s="1631"/>
      <c r="JR997" s="1631"/>
      <c r="JS997" s="1631"/>
      <c r="JT997" s="1631"/>
      <c r="JU997" s="1631"/>
      <c r="JV997" s="1630"/>
      <c r="JW997" s="1631"/>
      <c r="JX997" s="1631"/>
      <c r="JY997" s="1631"/>
      <c r="JZ997" s="1631"/>
      <c r="KA997" s="1630"/>
      <c r="KB997" s="1630"/>
      <c r="KC997" s="1630"/>
      <c r="KD997" s="1630"/>
      <c r="KE997" s="1630"/>
      <c r="KF997" s="1630"/>
      <c r="KG997" s="1630"/>
      <c r="KH997" s="1630"/>
      <c r="KI997" s="1630"/>
      <c r="KJ997" s="1630"/>
      <c r="KK997" s="1630"/>
      <c r="KL997" s="1630"/>
      <c r="KM997" s="1630"/>
      <c r="KN997" s="1630"/>
      <c r="KO997" s="1630"/>
      <c r="KP997" s="1630"/>
      <c r="KQ997" s="1630"/>
      <c r="KR997" s="1630"/>
      <c r="KS997" s="1630"/>
      <c r="KT997" s="1630"/>
      <c r="KU997" s="1630"/>
      <c r="KV997" s="1630"/>
      <c r="KW997" s="1630"/>
      <c r="KX997" s="1630"/>
      <c r="KY997" s="1630"/>
      <c r="KZ997" s="1630"/>
      <c r="LA997" s="1630"/>
      <c r="LB997" s="1630"/>
      <c r="LC997" s="1630"/>
      <c r="LD997" s="1630"/>
      <c r="LE997" s="1630"/>
      <c r="LF997" s="1630"/>
      <c r="LG997" s="1631"/>
      <c r="LH997" s="1631"/>
      <c r="LI997" s="1631"/>
      <c r="LJ997" s="1631"/>
      <c r="LK997" s="1631"/>
      <c r="LL997" s="1631"/>
      <c r="LM997" s="1631"/>
      <c r="LN997" s="1631"/>
      <c r="LO997" s="1631"/>
      <c r="LP997" s="1631"/>
      <c r="LQ997" s="1631"/>
      <c r="LR997" s="1631"/>
      <c r="LS997" s="1631"/>
      <c r="LT997" s="1631"/>
      <c r="LU997" s="1631"/>
      <c r="LV997" s="1631"/>
      <c r="LW997" s="1631"/>
      <c r="LX997" s="1631"/>
      <c r="LY997" s="1631"/>
      <c r="LZ997" s="1631"/>
      <c r="MA997" s="1631"/>
      <c r="MB997" s="1631"/>
      <c r="MC997" s="1631"/>
      <c r="MD997" s="1631"/>
      <c r="ME997" s="1631"/>
      <c r="MF997" s="1631"/>
      <c r="MG997" s="1631"/>
      <c r="MH997" s="1631"/>
      <c r="MI997" s="1631"/>
      <c r="MJ997" s="1631"/>
      <c r="MK997" s="1631"/>
      <c r="ML997" s="1631"/>
      <c r="MM997" s="1631"/>
      <c r="MN997" s="1631"/>
      <c r="MO997" s="1631"/>
      <c r="MP997" s="1631"/>
      <c r="MQ997" s="1631"/>
      <c r="MR997" s="1631"/>
      <c r="MS997" s="1631"/>
    </row>
    <row r="998" spans="1:357">
      <c r="A998" s="1631"/>
      <c r="B998" s="1631" t="s">
        <v>1005</v>
      </c>
      <c r="C998" s="1631"/>
      <c r="D998" s="1863"/>
      <c r="E998" s="1631"/>
      <c r="F998" s="1847">
        <f>'Part VI-Revenues &amp; Expenses'!F236</f>
        <v>0</v>
      </c>
      <c r="G998" s="1847"/>
      <c r="H998" s="1631"/>
      <c r="I998" s="1631"/>
      <c r="J998" s="2774" t="s">
        <v>191</v>
      </c>
      <c r="K998" s="1862">
        <f>SUM(K993:K997)</f>
        <v>78120</v>
      </c>
      <c r="L998" s="1862"/>
      <c r="M998" s="2038"/>
      <c r="N998" s="1652" t="s">
        <v>3429</v>
      </c>
      <c r="O998" s="1874" t="str">
        <f>CONCATENATE(SUM(MJ810:MN810)," units x $",'DCA Underwriting Assumptions'!$Q$65," =")</f>
        <v>84 units x $250 =</v>
      </c>
      <c r="P998" s="1874">
        <f>SUM(MJ810:MN810)*'DCA Underwriting Assumptions'!$Q$65</f>
        <v>21000</v>
      </c>
      <c r="Q998" s="1874"/>
      <c r="R998" s="1838">
        <f>'Part VI-Revenues &amp; Expenses'!R236</f>
        <v>0</v>
      </c>
      <c r="S998" s="1838"/>
      <c r="T998" s="1838"/>
      <c r="U998" s="1838"/>
      <c r="V998" s="1838"/>
      <c r="X998" s="1631"/>
      <c r="Y998" s="1631"/>
      <c r="Z998" s="1631"/>
      <c r="AA998" s="1631"/>
      <c r="AC998" s="1631"/>
      <c r="AD998" s="1631"/>
      <c r="AE998" s="1631"/>
      <c r="AF998" s="1631"/>
      <c r="AH998" s="1631"/>
      <c r="AI998" s="1631"/>
      <c r="AJ998" s="1631"/>
      <c r="AK998" s="1631"/>
      <c r="AM998" s="1631"/>
      <c r="AN998" s="1631"/>
      <c r="AO998" s="1631"/>
      <c r="AP998" s="1631"/>
      <c r="AQ998" s="1631"/>
      <c r="AR998" s="1631"/>
      <c r="AS998" s="1631"/>
      <c r="AT998" s="1631"/>
      <c r="AU998" s="1631"/>
      <c r="AV998" s="1631"/>
      <c r="AW998" s="1631"/>
      <c r="AX998" s="1631"/>
      <c r="AY998" s="1631"/>
      <c r="AZ998" s="1631"/>
      <c r="BA998" s="1631"/>
      <c r="BB998" s="1631"/>
      <c r="BC998" s="1631"/>
      <c r="BD998" s="1631"/>
      <c r="BE998" s="1631"/>
      <c r="BF998" s="1631"/>
      <c r="BG998" s="1631"/>
      <c r="BH998" s="1631"/>
      <c r="BI998" s="1631"/>
      <c r="BJ998" s="1631"/>
      <c r="BK998" s="1631"/>
      <c r="BL998" s="1631"/>
      <c r="BM998" s="1631"/>
      <c r="BN998" s="1631"/>
      <c r="BO998" s="1631"/>
      <c r="BP998" s="1631"/>
      <c r="BQ998" s="1631"/>
      <c r="BR998" s="1631"/>
      <c r="BS998" s="1631"/>
      <c r="BT998" s="1631"/>
      <c r="BU998" s="1631"/>
      <c r="BV998" s="1631"/>
      <c r="BW998" s="1631"/>
      <c r="BX998" s="1631"/>
      <c r="BY998" s="1631"/>
      <c r="BZ998" s="1631"/>
      <c r="CA998" s="1631"/>
      <c r="CB998" s="1631"/>
      <c r="CC998" s="1631"/>
      <c r="CD998" s="1631"/>
      <c r="CE998" s="1631"/>
      <c r="CF998" s="1631"/>
      <c r="CG998" s="1631"/>
      <c r="CH998" s="1631"/>
      <c r="CI998" s="1631"/>
      <c r="CJ998" s="1631"/>
      <c r="CK998" s="1631"/>
      <c r="CL998" s="1631"/>
      <c r="CM998" s="1631"/>
      <c r="CN998" s="1631"/>
      <c r="CO998" s="1631"/>
      <c r="CP998" s="1631"/>
      <c r="CQ998" s="1631"/>
      <c r="CR998" s="1631"/>
      <c r="CS998" s="1631"/>
      <c r="CT998" s="1631"/>
      <c r="CU998" s="1631"/>
      <c r="CV998" s="1631"/>
      <c r="CW998" s="1631"/>
      <c r="CX998" s="1631"/>
      <c r="CY998" s="1631"/>
      <c r="CZ998" s="1631"/>
      <c r="DA998" s="1631"/>
      <c r="DB998" s="1631"/>
      <c r="DC998" s="1631"/>
      <c r="DD998" s="1631"/>
      <c r="DE998" s="1631"/>
      <c r="DF998" s="1631"/>
      <c r="DG998" s="1631"/>
      <c r="DH998" s="1631"/>
      <c r="DI998" s="1631"/>
      <c r="DJ998" s="1631"/>
      <c r="DK998" s="1631"/>
      <c r="DL998" s="1631"/>
      <c r="DM998" s="1631"/>
      <c r="DN998" s="1631"/>
      <c r="DO998" s="1631"/>
      <c r="DP998" s="1631"/>
      <c r="DQ998" s="1631"/>
      <c r="DR998" s="1631"/>
      <c r="DS998" s="1631"/>
      <c r="DT998" s="1631"/>
      <c r="DU998" s="1631"/>
      <c r="DV998" s="1631"/>
      <c r="DW998" s="1631"/>
      <c r="DX998" s="1631"/>
      <c r="DY998" s="1631"/>
      <c r="DZ998" s="1631"/>
      <c r="EA998" s="1631"/>
      <c r="EB998" s="1631"/>
      <c r="EC998" s="1631"/>
      <c r="ED998" s="1631"/>
      <c r="EE998" s="1631"/>
      <c r="EF998" s="1631"/>
      <c r="EG998" s="1631"/>
      <c r="EH998" s="1631"/>
      <c r="EI998" s="1631"/>
      <c r="EJ998" s="1631"/>
      <c r="EK998" s="1631"/>
      <c r="EL998" s="1631"/>
      <c r="EM998" s="1631"/>
      <c r="EN998" s="1631"/>
      <c r="EO998" s="1631"/>
      <c r="EP998" s="1631"/>
      <c r="EQ998" s="1631"/>
      <c r="ER998" s="1631"/>
      <c r="ES998" s="1631"/>
      <c r="ET998" s="1631"/>
      <c r="EU998" s="1631"/>
      <c r="EV998" s="1631"/>
      <c r="EW998" s="1631"/>
      <c r="EX998" s="1631"/>
      <c r="EY998" s="1631"/>
      <c r="EZ998" s="1631"/>
      <c r="FA998" s="1631"/>
      <c r="FB998" s="1631"/>
      <c r="FC998" s="1631"/>
      <c r="FD998" s="1631"/>
      <c r="FE998" s="1631"/>
      <c r="FF998" s="1631"/>
      <c r="FG998" s="1631"/>
      <c r="FH998" s="1631"/>
      <c r="FI998" s="1631"/>
      <c r="FJ998" s="1631"/>
      <c r="FK998" s="1631"/>
      <c r="FL998" s="1631"/>
      <c r="FM998" s="1631"/>
      <c r="FN998" s="1631"/>
      <c r="FO998" s="1631"/>
      <c r="FP998" s="1631"/>
      <c r="FQ998" s="1631"/>
      <c r="FR998" s="1631"/>
      <c r="FS998" s="1631"/>
      <c r="FT998" s="1631"/>
      <c r="FU998" s="1631"/>
      <c r="FV998" s="1631"/>
      <c r="FW998" s="1631"/>
      <c r="FX998" s="1631"/>
      <c r="FY998" s="1631"/>
      <c r="FZ998" s="1631"/>
      <c r="GA998" s="1631"/>
      <c r="GB998" s="1631"/>
      <c r="GC998" s="1631"/>
      <c r="GD998" s="1631"/>
      <c r="GE998" s="1631"/>
      <c r="GF998" s="1631"/>
      <c r="GG998" s="1631"/>
      <c r="GH998" s="1631"/>
      <c r="GI998" s="1631"/>
      <c r="GJ998" s="1631"/>
      <c r="GK998" s="1631"/>
      <c r="GL998" s="1631"/>
      <c r="GM998" s="1631"/>
      <c r="GN998" s="1631"/>
      <c r="GO998" s="1631"/>
      <c r="GP998" s="1631"/>
      <c r="GQ998" s="1631"/>
      <c r="GR998" s="1631"/>
      <c r="GS998" s="1631"/>
      <c r="GT998" s="1631"/>
      <c r="GU998" s="1631"/>
      <c r="GV998" s="1631"/>
      <c r="GW998" s="1631"/>
      <c r="GX998" s="1631"/>
      <c r="GY998" s="1631"/>
      <c r="GZ998" s="1631"/>
      <c r="HA998" s="1631"/>
      <c r="HB998" s="1631"/>
      <c r="HC998" s="1631"/>
      <c r="HD998" s="1631"/>
      <c r="HE998" s="1631"/>
      <c r="HF998" s="1631"/>
      <c r="HG998" s="1631"/>
      <c r="HH998" s="1631"/>
      <c r="HI998" s="1631"/>
      <c r="HJ998" s="1631"/>
      <c r="HK998" s="1631"/>
      <c r="HL998" s="1631"/>
      <c r="HM998" s="1631"/>
      <c r="HN998" s="1631"/>
      <c r="HO998" s="1631"/>
      <c r="HP998" s="1631"/>
      <c r="HQ998" s="1631"/>
      <c r="HR998" s="1631"/>
      <c r="HS998" s="1631"/>
      <c r="HT998" s="1631"/>
      <c r="HU998" s="1631"/>
      <c r="HV998" s="1631"/>
      <c r="HW998" s="1631"/>
      <c r="HX998" s="1631"/>
      <c r="HY998" s="1631"/>
      <c r="HZ998" s="1631"/>
      <c r="IA998" s="1631"/>
      <c r="IB998" s="1631"/>
      <c r="IC998" s="1631"/>
      <c r="ID998" s="1631"/>
      <c r="IE998" s="1631"/>
      <c r="IF998" s="1631"/>
      <c r="IG998" s="1631"/>
      <c r="IH998" s="1631"/>
      <c r="II998" s="1631"/>
      <c r="IJ998" s="1631"/>
      <c r="IK998" s="1631"/>
      <c r="IL998" s="1631"/>
      <c r="IM998" s="1631"/>
      <c r="IN998" s="1631"/>
      <c r="IO998" s="1631"/>
      <c r="IP998" s="1631"/>
      <c r="IQ998" s="1631"/>
      <c r="IR998" s="1631"/>
      <c r="IS998" s="1631"/>
      <c r="IT998" s="1631"/>
      <c r="IU998" s="1631"/>
      <c r="IV998" s="1631"/>
      <c r="IW998" s="1631"/>
      <c r="IX998" s="1631"/>
      <c r="IY998" s="1631"/>
      <c r="IZ998" s="1631"/>
      <c r="JA998" s="1631"/>
      <c r="JB998" s="1631"/>
      <c r="JC998" s="1631"/>
      <c r="JD998" s="1631"/>
      <c r="JE998" s="1631"/>
      <c r="JF998" s="1631"/>
      <c r="JG998" s="1631"/>
      <c r="JH998" s="1631"/>
      <c r="JI998" s="1631"/>
      <c r="JJ998" s="1631"/>
      <c r="JK998" s="1631"/>
      <c r="JL998" s="1631"/>
      <c r="JM998" s="1631"/>
      <c r="JN998" s="1631"/>
      <c r="JO998" s="1631"/>
      <c r="JP998" s="1631"/>
      <c r="JQ998" s="1631"/>
      <c r="JR998" s="1631"/>
      <c r="JS998" s="1631"/>
      <c r="JT998" s="1631"/>
      <c r="JU998" s="1631"/>
      <c r="JV998" s="1630"/>
      <c r="JW998" s="1631"/>
      <c r="JX998" s="1631"/>
      <c r="JY998" s="1631"/>
      <c r="JZ998" s="1631"/>
      <c r="KA998" s="1630"/>
      <c r="KB998" s="1630"/>
      <c r="KC998" s="1630"/>
      <c r="KD998" s="1630"/>
      <c r="KE998" s="1630"/>
      <c r="KF998" s="1630"/>
      <c r="KG998" s="1630"/>
      <c r="KH998" s="1630"/>
      <c r="KI998" s="1630"/>
      <c r="KJ998" s="1630"/>
      <c r="KK998" s="1630"/>
      <c r="KL998" s="1630"/>
      <c r="KM998" s="1630"/>
      <c r="KN998" s="1630"/>
      <c r="KO998" s="1630"/>
      <c r="KP998" s="1630"/>
      <c r="KQ998" s="1630"/>
      <c r="KR998" s="1630"/>
      <c r="KS998" s="1630"/>
      <c r="KT998" s="1630"/>
      <c r="KU998" s="1630"/>
      <c r="KV998" s="1630"/>
      <c r="KW998" s="1630"/>
      <c r="KX998" s="1630"/>
      <c r="KY998" s="1630"/>
      <c r="KZ998" s="1630"/>
      <c r="LA998" s="1630"/>
      <c r="LB998" s="1630"/>
      <c r="LC998" s="1630"/>
      <c r="LD998" s="1630"/>
      <c r="LE998" s="1630"/>
      <c r="LF998" s="1630"/>
      <c r="LG998" s="1631"/>
      <c r="LH998" s="1631"/>
      <c r="LI998" s="1631"/>
      <c r="LJ998" s="1631"/>
      <c r="LK998" s="1631"/>
      <c r="LL998" s="1631"/>
      <c r="LM998" s="1631"/>
      <c r="LN998" s="1631"/>
      <c r="LO998" s="1631"/>
      <c r="LP998" s="1631"/>
      <c r="LQ998" s="1631"/>
      <c r="LR998" s="1631"/>
      <c r="LS998" s="1631"/>
      <c r="LT998" s="1631"/>
      <c r="LU998" s="1631"/>
      <c r="LV998" s="1631"/>
      <c r="LW998" s="1631"/>
      <c r="LX998" s="1631"/>
      <c r="LY998" s="1631"/>
      <c r="LZ998" s="1631"/>
      <c r="MA998" s="1631"/>
      <c r="MB998" s="1631"/>
      <c r="MC998" s="1631"/>
      <c r="MD998" s="1631"/>
      <c r="ME998" s="1631"/>
      <c r="MF998" s="1631"/>
      <c r="MG998" s="1631"/>
      <c r="MH998" s="1631"/>
      <c r="MI998" s="1631"/>
      <c r="MJ998" s="1631"/>
      <c r="MK998" s="1631"/>
      <c r="ML998" s="1631"/>
      <c r="MM998" s="1631"/>
      <c r="MN998" s="1631"/>
      <c r="MO998" s="1631"/>
      <c r="MP998" s="1631"/>
      <c r="MQ998" s="1631"/>
      <c r="MR998" s="1631"/>
      <c r="MS998" s="1631"/>
    </row>
    <row r="999" spans="1:357">
      <c r="A999" s="1631"/>
      <c r="B999" s="1631" t="s">
        <v>868</v>
      </c>
      <c r="C999" s="1631"/>
      <c r="D999" s="1863"/>
      <c r="E999" s="1631"/>
      <c r="F999" s="1847">
        <f>'Part VI-Revenues &amp; Expenses'!F237</f>
        <v>10500</v>
      </c>
      <c r="G999" s="1847"/>
      <c r="H999" s="1631"/>
      <c r="I999" s="1631"/>
      <c r="J999" s="1833"/>
      <c r="K999" s="1631"/>
      <c r="L999" s="1631"/>
      <c r="M999" s="2038"/>
      <c r="N999" s="1652" t="s">
        <v>3433</v>
      </c>
      <c r="O999" s="1874" t="str">
        <f>CONCATENATE(SUM(MO810:MS810)," units x $",'DCA Underwriting Assumptions'!$Q$66," =")</f>
        <v>0 units x $420 =</v>
      </c>
      <c r="P999" s="1874">
        <f>SUM(MO810:MS810)*'DCA Underwriting Assumptions'!$Q$66</f>
        <v>0</v>
      </c>
      <c r="Q999" s="1874"/>
      <c r="R999" s="1838">
        <f>'Part VI-Revenues &amp; Expenses'!R237</f>
        <v>0</v>
      </c>
      <c r="S999" s="1838"/>
      <c r="T999" s="1838"/>
      <c r="U999" s="1838"/>
      <c r="V999" s="1838"/>
      <c r="X999" s="1631"/>
      <c r="Y999" s="1631"/>
      <c r="Z999" s="1631"/>
      <c r="AA999" s="1631"/>
      <c r="AC999" s="1631"/>
      <c r="AD999" s="1631"/>
      <c r="AE999" s="1631"/>
      <c r="AF999" s="1631"/>
      <c r="AH999" s="1631"/>
      <c r="AI999" s="1631"/>
      <c r="AJ999" s="1631"/>
      <c r="AK999" s="1631"/>
      <c r="AM999" s="1631"/>
      <c r="AN999" s="1631"/>
      <c r="AO999" s="1631"/>
      <c r="AP999" s="1631"/>
      <c r="AQ999" s="1631"/>
      <c r="AR999" s="1631"/>
      <c r="AS999" s="1631"/>
      <c r="AT999" s="1631"/>
      <c r="AU999" s="1631"/>
      <c r="AV999" s="1631"/>
      <c r="AW999" s="1631"/>
      <c r="AX999" s="1631"/>
      <c r="AY999" s="1631"/>
      <c r="AZ999" s="1631"/>
      <c r="BA999" s="1631"/>
      <c r="BB999" s="1631"/>
      <c r="BC999" s="1631"/>
      <c r="BD999" s="1631"/>
      <c r="BE999" s="1631"/>
      <c r="BF999" s="1631"/>
      <c r="BG999" s="1631"/>
      <c r="BH999" s="1631"/>
      <c r="BI999" s="1631"/>
      <c r="BJ999" s="1631"/>
      <c r="BK999" s="1631"/>
      <c r="BL999" s="1631"/>
      <c r="BM999" s="1631"/>
      <c r="BN999" s="1631"/>
      <c r="BO999" s="1631"/>
      <c r="BP999" s="1631"/>
      <c r="BQ999" s="1631"/>
      <c r="BR999" s="1631"/>
      <c r="BS999" s="1631"/>
      <c r="BT999" s="1631"/>
      <c r="BU999" s="1631"/>
      <c r="BV999" s="1631"/>
      <c r="BW999" s="1631"/>
      <c r="BX999" s="1631"/>
      <c r="BY999" s="1631"/>
      <c r="BZ999" s="1631"/>
      <c r="CA999" s="1631"/>
      <c r="CB999" s="1631"/>
      <c r="CC999" s="1631"/>
      <c r="CD999" s="1631"/>
      <c r="CE999" s="1631"/>
      <c r="CF999" s="1631"/>
      <c r="CG999" s="1631"/>
      <c r="CH999" s="1631"/>
      <c r="CI999" s="1631"/>
      <c r="CJ999" s="1631"/>
      <c r="CK999" s="1631"/>
      <c r="CL999" s="1631"/>
      <c r="CM999" s="1631"/>
      <c r="CN999" s="1631"/>
      <c r="CO999" s="1631"/>
      <c r="CP999" s="1631"/>
      <c r="CQ999" s="1631"/>
      <c r="CR999" s="1631"/>
      <c r="CS999" s="1631"/>
      <c r="CT999" s="1631"/>
      <c r="CU999" s="1631"/>
      <c r="CV999" s="1631"/>
      <c r="CW999" s="1631"/>
      <c r="CX999" s="1631"/>
      <c r="CY999" s="1631"/>
      <c r="CZ999" s="1631"/>
      <c r="DA999" s="1631"/>
      <c r="DB999" s="1631"/>
      <c r="DC999" s="1631"/>
      <c r="DD999" s="1631"/>
      <c r="DE999" s="1631"/>
      <c r="DF999" s="1631"/>
      <c r="DG999" s="1631"/>
      <c r="DH999" s="1631"/>
      <c r="DI999" s="1631"/>
      <c r="DJ999" s="1631"/>
      <c r="DK999" s="1631"/>
      <c r="DL999" s="1631"/>
      <c r="DM999" s="1631"/>
      <c r="DN999" s="1631"/>
      <c r="DO999" s="1631"/>
      <c r="DP999" s="1631"/>
      <c r="DQ999" s="1631"/>
      <c r="DR999" s="1631"/>
      <c r="DS999" s="1631"/>
      <c r="DT999" s="1631"/>
      <c r="DU999" s="1631"/>
      <c r="DV999" s="1631"/>
      <c r="DW999" s="1631"/>
      <c r="DX999" s="1631"/>
      <c r="DY999" s="1631"/>
      <c r="DZ999" s="1631"/>
      <c r="EA999" s="1631"/>
      <c r="EB999" s="1631"/>
      <c r="EC999" s="1631"/>
      <c r="ED999" s="1631"/>
      <c r="EE999" s="1631"/>
      <c r="EF999" s="1631"/>
      <c r="EG999" s="1631"/>
      <c r="EH999" s="1631"/>
      <c r="EI999" s="1631"/>
      <c r="EJ999" s="1631"/>
      <c r="EK999" s="1631"/>
      <c r="EL999" s="1631"/>
      <c r="EM999" s="1631"/>
      <c r="EN999" s="1631"/>
      <c r="EO999" s="1631"/>
      <c r="EP999" s="1631"/>
      <c r="EQ999" s="1631"/>
      <c r="ER999" s="1631"/>
      <c r="ES999" s="1631"/>
      <c r="ET999" s="1631"/>
      <c r="EU999" s="1631"/>
      <c r="EV999" s="1631"/>
      <c r="EW999" s="1631"/>
      <c r="EX999" s="1631"/>
      <c r="EY999" s="1631"/>
      <c r="EZ999" s="1631"/>
      <c r="FA999" s="1631"/>
      <c r="FB999" s="1631"/>
      <c r="FC999" s="1631"/>
      <c r="FD999" s="1631"/>
      <c r="FE999" s="1631"/>
      <c r="FF999" s="1631"/>
      <c r="FG999" s="1631"/>
      <c r="FH999" s="1631"/>
      <c r="FI999" s="1631"/>
      <c r="FJ999" s="1631"/>
      <c r="FK999" s="1631"/>
      <c r="FL999" s="1631"/>
      <c r="FM999" s="1631"/>
      <c r="FN999" s="1631"/>
      <c r="FO999" s="1631"/>
      <c r="FP999" s="1631"/>
      <c r="FQ999" s="1631"/>
      <c r="FR999" s="1631"/>
      <c r="FS999" s="1631"/>
      <c r="FT999" s="1631"/>
      <c r="FU999" s="1631"/>
      <c r="FV999" s="1631"/>
      <c r="FW999" s="1631"/>
      <c r="FX999" s="1631"/>
      <c r="FY999" s="1631"/>
      <c r="FZ999" s="1631"/>
      <c r="GA999" s="1631"/>
      <c r="GB999" s="1631"/>
      <c r="GC999" s="1631"/>
      <c r="GD999" s="1631"/>
      <c r="GE999" s="1631"/>
      <c r="GF999" s="1631"/>
      <c r="GG999" s="1631"/>
      <c r="GH999" s="1631"/>
      <c r="GI999" s="1631"/>
      <c r="GJ999" s="1631"/>
      <c r="GK999" s="1631"/>
      <c r="GL999" s="1631"/>
      <c r="GM999" s="1631"/>
      <c r="GN999" s="1631"/>
      <c r="GO999" s="1631"/>
      <c r="GP999" s="1631"/>
      <c r="GQ999" s="1631"/>
      <c r="GR999" s="1631"/>
      <c r="GS999" s="1631"/>
      <c r="GT999" s="1631"/>
      <c r="GU999" s="1631"/>
      <c r="GV999" s="1631"/>
      <c r="GW999" s="1631"/>
      <c r="GX999" s="1631"/>
      <c r="GY999" s="1631"/>
      <c r="GZ999" s="1631"/>
      <c r="HA999" s="1631"/>
      <c r="HB999" s="1631"/>
      <c r="HC999" s="1631"/>
      <c r="HD999" s="1631"/>
      <c r="HE999" s="1631"/>
      <c r="HF999" s="1631"/>
      <c r="HG999" s="1631"/>
      <c r="HH999" s="1631"/>
      <c r="HI999" s="1631"/>
      <c r="HJ999" s="1631"/>
      <c r="HK999" s="1631"/>
      <c r="HL999" s="1631"/>
      <c r="HM999" s="1631"/>
      <c r="HN999" s="1631"/>
      <c r="HO999" s="1631"/>
      <c r="HP999" s="1631"/>
      <c r="HQ999" s="1631"/>
      <c r="HR999" s="1631"/>
      <c r="HS999" s="1631"/>
      <c r="HT999" s="1631"/>
      <c r="HU999" s="1631"/>
      <c r="HV999" s="1631"/>
      <c r="HW999" s="1631"/>
      <c r="HX999" s="1631"/>
      <c r="HY999" s="1631"/>
      <c r="HZ999" s="1631"/>
      <c r="IA999" s="1631"/>
      <c r="IB999" s="1631"/>
      <c r="IC999" s="1631"/>
      <c r="ID999" s="1631"/>
      <c r="IE999" s="1631"/>
      <c r="IF999" s="1631"/>
      <c r="IG999" s="1631"/>
      <c r="IH999" s="1631"/>
      <c r="II999" s="1631"/>
      <c r="IJ999" s="1631"/>
      <c r="IK999" s="1631"/>
      <c r="IL999" s="1631"/>
      <c r="IM999" s="1631"/>
      <c r="IN999" s="1631"/>
      <c r="IO999" s="1631"/>
      <c r="IP999" s="1631"/>
      <c r="IQ999" s="1631"/>
      <c r="IR999" s="1631"/>
      <c r="IS999" s="1631"/>
      <c r="IT999" s="1631"/>
      <c r="IU999" s="1631"/>
      <c r="IV999" s="1631"/>
      <c r="IW999" s="1631"/>
      <c r="IX999" s="1631"/>
      <c r="IY999" s="1631"/>
      <c r="IZ999" s="1631"/>
      <c r="JA999" s="1631"/>
      <c r="JB999" s="1631"/>
      <c r="JC999" s="1631"/>
      <c r="JD999" s="1631"/>
      <c r="JE999" s="1631"/>
      <c r="JF999" s="1631"/>
      <c r="JG999" s="1631"/>
      <c r="JH999" s="1631"/>
      <c r="JI999" s="1631"/>
      <c r="JJ999" s="1631"/>
      <c r="JK999" s="1631"/>
      <c r="JL999" s="1631"/>
      <c r="JM999" s="1631"/>
      <c r="JN999" s="1631"/>
      <c r="JO999" s="1631"/>
      <c r="JP999" s="1631"/>
      <c r="JQ999" s="1631"/>
      <c r="JR999" s="1631"/>
      <c r="JS999" s="1631"/>
      <c r="JT999" s="1631"/>
      <c r="JU999" s="1631"/>
      <c r="JV999" s="1630"/>
      <c r="JW999" s="1631"/>
      <c r="JX999" s="1631"/>
      <c r="JY999" s="1631"/>
      <c r="JZ999" s="1631"/>
      <c r="KA999" s="1630"/>
      <c r="KB999" s="1630"/>
      <c r="KC999" s="1630"/>
      <c r="KD999" s="1630"/>
      <c r="KE999" s="1630"/>
      <c r="KF999" s="1630"/>
      <c r="KG999" s="1630"/>
      <c r="KH999" s="1630"/>
      <c r="KI999" s="1630"/>
      <c r="KJ999" s="1630"/>
      <c r="KK999" s="1630"/>
      <c r="KL999" s="1630"/>
      <c r="KM999" s="1630"/>
      <c r="KN999" s="1630"/>
      <c r="KO999" s="1630"/>
      <c r="KP999" s="1630"/>
      <c r="KQ999" s="1630"/>
      <c r="KR999" s="1630"/>
      <c r="KS999" s="1630"/>
      <c r="KT999" s="1630"/>
      <c r="KU999" s="1630"/>
      <c r="KV999" s="1630"/>
      <c r="KW999" s="1630"/>
      <c r="KX999" s="1630"/>
      <c r="KY999" s="1630"/>
      <c r="KZ999" s="1630"/>
      <c r="LA999" s="1630"/>
      <c r="LB999" s="1630"/>
      <c r="LC999" s="1630"/>
      <c r="LD999" s="1630"/>
      <c r="LE999" s="1630"/>
      <c r="LF999" s="1630"/>
      <c r="LG999" s="1631"/>
      <c r="LH999" s="1631"/>
      <c r="LI999" s="1631"/>
      <c r="LJ999" s="1631"/>
      <c r="LK999" s="1631"/>
      <c r="LL999" s="1631"/>
      <c r="LM999" s="1631"/>
      <c r="LN999" s="1631"/>
      <c r="LO999" s="1631"/>
      <c r="LP999" s="1631"/>
      <c r="LQ999" s="1631"/>
      <c r="LR999" s="1631"/>
      <c r="LS999" s="1631"/>
      <c r="LT999" s="1631"/>
      <c r="LU999" s="1631"/>
      <c r="LV999" s="1631"/>
      <c r="LW999" s="1631"/>
      <c r="LX999" s="1631"/>
      <c r="LY999" s="1631"/>
      <c r="LZ999" s="1631"/>
      <c r="MA999" s="1631"/>
      <c r="MB999" s="1631"/>
      <c r="MC999" s="1631"/>
      <c r="MD999" s="1631"/>
      <c r="ME999" s="1631"/>
      <c r="MF999" s="1631"/>
      <c r="MG999" s="1631"/>
      <c r="MH999" s="1631"/>
      <c r="MI999" s="1631"/>
      <c r="MJ999" s="1631"/>
      <c r="MK999" s="1631"/>
      <c r="ML999" s="1631"/>
      <c r="MM999" s="1631"/>
      <c r="MN999" s="1631"/>
      <c r="MO999" s="1631"/>
      <c r="MP999" s="1631"/>
      <c r="MQ999" s="1631"/>
      <c r="MR999" s="1631"/>
      <c r="MS999" s="1631"/>
    </row>
    <row r="1000" spans="1:357">
      <c r="A1000" s="1631"/>
      <c r="B1000" s="521" t="str">
        <f>'Part VI-Revenues &amp; Expenses'!B238</f>
        <v>Pool Maintenance</v>
      </c>
      <c r="C1000" s="521"/>
      <c r="D1000" s="521"/>
      <c r="E1000" s="521"/>
      <c r="F1000" s="1847">
        <f>'Part VI-Revenues &amp; Expenses'!F238</f>
        <v>8400</v>
      </c>
      <c r="G1000" s="1847"/>
      <c r="H1000" s="1631"/>
      <c r="I1000" s="1631"/>
      <c r="J1000" s="1833"/>
      <c r="K1000" s="1631"/>
      <c r="L1000" s="1631"/>
      <c r="M1000" s="1631"/>
      <c r="N1000" s="1652" t="s">
        <v>3428</v>
      </c>
      <c r="O1000" s="1874" t="str">
        <f>CONCATENATE(O875," units x $",'DCA Underwriting Assumptions'!$Q$66," =")</f>
        <v>0 units x $420 =</v>
      </c>
      <c r="P1000" s="1874">
        <f>O875*'DCA Underwriting Assumptions'!$Q$66</f>
        <v>0</v>
      </c>
      <c r="Q1000" s="1874"/>
      <c r="R1000" s="1838">
        <f>'Part VI-Revenues &amp; Expenses'!R238</f>
        <v>0</v>
      </c>
      <c r="S1000" s="1838"/>
      <c r="T1000" s="1838"/>
      <c r="U1000" s="1838"/>
      <c r="V1000" s="1838"/>
      <c r="X1000" s="1631"/>
      <c r="Y1000" s="1631"/>
      <c r="Z1000" s="1631"/>
      <c r="AA1000" s="1631"/>
      <c r="AC1000" s="1631"/>
      <c r="AD1000" s="1631"/>
      <c r="AE1000" s="1631"/>
      <c r="AF1000" s="1631"/>
      <c r="AH1000" s="1631"/>
      <c r="AI1000" s="1631"/>
      <c r="AJ1000" s="1631"/>
      <c r="AK1000" s="1631"/>
      <c r="AM1000" s="1631"/>
      <c r="AN1000" s="1631"/>
      <c r="AO1000" s="1631"/>
      <c r="AP1000" s="1631"/>
      <c r="AQ1000" s="1631"/>
      <c r="AR1000" s="1631"/>
      <c r="AS1000" s="1631"/>
      <c r="AT1000" s="1631"/>
      <c r="AU1000" s="1631"/>
      <c r="AV1000" s="1631"/>
      <c r="AW1000" s="1631"/>
      <c r="AX1000" s="1631"/>
      <c r="AY1000" s="1631"/>
      <c r="AZ1000" s="1631"/>
      <c r="BA1000" s="1631"/>
      <c r="BB1000" s="1631"/>
      <c r="BC1000" s="1631"/>
      <c r="BD1000" s="1631"/>
      <c r="BE1000" s="1631"/>
      <c r="BF1000" s="1631"/>
      <c r="BG1000" s="1631"/>
      <c r="BH1000" s="1631"/>
      <c r="BI1000" s="1631"/>
      <c r="BJ1000" s="1631"/>
      <c r="BK1000" s="1631"/>
      <c r="BL1000" s="1631"/>
      <c r="BM1000" s="1631"/>
      <c r="BN1000" s="1631"/>
      <c r="BO1000" s="1631"/>
      <c r="BP1000" s="1631"/>
      <c r="BQ1000" s="1631"/>
      <c r="BR1000" s="1631"/>
      <c r="BS1000" s="1631"/>
      <c r="BT1000" s="1631"/>
      <c r="BU1000" s="1631"/>
      <c r="BV1000" s="1631"/>
      <c r="BW1000" s="1631"/>
      <c r="BX1000" s="1631"/>
      <c r="BY1000" s="1631"/>
      <c r="BZ1000" s="1631"/>
      <c r="CA1000" s="1631"/>
      <c r="CB1000" s="1631"/>
      <c r="CC1000" s="1631"/>
      <c r="CD1000" s="1631"/>
      <c r="CE1000" s="1631"/>
      <c r="CF1000" s="1631"/>
      <c r="CG1000" s="1631"/>
      <c r="CH1000" s="1631"/>
      <c r="CI1000" s="1631"/>
      <c r="CJ1000" s="1631"/>
      <c r="CK1000" s="1631"/>
      <c r="CL1000" s="1631"/>
      <c r="CM1000" s="1631"/>
      <c r="CN1000" s="1631"/>
      <c r="CO1000" s="1631"/>
      <c r="CP1000" s="1631"/>
      <c r="CQ1000" s="1631"/>
      <c r="CR1000" s="1631"/>
      <c r="CS1000" s="1631"/>
      <c r="CT1000" s="1631"/>
      <c r="CU1000" s="1631"/>
      <c r="CV1000" s="1631"/>
      <c r="CW1000" s="1631"/>
      <c r="CX1000" s="1631"/>
      <c r="CY1000" s="1631"/>
      <c r="CZ1000" s="1631"/>
      <c r="DA1000" s="1631"/>
      <c r="DB1000" s="1631"/>
      <c r="DC1000" s="1631"/>
      <c r="DD1000" s="1631"/>
      <c r="DE1000" s="1631"/>
      <c r="DF1000" s="1631"/>
      <c r="DG1000" s="1631"/>
      <c r="DH1000" s="1631"/>
      <c r="DI1000" s="1631"/>
      <c r="DJ1000" s="1631"/>
      <c r="DK1000" s="1631"/>
      <c r="DL1000" s="1631"/>
      <c r="DM1000" s="1631"/>
      <c r="DN1000" s="1631"/>
      <c r="DO1000" s="1631"/>
      <c r="DP1000" s="1631"/>
      <c r="DQ1000" s="1631"/>
      <c r="DR1000" s="1631"/>
      <c r="DS1000" s="1631"/>
      <c r="DT1000" s="1631"/>
      <c r="DU1000" s="1631"/>
      <c r="DV1000" s="1631"/>
      <c r="DW1000" s="1631"/>
      <c r="DX1000" s="1631"/>
      <c r="DY1000" s="1631"/>
      <c r="DZ1000" s="1631"/>
      <c r="EA1000" s="1631"/>
      <c r="EB1000" s="1631"/>
      <c r="EC1000" s="1631"/>
      <c r="ED1000" s="1631"/>
      <c r="EE1000" s="1631"/>
      <c r="EF1000" s="1631"/>
      <c r="EG1000" s="1631"/>
      <c r="EH1000" s="1631"/>
      <c r="EI1000" s="1631"/>
      <c r="EJ1000" s="1631"/>
      <c r="EK1000" s="1631"/>
      <c r="EL1000" s="1631"/>
      <c r="EM1000" s="1631"/>
      <c r="EN1000" s="1631"/>
      <c r="EO1000" s="1631"/>
      <c r="EP1000" s="1631"/>
      <c r="EQ1000" s="1631"/>
      <c r="ER1000" s="1631"/>
      <c r="ES1000" s="1631"/>
      <c r="ET1000" s="1631"/>
      <c r="EU1000" s="1631"/>
      <c r="EV1000" s="1631"/>
      <c r="EW1000" s="1631"/>
      <c r="EX1000" s="1631"/>
      <c r="EY1000" s="1631"/>
      <c r="EZ1000" s="1631"/>
      <c r="FA1000" s="1631"/>
      <c r="FB1000" s="1631"/>
      <c r="FC1000" s="1631"/>
      <c r="FD1000" s="1631"/>
      <c r="FE1000" s="1631"/>
      <c r="FF1000" s="1631"/>
      <c r="FG1000" s="1631"/>
      <c r="FH1000" s="1631"/>
      <c r="FI1000" s="1631"/>
      <c r="FJ1000" s="1631"/>
      <c r="FK1000" s="1631"/>
      <c r="FL1000" s="1631"/>
      <c r="FM1000" s="1631"/>
      <c r="FN1000" s="1631"/>
      <c r="FO1000" s="1631"/>
      <c r="FP1000" s="1631"/>
      <c r="FQ1000" s="1631"/>
      <c r="FR1000" s="1631"/>
      <c r="FS1000" s="1631"/>
      <c r="FT1000" s="1631"/>
      <c r="FU1000" s="1631"/>
      <c r="FV1000" s="1631"/>
      <c r="FW1000" s="1631"/>
      <c r="FX1000" s="1631"/>
      <c r="FY1000" s="1631"/>
      <c r="FZ1000" s="1631"/>
      <c r="GA1000" s="1631"/>
      <c r="GB1000" s="1631"/>
      <c r="GC1000" s="1631"/>
      <c r="GD1000" s="1631"/>
      <c r="GE1000" s="1631"/>
      <c r="GF1000" s="1631"/>
      <c r="GG1000" s="1631"/>
      <c r="GH1000" s="1631"/>
      <c r="GI1000" s="1631"/>
      <c r="GJ1000" s="1631"/>
      <c r="GK1000" s="1631"/>
      <c r="GL1000" s="1631"/>
      <c r="GM1000" s="1631"/>
      <c r="GN1000" s="1631"/>
      <c r="GO1000" s="1631"/>
      <c r="GP1000" s="1631"/>
      <c r="GQ1000" s="1631"/>
      <c r="GR1000" s="1631"/>
      <c r="GS1000" s="1631"/>
      <c r="GT1000" s="1631"/>
      <c r="GU1000" s="1631"/>
      <c r="GV1000" s="1631"/>
      <c r="GW1000" s="1631"/>
      <c r="GX1000" s="1631"/>
      <c r="GY1000" s="1631"/>
      <c r="GZ1000" s="1631"/>
      <c r="HA1000" s="1631"/>
      <c r="HB1000" s="1631"/>
      <c r="HC1000" s="1631"/>
      <c r="HD1000" s="1631"/>
      <c r="HE1000" s="1631"/>
      <c r="HF1000" s="1631"/>
      <c r="HG1000" s="1631"/>
      <c r="HH1000" s="1631"/>
      <c r="HI1000" s="1631"/>
      <c r="HJ1000" s="1631"/>
      <c r="HK1000" s="1631"/>
      <c r="HL1000" s="1631"/>
      <c r="HM1000" s="1631"/>
      <c r="HN1000" s="1631"/>
      <c r="HO1000" s="1631"/>
      <c r="HP1000" s="1631"/>
      <c r="HQ1000" s="1631"/>
      <c r="HR1000" s="1631"/>
      <c r="HS1000" s="1631"/>
      <c r="HT1000" s="1631"/>
      <c r="HU1000" s="1631"/>
      <c r="HV1000" s="1631"/>
      <c r="HW1000" s="1631"/>
      <c r="HX1000" s="1631"/>
      <c r="HY1000" s="1631"/>
      <c r="HZ1000" s="1631"/>
      <c r="IA1000" s="1631"/>
      <c r="IB1000" s="1631"/>
      <c r="IC1000" s="1631"/>
      <c r="ID1000" s="1631"/>
      <c r="IE1000" s="1631"/>
      <c r="IF1000" s="1631"/>
      <c r="IG1000" s="1631"/>
      <c r="IH1000" s="1631"/>
      <c r="II1000" s="1631"/>
      <c r="IJ1000" s="1631"/>
      <c r="IK1000" s="1631"/>
      <c r="IL1000" s="1631"/>
      <c r="IM1000" s="1631"/>
      <c r="IN1000" s="1631"/>
      <c r="IO1000" s="1631"/>
      <c r="IP1000" s="1631"/>
      <c r="IQ1000" s="1631"/>
      <c r="IR1000" s="1631"/>
      <c r="IS1000" s="1631"/>
      <c r="IT1000" s="1631"/>
      <c r="IU1000" s="1631"/>
      <c r="IV1000" s="1631"/>
      <c r="IW1000" s="1631"/>
      <c r="IX1000" s="1631"/>
      <c r="IY1000" s="1631"/>
      <c r="IZ1000" s="1631"/>
      <c r="JA1000" s="1631"/>
      <c r="JB1000" s="1631"/>
      <c r="JC1000" s="1631"/>
      <c r="JD1000" s="1631"/>
      <c r="JE1000" s="1631"/>
      <c r="JF1000" s="1631"/>
      <c r="JG1000" s="1631"/>
      <c r="JH1000" s="1631"/>
      <c r="JI1000" s="1631"/>
      <c r="JJ1000" s="1631"/>
      <c r="JK1000" s="1631"/>
      <c r="JL1000" s="1631"/>
      <c r="JM1000" s="1631"/>
      <c r="JN1000" s="1631"/>
      <c r="JO1000" s="1631"/>
      <c r="JP1000" s="1631"/>
      <c r="JQ1000" s="1631"/>
      <c r="JR1000" s="1631"/>
      <c r="JS1000" s="1631"/>
      <c r="JT1000" s="1631"/>
      <c r="JU1000" s="1631"/>
      <c r="JV1000" s="1630"/>
      <c r="JW1000" s="1631"/>
      <c r="JX1000" s="1631"/>
      <c r="JY1000" s="1631"/>
      <c r="JZ1000" s="1631"/>
      <c r="KA1000" s="1630"/>
      <c r="KB1000" s="1630"/>
      <c r="KC1000" s="1630"/>
      <c r="KD1000" s="1630"/>
      <c r="KE1000" s="1630"/>
      <c r="KF1000" s="1630"/>
      <c r="KG1000" s="1630"/>
      <c r="KH1000" s="1630"/>
      <c r="KI1000" s="1630"/>
      <c r="KJ1000" s="1630"/>
      <c r="KK1000" s="1630"/>
      <c r="KL1000" s="1630"/>
      <c r="KM1000" s="1630"/>
      <c r="KN1000" s="1630"/>
      <c r="KO1000" s="1630"/>
      <c r="KP1000" s="1630"/>
      <c r="KQ1000" s="1630"/>
      <c r="KR1000" s="1630"/>
      <c r="KS1000" s="1630"/>
      <c r="KT1000" s="1630"/>
      <c r="KU1000" s="1630"/>
      <c r="KV1000" s="1630"/>
      <c r="KW1000" s="1630"/>
      <c r="KX1000" s="1630"/>
      <c r="KY1000" s="1630"/>
      <c r="KZ1000" s="1630"/>
      <c r="LA1000" s="1630"/>
      <c r="LB1000" s="1630"/>
      <c r="LC1000" s="1630"/>
      <c r="LD1000" s="1630"/>
      <c r="LE1000" s="1630"/>
      <c r="LF1000" s="1630"/>
      <c r="LG1000" s="1631"/>
      <c r="LH1000" s="1631"/>
      <c r="LI1000" s="1631"/>
      <c r="LJ1000" s="1631"/>
      <c r="LK1000" s="1631"/>
      <c r="LL1000" s="1631"/>
      <c r="LM1000" s="1631"/>
      <c r="LN1000" s="1631"/>
      <c r="LO1000" s="1631"/>
      <c r="LP1000" s="1631"/>
      <c r="LQ1000" s="1631"/>
      <c r="LR1000" s="1631"/>
      <c r="LS1000" s="1631"/>
      <c r="LT1000" s="1631"/>
      <c r="LU1000" s="1631"/>
      <c r="LV1000" s="1631"/>
      <c r="LW1000" s="1631"/>
      <c r="LX1000" s="1631"/>
      <c r="LY1000" s="1631"/>
      <c r="LZ1000" s="1631"/>
      <c r="MA1000" s="1631"/>
      <c r="MB1000" s="1631"/>
      <c r="MC1000" s="1631"/>
      <c r="MD1000" s="1631"/>
      <c r="ME1000" s="1631"/>
      <c r="MF1000" s="1631"/>
      <c r="MG1000" s="1631"/>
      <c r="MH1000" s="1631"/>
      <c r="MI1000" s="1631"/>
      <c r="MJ1000" s="1631"/>
      <c r="MK1000" s="1631"/>
      <c r="ML1000" s="1631"/>
      <c r="MM1000" s="1631"/>
      <c r="MN1000" s="1631"/>
      <c r="MO1000" s="1631"/>
      <c r="MP1000" s="1631"/>
      <c r="MQ1000" s="1631"/>
      <c r="MR1000" s="1631"/>
      <c r="MS1000" s="1631"/>
    </row>
    <row r="1001" spans="1:357">
      <c r="A1001" s="1631"/>
      <c r="B1001" s="1631"/>
      <c r="C1001" s="2774" t="s">
        <v>191</v>
      </c>
      <c r="D1001" s="1631"/>
      <c r="E1001" s="1631"/>
      <c r="F1001" s="1847">
        <f>SUM(F993:G1000)</f>
        <v>63252</v>
      </c>
      <c r="G1001" s="1847"/>
      <c r="H1001" s="1631"/>
      <c r="I1001" s="1631"/>
      <c r="J1001" s="1833"/>
      <c r="K1001" s="1631"/>
      <c r="L1001" s="1631"/>
      <c r="M1001" s="1631"/>
      <c r="N1001" s="1828" t="s">
        <v>2717</v>
      </c>
      <c r="O1001" s="1823">
        <f>SUM(ME810:MI810)+SUM(MJ810:MN810)+SUM(MO810:MS810)+O875</f>
        <v>84</v>
      </c>
      <c r="P1001" s="1823">
        <f>SUM(P997:P1000)</f>
        <v>21000</v>
      </c>
      <c r="Q1001" s="1874"/>
      <c r="R1001" s="1838">
        <f>'Part VI-Revenues &amp; Expenses'!R239</f>
        <v>0</v>
      </c>
      <c r="S1001" s="1838"/>
      <c r="T1001" s="1838"/>
      <c r="U1001" s="1838"/>
      <c r="V1001" s="1838"/>
      <c r="X1001" s="1631"/>
      <c r="Y1001" s="1631"/>
      <c r="Z1001" s="1631"/>
      <c r="AA1001" s="1631"/>
      <c r="AC1001" s="1631"/>
      <c r="AD1001" s="1631"/>
      <c r="AE1001" s="1631"/>
      <c r="AF1001" s="1631"/>
      <c r="AH1001" s="1631"/>
      <c r="AI1001" s="1631"/>
      <c r="AJ1001" s="1631"/>
      <c r="AK1001" s="1631"/>
      <c r="AM1001" s="1631"/>
      <c r="AN1001" s="1631"/>
      <c r="AO1001" s="1631"/>
      <c r="AP1001" s="1631"/>
      <c r="AQ1001" s="1631"/>
      <c r="AR1001" s="1631"/>
      <c r="AS1001" s="1631"/>
      <c r="AT1001" s="1631"/>
      <c r="AU1001" s="1631"/>
      <c r="AV1001" s="1631"/>
      <c r="AW1001" s="1631"/>
      <c r="AX1001" s="1631"/>
      <c r="AY1001" s="1631"/>
      <c r="AZ1001" s="1631"/>
      <c r="BA1001" s="1631"/>
      <c r="BB1001" s="1631"/>
      <c r="BC1001" s="1631"/>
      <c r="BD1001" s="1631"/>
      <c r="BE1001" s="1631"/>
      <c r="BF1001" s="1631"/>
      <c r="BG1001" s="1631"/>
      <c r="BH1001" s="1631"/>
      <c r="BI1001" s="1631"/>
      <c r="BJ1001" s="1631"/>
      <c r="BK1001" s="1631"/>
      <c r="BL1001" s="1631"/>
      <c r="BM1001" s="1631"/>
      <c r="BN1001" s="1631"/>
      <c r="BO1001" s="1631"/>
      <c r="BP1001" s="1631"/>
      <c r="BQ1001" s="1631"/>
      <c r="BR1001" s="1631"/>
      <c r="BS1001" s="1631"/>
      <c r="BT1001" s="1631"/>
      <c r="BU1001" s="1631"/>
      <c r="BV1001" s="1631"/>
      <c r="BW1001" s="1631"/>
      <c r="BX1001" s="1631"/>
      <c r="BY1001" s="1631"/>
      <c r="BZ1001" s="1631"/>
      <c r="CA1001" s="1631"/>
      <c r="CB1001" s="1631"/>
      <c r="CC1001" s="1631"/>
      <c r="CD1001" s="1631"/>
      <c r="CE1001" s="1631"/>
      <c r="CF1001" s="1631"/>
      <c r="CG1001" s="1631"/>
      <c r="CH1001" s="1631"/>
      <c r="CI1001" s="1631"/>
      <c r="CJ1001" s="1631"/>
      <c r="CK1001" s="1631"/>
      <c r="CL1001" s="1631"/>
      <c r="CM1001" s="1631"/>
      <c r="CN1001" s="1631"/>
      <c r="CO1001" s="1631"/>
      <c r="CP1001" s="1631"/>
      <c r="CQ1001" s="1631"/>
      <c r="CR1001" s="1631"/>
      <c r="CS1001" s="1631"/>
      <c r="CT1001" s="1631"/>
      <c r="CU1001" s="1631"/>
      <c r="CV1001" s="1631"/>
      <c r="CW1001" s="1631"/>
      <c r="CX1001" s="1631"/>
      <c r="CY1001" s="1631"/>
      <c r="CZ1001" s="1631"/>
      <c r="DA1001" s="1631"/>
      <c r="DB1001" s="1631"/>
      <c r="DC1001" s="1631"/>
      <c r="DD1001" s="1631"/>
      <c r="DE1001" s="1631"/>
      <c r="DF1001" s="1631"/>
      <c r="DG1001" s="1631"/>
      <c r="DH1001" s="1631"/>
      <c r="DI1001" s="1631"/>
      <c r="DJ1001" s="1631"/>
      <c r="DK1001" s="1631"/>
      <c r="DL1001" s="1631"/>
      <c r="DM1001" s="1631"/>
      <c r="DN1001" s="1631"/>
      <c r="DO1001" s="1631"/>
      <c r="DP1001" s="1631"/>
      <c r="DQ1001" s="1631"/>
      <c r="DR1001" s="1631"/>
      <c r="DS1001" s="1631"/>
      <c r="DT1001" s="1631"/>
      <c r="DU1001" s="1631"/>
      <c r="DV1001" s="1631"/>
      <c r="DW1001" s="1631"/>
      <c r="DX1001" s="1631"/>
      <c r="DY1001" s="1631"/>
      <c r="DZ1001" s="1631"/>
      <c r="EA1001" s="1631"/>
      <c r="EB1001" s="1631"/>
      <c r="EC1001" s="1631"/>
      <c r="ED1001" s="1631"/>
      <c r="EE1001" s="1631"/>
      <c r="EF1001" s="1631"/>
      <c r="EG1001" s="1631"/>
      <c r="EH1001" s="1631"/>
      <c r="EI1001" s="1631"/>
      <c r="EJ1001" s="1631"/>
      <c r="EK1001" s="1631"/>
      <c r="EL1001" s="1631"/>
      <c r="EM1001" s="1631"/>
      <c r="EN1001" s="1631"/>
      <c r="EO1001" s="1631"/>
      <c r="EP1001" s="1631"/>
      <c r="EQ1001" s="1631"/>
      <c r="ER1001" s="1631"/>
      <c r="ES1001" s="1631"/>
      <c r="ET1001" s="1631"/>
      <c r="EU1001" s="1631"/>
      <c r="EV1001" s="1631"/>
      <c r="EW1001" s="1631"/>
      <c r="EX1001" s="1631"/>
      <c r="EY1001" s="1631"/>
      <c r="EZ1001" s="1631"/>
      <c r="FA1001" s="1631"/>
      <c r="FB1001" s="1631"/>
      <c r="FC1001" s="1631"/>
      <c r="FD1001" s="1631"/>
      <c r="FE1001" s="1631"/>
      <c r="FF1001" s="1631"/>
      <c r="FG1001" s="1631"/>
      <c r="FH1001" s="1631"/>
      <c r="FI1001" s="1631"/>
      <c r="FJ1001" s="1631"/>
      <c r="FK1001" s="1631"/>
      <c r="FL1001" s="1631"/>
      <c r="FM1001" s="1631"/>
      <c r="FN1001" s="1631"/>
      <c r="FO1001" s="1631"/>
      <c r="FP1001" s="1631"/>
      <c r="FQ1001" s="1631"/>
      <c r="FR1001" s="1631"/>
      <c r="FS1001" s="1631"/>
      <c r="FT1001" s="1631"/>
      <c r="FU1001" s="1631"/>
      <c r="FV1001" s="1631"/>
      <c r="FW1001" s="1631"/>
      <c r="FX1001" s="1631"/>
      <c r="FY1001" s="1631"/>
      <c r="FZ1001" s="1631"/>
      <c r="GA1001" s="1631"/>
      <c r="GB1001" s="1631"/>
      <c r="GC1001" s="1631"/>
      <c r="GD1001" s="1631"/>
      <c r="GE1001" s="1631"/>
      <c r="GF1001" s="1631"/>
      <c r="GG1001" s="1631"/>
      <c r="GH1001" s="1631"/>
      <c r="GI1001" s="1631"/>
      <c r="GJ1001" s="1631"/>
      <c r="GK1001" s="1631"/>
      <c r="GL1001" s="1631"/>
      <c r="GM1001" s="1631"/>
      <c r="GN1001" s="1631"/>
      <c r="GO1001" s="1631"/>
      <c r="GP1001" s="1631"/>
      <c r="GQ1001" s="1631"/>
      <c r="GR1001" s="1631"/>
      <c r="GS1001" s="1631"/>
      <c r="GT1001" s="1631"/>
      <c r="GU1001" s="1631"/>
      <c r="GV1001" s="1631"/>
      <c r="GW1001" s="1631"/>
      <c r="GX1001" s="1631"/>
      <c r="GY1001" s="1631"/>
      <c r="GZ1001" s="1631"/>
      <c r="HA1001" s="1631"/>
      <c r="HB1001" s="1631"/>
      <c r="HC1001" s="1631"/>
      <c r="HD1001" s="1631"/>
      <c r="HE1001" s="1631"/>
      <c r="HF1001" s="1631"/>
      <c r="HG1001" s="1631"/>
      <c r="HH1001" s="1631"/>
      <c r="HI1001" s="1631"/>
      <c r="HJ1001" s="1631"/>
      <c r="HK1001" s="1631"/>
      <c r="HL1001" s="1631"/>
      <c r="HM1001" s="1631"/>
      <c r="HN1001" s="1631"/>
      <c r="HO1001" s="1631"/>
      <c r="HP1001" s="1631"/>
      <c r="HQ1001" s="1631"/>
      <c r="HR1001" s="1631"/>
      <c r="HS1001" s="1631"/>
      <c r="HT1001" s="1631"/>
      <c r="HU1001" s="1631"/>
      <c r="HV1001" s="1631"/>
      <c r="HW1001" s="1631"/>
      <c r="HX1001" s="1631"/>
      <c r="HY1001" s="1631"/>
      <c r="HZ1001" s="1631"/>
      <c r="IA1001" s="1631"/>
      <c r="IB1001" s="1631"/>
      <c r="IC1001" s="1631"/>
      <c r="ID1001" s="1631"/>
      <c r="IE1001" s="1631"/>
      <c r="IF1001" s="1631"/>
      <c r="IG1001" s="1631"/>
      <c r="IH1001" s="1631"/>
      <c r="II1001" s="1631"/>
      <c r="IJ1001" s="1631"/>
      <c r="IK1001" s="1631"/>
      <c r="IL1001" s="1631"/>
      <c r="IM1001" s="1631"/>
      <c r="IN1001" s="1631"/>
      <c r="IO1001" s="1631"/>
      <c r="IP1001" s="1631"/>
      <c r="IQ1001" s="1631"/>
      <c r="IR1001" s="1631"/>
      <c r="IS1001" s="1631"/>
      <c r="IT1001" s="1631"/>
      <c r="IU1001" s="1631"/>
      <c r="IV1001" s="1631"/>
      <c r="IW1001" s="1631"/>
      <c r="IX1001" s="1631"/>
      <c r="IY1001" s="1631"/>
      <c r="IZ1001" s="1631"/>
      <c r="JA1001" s="1631"/>
      <c r="JB1001" s="1631"/>
      <c r="JC1001" s="1631"/>
      <c r="JD1001" s="1631"/>
      <c r="JE1001" s="1631"/>
      <c r="JF1001" s="1631"/>
      <c r="JG1001" s="1631"/>
      <c r="JH1001" s="1631"/>
      <c r="JI1001" s="1631"/>
      <c r="JJ1001" s="1631"/>
      <c r="JK1001" s="1631"/>
      <c r="JL1001" s="1631"/>
      <c r="JM1001" s="1631"/>
      <c r="JN1001" s="1631"/>
      <c r="JO1001" s="1631"/>
      <c r="JP1001" s="1631"/>
      <c r="JQ1001" s="1631"/>
      <c r="JR1001" s="1631"/>
      <c r="JS1001" s="1631"/>
      <c r="JT1001" s="1631"/>
      <c r="JU1001" s="1631"/>
      <c r="JV1001" s="1630"/>
      <c r="JW1001" s="1631"/>
      <c r="JX1001" s="1631"/>
      <c r="JY1001" s="1631"/>
      <c r="JZ1001" s="1631"/>
      <c r="KA1001" s="1630"/>
      <c r="KB1001" s="1630"/>
      <c r="KC1001" s="1630"/>
      <c r="KD1001" s="1630"/>
      <c r="KE1001" s="1630"/>
      <c r="KF1001" s="1630"/>
      <c r="KG1001" s="1630"/>
      <c r="KH1001" s="1630"/>
      <c r="KI1001" s="1630"/>
      <c r="KJ1001" s="1630"/>
      <c r="KK1001" s="1630"/>
      <c r="KL1001" s="1630"/>
      <c r="KM1001" s="1630"/>
      <c r="KN1001" s="1630"/>
      <c r="KO1001" s="1630"/>
      <c r="KP1001" s="1630"/>
      <c r="KQ1001" s="1630"/>
      <c r="KR1001" s="1630"/>
      <c r="KS1001" s="1630"/>
      <c r="KT1001" s="1630"/>
      <c r="KU1001" s="1630"/>
      <c r="KV1001" s="1630"/>
      <c r="KW1001" s="1630"/>
      <c r="KX1001" s="1630"/>
      <c r="KY1001" s="1630"/>
      <c r="KZ1001" s="1630"/>
      <c r="LA1001" s="1630"/>
      <c r="LB1001" s="1630"/>
      <c r="LC1001" s="1630"/>
      <c r="LD1001" s="1630"/>
      <c r="LE1001" s="1630"/>
      <c r="LF1001" s="1630"/>
      <c r="LG1001" s="1631"/>
      <c r="LH1001" s="1631"/>
      <c r="LI1001" s="1631"/>
      <c r="LJ1001" s="1631"/>
      <c r="LK1001" s="1631"/>
      <c r="LL1001" s="1631"/>
      <c r="LM1001" s="1631"/>
      <c r="LN1001" s="1631"/>
      <c r="LO1001" s="1631"/>
      <c r="LP1001" s="1631"/>
      <c r="LQ1001" s="1631"/>
      <c r="LR1001" s="1631"/>
      <c r="LS1001" s="1631"/>
      <c r="LT1001" s="1631"/>
      <c r="LU1001" s="1631"/>
      <c r="LV1001" s="1631"/>
      <c r="LW1001" s="1631"/>
      <c r="LX1001" s="1631"/>
      <c r="LY1001" s="1631"/>
      <c r="LZ1001" s="1631"/>
      <c r="MA1001" s="1631"/>
      <c r="MB1001" s="1631"/>
      <c r="MC1001" s="1631"/>
      <c r="MD1001" s="1631"/>
      <c r="ME1001" s="1631"/>
      <c r="MF1001" s="1631"/>
      <c r="MG1001" s="1631"/>
      <c r="MH1001" s="1631"/>
      <c r="MI1001" s="1631"/>
      <c r="MJ1001" s="1631"/>
      <c r="MK1001" s="1631"/>
      <c r="ML1001" s="1631"/>
      <c r="MM1001" s="1631"/>
      <c r="MN1001" s="1631"/>
      <c r="MO1001" s="1631"/>
      <c r="MP1001" s="1631"/>
      <c r="MQ1001" s="1631"/>
      <c r="MR1001" s="1631"/>
      <c r="MS1001" s="1631"/>
    </row>
    <row r="1002" spans="1:357">
      <c r="A1002" s="1631"/>
      <c r="B1002" s="1631"/>
      <c r="C1002" s="2774"/>
      <c r="D1002" s="1631"/>
      <c r="E1002" s="1631"/>
      <c r="F1002" s="1833"/>
      <c r="G1002" s="1833"/>
      <c r="H1002" s="1631"/>
      <c r="I1002" s="1631"/>
      <c r="J1002" s="1833"/>
      <c r="K1002" s="1631"/>
      <c r="L1002" s="1631"/>
      <c r="M1002" s="1631"/>
      <c r="N1002" s="1631"/>
      <c r="O1002" s="1631"/>
      <c r="P1002" s="1631"/>
      <c r="Q1002" s="1631"/>
      <c r="R1002" s="1631"/>
      <c r="S1002" s="1631"/>
      <c r="T1002" s="1631"/>
      <c r="U1002" s="1631"/>
      <c r="V1002" s="1631"/>
      <c r="X1002" s="1631"/>
      <c r="Y1002" s="1631"/>
      <c r="Z1002" s="1631"/>
      <c r="AA1002" s="1631"/>
      <c r="AC1002" s="1631"/>
      <c r="AD1002" s="1631"/>
      <c r="AE1002" s="1631"/>
      <c r="AF1002" s="1631"/>
      <c r="AH1002" s="1631"/>
      <c r="AI1002" s="1631"/>
      <c r="AJ1002" s="1631"/>
      <c r="AK1002" s="1631"/>
      <c r="AM1002" s="1631"/>
      <c r="AN1002" s="1631"/>
      <c r="AO1002" s="1631"/>
      <c r="AP1002" s="1631"/>
      <c r="AQ1002" s="1631"/>
      <c r="AR1002" s="1631"/>
      <c r="AS1002" s="1631"/>
      <c r="AT1002" s="1631"/>
      <c r="AU1002" s="1631"/>
      <c r="AV1002" s="1631"/>
      <c r="AW1002" s="1631"/>
      <c r="AX1002" s="1631"/>
      <c r="AY1002" s="1631"/>
      <c r="AZ1002" s="1631"/>
      <c r="BA1002" s="1631"/>
      <c r="BB1002" s="1631"/>
      <c r="BC1002" s="1631"/>
      <c r="BD1002" s="1631"/>
      <c r="BE1002" s="1631"/>
      <c r="BF1002" s="1631"/>
      <c r="BG1002" s="1631"/>
      <c r="BH1002" s="1631"/>
      <c r="BI1002" s="1631"/>
      <c r="BJ1002" s="1631"/>
      <c r="BK1002" s="1631"/>
      <c r="BL1002" s="1631"/>
      <c r="BM1002" s="1631"/>
      <c r="BN1002" s="1631"/>
      <c r="BO1002" s="1631"/>
      <c r="BP1002" s="1631"/>
      <c r="BQ1002" s="1631"/>
      <c r="BR1002" s="1631"/>
      <c r="BS1002" s="1631"/>
      <c r="BT1002" s="1631"/>
      <c r="BU1002" s="1631"/>
      <c r="BV1002" s="1631"/>
      <c r="BW1002" s="1631"/>
      <c r="BX1002" s="1631"/>
      <c r="BY1002" s="1631"/>
      <c r="BZ1002" s="1631"/>
      <c r="CA1002" s="1631"/>
      <c r="CB1002" s="1631"/>
      <c r="CC1002" s="1631"/>
      <c r="CD1002" s="1631"/>
      <c r="CE1002" s="1631"/>
      <c r="CF1002" s="1631"/>
      <c r="CG1002" s="1631"/>
      <c r="CH1002" s="1631"/>
      <c r="CI1002" s="1631"/>
      <c r="CJ1002" s="1631"/>
      <c r="CK1002" s="1631"/>
      <c r="CL1002" s="1631"/>
      <c r="CM1002" s="1631"/>
      <c r="CN1002" s="1631"/>
      <c r="CO1002" s="1631"/>
      <c r="CP1002" s="1631"/>
      <c r="CQ1002" s="1631"/>
      <c r="CR1002" s="1631"/>
      <c r="CS1002" s="1631"/>
      <c r="CT1002" s="1631"/>
      <c r="CU1002" s="1631"/>
      <c r="CV1002" s="1631"/>
      <c r="CW1002" s="1631"/>
      <c r="CX1002" s="1631"/>
      <c r="CY1002" s="1631"/>
      <c r="CZ1002" s="1631"/>
      <c r="DA1002" s="1631"/>
      <c r="DB1002" s="1631"/>
      <c r="DC1002" s="1631"/>
      <c r="DD1002" s="1631"/>
      <c r="DE1002" s="1631"/>
      <c r="DF1002" s="1631"/>
      <c r="DG1002" s="1631"/>
      <c r="DH1002" s="1631"/>
      <c r="DI1002" s="1631"/>
      <c r="DJ1002" s="1631"/>
      <c r="DK1002" s="1631"/>
      <c r="DL1002" s="1631"/>
      <c r="DM1002" s="1631"/>
      <c r="DN1002" s="1631"/>
      <c r="DO1002" s="1631"/>
      <c r="DP1002" s="1631"/>
      <c r="DQ1002" s="1631"/>
      <c r="DR1002" s="1631"/>
      <c r="DS1002" s="1631"/>
      <c r="DT1002" s="1631"/>
      <c r="DU1002" s="1631"/>
      <c r="DV1002" s="1631"/>
      <c r="DW1002" s="1631"/>
      <c r="DX1002" s="1631"/>
      <c r="DY1002" s="1631"/>
      <c r="DZ1002" s="1631"/>
      <c r="EA1002" s="1631"/>
      <c r="EB1002" s="1631"/>
      <c r="EC1002" s="1631"/>
      <c r="ED1002" s="1631"/>
      <c r="EE1002" s="1631"/>
      <c r="EF1002" s="1631"/>
      <c r="EG1002" s="1631"/>
      <c r="EH1002" s="1631"/>
      <c r="EI1002" s="1631"/>
      <c r="EJ1002" s="1631"/>
      <c r="EK1002" s="1631"/>
      <c r="EL1002" s="1631"/>
      <c r="EM1002" s="1631"/>
      <c r="EN1002" s="1631"/>
      <c r="EO1002" s="1631"/>
      <c r="EP1002" s="1631"/>
      <c r="EQ1002" s="1631"/>
      <c r="ER1002" s="1631"/>
      <c r="ES1002" s="1631"/>
      <c r="ET1002" s="1631"/>
      <c r="EU1002" s="1631"/>
      <c r="EV1002" s="1631"/>
      <c r="EW1002" s="1631"/>
      <c r="EX1002" s="1631"/>
      <c r="EY1002" s="1631"/>
      <c r="EZ1002" s="1631"/>
      <c r="FA1002" s="1631"/>
      <c r="FB1002" s="1631"/>
      <c r="FC1002" s="1631"/>
      <c r="FD1002" s="1631"/>
      <c r="FE1002" s="1631"/>
      <c r="FF1002" s="1631"/>
      <c r="FG1002" s="1631"/>
      <c r="FH1002" s="1631"/>
      <c r="FI1002" s="1631"/>
      <c r="FJ1002" s="1631"/>
      <c r="FK1002" s="1631"/>
      <c r="FL1002" s="1631"/>
      <c r="FM1002" s="1631"/>
      <c r="FN1002" s="1631"/>
      <c r="FO1002" s="1631"/>
      <c r="FP1002" s="1631"/>
      <c r="FQ1002" s="1631"/>
      <c r="FR1002" s="1631"/>
      <c r="FS1002" s="1631"/>
      <c r="FT1002" s="1631"/>
      <c r="FU1002" s="1631"/>
      <c r="FV1002" s="1631"/>
      <c r="FW1002" s="1631"/>
      <c r="FX1002" s="1631"/>
      <c r="FY1002" s="1631"/>
      <c r="FZ1002" s="1631"/>
      <c r="GA1002" s="1631"/>
      <c r="GB1002" s="1631"/>
      <c r="GC1002" s="1631"/>
      <c r="GD1002" s="1631"/>
      <c r="GE1002" s="1631"/>
      <c r="GF1002" s="1631"/>
      <c r="GG1002" s="1631"/>
      <c r="GH1002" s="1631"/>
      <c r="GI1002" s="1631"/>
      <c r="GJ1002" s="1631"/>
      <c r="GK1002" s="1631"/>
      <c r="GL1002" s="1631"/>
      <c r="GM1002" s="1631"/>
      <c r="GN1002" s="1631"/>
      <c r="GO1002" s="1631"/>
      <c r="GP1002" s="1631"/>
      <c r="GQ1002" s="1631"/>
      <c r="GR1002" s="1631"/>
      <c r="GS1002" s="1631"/>
      <c r="GT1002" s="1631"/>
      <c r="GU1002" s="1631"/>
      <c r="GV1002" s="1631"/>
      <c r="GW1002" s="1631"/>
      <c r="GX1002" s="1631"/>
      <c r="GY1002" s="1631"/>
      <c r="GZ1002" s="1631"/>
      <c r="HA1002" s="1631"/>
      <c r="HB1002" s="1631"/>
      <c r="HC1002" s="1631"/>
      <c r="HD1002" s="1631"/>
      <c r="HE1002" s="1631"/>
      <c r="HF1002" s="1631"/>
      <c r="HG1002" s="1631"/>
      <c r="HH1002" s="1631"/>
      <c r="HI1002" s="1631"/>
      <c r="HJ1002" s="1631"/>
      <c r="HK1002" s="1631"/>
      <c r="HL1002" s="1631"/>
      <c r="HM1002" s="1631"/>
      <c r="HN1002" s="1631"/>
      <c r="HO1002" s="1631"/>
      <c r="HP1002" s="1631"/>
      <c r="HQ1002" s="1631"/>
      <c r="HR1002" s="1631"/>
      <c r="HS1002" s="1631"/>
      <c r="HT1002" s="1631"/>
      <c r="HU1002" s="1631"/>
      <c r="HV1002" s="1631"/>
      <c r="HW1002" s="1631"/>
      <c r="HX1002" s="1631"/>
      <c r="HY1002" s="1631"/>
      <c r="HZ1002" s="1631"/>
      <c r="IA1002" s="1631"/>
      <c r="IB1002" s="1631"/>
      <c r="IC1002" s="1631"/>
      <c r="ID1002" s="1631"/>
      <c r="IE1002" s="1631"/>
      <c r="IF1002" s="1631"/>
      <c r="IG1002" s="1631"/>
      <c r="IH1002" s="1631"/>
      <c r="II1002" s="1631"/>
      <c r="IJ1002" s="1631"/>
      <c r="IK1002" s="1631"/>
      <c r="IL1002" s="1631"/>
      <c r="IM1002" s="1631"/>
      <c r="IN1002" s="1631"/>
      <c r="IO1002" s="1631"/>
      <c r="IP1002" s="1631"/>
      <c r="IQ1002" s="1631"/>
      <c r="IR1002" s="1631"/>
      <c r="IS1002" s="1631"/>
      <c r="IT1002" s="1631"/>
      <c r="IU1002" s="1631"/>
      <c r="IV1002" s="1631"/>
      <c r="IW1002" s="1631"/>
      <c r="IX1002" s="1631"/>
      <c r="IY1002" s="1631"/>
      <c r="IZ1002" s="1631"/>
      <c r="JA1002" s="1631"/>
      <c r="JB1002" s="1631"/>
      <c r="JC1002" s="1631"/>
      <c r="JD1002" s="1631"/>
      <c r="JE1002" s="1631"/>
      <c r="JF1002" s="1631"/>
      <c r="JG1002" s="1631"/>
      <c r="JH1002" s="1631"/>
      <c r="JI1002" s="1631"/>
      <c r="JJ1002" s="1631"/>
      <c r="JK1002" s="1631"/>
      <c r="JL1002" s="1631"/>
      <c r="JM1002" s="1631"/>
      <c r="JN1002" s="1631"/>
      <c r="JO1002" s="1631"/>
      <c r="JP1002" s="1631"/>
      <c r="JQ1002" s="1631"/>
      <c r="JR1002" s="1631"/>
      <c r="JS1002" s="1631"/>
      <c r="JT1002" s="1631"/>
      <c r="JU1002" s="1631"/>
      <c r="JV1002" s="1630"/>
      <c r="JW1002" s="1631"/>
      <c r="JX1002" s="1631"/>
      <c r="JY1002" s="1631"/>
      <c r="JZ1002" s="1631"/>
      <c r="KA1002" s="1630"/>
      <c r="KB1002" s="1630"/>
      <c r="KC1002" s="1630"/>
      <c r="KD1002" s="1630"/>
      <c r="KE1002" s="1630"/>
      <c r="KF1002" s="1630"/>
      <c r="KG1002" s="1630"/>
      <c r="KH1002" s="1630"/>
      <c r="KI1002" s="1630"/>
      <c r="KJ1002" s="1630"/>
      <c r="KK1002" s="1630"/>
      <c r="KL1002" s="1630"/>
      <c r="KM1002" s="1630"/>
      <c r="KN1002" s="1630"/>
      <c r="KO1002" s="1630"/>
      <c r="KP1002" s="1630"/>
      <c r="KQ1002" s="1630"/>
      <c r="KR1002" s="1630"/>
      <c r="KS1002" s="1630"/>
      <c r="KT1002" s="1630"/>
      <c r="KU1002" s="1630"/>
      <c r="KV1002" s="1630"/>
      <c r="KW1002" s="1630"/>
      <c r="KX1002" s="1630"/>
      <c r="KY1002" s="1630"/>
      <c r="KZ1002" s="1630"/>
      <c r="LA1002" s="1630"/>
      <c r="LB1002" s="1630"/>
      <c r="LC1002" s="1630"/>
      <c r="LD1002" s="1630"/>
      <c r="LE1002" s="1630"/>
      <c r="LF1002" s="1630"/>
      <c r="LG1002" s="1631"/>
      <c r="LH1002" s="1631"/>
      <c r="LI1002" s="1631"/>
      <c r="LJ1002" s="1631"/>
      <c r="LK1002" s="1631"/>
      <c r="LL1002" s="1631"/>
      <c r="LM1002" s="1631"/>
      <c r="LN1002" s="1631"/>
      <c r="LO1002" s="1631"/>
      <c r="LP1002" s="1631"/>
      <c r="LQ1002" s="1631"/>
      <c r="LR1002" s="1631"/>
      <c r="LS1002" s="1631"/>
      <c r="LT1002" s="1631"/>
      <c r="LU1002" s="1631"/>
      <c r="LV1002" s="1631"/>
      <c r="LW1002" s="1631"/>
      <c r="LX1002" s="1631"/>
      <c r="LY1002" s="1631"/>
      <c r="LZ1002" s="1631"/>
      <c r="MA1002" s="1631"/>
      <c r="MB1002" s="1631"/>
      <c r="MC1002" s="1631"/>
      <c r="MD1002" s="1631"/>
      <c r="ME1002" s="1631"/>
      <c r="MF1002" s="1631"/>
      <c r="MG1002" s="1631"/>
      <c r="MH1002" s="1631"/>
      <c r="MI1002" s="1631"/>
      <c r="MJ1002" s="1631"/>
      <c r="MK1002" s="1631"/>
      <c r="ML1002" s="1631"/>
      <c r="MM1002" s="1631"/>
      <c r="MN1002" s="1631"/>
      <c r="MO1002" s="1631"/>
      <c r="MP1002" s="1631"/>
      <c r="MQ1002" s="1631"/>
      <c r="MR1002" s="1631"/>
      <c r="MS1002" s="1631"/>
    </row>
    <row r="1003" spans="1:357">
      <c r="A1003" s="1631"/>
      <c r="B1003" s="1631"/>
      <c r="C1003" s="2774"/>
      <c r="D1003" s="1631"/>
      <c r="E1003" s="1631"/>
      <c r="F1003" s="1833"/>
      <c r="G1003" s="1833"/>
      <c r="H1003" s="1631"/>
      <c r="I1003" s="1631"/>
      <c r="J1003" s="1833"/>
      <c r="K1003" s="1631"/>
      <c r="L1003" s="1631"/>
      <c r="M1003" s="1631"/>
      <c r="N1003" s="1631" t="s">
        <v>2187</v>
      </c>
      <c r="O1003" s="1631"/>
      <c r="P1003" s="1862">
        <f>P988+P992</f>
        <v>415749</v>
      </c>
      <c r="Q1003" s="1862"/>
      <c r="R1003" s="1631"/>
      <c r="S1003" s="1631"/>
      <c r="T1003" s="1631"/>
      <c r="U1003" s="1631"/>
      <c r="V1003" s="1631"/>
      <c r="X1003" s="1631"/>
      <c r="Y1003" s="1631"/>
      <c r="Z1003" s="1631"/>
      <c r="AA1003" s="1631"/>
      <c r="AC1003" s="1631"/>
      <c r="AD1003" s="1631"/>
      <c r="AE1003" s="1631"/>
      <c r="AF1003" s="1631"/>
      <c r="AH1003" s="1631"/>
      <c r="AI1003" s="1631"/>
      <c r="AJ1003" s="1631"/>
      <c r="AK1003" s="1631"/>
      <c r="AM1003" s="1631"/>
      <c r="AN1003" s="1631"/>
      <c r="AO1003" s="1631"/>
      <c r="AP1003" s="1631"/>
      <c r="AQ1003" s="1631"/>
      <c r="AR1003" s="1631"/>
      <c r="AS1003" s="1631"/>
      <c r="AT1003" s="1631"/>
      <c r="AU1003" s="1631"/>
      <c r="AV1003" s="1631"/>
      <c r="AW1003" s="1631"/>
      <c r="AX1003" s="1631"/>
      <c r="AY1003" s="1631"/>
      <c r="AZ1003" s="1631"/>
      <c r="BA1003" s="1631"/>
      <c r="BB1003" s="1631"/>
      <c r="BC1003" s="1631"/>
      <c r="BD1003" s="1631"/>
      <c r="BE1003" s="1631"/>
      <c r="BF1003" s="1631"/>
      <c r="BG1003" s="1631"/>
      <c r="BH1003" s="1631"/>
      <c r="BI1003" s="1631"/>
      <c r="BJ1003" s="1631"/>
      <c r="BK1003" s="1631"/>
      <c r="BL1003" s="1631"/>
      <c r="BM1003" s="1631"/>
      <c r="BN1003" s="1631"/>
      <c r="BO1003" s="1631"/>
      <c r="BP1003" s="1631"/>
      <c r="BQ1003" s="1631"/>
      <c r="BR1003" s="1631"/>
      <c r="BS1003" s="1631"/>
      <c r="BT1003" s="1631"/>
      <c r="BU1003" s="1631"/>
      <c r="BV1003" s="1631"/>
      <c r="BW1003" s="1631"/>
      <c r="BX1003" s="1631"/>
      <c r="BY1003" s="1631"/>
      <c r="BZ1003" s="1631"/>
      <c r="CA1003" s="1631"/>
      <c r="CB1003" s="1631"/>
      <c r="CC1003" s="1631"/>
      <c r="CD1003" s="1631"/>
      <c r="CE1003" s="1631"/>
      <c r="CF1003" s="1631"/>
      <c r="CG1003" s="1631"/>
      <c r="CH1003" s="1631"/>
      <c r="CI1003" s="1631"/>
      <c r="CJ1003" s="1631"/>
      <c r="CK1003" s="1631"/>
      <c r="CL1003" s="1631"/>
      <c r="CM1003" s="1631"/>
      <c r="CN1003" s="1631"/>
      <c r="CO1003" s="1631"/>
      <c r="CP1003" s="1631"/>
      <c r="CQ1003" s="1631"/>
      <c r="CR1003" s="1631"/>
      <c r="CS1003" s="1631"/>
      <c r="CT1003" s="1631"/>
      <c r="CU1003" s="1631"/>
      <c r="CV1003" s="1631"/>
      <c r="CW1003" s="1631"/>
      <c r="CX1003" s="1631"/>
      <c r="CY1003" s="1631"/>
      <c r="CZ1003" s="1631"/>
      <c r="DA1003" s="1631"/>
      <c r="DB1003" s="1631"/>
      <c r="DC1003" s="1631"/>
      <c r="DD1003" s="1631"/>
      <c r="DE1003" s="1631"/>
      <c r="DF1003" s="1631"/>
      <c r="DG1003" s="1631"/>
      <c r="DH1003" s="1631"/>
      <c r="DI1003" s="1631"/>
      <c r="DJ1003" s="1631"/>
      <c r="DK1003" s="1631"/>
      <c r="DL1003" s="1631"/>
      <c r="DM1003" s="1631"/>
      <c r="DN1003" s="1631"/>
      <c r="DO1003" s="1631"/>
      <c r="DP1003" s="1631"/>
      <c r="DQ1003" s="1631"/>
      <c r="DR1003" s="1631"/>
      <c r="DS1003" s="1631"/>
      <c r="DT1003" s="1631"/>
      <c r="DU1003" s="1631"/>
      <c r="DV1003" s="1631"/>
      <c r="DW1003" s="1631"/>
      <c r="DX1003" s="1631"/>
      <c r="DY1003" s="1631"/>
      <c r="DZ1003" s="1631"/>
      <c r="EA1003" s="1631"/>
      <c r="EB1003" s="1631"/>
      <c r="EC1003" s="1631"/>
      <c r="ED1003" s="1631"/>
      <c r="EE1003" s="1631"/>
      <c r="EF1003" s="1631"/>
      <c r="EG1003" s="1631"/>
      <c r="EH1003" s="1631"/>
      <c r="EI1003" s="1631"/>
      <c r="EJ1003" s="1631"/>
      <c r="EK1003" s="1631"/>
      <c r="EL1003" s="1631"/>
      <c r="EM1003" s="1631"/>
      <c r="EN1003" s="1631"/>
      <c r="EO1003" s="1631"/>
      <c r="EP1003" s="1631"/>
      <c r="EQ1003" s="1631"/>
      <c r="ER1003" s="1631"/>
      <c r="ES1003" s="1631"/>
      <c r="ET1003" s="1631"/>
      <c r="EU1003" s="1631"/>
      <c r="EV1003" s="1631"/>
      <c r="EW1003" s="1631"/>
      <c r="EX1003" s="1631"/>
      <c r="EY1003" s="1631"/>
      <c r="EZ1003" s="1631"/>
      <c r="FA1003" s="1631"/>
      <c r="FB1003" s="1631"/>
      <c r="FC1003" s="1631"/>
      <c r="FD1003" s="1631"/>
      <c r="FE1003" s="1631"/>
      <c r="FF1003" s="1631"/>
      <c r="FG1003" s="1631"/>
      <c r="FH1003" s="1631"/>
      <c r="FI1003" s="1631"/>
      <c r="FJ1003" s="1631"/>
      <c r="FK1003" s="1631"/>
      <c r="FL1003" s="1631"/>
      <c r="FM1003" s="1631"/>
      <c r="FN1003" s="1631"/>
      <c r="FO1003" s="1631"/>
      <c r="FP1003" s="1631"/>
      <c r="FQ1003" s="1631"/>
      <c r="FR1003" s="1631"/>
      <c r="FS1003" s="1631"/>
      <c r="FT1003" s="1631"/>
      <c r="FU1003" s="1631"/>
      <c r="FV1003" s="1631"/>
      <c r="FW1003" s="1631"/>
      <c r="FX1003" s="1631"/>
      <c r="FY1003" s="1631"/>
      <c r="FZ1003" s="1631"/>
      <c r="GA1003" s="1631"/>
      <c r="GB1003" s="1631"/>
      <c r="GC1003" s="1631"/>
      <c r="GD1003" s="1631"/>
      <c r="GE1003" s="1631"/>
      <c r="GF1003" s="1631"/>
      <c r="GG1003" s="1631"/>
      <c r="GH1003" s="1631"/>
      <c r="GI1003" s="1631"/>
      <c r="GJ1003" s="1631"/>
      <c r="GK1003" s="1631"/>
      <c r="GL1003" s="1631"/>
      <c r="GM1003" s="1631"/>
      <c r="GN1003" s="1631"/>
      <c r="GO1003" s="1631"/>
      <c r="GP1003" s="1631"/>
      <c r="GQ1003" s="1631"/>
      <c r="GR1003" s="1631"/>
      <c r="GS1003" s="1631"/>
      <c r="GT1003" s="1631"/>
      <c r="GU1003" s="1631"/>
      <c r="GV1003" s="1631"/>
      <c r="GW1003" s="1631"/>
      <c r="GX1003" s="1631"/>
      <c r="GY1003" s="1631"/>
      <c r="GZ1003" s="1631"/>
      <c r="HA1003" s="1631"/>
      <c r="HB1003" s="1631"/>
      <c r="HC1003" s="1631"/>
      <c r="HD1003" s="1631"/>
      <c r="HE1003" s="1631"/>
      <c r="HF1003" s="1631"/>
      <c r="HG1003" s="1631"/>
      <c r="HH1003" s="1631"/>
      <c r="HI1003" s="1631"/>
      <c r="HJ1003" s="1631"/>
      <c r="HK1003" s="1631"/>
      <c r="HL1003" s="1631"/>
      <c r="HM1003" s="1631"/>
      <c r="HN1003" s="1631"/>
      <c r="HO1003" s="1631"/>
      <c r="HP1003" s="1631"/>
      <c r="HQ1003" s="1631"/>
      <c r="HR1003" s="1631"/>
      <c r="HS1003" s="1631"/>
      <c r="HT1003" s="1631"/>
      <c r="HU1003" s="1631"/>
      <c r="HV1003" s="1631"/>
      <c r="HW1003" s="1631"/>
      <c r="HX1003" s="1631"/>
      <c r="HY1003" s="1631"/>
      <c r="HZ1003" s="1631"/>
      <c r="IA1003" s="1631"/>
      <c r="IB1003" s="1631"/>
      <c r="IC1003" s="1631"/>
      <c r="ID1003" s="1631"/>
      <c r="IE1003" s="1631"/>
      <c r="IF1003" s="1631"/>
      <c r="IG1003" s="1631"/>
      <c r="IH1003" s="1631"/>
      <c r="II1003" s="1631"/>
      <c r="IJ1003" s="1631"/>
      <c r="IK1003" s="1631"/>
      <c r="IL1003" s="1631"/>
      <c r="IM1003" s="1631"/>
      <c r="IN1003" s="1631"/>
      <c r="IO1003" s="1631"/>
      <c r="IP1003" s="1631"/>
      <c r="IQ1003" s="1631"/>
      <c r="IR1003" s="1631"/>
      <c r="IS1003" s="1631"/>
      <c r="IT1003" s="1631"/>
      <c r="IU1003" s="1631"/>
      <c r="IV1003" s="1631"/>
      <c r="IW1003" s="1631"/>
      <c r="IX1003" s="1631"/>
      <c r="IY1003" s="1631"/>
      <c r="IZ1003" s="1631"/>
      <c r="JA1003" s="1631"/>
      <c r="JB1003" s="1631"/>
      <c r="JC1003" s="1631"/>
      <c r="JD1003" s="1631"/>
      <c r="JE1003" s="1631"/>
      <c r="JF1003" s="1631"/>
      <c r="JG1003" s="1631"/>
      <c r="JH1003" s="1631"/>
      <c r="JI1003" s="1631"/>
      <c r="JJ1003" s="1631"/>
      <c r="JK1003" s="1631"/>
      <c r="JL1003" s="1631"/>
      <c r="JM1003" s="1631"/>
      <c r="JN1003" s="1631"/>
      <c r="JO1003" s="1631"/>
      <c r="JP1003" s="1631"/>
      <c r="JQ1003" s="1631"/>
      <c r="JR1003" s="1631"/>
      <c r="JS1003" s="1631"/>
      <c r="JT1003" s="1631"/>
      <c r="JU1003" s="1631"/>
      <c r="JV1003" s="1630"/>
      <c r="JW1003" s="1631"/>
      <c r="JX1003" s="1631"/>
      <c r="JY1003" s="1631"/>
      <c r="JZ1003" s="1631"/>
      <c r="KA1003" s="1630"/>
      <c r="KB1003" s="1630"/>
      <c r="KC1003" s="1630"/>
      <c r="KD1003" s="1630"/>
      <c r="KE1003" s="1630"/>
      <c r="KF1003" s="1630"/>
      <c r="KG1003" s="1630"/>
      <c r="KH1003" s="1630"/>
      <c r="KI1003" s="1630"/>
      <c r="KJ1003" s="1630"/>
      <c r="KK1003" s="1630"/>
      <c r="KL1003" s="1630"/>
      <c r="KM1003" s="1630"/>
      <c r="KN1003" s="1630"/>
      <c r="KO1003" s="1630"/>
      <c r="KP1003" s="1630"/>
      <c r="KQ1003" s="1630"/>
      <c r="KR1003" s="1630"/>
      <c r="KS1003" s="1630"/>
      <c r="KT1003" s="1630"/>
      <c r="KU1003" s="1630"/>
      <c r="KV1003" s="1630"/>
      <c r="KW1003" s="1630"/>
      <c r="KX1003" s="1630"/>
      <c r="KY1003" s="1630"/>
      <c r="KZ1003" s="1630"/>
      <c r="LA1003" s="1630"/>
      <c r="LB1003" s="1630"/>
      <c r="LC1003" s="1630"/>
      <c r="LD1003" s="1630"/>
      <c r="LE1003" s="1630"/>
      <c r="LF1003" s="1630"/>
      <c r="LG1003" s="1631"/>
      <c r="LH1003" s="1631"/>
      <c r="LI1003" s="1631"/>
      <c r="LJ1003" s="1631"/>
      <c r="LK1003" s="1631"/>
      <c r="LL1003" s="1631"/>
      <c r="LM1003" s="1631"/>
      <c r="LN1003" s="1631"/>
      <c r="LO1003" s="1631"/>
      <c r="LP1003" s="1631"/>
      <c r="LQ1003" s="1631"/>
      <c r="LR1003" s="1631"/>
      <c r="LS1003" s="1631"/>
      <c r="LT1003" s="1631"/>
      <c r="LU1003" s="1631"/>
      <c r="LV1003" s="1631"/>
      <c r="LW1003" s="1631"/>
      <c r="LX1003" s="1631"/>
      <c r="LY1003" s="1631"/>
      <c r="LZ1003" s="1631"/>
      <c r="MA1003" s="1631"/>
      <c r="MB1003" s="1631"/>
      <c r="MC1003" s="1631"/>
      <c r="MD1003" s="1631"/>
      <c r="ME1003" s="1631"/>
      <c r="MF1003" s="1631"/>
      <c r="MG1003" s="1631"/>
      <c r="MH1003" s="1631"/>
      <c r="MI1003" s="1631"/>
      <c r="MJ1003" s="1631"/>
      <c r="MK1003" s="1631"/>
      <c r="ML1003" s="1631"/>
      <c r="MM1003" s="1631"/>
      <c r="MN1003" s="1631"/>
      <c r="MO1003" s="1631"/>
      <c r="MP1003" s="1631"/>
      <c r="MQ1003" s="1631"/>
      <c r="MR1003" s="1631"/>
      <c r="MS1003" s="1631"/>
    </row>
    <row r="1004" spans="1:357">
      <c r="A1004" s="1631"/>
      <c r="B1004" s="1631"/>
      <c r="C1004" s="2774"/>
      <c r="D1004" s="1631"/>
      <c r="E1004" s="1631"/>
      <c r="F1004" s="1833"/>
      <c r="G1004" s="1833"/>
      <c r="H1004" s="1631"/>
      <c r="I1004" s="1631"/>
      <c r="J1004" s="1833"/>
      <c r="K1004" s="1631"/>
      <c r="L1004" s="1631"/>
      <c r="M1004" s="1631"/>
      <c r="N1004" s="1631"/>
      <c r="O1004" s="1631"/>
      <c r="P1004" s="1862"/>
      <c r="Q1004" s="1862"/>
      <c r="R1004" s="1631"/>
      <c r="S1004" s="1631"/>
      <c r="T1004" s="1631"/>
      <c r="U1004" s="1631"/>
      <c r="V1004" s="1631"/>
      <c r="X1004" s="1631"/>
      <c r="Y1004" s="1631"/>
      <c r="Z1004" s="1631"/>
      <c r="AA1004" s="1631"/>
      <c r="AC1004" s="1631"/>
      <c r="AD1004" s="1631"/>
      <c r="AE1004" s="1631"/>
      <c r="AF1004" s="1631"/>
      <c r="AH1004" s="1631"/>
      <c r="AI1004" s="1631"/>
      <c r="AJ1004" s="1631"/>
      <c r="AK1004" s="1631"/>
      <c r="AM1004" s="1631"/>
      <c r="AN1004" s="1631"/>
      <c r="AO1004" s="1631"/>
      <c r="AP1004" s="1631"/>
      <c r="AQ1004" s="1631"/>
      <c r="AR1004" s="1631"/>
      <c r="AS1004" s="1631"/>
      <c r="AT1004" s="1631"/>
      <c r="AU1004" s="1631"/>
      <c r="AV1004" s="1631"/>
      <c r="AW1004" s="1631"/>
      <c r="AX1004" s="1631"/>
      <c r="AY1004" s="1631"/>
      <c r="AZ1004" s="1631"/>
      <c r="BA1004" s="1631"/>
      <c r="BB1004" s="1631"/>
      <c r="BC1004" s="1631"/>
      <c r="BD1004" s="1631"/>
      <c r="BE1004" s="1631"/>
      <c r="BF1004" s="1631"/>
      <c r="BG1004" s="1631"/>
      <c r="BH1004" s="1631"/>
      <c r="BI1004" s="1631"/>
      <c r="BJ1004" s="1631"/>
      <c r="BK1004" s="1631"/>
      <c r="BL1004" s="1631"/>
      <c r="BM1004" s="1631"/>
      <c r="BN1004" s="1631"/>
      <c r="BO1004" s="1631"/>
      <c r="BP1004" s="1631"/>
      <c r="BQ1004" s="1631"/>
      <c r="BR1004" s="1631"/>
      <c r="BS1004" s="1631"/>
      <c r="BT1004" s="1631"/>
      <c r="BU1004" s="1631"/>
      <c r="BV1004" s="1631"/>
      <c r="BW1004" s="1631"/>
      <c r="BX1004" s="1631"/>
      <c r="BY1004" s="1631"/>
      <c r="BZ1004" s="1631"/>
      <c r="CA1004" s="1631"/>
      <c r="CB1004" s="1631"/>
      <c r="CC1004" s="1631"/>
      <c r="CD1004" s="1631"/>
      <c r="CE1004" s="1631"/>
      <c r="CF1004" s="1631"/>
      <c r="CG1004" s="1631"/>
      <c r="CH1004" s="1631"/>
      <c r="CI1004" s="1631"/>
      <c r="CJ1004" s="1631"/>
      <c r="CK1004" s="1631"/>
      <c r="CL1004" s="1631"/>
      <c r="CM1004" s="1631"/>
      <c r="CN1004" s="1631"/>
      <c r="CO1004" s="1631"/>
      <c r="CP1004" s="1631"/>
      <c r="CQ1004" s="1631"/>
      <c r="CR1004" s="1631"/>
      <c r="CS1004" s="1631"/>
      <c r="CT1004" s="1631"/>
      <c r="CU1004" s="1631"/>
      <c r="CV1004" s="1631"/>
      <c r="CW1004" s="1631"/>
      <c r="CX1004" s="1631"/>
      <c r="CY1004" s="1631"/>
      <c r="CZ1004" s="1631"/>
      <c r="DA1004" s="1631"/>
      <c r="DB1004" s="1631"/>
      <c r="DC1004" s="1631"/>
      <c r="DD1004" s="1631"/>
      <c r="DE1004" s="1631"/>
      <c r="DF1004" s="1631"/>
      <c r="DG1004" s="1631"/>
      <c r="DH1004" s="1631"/>
      <c r="DI1004" s="1631"/>
      <c r="DJ1004" s="1631"/>
      <c r="DK1004" s="1631"/>
      <c r="DL1004" s="1631"/>
      <c r="DM1004" s="1631"/>
      <c r="DN1004" s="1631"/>
      <c r="DO1004" s="1631"/>
      <c r="DP1004" s="1631"/>
      <c r="DQ1004" s="1631"/>
      <c r="DR1004" s="1631"/>
      <c r="DS1004" s="1631"/>
      <c r="DT1004" s="1631"/>
      <c r="DU1004" s="1631"/>
      <c r="DV1004" s="1631"/>
      <c r="DW1004" s="1631"/>
      <c r="DX1004" s="1631"/>
      <c r="DY1004" s="1631"/>
      <c r="DZ1004" s="1631"/>
      <c r="EA1004" s="1631"/>
      <c r="EB1004" s="1631"/>
      <c r="EC1004" s="1631"/>
      <c r="ED1004" s="1631"/>
      <c r="EE1004" s="1631"/>
      <c r="EF1004" s="1631"/>
      <c r="EG1004" s="1631"/>
      <c r="EH1004" s="1631"/>
      <c r="EI1004" s="1631"/>
      <c r="EJ1004" s="1631"/>
      <c r="EK1004" s="1631"/>
      <c r="EL1004" s="1631"/>
      <c r="EM1004" s="1631"/>
      <c r="EN1004" s="1631"/>
      <c r="EO1004" s="1631"/>
      <c r="EP1004" s="1631"/>
      <c r="EQ1004" s="1631"/>
      <c r="ER1004" s="1631"/>
      <c r="ES1004" s="1631"/>
      <c r="ET1004" s="1631"/>
      <c r="EU1004" s="1631"/>
      <c r="EV1004" s="1631"/>
      <c r="EW1004" s="1631"/>
      <c r="EX1004" s="1631"/>
      <c r="EY1004" s="1631"/>
      <c r="EZ1004" s="1631"/>
      <c r="FA1004" s="1631"/>
      <c r="FB1004" s="1631"/>
      <c r="FC1004" s="1631"/>
      <c r="FD1004" s="1631"/>
      <c r="FE1004" s="1631"/>
      <c r="FF1004" s="1631"/>
      <c r="FG1004" s="1631"/>
      <c r="FH1004" s="1631"/>
      <c r="FI1004" s="1631"/>
      <c r="FJ1004" s="1631"/>
      <c r="FK1004" s="1631"/>
      <c r="FL1004" s="1631"/>
      <c r="FM1004" s="1631"/>
      <c r="FN1004" s="1631"/>
      <c r="FO1004" s="1631"/>
      <c r="FP1004" s="1631"/>
      <c r="FQ1004" s="1631"/>
      <c r="FR1004" s="1631"/>
      <c r="FS1004" s="1631"/>
      <c r="FT1004" s="1631"/>
      <c r="FU1004" s="1631"/>
      <c r="FV1004" s="1631"/>
      <c r="FW1004" s="1631"/>
      <c r="FX1004" s="1631"/>
      <c r="FY1004" s="1631"/>
      <c r="FZ1004" s="1631"/>
      <c r="GA1004" s="1631"/>
      <c r="GB1004" s="1631"/>
      <c r="GC1004" s="1631"/>
      <c r="GD1004" s="1631"/>
      <c r="GE1004" s="1631"/>
      <c r="GF1004" s="1631"/>
      <c r="GG1004" s="1631"/>
      <c r="GH1004" s="1631"/>
      <c r="GI1004" s="1631"/>
      <c r="GJ1004" s="1631"/>
      <c r="GK1004" s="1631"/>
      <c r="GL1004" s="1631"/>
      <c r="GM1004" s="1631"/>
      <c r="GN1004" s="1631"/>
      <c r="GO1004" s="1631"/>
      <c r="GP1004" s="1631"/>
      <c r="GQ1004" s="1631"/>
      <c r="GR1004" s="1631"/>
      <c r="GS1004" s="1631"/>
      <c r="GT1004" s="1631"/>
      <c r="GU1004" s="1631"/>
      <c r="GV1004" s="1631"/>
      <c r="GW1004" s="1631"/>
      <c r="GX1004" s="1631"/>
      <c r="GY1004" s="1631"/>
      <c r="GZ1004" s="1631"/>
      <c r="HA1004" s="1631"/>
      <c r="HB1004" s="1631"/>
      <c r="HC1004" s="1631"/>
      <c r="HD1004" s="1631"/>
      <c r="HE1004" s="1631"/>
      <c r="HF1004" s="1631"/>
      <c r="HG1004" s="1631"/>
      <c r="HH1004" s="1631"/>
      <c r="HI1004" s="1631"/>
      <c r="HJ1004" s="1631"/>
      <c r="HK1004" s="1631"/>
      <c r="HL1004" s="1631"/>
      <c r="HM1004" s="1631"/>
      <c r="HN1004" s="1631"/>
      <c r="HO1004" s="1631"/>
      <c r="HP1004" s="1631"/>
      <c r="HQ1004" s="1631"/>
      <c r="HR1004" s="1631"/>
      <c r="HS1004" s="1631"/>
      <c r="HT1004" s="1631"/>
      <c r="HU1004" s="1631"/>
      <c r="HV1004" s="1631"/>
      <c r="HW1004" s="1631"/>
      <c r="HX1004" s="1631"/>
      <c r="HY1004" s="1631"/>
      <c r="HZ1004" s="1631"/>
      <c r="IA1004" s="1631"/>
      <c r="IB1004" s="1631"/>
      <c r="IC1004" s="1631"/>
      <c r="ID1004" s="1631"/>
      <c r="IE1004" s="1631"/>
      <c r="IF1004" s="1631"/>
      <c r="IG1004" s="1631"/>
      <c r="IH1004" s="1631"/>
      <c r="II1004" s="1631"/>
      <c r="IJ1004" s="1631"/>
      <c r="IK1004" s="1631"/>
      <c r="IL1004" s="1631"/>
      <c r="IM1004" s="1631"/>
      <c r="IN1004" s="1631"/>
      <c r="IO1004" s="1631"/>
      <c r="IP1004" s="1631"/>
      <c r="IQ1004" s="1631"/>
      <c r="IR1004" s="1631"/>
      <c r="IS1004" s="1631"/>
      <c r="IT1004" s="1631"/>
      <c r="IU1004" s="1631"/>
      <c r="IV1004" s="1631"/>
      <c r="IW1004" s="1631"/>
      <c r="IX1004" s="1631"/>
      <c r="IY1004" s="1631"/>
      <c r="IZ1004" s="1631"/>
      <c r="JA1004" s="1631"/>
      <c r="JB1004" s="1631"/>
      <c r="JC1004" s="1631"/>
      <c r="JD1004" s="1631"/>
      <c r="JE1004" s="1631"/>
      <c r="JF1004" s="1631"/>
      <c r="JG1004" s="1631"/>
      <c r="JH1004" s="1631"/>
      <c r="JI1004" s="1631"/>
      <c r="JJ1004" s="1631"/>
      <c r="JK1004" s="1631"/>
      <c r="JL1004" s="1631"/>
      <c r="JM1004" s="1631"/>
      <c r="JN1004" s="1631"/>
      <c r="JO1004" s="1631"/>
      <c r="JP1004" s="1631"/>
      <c r="JQ1004" s="1631"/>
      <c r="JR1004" s="1631"/>
      <c r="JS1004" s="1631"/>
      <c r="JT1004" s="1631"/>
      <c r="JU1004" s="1631"/>
      <c r="JV1004" s="1630"/>
      <c r="JW1004" s="1631"/>
      <c r="JX1004" s="1631"/>
      <c r="JY1004" s="1631"/>
      <c r="JZ1004" s="1631"/>
      <c r="KA1004" s="1630"/>
      <c r="KB1004" s="1630"/>
      <c r="KC1004" s="1630"/>
      <c r="KD1004" s="1630"/>
      <c r="KE1004" s="1630"/>
      <c r="KF1004" s="1630"/>
      <c r="KG1004" s="1630"/>
      <c r="KH1004" s="1630"/>
      <c r="KI1004" s="1630"/>
      <c r="KJ1004" s="1630"/>
      <c r="KK1004" s="1630"/>
      <c r="KL1004" s="1630"/>
      <c r="KM1004" s="1630"/>
      <c r="KN1004" s="1630"/>
      <c r="KO1004" s="1630"/>
      <c r="KP1004" s="1630"/>
      <c r="KQ1004" s="1630"/>
      <c r="KR1004" s="1630"/>
      <c r="KS1004" s="1630"/>
      <c r="KT1004" s="1630"/>
      <c r="KU1004" s="1630"/>
      <c r="KV1004" s="1630"/>
      <c r="KW1004" s="1630"/>
      <c r="KX1004" s="1630"/>
      <c r="KY1004" s="1630"/>
      <c r="KZ1004" s="1630"/>
      <c r="LA1004" s="1630"/>
      <c r="LB1004" s="1630"/>
      <c r="LC1004" s="1630"/>
      <c r="LD1004" s="1630"/>
      <c r="LE1004" s="1630"/>
      <c r="LF1004" s="1630"/>
      <c r="LG1004" s="1631"/>
      <c r="LH1004" s="1631"/>
      <c r="LI1004" s="1631"/>
      <c r="LJ1004" s="1631"/>
      <c r="LK1004" s="1631"/>
      <c r="LL1004" s="1631"/>
      <c r="LM1004" s="1631"/>
      <c r="LN1004" s="1631"/>
      <c r="LO1004" s="1631"/>
      <c r="LP1004" s="1631"/>
      <c r="LQ1004" s="1631"/>
      <c r="LR1004" s="1631"/>
      <c r="LS1004" s="1631"/>
      <c r="LT1004" s="1631"/>
      <c r="LU1004" s="1631"/>
      <c r="LV1004" s="1631"/>
      <c r="LW1004" s="1631"/>
      <c r="LX1004" s="1631"/>
      <c r="LY1004" s="1631"/>
      <c r="LZ1004" s="1631"/>
      <c r="MA1004" s="1631"/>
      <c r="MB1004" s="1631"/>
      <c r="MC1004" s="1631"/>
      <c r="MD1004" s="1631"/>
      <c r="ME1004" s="1631"/>
      <c r="MF1004" s="1631"/>
      <c r="MG1004" s="1631"/>
      <c r="MH1004" s="1631"/>
      <c r="MI1004" s="1631"/>
      <c r="MJ1004" s="1631"/>
      <c r="MK1004" s="1631"/>
      <c r="ML1004" s="1631"/>
      <c r="MM1004" s="1631"/>
      <c r="MN1004" s="1631"/>
      <c r="MO1004" s="1631"/>
      <c r="MP1004" s="1631"/>
      <c r="MQ1004" s="1631"/>
      <c r="MR1004" s="1631"/>
      <c r="MS1004" s="1631"/>
    </row>
    <row r="1005" spans="1:357">
      <c r="A1005" s="742" t="s">
        <v>1794</v>
      </c>
      <c r="B1005" s="1631" t="s">
        <v>5004</v>
      </c>
      <c r="C1005" s="2774"/>
      <c r="D1005" s="1631"/>
      <c r="E1005" s="1631"/>
      <c r="F1005" s="2775" t="s">
        <v>5005</v>
      </c>
      <c r="G1005" s="1833"/>
      <c r="H1005" s="1862">
        <f>'Part VI-Revenues &amp; Expenses'!H243</f>
        <v>0</v>
      </c>
      <c r="I1005" s="1862"/>
      <c r="J1005" s="1833"/>
      <c r="K1005" s="1941" t="s">
        <v>5006</v>
      </c>
      <c r="L1005" s="1924">
        <f>'Part VI-Revenues &amp; Expenses'!K243</f>
        <v>0</v>
      </c>
      <c r="M1005" s="1631"/>
      <c r="N1005" s="1631" t="s">
        <v>5008</v>
      </c>
      <c r="O1005" s="1631"/>
      <c r="P1005" s="1924">
        <f>'Part VI-Revenues &amp; Expenses'!P243</f>
        <v>0</v>
      </c>
      <c r="Q1005" s="1862"/>
      <c r="R1005" s="1838">
        <f>'Part VI-Revenues &amp; Expenses'!R243</f>
        <v>0</v>
      </c>
      <c r="S1005" s="1838"/>
      <c r="T1005" s="1838"/>
      <c r="U1005" s="1838"/>
      <c r="V1005" s="1838"/>
      <c r="X1005" s="1631"/>
      <c r="Y1005" s="1631"/>
      <c r="Z1005" s="1631"/>
      <c r="AA1005" s="1631"/>
      <c r="AC1005" s="1631"/>
      <c r="AD1005" s="1631"/>
      <c r="AE1005" s="1631"/>
      <c r="AF1005" s="1631"/>
      <c r="AH1005" s="1631"/>
      <c r="AI1005" s="1631"/>
      <c r="AJ1005" s="1631"/>
      <c r="AK1005" s="1631"/>
      <c r="AM1005" s="1631"/>
      <c r="AN1005" s="1631"/>
      <c r="AO1005" s="1631"/>
      <c r="AP1005" s="1631"/>
      <c r="AQ1005" s="1631"/>
      <c r="AR1005" s="1631"/>
      <c r="AS1005" s="1631"/>
      <c r="AT1005" s="1631"/>
      <c r="AU1005" s="1631"/>
      <c r="AV1005" s="1631"/>
      <c r="AW1005" s="1631"/>
      <c r="AX1005" s="1631"/>
      <c r="AY1005" s="1631"/>
      <c r="AZ1005" s="1631"/>
      <c r="BA1005" s="1631"/>
      <c r="BB1005" s="1631"/>
      <c r="BC1005" s="1631"/>
      <c r="BD1005" s="1631"/>
      <c r="BE1005" s="1631"/>
      <c r="BF1005" s="1631"/>
      <c r="BG1005" s="1631"/>
      <c r="BH1005" s="1631"/>
      <c r="BI1005" s="1631"/>
      <c r="BJ1005" s="1631"/>
      <c r="BK1005" s="1631"/>
      <c r="BL1005" s="1631"/>
      <c r="BM1005" s="1631"/>
      <c r="BN1005" s="1631"/>
      <c r="BO1005" s="1631"/>
      <c r="BP1005" s="1631"/>
      <c r="BQ1005" s="1631"/>
      <c r="BR1005" s="1631"/>
      <c r="BS1005" s="1631"/>
      <c r="BT1005" s="1631"/>
      <c r="BU1005" s="1631"/>
      <c r="BV1005" s="1631"/>
      <c r="BW1005" s="1631"/>
      <c r="BX1005" s="1631"/>
      <c r="BY1005" s="1631"/>
      <c r="BZ1005" s="1631"/>
      <c r="CA1005" s="1631"/>
      <c r="CB1005" s="1631"/>
      <c r="CC1005" s="1631"/>
      <c r="CD1005" s="1631"/>
      <c r="CE1005" s="1631"/>
      <c r="CF1005" s="1631"/>
      <c r="CG1005" s="1631"/>
      <c r="CH1005" s="1631"/>
      <c r="CI1005" s="1631"/>
      <c r="CJ1005" s="1631"/>
      <c r="CK1005" s="1631"/>
      <c r="CL1005" s="1631"/>
      <c r="CM1005" s="1631"/>
      <c r="CN1005" s="1631"/>
      <c r="CO1005" s="1631"/>
      <c r="CP1005" s="1631"/>
      <c r="CQ1005" s="1631"/>
      <c r="CR1005" s="1631"/>
      <c r="CS1005" s="1631"/>
      <c r="CT1005" s="1631"/>
      <c r="CU1005" s="1631"/>
      <c r="CV1005" s="1631"/>
      <c r="CW1005" s="1631"/>
      <c r="CX1005" s="1631"/>
      <c r="CY1005" s="1631"/>
      <c r="CZ1005" s="1631"/>
      <c r="DA1005" s="1631"/>
      <c r="DB1005" s="1631"/>
      <c r="DC1005" s="1631"/>
      <c r="DD1005" s="1631"/>
      <c r="DE1005" s="1631"/>
      <c r="DF1005" s="1631"/>
      <c r="DG1005" s="1631"/>
      <c r="DH1005" s="1631"/>
      <c r="DI1005" s="1631"/>
      <c r="DJ1005" s="1631"/>
      <c r="DK1005" s="1631"/>
      <c r="DL1005" s="1631"/>
      <c r="DM1005" s="1631"/>
      <c r="DN1005" s="1631"/>
      <c r="DO1005" s="1631"/>
      <c r="DP1005" s="1631"/>
      <c r="DQ1005" s="1631"/>
      <c r="DR1005" s="1631"/>
      <c r="DS1005" s="1631"/>
      <c r="DT1005" s="1631"/>
      <c r="DU1005" s="1631"/>
      <c r="DV1005" s="1631"/>
      <c r="DW1005" s="1631"/>
      <c r="DX1005" s="1631"/>
      <c r="DY1005" s="1631"/>
      <c r="DZ1005" s="1631"/>
      <c r="EA1005" s="1631"/>
      <c r="EB1005" s="1631"/>
      <c r="EC1005" s="1631"/>
      <c r="ED1005" s="1631"/>
      <c r="EE1005" s="1631"/>
      <c r="EF1005" s="1631"/>
      <c r="EG1005" s="1631"/>
      <c r="EH1005" s="1631"/>
      <c r="EI1005" s="1631"/>
      <c r="EJ1005" s="1631"/>
      <c r="EK1005" s="1631"/>
      <c r="EL1005" s="1631"/>
      <c r="EM1005" s="1631"/>
      <c r="EN1005" s="1631"/>
      <c r="EO1005" s="1631"/>
      <c r="EP1005" s="1631"/>
      <c r="EQ1005" s="1631"/>
      <c r="ER1005" s="1631"/>
      <c r="ES1005" s="1631"/>
      <c r="ET1005" s="1631"/>
      <c r="EU1005" s="1631"/>
      <c r="EV1005" s="1631"/>
      <c r="EW1005" s="1631"/>
      <c r="EX1005" s="1631"/>
      <c r="EY1005" s="1631"/>
      <c r="EZ1005" s="1631"/>
      <c r="FA1005" s="1631"/>
      <c r="FB1005" s="1631"/>
      <c r="FC1005" s="1631"/>
      <c r="FD1005" s="1631"/>
      <c r="FE1005" s="1631"/>
      <c r="FF1005" s="1631"/>
      <c r="FG1005" s="1631"/>
      <c r="FH1005" s="1631"/>
      <c r="FI1005" s="1631"/>
      <c r="FJ1005" s="1631"/>
      <c r="FK1005" s="1631"/>
      <c r="FL1005" s="1631"/>
      <c r="FM1005" s="1631"/>
      <c r="FN1005" s="1631"/>
      <c r="FO1005" s="1631"/>
      <c r="FP1005" s="1631"/>
      <c r="FQ1005" s="1631"/>
      <c r="FR1005" s="1631"/>
      <c r="FS1005" s="1631"/>
      <c r="FT1005" s="1631"/>
      <c r="FU1005" s="1631"/>
      <c r="FV1005" s="1631"/>
      <c r="FW1005" s="1631"/>
      <c r="FX1005" s="1631"/>
      <c r="FY1005" s="1631"/>
      <c r="FZ1005" s="1631"/>
      <c r="GA1005" s="1631"/>
      <c r="GB1005" s="1631"/>
      <c r="GC1005" s="1631"/>
      <c r="GD1005" s="1631"/>
      <c r="GE1005" s="1631"/>
      <c r="GF1005" s="1631"/>
      <c r="GG1005" s="1631"/>
      <c r="GH1005" s="1631"/>
      <c r="GI1005" s="1631"/>
      <c r="GJ1005" s="1631"/>
      <c r="GK1005" s="1631"/>
      <c r="GL1005" s="1631"/>
      <c r="GM1005" s="1631"/>
      <c r="GN1005" s="1631"/>
      <c r="GO1005" s="1631"/>
      <c r="GP1005" s="1631"/>
      <c r="GQ1005" s="1631"/>
      <c r="GR1005" s="1631"/>
      <c r="GS1005" s="1631"/>
      <c r="GT1005" s="1631"/>
      <c r="GU1005" s="1631"/>
      <c r="GV1005" s="1631"/>
      <c r="GW1005" s="1631"/>
      <c r="GX1005" s="1631"/>
      <c r="GY1005" s="1631"/>
      <c r="GZ1005" s="1631"/>
      <c r="HA1005" s="1631"/>
      <c r="HB1005" s="1631"/>
      <c r="HC1005" s="1631"/>
      <c r="HD1005" s="1631"/>
      <c r="HE1005" s="1631"/>
      <c r="HF1005" s="1631"/>
      <c r="HG1005" s="1631"/>
      <c r="HH1005" s="1631"/>
      <c r="HI1005" s="1631"/>
      <c r="HJ1005" s="1631"/>
      <c r="HK1005" s="1631"/>
      <c r="HL1005" s="1631"/>
      <c r="HM1005" s="1631"/>
      <c r="HN1005" s="1631"/>
      <c r="HO1005" s="1631"/>
      <c r="HP1005" s="1631"/>
      <c r="HQ1005" s="1631"/>
      <c r="HR1005" s="1631"/>
      <c r="HS1005" s="1631"/>
      <c r="HT1005" s="1631"/>
      <c r="HU1005" s="1631"/>
      <c r="HV1005" s="1631"/>
      <c r="HW1005" s="1631"/>
      <c r="HX1005" s="1631"/>
      <c r="HY1005" s="1631"/>
      <c r="HZ1005" s="1631"/>
      <c r="IA1005" s="1631"/>
      <c r="IB1005" s="1631"/>
      <c r="IC1005" s="1631"/>
      <c r="ID1005" s="1631"/>
      <c r="IE1005" s="1631"/>
      <c r="IF1005" s="1631"/>
      <c r="IG1005" s="1631"/>
      <c r="IH1005" s="1631"/>
      <c r="II1005" s="1631"/>
      <c r="IJ1005" s="1631"/>
      <c r="IK1005" s="1631"/>
      <c r="IL1005" s="1631"/>
      <c r="IM1005" s="1631"/>
      <c r="IN1005" s="1631"/>
      <c r="IO1005" s="1631"/>
      <c r="IP1005" s="1631"/>
      <c r="IQ1005" s="1631"/>
      <c r="IR1005" s="1631"/>
      <c r="IS1005" s="1631"/>
      <c r="IT1005" s="1631"/>
      <c r="IU1005" s="1631"/>
      <c r="IV1005" s="1631"/>
      <c r="IW1005" s="1631"/>
      <c r="IX1005" s="1631"/>
      <c r="IY1005" s="1631"/>
      <c r="IZ1005" s="1631"/>
      <c r="JA1005" s="1631"/>
      <c r="JB1005" s="1631"/>
      <c r="JC1005" s="1631"/>
      <c r="JD1005" s="1631"/>
      <c r="JE1005" s="1631"/>
      <c r="JF1005" s="1631"/>
      <c r="JG1005" s="1631"/>
      <c r="JH1005" s="1631"/>
      <c r="JI1005" s="1631"/>
      <c r="JJ1005" s="1631"/>
      <c r="JK1005" s="1631"/>
      <c r="JL1005" s="1631"/>
      <c r="JM1005" s="1631"/>
      <c r="JN1005" s="1631"/>
      <c r="JO1005" s="1631"/>
      <c r="JP1005" s="1631"/>
      <c r="JQ1005" s="1631"/>
      <c r="JR1005" s="1631"/>
      <c r="JS1005" s="1631"/>
      <c r="JT1005" s="1631"/>
      <c r="JU1005" s="1631"/>
      <c r="JV1005" s="1630"/>
      <c r="JW1005" s="1631"/>
      <c r="JX1005" s="1631"/>
      <c r="JY1005" s="1631"/>
      <c r="JZ1005" s="1631"/>
      <c r="KA1005" s="1630"/>
      <c r="KB1005" s="1630"/>
      <c r="KC1005" s="1630"/>
      <c r="KD1005" s="1630"/>
      <c r="KE1005" s="1630"/>
      <c r="KF1005" s="1630"/>
      <c r="KG1005" s="1630"/>
      <c r="KH1005" s="1630"/>
      <c r="KI1005" s="1630"/>
      <c r="KJ1005" s="1630"/>
      <c r="KK1005" s="1630"/>
      <c r="KL1005" s="1630"/>
      <c r="KM1005" s="1630"/>
      <c r="KN1005" s="1630"/>
      <c r="KO1005" s="1630"/>
      <c r="KP1005" s="1630"/>
      <c r="KQ1005" s="1630"/>
      <c r="KR1005" s="1630"/>
      <c r="KS1005" s="1630"/>
      <c r="KT1005" s="1630"/>
      <c r="KU1005" s="1630"/>
      <c r="KV1005" s="1630"/>
      <c r="KW1005" s="1630"/>
      <c r="KX1005" s="1630"/>
      <c r="KY1005" s="1630"/>
      <c r="KZ1005" s="1630"/>
      <c r="LA1005" s="1630"/>
      <c r="LB1005" s="1630"/>
      <c r="LC1005" s="1630"/>
      <c r="LD1005" s="1630"/>
      <c r="LE1005" s="1630"/>
      <c r="LF1005" s="1630"/>
      <c r="LG1005" s="1631"/>
      <c r="LH1005" s="1631"/>
      <c r="LI1005" s="1631"/>
      <c r="LJ1005" s="1631"/>
      <c r="LK1005" s="1631"/>
      <c r="LL1005" s="1631"/>
      <c r="LM1005" s="1631"/>
      <c r="LN1005" s="1631"/>
      <c r="LO1005" s="1631"/>
      <c r="LP1005" s="1631"/>
      <c r="LQ1005" s="1631"/>
      <c r="LR1005" s="1631"/>
      <c r="LS1005" s="1631"/>
      <c r="LT1005" s="1631"/>
      <c r="LU1005" s="1631"/>
      <c r="LV1005" s="1631"/>
      <c r="LW1005" s="1631"/>
      <c r="LX1005" s="1631"/>
      <c r="LY1005" s="1631"/>
      <c r="LZ1005" s="1631"/>
      <c r="MA1005" s="1631"/>
      <c r="MB1005" s="1631"/>
      <c r="MC1005" s="1631"/>
      <c r="MD1005" s="1631"/>
      <c r="ME1005" s="1631"/>
      <c r="MF1005" s="1631"/>
      <c r="MG1005" s="1631"/>
      <c r="MH1005" s="1631"/>
      <c r="MI1005" s="1631"/>
      <c r="MJ1005" s="1631"/>
      <c r="MK1005" s="1631"/>
      <c r="ML1005" s="1631"/>
      <c r="MM1005" s="1631"/>
      <c r="MN1005" s="1631"/>
      <c r="MO1005" s="1631"/>
      <c r="MP1005" s="1631"/>
      <c r="MQ1005" s="1631"/>
      <c r="MR1005" s="1631"/>
      <c r="MS1005" s="1631"/>
    </row>
    <row r="1006" spans="1:357" s="1631" customFormat="1" ht="6" customHeight="1">
      <c r="C1006" s="2774"/>
      <c r="F1006" s="1833"/>
      <c r="G1006" s="1833"/>
      <c r="J1006" s="1833"/>
      <c r="P1006" s="1862"/>
      <c r="Q1006" s="1862"/>
      <c r="W1006" s="742"/>
      <c r="AB1006" s="742"/>
      <c r="AG1006" s="742"/>
      <c r="AL1006" s="742"/>
      <c r="JV1006" s="1630"/>
      <c r="KA1006" s="1630"/>
      <c r="KB1006" s="1630"/>
      <c r="KC1006" s="1630"/>
      <c r="KD1006" s="1630"/>
      <c r="KE1006" s="1630"/>
      <c r="KF1006" s="1630"/>
      <c r="KG1006" s="1630"/>
      <c r="KH1006" s="1630"/>
      <c r="KI1006" s="1630"/>
      <c r="KJ1006" s="1630"/>
      <c r="KK1006" s="1630"/>
      <c r="KL1006" s="1630"/>
      <c r="KM1006" s="1630"/>
      <c r="KN1006" s="1630"/>
      <c r="KO1006" s="1630"/>
      <c r="KP1006" s="1630"/>
      <c r="KQ1006" s="1630"/>
      <c r="KR1006" s="1630"/>
      <c r="KS1006" s="1630"/>
      <c r="KT1006" s="1630"/>
      <c r="KU1006" s="1630"/>
      <c r="KV1006" s="1630"/>
      <c r="KW1006" s="1630"/>
      <c r="KX1006" s="1630"/>
      <c r="KY1006" s="1630"/>
      <c r="KZ1006" s="1630"/>
      <c r="LA1006" s="1630"/>
      <c r="LB1006" s="1630"/>
      <c r="LC1006" s="1630"/>
      <c r="LD1006" s="1630"/>
      <c r="LE1006" s="1630"/>
      <c r="LF1006" s="1630"/>
    </row>
    <row r="1007" spans="1:357" s="1631" customFormat="1" ht="15" customHeight="1">
      <c r="B1007" s="1631" t="s">
        <v>5080</v>
      </c>
      <c r="C1007" s="2774"/>
      <c r="F1007" s="1833"/>
      <c r="G1007" s="1833"/>
      <c r="I1007" s="1630" t="str">
        <f>'Part VI-Revenues &amp; Expenses'!I245</f>
        <v>&lt;&lt;Select&gt;&gt;</v>
      </c>
      <c r="J1007" s="2775" t="s">
        <v>5082</v>
      </c>
      <c r="K1007" s="1630" t="str">
        <f>'Part VI-Revenues &amp; Expenses'!K245</f>
        <v>&lt;&lt;Select&gt;&gt;</v>
      </c>
      <c r="L1007" s="1630" t="s">
        <v>5083</v>
      </c>
      <c r="M1007" s="1924" t="str">
        <f>'Part VI-Revenues &amp; Expenses'!L245</f>
        <v>Yrs in period</v>
      </c>
      <c r="N1007" s="1631" t="s">
        <v>5081</v>
      </c>
      <c r="P1007" s="1924">
        <f>'Part VI-Revenues &amp; Expenses'!O245</f>
        <v>0</v>
      </c>
      <c r="Q1007" s="1862"/>
      <c r="R1007" s="1838">
        <f>'Part VI-Revenues &amp; Expenses'!R245</f>
        <v>0</v>
      </c>
      <c r="S1007" s="1838"/>
      <c r="T1007" s="1838"/>
      <c r="U1007" s="1838"/>
      <c r="V1007" s="1838"/>
      <c r="W1007" s="742"/>
      <c r="AB1007" s="742"/>
      <c r="AG1007" s="742"/>
      <c r="AL1007" s="742"/>
      <c r="JV1007" s="1630"/>
      <c r="KA1007" s="1630"/>
      <c r="KB1007" s="1630"/>
      <c r="KC1007" s="1630"/>
      <c r="KD1007" s="1630"/>
      <c r="KE1007" s="1630"/>
      <c r="KF1007" s="1630"/>
      <c r="KG1007" s="1630"/>
      <c r="KH1007" s="1630"/>
      <c r="KI1007" s="1630"/>
      <c r="KJ1007" s="1630"/>
      <c r="KK1007" s="1630"/>
      <c r="KL1007" s="1630"/>
      <c r="KM1007" s="1630"/>
      <c r="KN1007" s="1630"/>
      <c r="KO1007" s="1630"/>
      <c r="KP1007" s="1630"/>
      <c r="KQ1007" s="1630"/>
      <c r="KR1007" s="1630"/>
      <c r="KS1007" s="1630"/>
      <c r="KT1007" s="1630"/>
      <c r="KU1007" s="1630"/>
      <c r="KV1007" s="1630"/>
      <c r="KW1007" s="1630"/>
      <c r="KX1007" s="1630"/>
      <c r="KY1007" s="1630"/>
      <c r="KZ1007" s="1630"/>
      <c r="LA1007" s="1630"/>
      <c r="LB1007" s="1630"/>
      <c r="LC1007" s="1630"/>
      <c r="LD1007" s="1630"/>
      <c r="LE1007" s="1630"/>
      <c r="LF1007" s="1630"/>
    </row>
    <row r="1008" spans="1:357">
      <c r="A1008" s="1631"/>
      <c r="B1008" s="1631"/>
      <c r="C1008" s="2774"/>
      <c r="D1008" s="1631"/>
      <c r="E1008" s="1631"/>
      <c r="F1008" s="1833"/>
      <c r="G1008" s="1833"/>
      <c r="H1008" s="1631"/>
      <c r="I1008" s="1631"/>
      <c r="J1008" s="1833"/>
      <c r="K1008" s="1631"/>
      <c r="L1008" s="1631"/>
      <c r="M1008" s="1631"/>
      <c r="N1008" s="1631"/>
      <c r="O1008" s="1631"/>
      <c r="P1008" s="1862"/>
      <c r="Q1008" s="1862"/>
      <c r="R1008" s="1631"/>
      <c r="S1008" s="1631"/>
      <c r="T1008" s="1631"/>
      <c r="U1008" s="1631"/>
      <c r="V1008" s="1631"/>
      <c r="X1008" s="1631"/>
      <c r="Y1008" s="1631"/>
      <c r="Z1008" s="1631"/>
      <c r="AA1008" s="1631"/>
      <c r="AC1008" s="1631"/>
      <c r="AD1008" s="1631"/>
      <c r="AE1008" s="1631"/>
      <c r="AF1008" s="1631"/>
      <c r="AH1008" s="1631"/>
      <c r="AI1008" s="1631"/>
      <c r="AJ1008" s="1631"/>
      <c r="AK1008" s="1631"/>
      <c r="AM1008" s="1631"/>
      <c r="AN1008" s="1631"/>
      <c r="AO1008" s="1631"/>
      <c r="AP1008" s="1631"/>
      <c r="AQ1008" s="1631"/>
      <c r="AR1008" s="1631"/>
      <c r="AS1008" s="1631"/>
      <c r="AT1008" s="1631"/>
      <c r="AU1008" s="1631"/>
      <c r="AV1008" s="1631"/>
      <c r="AW1008" s="1631"/>
      <c r="AX1008" s="1631"/>
      <c r="AY1008" s="1631"/>
      <c r="AZ1008" s="1631"/>
      <c r="BA1008" s="1631"/>
      <c r="BB1008" s="1631"/>
      <c r="BC1008" s="1631"/>
      <c r="BD1008" s="1631"/>
      <c r="BE1008" s="1631"/>
      <c r="BF1008" s="1631"/>
      <c r="BG1008" s="1631"/>
      <c r="BH1008" s="1631"/>
      <c r="BI1008" s="1631"/>
      <c r="BJ1008" s="1631"/>
      <c r="BK1008" s="1631"/>
      <c r="BL1008" s="1631"/>
      <c r="BM1008" s="1631"/>
      <c r="BN1008" s="1631"/>
      <c r="BO1008" s="1631"/>
      <c r="BP1008" s="1631"/>
      <c r="BQ1008" s="1631"/>
      <c r="BR1008" s="1631"/>
      <c r="BS1008" s="1631"/>
      <c r="BT1008" s="1631"/>
      <c r="BU1008" s="1631"/>
      <c r="BV1008" s="1631"/>
      <c r="BW1008" s="1631"/>
      <c r="BX1008" s="1631"/>
      <c r="BY1008" s="1631"/>
      <c r="BZ1008" s="1631"/>
      <c r="CA1008" s="1631"/>
      <c r="CB1008" s="1631"/>
      <c r="CC1008" s="1631"/>
      <c r="CD1008" s="1631"/>
      <c r="CE1008" s="1631"/>
      <c r="CF1008" s="1631"/>
      <c r="CG1008" s="1631"/>
      <c r="CH1008" s="1631"/>
      <c r="CI1008" s="1631"/>
      <c r="CJ1008" s="1631"/>
      <c r="CK1008" s="1631"/>
      <c r="CL1008" s="1631"/>
      <c r="CM1008" s="1631"/>
      <c r="CN1008" s="1631"/>
      <c r="CO1008" s="1631"/>
      <c r="CP1008" s="1631"/>
      <c r="CQ1008" s="1631"/>
      <c r="CR1008" s="1631"/>
      <c r="CS1008" s="1631"/>
      <c r="CT1008" s="1631"/>
      <c r="CU1008" s="1631"/>
      <c r="CV1008" s="1631"/>
      <c r="CW1008" s="1631"/>
      <c r="CX1008" s="1631"/>
      <c r="CY1008" s="1631"/>
      <c r="CZ1008" s="1631"/>
      <c r="DA1008" s="1631"/>
      <c r="DB1008" s="1631"/>
      <c r="DC1008" s="1631"/>
      <c r="DD1008" s="1631"/>
      <c r="DE1008" s="1631"/>
      <c r="DF1008" s="1631"/>
      <c r="DG1008" s="1631"/>
      <c r="DH1008" s="1631"/>
      <c r="DI1008" s="1631"/>
      <c r="DJ1008" s="1631"/>
      <c r="DK1008" s="1631"/>
      <c r="DL1008" s="1631"/>
      <c r="DM1008" s="1631"/>
      <c r="DN1008" s="1631"/>
      <c r="DO1008" s="1631"/>
      <c r="DP1008" s="1631"/>
      <c r="DQ1008" s="1631"/>
      <c r="DR1008" s="1631"/>
      <c r="DS1008" s="1631"/>
      <c r="DT1008" s="1631"/>
      <c r="DU1008" s="1631"/>
      <c r="DV1008" s="1631"/>
      <c r="DW1008" s="1631"/>
      <c r="DX1008" s="1631"/>
      <c r="DY1008" s="1631"/>
      <c r="DZ1008" s="1631"/>
      <c r="EA1008" s="1631"/>
      <c r="EB1008" s="1631"/>
      <c r="EC1008" s="1631"/>
      <c r="ED1008" s="1631"/>
      <c r="EE1008" s="1631"/>
      <c r="EF1008" s="1631"/>
      <c r="EG1008" s="1631"/>
      <c r="EH1008" s="1631"/>
      <c r="EI1008" s="1631"/>
      <c r="EJ1008" s="1631"/>
      <c r="EK1008" s="1631"/>
      <c r="EL1008" s="1631"/>
      <c r="EM1008" s="1631"/>
      <c r="EN1008" s="1631"/>
      <c r="EO1008" s="1631"/>
      <c r="EP1008" s="1631"/>
      <c r="EQ1008" s="1631"/>
      <c r="ER1008" s="1631"/>
      <c r="ES1008" s="1631"/>
      <c r="ET1008" s="1631"/>
      <c r="EU1008" s="1631"/>
      <c r="EV1008" s="1631"/>
      <c r="EW1008" s="1631"/>
      <c r="EX1008" s="1631"/>
      <c r="EY1008" s="1631"/>
      <c r="EZ1008" s="1631"/>
      <c r="FA1008" s="1631"/>
      <c r="FB1008" s="1631"/>
      <c r="FC1008" s="1631"/>
      <c r="FD1008" s="1631"/>
      <c r="FE1008" s="1631"/>
      <c r="FF1008" s="1631"/>
      <c r="FG1008" s="1631"/>
      <c r="FH1008" s="1631"/>
      <c r="FI1008" s="1631"/>
      <c r="FJ1008" s="1631"/>
      <c r="FK1008" s="1631"/>
      <c r="FL1008" s="1631"/>
      <c r="FM1008" s="1631"/>
      <c r="FN1008" s="1631"/>
      <c r="FO1008" s="1631"/>
      <c r="FP1008" s="1631"/>
      <c r="FQ1008" s="1631"/>
      <c r="FR1008" s="1631"/>
      <c r="FS1008" s="1631"/>
      <c r="FT1008" s="1631"/>
      <c r="FU1008" s="1631"/>
      <c r="FV1008" s="1631"/>
      <c r="FW1008" s="1631"/>
      <c r="FX1008" s="1631"/>
      <c r="FY1008" s="1631"/>
      <c r="FZ1008" s="1631"/>
      <c r="GA1008" s="1631"/>
      <c r="GB1008" s="1631"/>
      <c r="GC1008" s="1631"/>
      <c r="GD1008" s="1631"/>
      <c r="GE1008" s="1631"/>
      <c r="GF1008" s="1631"/>
      <c r="GG1008" s="1631"/>
      <c r="GH1008" s="1631"/>
      <c r="GI1008" s="1631"/>
      <c r="GJ1008" s="1631"/>
      <c r="GK1008" s="1631"/>
      <c r="GL1008" s="1631"/>
      <c r="GM1008" s="1631"/>
      <c r="GN1008" s="1631"/>
      <c r="GO1008" s="1631"/>
      <c r="GP1008" s="1631"/>
      <c r="GQ1008" s="1631"/>
      <c r="GR1008" s="1631"/>
      <c r="GS1008" s="1631"/>
      <c r="GT1008" s="1631"/>
      <c r="GU1008" s="1631"/>
      <c r="GV1008" s="1631"/>
      <c r="GW1008" s="1631"/>
      <c r="GX1008" s="1631"/>
      <c r="GY1008" s="1631"/>
      <c r="GZ1008" s="1631"/>
      <c r="HA1008" s="1631"/>
      <c r="HB1008" s="1631"/>
      <c r="HC1008" s="1631"/>
      <c r="HD1008" s="1631"/>
      <c r="HE1008" s="1631"/>
      <c r="HF1008" s="1631"/>
      <c r="HG1008" s="1631"/>
      <c r="HH1008" s="1631"/>
      <c r="HI1008" s="1631"/>
      <c r="HJ1008" s="1631"/>
      <c r="HK1008" s="1631"/>
      <c r="HL1008" s="1631"/>
      <c r="HM1008" s="1631"/>
      <c r="HN1008" s="1631"/>
      <c r="HO1008" s="1631"/>
      <c r="HP1008" s="1631"/>
      <c r="HQ1008" s="1631"/>
      <c r="HR1008" s="1631"/>
      <c r="HS1008" s="1631"/>
      <c r="HT1008" s="1631"/>
      <c r="HU1008" s="1631"/>
      <c r="HV1008" s="1631"/>
      <c r="HW1008" s="1631"/>
      <c r="HX1008" s="1631"/>
      <c r="HY1008" s="1631"/>
      <c r="HZ1008" s="1631"/>
      <c r="IA1008" s="1631"/>
      <c r="IB1008" s="1631"/>
      <c r="IC1008" s="1631"/>
      <c r="ID1008" s="1631"/>
      <c r="IE1008" s="1631"/>
      <c r="IF1008" s="1631"/>
      <c r="IG1008" s="1631"/>
      <c r="IH1008" s="1631"/>
      <c r="II1008" s="1631"/>
      <c r="IJ1008" s="1631"/>
      <c r="IK1008" s="1631"/>
      <c r="IL1008" s="1631"/>
      <c r="IM1008" s="1631"/>
      <c r="IN1008" s="1631"/>
      <c r="IO1008" s="1631"/>
      <c r="IP1008" s="1631"/>
      <c r="IQ1008" s="1631"/>
      <c r="IR1008" s="1631"/>
      <c r="IS1008" s="1631"/>
      <c r="IT1008" s="1631"/>
      <c r="IU1008" s="1631"/>
      <c r="IV1008" s="1631"/>
      <c r="IW1008" s="1631"/>
      <c r="IX1008" s="1631"/>
      <c r="IY1008" s="1631"/>
      <c r="IZ1008" s="1631"/>
      <c r="JA1008" s="1631"/>
      <c r="JB1008" s="1631"/>
      <c r="JC1008" s="1631"/>
      <c r="JD1008" s="1631"/>
      <c r="JE1008" s="1631"/>
      <c r="JF1008" s="1631"/>
      <c r="JG1008" s="1631"/>
      <c r="JH1008" s="1631"/>
      <c r="JI1008" s="1631"/>
      <c r="JJ1008" s="1631"/>
      <c r="JK1008" s="1631"/>
      <c r="JL1008" s="1631"/>
      <c r="JM1008" s="1631"/>
      <c r="JN1008" s="1631"/>
      <c r="JO1008" s="1631"/>
      <c r="JP1008" s="1631"/>
      <c r="JQ1008" s="1631"/>
      <c r="JR1008" s="1631"/>
      <c r="JS1008" s="1631"/>
      <c r="JT1008" s="1631"/>
      <c r="JU1008" s="1631"/>
      <c r="JV1008" s="1630"/>
      <c r="JW1008" s="1631"/>
      <c r="JX1008" s="1631"/>
      <c r="JY1008" s="1631"/>
      <c r="JZ1008" s="1631"/>
      <c r="KA1008" s="1630"/>
      <c r="KB1008" s="1630"/>
      <c r="KC1008" s="1630"/>
      <c r="KD1008" s="1630"/>
      <c r="KE1008" s="1630"/>
      <c r="KF1008" s="1630"/>
      <c r="KG1008" s="1630"/>
      <c r="KH1008" s="1630"/>
      <c r="KI1008" s="1630"/>
      <c r="KJ1008" s="1630"/>
      <c r="KK1008" s="1630"/>
      <c r="KL1008" s="1630"/>
      <c r="KM1008" s="1630"/>
      <c r="KN1008" s="1630"/>
      <c r="KO1008" s="1630"/>
      <c r="KP1008" s="1630"/>
      <c r="KQ1008" s="1630"/>
      <c r="KR1008" s="1630"/>
      <c r="KS1008" s="1630"/>
      <c r="KT1008" s="1630"/>
      <c r="KU1008" s="1630"/>
      <c r="KV1008" s="1630"/>
      <c r="KW1008" s="1630"/>
      <c r="KX1008" s="1630"/>
      <c r="KY1008" s="1630"/>
      <c r="KZ1008" s="1630"/>
      <c r="LA1008" s="1630"/>
      <c r="LB1008" s="1630"/>
      <c r="LC1008" s="1630"/>
      <c r="LD1008" s="1630"/>
      <c r="LE1008" s="1630"/>
      <c r="LF1008" s="1630"/>
      <c r="LG1008" s="1631"/>
      <c r="LH1008" s="1631"/>
      <c r="LI1008" s="1631"/>
      <c r="LJ1008" s="1631"/>
      <c r="LK1008" s="1631"/>
      <c r="LL1008" s="1631"/>
      <c r="LM1008" s="1631"/>
      <c r="LN1008" s="1631"/>
      <c r="LO1008" s="1631"/>
      <c r="LP1008" s="1631"/>
      <c r="LQ1008" s="1631"/>
      <c r="LR1008" s="1631"/>
      <c r="LS1008" s="1631"/>
      <c r="LT1008" s="1631"/>
      <c r="LU1008" s="1631"/>
      <c r="LV1008" s="1631"/>
      <c r="LW1008" s="1631"/>
      <c r="LX1008" s="1631"/>
      <c r="LY1008" s="1631"/>
      <c r="LZ1008" s="1631"/>
      <c r="MA1008" s="1631"/>
      <c r="MB1008" s="1631"/>
      <c r="MC1008" s="1631"/>
      <c r="MD1008" s="1631"/>
      <c r="ME1008" s="1631"/>
      <c r="MF1008" s="1631"/>
      <c r="MG1008" s="1631"/>
      <c r="MH1008" s="1631"/>
      <c r="MI1008" s="1631"/>
      <c r="MJ1008" s="1631"/>
      <c r="MK1008" s="1631"/>
      <c r="ML1008" s="1631"/>
      <c r="MM1008" s="1631"/>
      <c r="MN1008" s="1631"/>
      <c r="MO1008" s="1631"/>
      <c r="MP1008" s="1631"/>
      <c r="MQ1008" s="1631"/>
      <c r="MR1008" s="1631"/>
      <c r="MS1008" s="1631"/>
    </row>
    <row r="1009" spans="1:318">
      <c r="A1009" s="742" t="s">
        <v>4109</v>
      </c>
      <c r="B1009" s="742" t="s">
        <v>572</v>
      </c>
      <c r="M1009" s="742" t="s">
        <v>5003</v>
      </c>
      <c r="JV1009" s="1637"/>
      <c r="KA1009" s="1637"/>
      <c r="KB1009" s="1637"/>
      <c r="KC1009" s="1637"/>
      <c r="KD1009" s="1637"/>
      <c r="KE1009" s="1637"/>
      <c r="KF1009" s="1637"/>
      <c r="KG1009" s="1637"/>
      <c r="KH1009" s="1637"/>
      <c r="KI1009" s="1637"/>
      <c r="KJ1009" s="1637"/>
      <c r="KK1009" s="1637"/>
      <c r="KL1009" s="1637"/>
      <c r="KM1009" s="1637"/>
      <c r="KN1009" s="1637"/>
      <c r="KO1009" s="1637"/>
      <c r="KP1009" s="1637"/>
      <c r="KQ1009" s="1637"/>
      <c r="KR1009" s="1637"/>
      <c r="KS1009" s="1637"/>
      <c r="KT1009" s="1637"/>
      <c r="KU1009" s="1637"/>
      <c r="KV1009" s="1637"/>
      <c r="KW1009" s="1637"/>
      <c r="KX1009" s="1637"/>
      <c r="KY1009" s="1637"/>
      <c r="KZ1009" s="1637"/>
      <c r="LA1009" s="1637"/>
      <c r="LB1009" s="1637"/>
      <c r="LC1009" s="1637"/>
      <c r="LD1009" s="1637"/>
      <c r="LE1009" s="1637"/>
      <c r="LF1009" s="1637"/>
    </row>
    <row r="1010" spans="1:318" ht="15.75" customHeight="1">
      <c r="A1010" s="1708"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010" s="1708"/>
      <c r="C1010" s="1708"/>
      <c r="D1010" s="1708"/>
      <c r="E1010" s="1708"/>
      <c r="F1010" s="1708"/>
      <c r="G1010" s="1708"/>
      <c r="H1010" s="1708"/>
      <c r="I1010" s="1708"/>
      <c r="J1010" s="1708"/>
      <c r="K1010" s="1708"/>
      <c r="L1010" s="1708"/>
      <c r="M1010" s="1708">
        <f>'Part VI-Revenues &amp; Expenses'!M248</f>
        <v>0</v>
      </c>
      <c r="N1010" s="1708"/>
      <c r="O1010" s="1708"/>
      <c r="P1010" s="1708"/>
      <c r="Q1010" s="2727" t="s">
        <v>4108</v>
      </c>
      <c r="R1010" s="2727"/>
      <c r="S1010" s="2727"/>
      <c r="T1010" s="2727"/>
      <c r="JV1010" s="1637"/>
      <c r="KA1010" s="1637"/>
      <c r="KB1010" s="1637"/>
      <c r="KC1010" s="1637"/>
      <c r="KD1010" s="1637"/>
      <c r="KE1010" s="1637"/>
      <c r="KF1010" s="1637"/>
      <c r="KG1010" s="1637"/>
      <c r="KH1010" s="1637"/>
      <c r="KI1010" s="1637"/>
      <c r="KJ1010" s="1637"/>
      <c r="KK1010" s="1637"/>
      <c r="KL1010" s="1637"/>
      <c r="KM1010" s="1637"/>
      <c r="KN1010" s="1637"/>
      <c r="KO1010" s="1637"/>
      <c r="KP1010" s="1637"/>
      <c r="KQ1010" s="1637"/>
      <c r="KR1010" s="1637"/>
      <c r="KS1010" s="1637"/>
      <c r="KT1010" s="1637"/>
      <c r="KU1010" s="1637"/>
      <c r="KV1010" s="1637"/>
      <c r="KW1010" s="1637"/>
      <c r="KX1010" s="1637"/>
      <c r="KY1010" s="1637"/>
      <c r="KZ1010" s="1637"/>
      <c r="LA1010" s="1637"/>
      <c r="LB1010" s="1637"/>
      <c r="LC1010" s="1637"/>
      <c r="LD1010" s="1637"/>
      <c r="LE1010" s="1637"/>
      <c r="LF1010" s="1637"/>
    </row>
    <row r="1016" spans="1:318">
      <c r="A1016" s="1631" t="str">
        <f>CONCATENATE("PART SEVEN - OPERATING PRO FORMA","  -  ",'Part I-Project Information'!$O$6," ",'Part I-Project Information'!$F$34,", ",'Part I-Project Information'!F1053,", ",'Part I-Project Information'!J1054," County")</f>
        <v>PART SEVEN - OPERATING PRO FORMA  -  2019-5 Stone Terrace Phase II, ,  County</v>
      </c>
      <c r="B1016" s="2111"/>
      <c r="C1016" s="2111"/>
      <c r="D1016" s="2111"/>
      <c r="E1016" s="2111"/>
      <c r="F1016" s="2111"/>
      <c r="G1016" s="2111"/>
      <c r="H1016" s="2111"/>
      <c r="I1016" s="2111"/>
      <c r="J1016" s="2111"/>
      <c r="K1016" s="2111"/>
      <c r="L1016" s="1631"/>
      <c r="M1016" s="1631"/>
      <c r="N1016" s="1631" t="str">
        <f>A1016</f>
        <v>PART SEVEN - OPERATING PRO FORMA  -  2019-5 Stone Terrace Phase II, ,  County</v>
      </c>
      <c r="O1016" s="1631"/>
    </row>
    <row r="1017" spans="1:318">
      <c r="A1017" s="2111"/>
      <c r="B1017" s="2111"/>
      <c r="C1017" s="2111"/>
      <c r="D1017" s="2111"/>
      <c r="E1017" s="2111"/>
      <c r="F1017" s="2111"/>
      <c r="G1017" s="2111"/>
      <c r="H1017" s="2111"/>
      <c r="I1017" s="2111"/>
      <c r="J1017" s="2111"/>
      <c r="K1017" s="2111"/>
      <c r="N1017" s="2111" t="s">
        <v>1845</v>
      </c>
      <c r="O1017" s="2111"/>
    </row>
    <row r="1018" spans="1:318" ht="13.5" customHeight="1">
      <c r="A1018" s="742" t="s">
        <v>90</v>
      </c>
      <c r="C1018" s="2776" t="str">
        <f>'Part I-Project Information'!$B$6</f>
        <v>May 2019 Final</v>
      </c>
      <c r="D1018" s="742" t="s">
        <v>80</v>
      </c>
      <c r="E1018" s="1630"/>
      <c r="F1018" s="1649" t="s">
        <v>5116</v>
      </c>
      <c r="N1018" s="742" t="str">
        <f>A1018</f>
        <v>I.  OPERATING ASSUMPTIONS</v>
      </c>
      <c r="O1018" s="2111"/>
    </row>
    <row r="1019" spans="1:318">
      <c r="C1019" s="2776"/>
    </row>
    <row r="1020" spans="1:318" ht="12.75" customHeight="1">
      <c r="A1020" s="742" t="s">
        <v>2188</v>
      </c>
      <c r="B1020" s="1876">
        <v>0.02</v>
      </c>
      <c r="C1020" s="2776"/>
      <c r="D1020" s="1838" t="s">
        <v>4539</v>
      </c>
      <c r="E1020" s="1838"/>
      <c r="F1020" s="1838"/>
      <c r="G1020" s="2156">
        <f>'Part VII-Pro Forma'!G5</f>
        <v>0</v>
      </c>
      <c r="H1020" s="1843" t="s">
        <v>1907</v>
      </c>
      <c r="K1020" s="1877" t="str">
        <f>IF(($B$14+$B$15+$B$16+$B$17)=0,"",B1045/($B$14+$B$15+$B$16+$B$17))</f>
        <v/>
      </c>
      <c r="N1020" s="1838">
        <f>'Part VII-Pro Forma'!N5</f>
        <v>0</v>
      </c>
      <c r="O1020" s="1838"/>
    </row>
    <row r="1021" spans="1:318">
      <c r="A1021" s="742" t="s">
        <v>2189</v>
      </c>
      <c r="B1021" s="1876">
        <v>0.03</v>
      </c>
      <c r="C1021" s="2776"/>
      <c r="D1021" s="1838"/>
      <c r="E1021" s="1838"/>
      <c r="F1021" s="1838"/>
      <c r="G1021" s="2777">
        <f>IF(OR('Part III-Sources of Funds'!E1020="Yes",'Part III-Sources of Funds'!H1020&gt;0),'DCA Underwriting Assumptions'!$Q$96,0)</f>
        <v>0</v>
      </c>
      <c r="N1021" s="1838">
        <f>'Part VII-Pro Forma'!N6</f>
        <v>0</v>
      </c>
      <c r="O1021" s="1838"/>
    </row>
    <row r="1022" spans="1:318">
      <c r="A1022" s="742" t="s">
        <v>2191</v>
      </c>
      <c r="B1022" s="1876">
        <v>0.03</v>
      </c>
      <c r="C1022" s="2776"/>
      <c r="D1022" s="1631" t="s">
        <v>270</v>
      </c>
      <c r="G1022" s="1879"/>
      <c r="H1022" s="1843" t="s">
        <v>2374</v>
      </c>
      <c r="K1022" s="1877" t="str">
        <f>IF(($B$14+$B$15+$B$16+$B$17)=0,"",-B1036/($B$14+$B$15+$B$16+$B$17))</f>
        <v/>
      </c>
      <c r="N1022" s="1838">
        <f>'Part VII-Pro Forma'!N7</f>
        <v>0</v>
      </c>
      <c r="O1022" s="1838"/>
    </row>
    <row r="1023" spans="1:318">
      <c r="A1023" s="742" t="s">
        <v>2190</v>
      </c>
      <c r="B1023" s="1876">
        <f>'Part VII-Pro Forma'!B8</f>
        <v>7.0000000000000007E-2</v>
      </c>
      <c r="C1023" s="1651" t="str">
        <f>IF(B1023&lt;0.07, "Must be &gt;= 7%!","")</f>
        <v/>
      </c>
      <c r="D1023" s="1631" t="s">
        <v>2508</v>
      </c>
      <c r="G1023" s="2157" t="str">
        <f>'Part VII-Pro Forma'!G8</f>
        <v>No</v>
      </c>
      <c r="H1023" s="1880" t="s">
        <v>1444</v>
      </c>
      <c r="K1023" s="2158">
        <f>'Part VII-Pro Forma'!K8</f>
        <v>0</v>
      </c>
      <c r="N1023" s="1838">
        <f>'Part VII-Pro Forma'!N8</f>
        <v>0</v>
      </c>
      <c r="O1023" s="1838"/>
    </row>
    <row r="1024" spans="1:318">
      <c r="A1024" s="742" t="s">
        <v>1418</v>
      </c>
      <c r="B1024" s="1876">
        <v>0.02</v>
      </c>
      <c r="D1024" s="1631" t="s">
        <v>1718</v>
      </c>
      <c r="G1024" s="2157" t="str">
        <f>'Part VII-Pro Forma'!G9</f>
        <v>Yes</v>
      </c>
      <c r="H1024" s="1880" t="s">
        <v>2356</v>
      </c>
      <c r="K1024" s="2159">
        <f>'Part VII-Pro Forma'!K9</f>
        <v>4.4999999999999998E-2</v>
      </c>
      <c r="N1024" s="1838">
        <f>'Part VII-Pro Forma'!N9</f>
        <v>0</v>
      </c>
      <c r="O1024" s="1838"/>
    </row>
    <row r="1026" spans="1:15">
      <c r="A1026" s="742" t="s">
        <v>91</v>
      </c>
      <c r="D1026" s="1947"/>
      <c r="N1026" s="742" t="str">
        <f>A1026</f>
        <v>II.  OPERATING PRO FORMA</v>
      </c>
    </row>
    <row r="1028" spans="1:15">
      <c r="A1028" s="742" t="s">
        <v>2480</v>
      </c>
      <c r="B1028" s="742">
        <v>1</v>
      </c>
      <c r="C1028" s="742">
        <f t="shared" ref="C1028:K1028" si="362">B1028+1</f>
        <v>2</v>
      </c>
      <c r="D1028" s="742">
        <f t="shared" si="362"/>
        <v>3</v>
      </c>
      <c r="E1028" s="742">
        <f t="shared" si="362"/>
        <v>4</v>
      </c>
      <c r="F1028" s="742">
        <f t="shared" si="362"/>
        <v>5</v>
      </c>
      <c r="G1028" s="742">
        <f t="shared" si="362"/>
        <v>6</v>
      </c>
      <c r="H1028" s="742">
        <f t="shared" si="362"/>
        <v>7</v>
      </c>
      <c r="I1028" s="742">
        <f t="shared" si="362"/>
        <v>8</v>
      </c>
      <c r="J1028" s="742">
        <f t="shared" si="362"/>
        <v>9</v>
      </c>
      <c r="K1028" s="742">
        <f t="shared" si="362"/>
        <v>10</v>
      </c>
      <c r="N1028" s="2111" t="s">
        <v>2624</v>
      </c>
      <c r="O1028" s="2111"/>
    </row>
    <row r="1029" spans="1:15">
      <c r="A1029" s="742" t="s">
        <v>2404</v>
      </c>
      <c r="B1029" s="1881">
        <f>'Part VII-Pro Forma'!B14</f>
        <v>934080</v>
      </c>
      <c r="C1029" s="1881">
        <f>'Part VII-Pro Forma'!C14</f>
        <v>952761.6</v>
      </c>
      <c r="D1029" s="1881">
        <f>'Part VII-Pro Forma'!D14</f>
        <v>971816.83199999994</v>
      </c>
      <c r="E1029" s="1881">
        <f>'Part VII-Pro Forma'!E14</f>
        <v>991253.16863999993</v>
      </c>
      <c r="F1029" s="1881">
        <f>'Part VII-Pro Forma'!F14</f>
        <v>1011078.2320127999</v>
      </c>
      <c r="G1029" s="1881">
        <f>'Part VII-Pro Forma'!G14</f>
        <v>1031299.7966530561</v>
      </c>
      <c r="H1029" s="1881">
        <f>'Part VII-Pro Forma'!H14</f>
        <v>1051925.7925861173</v>
      </c>
      <c r="I1029" s="1881">
        <f>'Part VII-Pro Forma'!I14</f>
        <v>1072964.3084378394</v>
      </c>
      <c r="J1029" s="1881">
        <f>'Part VII-Pro Forma'!J14</f>
        <v>1094423.5946065963</v>
      </c>
      <c r="K1029" s="1881">
        <f>'Part VII-Pro Forma'!K14</f>
        <v>1116312.066498728</v>
      </c>
      <c r="N1029" s="1838">
        <f>'Part VII-Pro Forma'!N14</f>
        <v>0</v>
      </c>
      <c r="O1029" s="1838"/>
    </row>
    <row r="1030" spans="1:15">
      <c r="A1030" s="742" t="s">
        <v>1016</v>
      </c>
      <c r="B1030" s="1881">
        <f>'Part VII-Pro Forma'!B15</f>
        <v>18681.600000000002</v>
      </c>
      <c r="C1030" s="1881">
        <f>'Part VII-Pro Forma'!C15</f>
        <v>19055.232000000004</v>
      </c>
      <c r="D1030" s="1881">
        <f>'Part VII-Pro Forma'!D15</f>
        <v>19436.336640000001</v>
      </c>
      <c r="E1030" s="1881">
        <f>'Part VII-Pro Forma'!E15</f>
        <v>19825.063372799999</v>
      </c>
      <c r="F1030" s="1881">
        <f>'Part VII-Pro Forma'!F15</f>
        <v>20221.564640256001</v>
      </c>
      <c r="G1030" s="1881">
        <f>'Part VII-Pro Forma'!G15</f>
        <v>20625.995933061124</v>
      </c>
      <c r="H1030" s="1881">
        <f>'Part VII-Pro Forma'!H15</f>
        <v>21038.515851722346</v>
      </c>
      <c r="I1030" s="1881">
        <f>'Part VII-Pro Forma'!I15</f>
        <v>21459.286168756789</v>
      </c>
      <c r="J1030" s="1881">
        <f>'Part VII-Pro Forma'!J15</f>
        <v>21888.471892131925</v>
      </c>
      <c r="K1030" s="1881">
        <f>'Part VII-Pro Forma'!K15</f>
        <v>22326.241329974564</v>
      </c>
      <c r="N1030" s="1838">
        <f>'Part VII-Pro Forma'!N15</f>
        <v>0</v>
      </c>
      <c r="O1030" s="1838"/>
    </row>
    <row r="1031" spans="1:15">
      <c r="A1031" s="742" t="s">
        <v>2405</v>
      </c>
      <c r="B1031" s="1881">
        <f>'Part VII-Pro Forma'!B16</f>
        <v>-66693.312000000005</v>
      </c>
      <c r="C1031" s="1881">
        <f>'Part VII-Pro Forma'!C16</f>
        <v>-68027.178240000008</v>
      </c>
      <c r="D1031" s="1881">
        <f>'Part VII-Pro Forma'!D16</f>
        <v>-69387.721804800007</v>
      </c>
      <c r="E1031" s="1881">
        <f>'Part VII-Pro Forma'!E16</f>
        <v>-70775.476240896009</v>
      </c>
      <c r="F1031" s="1881">
        <f>'Part VII-Pro Forma'!F16</f>
        <v>-72190.985765713922</v>
      </c>
      <c r="G1031" s="1881">
        <f>'Part VII-Pro Forma'!G16</f>
        <v>-73634.805481028219</v>
      </c>
      <c r="H1031" s="1881">
        <f>'Part VII-Pro Forma'!H16</f>
        <v>-75107.501590648782</v>
      </c>
      <c r="I1031" s="1881">
        <f>'Part VII-Pro Forma'!I16</f>
        <v>-76609.651622461752</v>
      </c>
      <c r="J1031" s="1881">
        <f>'Part VII-Pro Forma'!J16</f>
        <v>-78141.844654910979</v>
      </c>
      <c r="K1031" s="1881">
        <f>'Part VII-Pro Forma'!K16</f>
        <v>-79704.681548009175</v>
      </c>
      <c r="N1031" s="1838">
        <f>'Part VII-Pro Forma'!N16</f>
        <v>0</v>
      </c>
      <c r="O1031" s="1838"/>
    </row>
    <row r="1032" spans="1:15">
      <c r="A1032" s="742" t="s">
        <v>52</v>
      </c>
      <c r="B1032" s="1881">
        <f>'Part VII-Pro Forma'!B17</f>
        <v>0</v>
      </c>
      <c r="C1032" s="1881">
        <f>'Part VII-Pro Forma'!C17</f>
        <v>0</v>
      </c>
      <c r="D1032" s="1881">
        <f>'Part VII-Pro Forma'!D17</f>
        <v>0</v>
      </c>
      <c r="E1032" s="1881">
        <f>'Part VII-Pro Forma'!E17</f>
        <v>0</v>
      </c>
      <c r="F1032" s="1881">
        <f>'Part VII-Pro Forma'!F17</f>
        <v>0</v>
      </c>
      <c r="G1032" s="1881">
        <f>'Part VII-Pro Forma'!G17</f>
        <v>0</v>
      </c>
      <c r="H1032" s="1881">
        <f>'Part VII-Pro Forma'!H17</f>
        <v>0</v>
      </c>
      <c r="I1032" s="1881">
        <f>'Part VII-Pro Forma'!I17</f>
        <v>0</v>
      </c>
      <c r="J1032" s="1881">
        <f>'Part VII-Pro Forma'!J17</f>
        <v>0</v>
      </c>
      <c r="K1032" s="1881">
        <f>'Part VII-Pro Forma'!K17</f>
        <v>0</v>
      </c>
      <c r="N1032" s="1838">
        <f>'Part VII-Pro Forma'!N17</f>
        <v>0</v>
      </c>
      <c r="O1032" s="1838"/>
    </row>
    <row r="1033" spans="1:15">
      <c r="A1033" s="742" t="s">
        <v>53</v>
      </c>
      <c r="B1033" s="1881">
        <f>'Part VII-Pro Forma'!B18</f>
        <v>0</v>
      </c>
      <c r="C1033" s="1881">
        <f>'Part VII-Pro Forma'!C18</f>
        <v>0</v>
      </c>
      <c r="D1033" s="1881">
        <f>'Part VII-Pro Forma'!D18</f>
        <v>0</v>
      </c>
      <c r="E1033" s="1881">
        <f>'Part VII-Pro Forma'!E18</f>
        <v>0</v>
      </c>
      <c r="F1033" s="1881">
        <f>'Part VII-Pro Forma'!F18</f>
        <v>0</v>
      </c>
      <c r="G1033" s="1881">
        <f>'Part VII-Pro Forma'!G18</f>
        <v>0</v>
      </c>
      <c r="H1033" s="1881">
        <f>'Part VII-Pro Forma'!H18</f>
        <v>0</v>
      </c>
      <c r="I1033" s="1881">
        <f>'Part VII-Pro Forma'!I18</f>
        <v>0</v>
      </c>
      <c r="J1033" s="1881">
        <f>'Part VII-Pro Forma'!J18</f>
        <v>0</v>
      </c>
      <c r="K1033" s="1881">
        <f>'Part VII-Pro Forma'!K18</f>
        <v>0</v>
      </c>
      <c r="N1033" s="1838">
        <f>'Part VII-Pro Forma'!N18</f>
        <v>0</v>
      </c>
      <c r="O1033" s="1838"/>
    </row>
    <row r="1034" spans="1:15">
      <c r="A1034" s="742" t="s">
        <v>4945</v>
      </c>
      <c r="B1034" s="1881">
        <f>'Part VII-Pro Forma'!B19</f>
        <v>886068.28799999994</v>
      </c>
      <c r="C1034" s="1881">
        <f>'Part VII-Pro Forma'!C19</f>
        <v>903789.6537599999</v>
      </c>
      <c r="D1034" s="1881">
        <f>'Part VII-Pro Forma'!D19</f>
        <v>921865.44683519995</v>
      </c>
      <c r="E1034" s="1881">
        <f>'Part VII-Pro Forma'!E19</f>
        <v>940302.7557719039</v>
      </c>
      <c r="F1034" s="1881">
        <f>'Part VII-Pro Forma'!F19</f>
        <v>959108.81088734197</v>
      </c>
      <c r="G1034" s="1881">
        <f>'Part VII-Pro Forma'!G19</f>
        <v>978290.98710508901</v>
      </c>
      <c r="H1034" s="1881">
        <f>'Part VII-Pro Forma'!H19</f>
        <v>997856.80684719083</v>
      </c>
      <c r="I1034" s="1881">
        <f>'Part VII-Pro Forma'!I19</f>
        <v>1017813.9429841345</v>
      </c>
      <c r="J1034" s="1881">
        <f>'Part VII-Pro Forma'!J19</f>
        <v>1038170.2218438173</v>
      </c>
      <c r="K1034" s="1881">
        <f>'Part VII-Pro Forma'!K19</f>
        <v>1058933.6262806933</v>
      </c>
      <c r="N1034" s="1838">
        <f>'Part VII-Pro Forma'!N19</f>
        <v>0</v>
      </c>
      <c r="O1034" s="1838"/>
    </row>
    <row r="1035" spans="1:15">
      <c r="A1035" s="742" t="s">
        <v>614</v>
      </c>
      <c r="B1035" s="1881">
        <f>'Part VII-Pro Forma'!B20</f>
        <v>-354876</v>
      </c>
      <c r="C1035" s="1881">
        <f>'Part VII-Pro Forma'!C20</f>
        <v>-365522.28</v>
      </c>
      <c r="D1035" s="1881">
        <f>'Part VII-Pro Forma'!D20</f>
        <v>-376487.94839999999</v>
      </c>
      <c r="E1035" s="1881">
        <f>'Part VII-Pro Forma'!E20</f>
        <v>-387782.58685199998</v>
      </c>
      <c r="F1035" s="1881">
        <f>'Part VII-Pro Forma'!F20</f>
        <v>-399416.06445755996</v>
      </c>
      <c r="G1035" s="1881">
        <f>'Part VII-Pro Forma'!G20</f>
        <v>-411398.54639128677</v>
      </c>
      <c r="H1035" s="1881">
        <f>'Part VII-Pro Forma'!H20</f>
        <v>-423740.50278302538</v>
      </c>
      <c r="I1035" s="1881">
        <f>'Part VII-Pro Forma'!I20</f>
        <v>-436452.71786651615</v>
      </c>
      <c r="J1035" s="1881">
        <f>'Part VII-Pro Forma'!J20</f>
        <v>-449546.29940251156</v>
      </c>
      <c r="K1035" s="1881">
        <f>'Part VII-Pro Forma'!K20</f>
        <v>-463032.68838458695</v>
      </c>
      <c r="N1035" s="1838">
        <f>'Part VII-Pro Forma'!N20</f>
        <v>0</v>
      </c>
      <c r="O1035" s="1838"/>
    </row>
    <row r="1036" spans="1:15">
      <c r="A1036" s="742" t="s">
        <v>1115</v>
      </c>
      <c r="B1036" s="1881">
        <f>'Part VII-Pro Forma'!B21</f>
        <v>-39873</v>
      </c>
      <c r="C1036" s="1881">
        <f>'Part VII-Pro Forma'!C21</f>
        <v>-40671</v>
      </c>
      <c r="D1036" s="1881">
        <f>'Part VII-Pro Forma'!D21</f>
        <v>-41484</v>
      </c>
      <c r="E1036" s="1881">
        <f>'Part VII-Pro Forma'!E21</f>
        <v>-42314</v>
      </c>
      <c r="F1036" s="1881">
        <f>'Part VII-Pro Forma'!F21</f>
        <v>-43160</v>
      </c>
      <c r="G1036" s="1881">
        <f>'Part VII-Pro Forma'!G21</f>
        <v>-44023</v>
      </c>
      <c r="H1036" s="1881">
        <f>'Part VII-Pro Forma'!H21</f>
        <v>-44904</v>
      </c>
      <c r="I1036" s="1881">
        <f>'Part VII-Pro Forma'!I21</f>
        <v>-45802</v>
      </c>
      <c r="J1036" s="1881">
        <f>'Part VII-Pro Forma'!J21</f>
        <v>-46718</v>
      </c>
      <c r="K1036" s="1881">
        <f>'Part VII-Pro Forma'!K21</f>
        <v>-47652</v>
      </c>
      <c r="N1036" s="1838">
        <f>'Part VII-Pro Forma'!N21</f>
        <v>0</v>
      </c>
      <c r="O1036" s="1838"/>
    </row>
    <row r="1037" spans="1:15">
      <c r="A1037" s="742" t="s">
        <v>1202</v>
      </c>
      <c r="B1037" s="1881">
        <f>'Part VII-Pro Forma'!B22</f>
        <v>-21000</v>
      </c>
      <c r="C1037" s="1881">
        <f>'Part VII-Pro Forma'!C22</f>
        <v>-21630</v>
      </c>
      <c r="D1037" s="1881">
        <f>'Part VII-Pro Forma'!D22</f>
        <v>-22278.899999999998</v>
      </c>
      <c r="E1037" s="1881">
        <f>'Part VII-Pro Forma'!E22</f>
        <v>-22947.267</v>
      </c>
      <c r="F1037" s="1881">
        <f>'Part VII-Pro Forma'!F22</f>
        <v>-23635.685009999997</v>
      </c>
      <c r="G1037" s="1881">
        <f>'Part VII-Pro Forma'!G22</f>
        <v>-24344.755560299996</v>
      </c>
      <c r="H1037" s="1881">
        <f>'Part VII-Pro Forma'!H22</f>
        <v>-25075.098227109</v>
      </c>
      <c r="I1037" s="1881">
        <f>'Part VII-Pro Forma'!I22</f>
        <v>-25827.35117392227</v>
      </c>
      <c r="J1037" s="1881">
        <f>'Part VII-Pro Forma'!J22</f>
        <v>-26602.171709139933</v>
      </c>
      <c r="K1037" s="1881">
        <f>'Part VII-Pro Forma'!K22</f>
        <v>-27400.236860414134</v>
      </c>
      <c r="N1037" s="1838">
        <f>'Part VII-Pro Forma'!N22</f>
        <v>0</v>
      </c>
      <c r="O1037" s="1838"/>
    </row>
    <row r="1038" spans="1:15">
      <c r="A1038" s="742" t="s">
        <v>4944</v>
      </c>
      <c r="B1038" s="1881">
        <f>'Part VII-Pro Forma'!B23</f>
        <v>0</v>
      </c>
      <c r="C1038" s="1881">
        <f>'Part VII-Pro Forma'!C23</f>
        <v>0</v>
      </c>
      <c r="D1038" s="1881">
        <f>'Part VII-Pro Forma'!D23</f>
        <v>0</v>
      </c>
      <c r="E1038" s="1881">
        <f>'Part VII-Pro Forma'!E23</f>
        <v>0</v>
      </c>
      <c r="F1038" s="1881">
        <f>'Part VII-Pro Forma'!F23</f>
        <v>0</v>
      </c>
      <c r="G1038" s="1881">
        <f>'Part VII-Pro Forma'!G23</f>
        <v>0</v>
      </c>
      <c r="H1038" s="1881">
        <f>'Part VII-Pro Forma'!H23</f>
        <v>0</v>
      </c>
      <c r="I1038" s="1881">
        <f>'Part VII-Pro Forma'!I23</f>
        <v>0</v>
      </c>
      <c r="J1038" s="1881">
        <f>'Part VII-Pro Forma'!J23</f>
        <v>0</v>
      </c>
      <c r="K1038" s="1881">
        <f>'Part VII-Pro Forma'!K23</f>
        <v>0</v>
      </c>
      <c r="N1038" s="1838">
        <f>'Part VII-Pro Forma'!N23</f>
        <v>0</v>
      </c>
      <c r="O1038" s="1838"/>
    </row>
    <row r="1039" spans="1:15">
      <c r="A1039" s="742" t="s">
        <v>1203</v>
      </c>
      <c r="B1039" s="1881">
        <f>SUM(B1034:B1038)</f>
        <v>470319.28799999994</v>
      </c>
      <c r="C1039" s="1881">
        <f t="shared" ref="C1039:J1039" si="363">SUM(C1034:C1038)</f>
        <v>475966.37375999987</v>
      </c>
      <c r="D1039" s="1881">
        <f t="shared" si="363"/>
        <v>481614.59843519994</v>
      </c>
      <c r="E1039" s="1881">
        <f t="shared" si="363"/>
        <v>487258.90191990393</v>
      </c>
      <c r="F1039" s="1881">
        <f t="shared" si="363"/>
        <v>492897.061419782</v>
      </c>
      <c r="G1039" s="1881">
        <f t="shared" si="363"/>
        <v>498524.68515350221</v>
      </c>
      <c r="H1039" s="1881">
        <f t="shared" si="363"/>
        <v>504137.20583705645</v>
      </c>
      <c r="I1039" s="1881">
        <f t="shared" si="363"/>
        <v>509731.87394369621</v>
      </c>
      <c r="J1039" s="1881">
        <f t="shared" si="363"/>
        <v>515303.75073216576</v>
      </c>
      <c r="K1039" s="1881">
        <f>SUM(K1034:K1038)</f>
        <v>520848.70103569224</v>
      </c>
      <c r="N1039" s="1838">
        <f>'Part VII-Pro Forma'!N24</f>
        <v>0</v>
      </c>
      <c r="O1039" s="1838"/>
    </row>
    <row r="1040" spans="1:15">
      <c r="A1040" s="742" t="s">
        <v>1591</v>
      </c>
      <c r="B1040" s="1881">
        <f>'Part VII-Pro Forma'!B25</f>
        <v>-384782.82220370776</v>
      </c>
      <c r="C1040" s="1881">
        <f>'Part VII-Pro Forma'!C25</f>
        <v>-384782.82220370776</v>
      </c>
      <c r="D1040" s="1881">
        <f>'Part VII-Pro Forma'!D25</f>
        <v>-384782.82220370776</v>
      </c>
      <c r="E1040" s="1881">
        <f>'Part VII-Pro Forma'!E25</f>
        <v>-384782.82220370776</v>
      </c>
      <c r="F1040" s="1881">
        <f>'Part VII-Pro Forma'!F25</f>
        <v>-384782.82220370776</v>
      </c>
      <c r="G1040" s="1881">
        <f>'Part VII-Pro Forma'!G25</f>
        <v>-384782.82220370776</v>
      </c>
      <c r="H1040" s="1881">
        <f>'Part VII-Pro Forma'!H25</f>
        <v>-384782.82220370776</v>
      </c>
      <c r="I1040" s="1881">
        <f>'Part VII-Pro Forma'!I25</f>
        <v>-384782.82220370776</v>
      </c>
      <c r="J1040" s="1881">
        <f>'Part VII-Pro Forma'!J25</f>
        <v>-384782.82220370776</v>
      </c>
      <c r="K1040" s="1881">
        <f>'Part VII-Pro Forma'!K25</f>
        <v>-384782.82220370776</v>
      </c>
      <c r="N1040" s="1838">
        <f>'Part VII-Pro Forma'!N25</f>
        <v>0</v>
      </c>
      <c r="O1040" s="1838"/>
    </row>
    <row r="1041" spans="1:15">
      <c r="A1041" s="742" t="s">
        <v>1592</v>
      </c>
      <c r="B1041" s="1881">
        <f>'Part VII-Pro Forma'!B26</f>
        <v>0</v>
      </c>
      <c r="C1041" s="1881">
        <f>'Part VII-Pro Forma'!C26</f>
        <v>0</v>
      </c>
      <c r="D1041" s="1881">
        <f>'Part VII-Pro Forma'!D26</f>
        <v>0</v>
      </c>
      <c r="E1041" s="1881">
        <f>'Part VII-Pro Forma'!E26</f>
        <v>0</v>
      </c>
      <c r="F1041" s="1881">
        <f>'Part VII-Pro Forma'!F26</f>
        <v>0</v>
      </c>
      <c r="G1041" s="1881">
        <f>'Part VII-Pro Forma'!G26</f>
        <v>0</v>
      </c>
      <c r="H1041" s="1881">
        <f>'Part VII-Pro Forma'!H26</f>
        <v>0</v>
      </c>
      <c r="I1041" s="1881">
        <f>'Part VII-Pro Forma'!I26</f>
        <v>0</v>
      </c>
      <c r="J1041" s="1881">
        <f>'Part VII-Pro Forma'!J26</f>
        <v>0</v>
      </c>
      <c r="K1041" s="1881">
        <f>'Part VII-Pro Forma'!K26</f>
        <v>0</v>
      </c>
      <c r="N1041" s="1838">
        <f>'Part VII-Pro Forma'!N26</f>
        <v>0</v>
      </c>
      <c r="O1041" s="1838"/>
    </row>
    <row r="1042" spans="1:15">
      <c r="A1042" s="742" t="s">
        <v>1593</v>
      </c>
      <c r="B1042" s="1881">
        <f>'Part VII-Pro Forma'!B27</f>
        <v>0</v>
      </c>
      <c r="C1042" s="1881">
        <f>'Part VII-Pro Forma'!C27</f>
        <v>0</v>
      </c>
      <c r="D1042" s="1881">
        <f>'Part VII-Pro Forma'!D27</f>
        <v>0</v>
      </c>
      <c r="E1042" s="1881">
        <f>'Part VII-Pro Forma'!E27</f>
        <v>0</v>
      </c>
      <c r="F1042" s="1881">
        <f>'Part VII-Pro Forma'!F27</f>
        <v>0</v>
      </c>
      <c r="G1042" s="1881">
        <f>'Part VII-Pro Forma'!G27</f>
        <v>0</v>
      </c>
      <c r="H1042" s="1881">
        <f>'Part VII-Pro Forma'!H27</f>
        <v>0</v>
      </c>
      <c r="I1042" s="1881">
        <f>'Part VII-Pro Forma'!I27</f>
        <v>0</v>
      </c>
      <c r="J1042" s="1881">
        <f>'Part VII-Pro Forma'!J27</f>
        <v>0</v>
      </c>
      <c r="K1042" s="1881">
        <f>'Part VII-Pro Forma'!K27</f>
        <v>0</v>
      </c>
      <c r="N1042" s="1838">
        <f>'Part VII-Pro Forma'!N27</f>
        <v>0</v>
      </c>
      <c r="O1042" s="1838"/>
    </row>
    <row r="1043" spans="1:15">
      <c r="A1043" s="742" t="s">
        <v>3854</v>
      </c>
      <c r="B1043" s="1881">
        <f>'Part VII-Pro Forma'!B28</f>
        <v>0</v>
      </c>
      <c r="C1043" s="1881">
        <f>'Part VII-Pro Forma'!C28</f>
        <v>0</v>
      </c>
      <c r="D1043" s="1881">
        <f>'Part VII-Pro Forma'!D28</f>
        <v>0</v>
      </c>
      <c r="E1043" s="1881">
        <f>'Part VII-Pro Forma'!E28</f>
        <v>0</v>
      </c>
      <c r="F1043" s="1881">
        <f>'Part VII-Pro Forma'!F28</f>
        <v>0</v>
      </c>
      <c r="G1043" s="1881">
        <f>'Part VII-Pro Forma'!G28</f>
        <v>0</v>
      </c>
      <c r="H1043" s="1881">
        <f>'Part VII-Pro Forma'!H28</f>
        <v>0</v>
      </c>
      <c r="I1043" s="1881">
        <f>'Part VII-Pro Forma'!I28</f>
        <v>0</v>
      </c>
      <c r="J1043" s="1881">
        <f>'Part VII-Pro Forma'!J28</f>
        <v>0</v>
      </c>
      <c r="K1043" s="1881">
        <f>'Part VII-Pro Forma'!K28</f>
        <v>0</v>
      </c>
      <c r="N1043" s="1838">
        <f>'Part VII-Pro Forma'!N28</f>
        <v>0</v>
      </c>
      <c r="O1043" s="1838"/>
    </row>
    <row r="1044" spans="1:15">
      <c r="A1044" s="742" t="s">
        <v>763</v>
      </c>
      <c r="B1044" s="1881">
        <f>'Part VII-Pro Forma'!B29</f>
        <v>0</v>
      </c>
      <c r="C1044" s="1881">
        <f>'Part VII-Pro Forma'!C29</f>
        <v>0</v>
      </c>
      <c r="D1044" s="1881">
        <f>'Part VII-Pro Forma'!D29</f>
        <v>0</v>
      </c>
      <c r="E1044" s="1881">
        <f>'Part VII-Pro Forma'!E29</f>
        <v>0</v>
      </c>
      <c r="F1044" s="1881">
        <f>'Part VII-Pro Forma'!F29</f>
        <v>0</v>
      </c>
      <c r="G1044" s="1881">
        <f>'Part VII-Pro Forma'!G29</f>
        <v>0</v>
      </c>
      <c r="H1044" s="1881">
        <f>'Part VII-Pro Forma'!H29</f>
        <v>0</v>
      </c>
      <c r="I1044" s="1881">
        <f>'Part VII-Pro Forma'!I29</f>
        <v>0</v>
      </c>
      <c r="J1044" s="1881">
        <f>'Part VII-Pro Forma'!J29</f>
        <v>0</v>
      </c>
      <c r="K1044" s="1881">
        <f>'Part VII-Pro Forma'!K29</f>
        <v>0</v>
      </c>
      <c r="N1044" s="1838">
        <f>'Part VII-Pro Forma'!N29</f>
        <v>0</v>
      </c>
      <c r="O1044" s="1838"/>
    </row>
    <row r="1045" spans="1:15">
      <c r="A1045" s="742" t="s">
        <v>1163</v>
      </c>
      <c r="B1045" s="1881">
        <f>'Part VII-Pro Forma'!B30</f>
        <v>0</v>
      </c>
      <c r="C1045" s="1881">
        <f>'Part VII-Pro Forma'!C30</f>
        <v>0</v>
      </c>
      <c r="D1045" s="1881">
        <f>'Part VII-Pro Forma'!D30</f>
        <v>0</v>
      </c>
      <c r="E1045" s="1881">
        <f>'Part VII-Pro Forma'!E30</f>
        <v>0</v>
      </c>
      <c r="F1045" s="1881">
        <f>'Part VII-Pro Forma'!F30</f>
        <v>0</v>
      </c>
      <c r="G1045" s="1881">
        <f>'Part VII-Pro Forma'!G30</f>
        <v>0</v>
      </c>
      <c r="H1045" s="1881">
        <f>'Part VII-Pro Forma'!H30</f>
        <v>0</v>
      </c>
      <c r="I1045" s="1881">
        <f>'Part VII-Pro Forma'!I30</f>
        <v>0</v>
      </c>
      <c r="J1045" s="1881">
        <f>'Part VII-Pro Forma'!J30</f>
        <v>0</v>
      </c>
      <c r="K1045" s="1881">
        <f>'Part VII-Pro Forma'!K30</f>
        <v>0</v>
      </c>
      <c r="N1045" s="1838">
        <f>'Part VII-Pro Forma'!N30</f>
        <v>0</v>
      </c>
      <c r="O1045" s="1838"/>
    </row>
    <row r="1046" spans="1:15">
      <c r="A1046" s="742" t="s">
        <v>4087</v>
      </c>
      <c r="B1046" s="1881">
        <f>'Part VII-Pro Forma'!B31</f>
        <v>-46211.9</v>
      </c>
      <c r="C1046" s="1881">
        <f>'Part VII-Pro Forma'!C31</f>
        <v>-46211.9</v>
      </c>
      <c r="D1046" s="1881">
        <f>'Part VII-Pro Forma'!D31</f>
        <v>-46211.9</v>
      </c>
      <c r="E1046" s="1881">
        <f>'Part VII-Pro Forma'!E31</f>
        <v>-46211.9</v>
      </c>
      <c r="F1046" s="1881">
        <f>'Part VII-Pro Forma'!F31</f>
        <v>-46211.9</v>
      </c>
      <c r="G1046" s="1881">
        <f>'Part VII-Pro Forma'!G31</f>
        <v>-46211.9</v>
      </c>
      <c r="H1046" s="1881">
        <f>'Part VII-Pro Forma'!H31</f>
        <v>-46211.9</v>
      </c>
      <c r="I1046" s="1881">
        <f>'Part VII-Pro Forma'!I31</f>
        <v>-46211.9</v>
      </c>
      <c r="J1046" s="1881">
        <f>'Part VII-Pro Forma'!J31</f>
        <v>-46211.9</v>
      </c>
      <c r="K1046" s="1881">
        <f>'Part VII-Pro Forma'!K31</f>
        <v>-46211.9</v>
      </c>
      <c r="N1046" s="1838">
        <f>'Part VII-Pro Forma'!N31</f>
        <v>0</v>
      </c>
      <c r="O1046" s="1838"/>
    </row>
    <row r="1047" spans="1:15">
      <c r="A1047" s="742" t="s">
        <v>1164</v>
      </c>
      <c r="B1047" s="1881">
        <f>'Part VII-Pro Forma'!B32</f>
        <v>39324.565796292176</v>
      </c>
      <c r="C1047" s="1881">
        <f>'Part VII-Pro Forma'!C32</f>
        <v>44971.651556292105</v>
      </c>
      <c r="D1047" s="1881">
        <f>'Part VII-Pro Forma'!D32</f>
        <v>50619.87623149217</v>
      </c>
      <c r="E1047" s="1881">
        <f>'Part VII-Pro Forma'!E32</f>
        <v>56264.179716196166</v>
      </c>
      <c r="F1047" s="1881">
        <f>'Part VII-Pro Forma'!F32</f>
        <v>61902.33921607423</v>
      </c>
      <c r="G1047" s="1881">
        <f>'Part VII-Pro Forma'!G32</f>
        <v>67529.962949794455</v>
      </c>
      <c r="H1047" s="1881">
        <f>'Part VII-Pro Forma'!H32</f>
        <v>73142.483633348689</v>
      </c>
      <c r="I1047" s="1881">
        <f>'Part VII-Pro Forma'!I32</f>
        <v>78737.151739988447</v>
      </c>
      <c r="J1047" s="1881">
        <f>'Part VII-Pro Forma'!J32</f>
        <v>84309.028528458002</v>
      </c>
      <c r="K1047" s="1881">
        <f>'Part VII-Pro Forma'!K32</f>
        <v>89853.978831984481</v>
      </c>
      <c r="N1047" s="1838">
        <f>'Part VII-Pro Forma'!N32</f>
        <v>0</v>
      </c>
      <c r="O1047" s="1838"/>
    </row>
    <row r="1048" spans="1:15">
      <c r="A1048" s="742" t="str">
        <f>IF('Part III-Sources of Funds'!$E$38 = "Neither", "", "DCR Mortgage A")</f>
        <v>DCR Mortgage A</v>
      </c>
      <c r="B1048" s="1882">
        <f>'Part VII-Pro Forma'!B33</f>
        <v>1.2222980363479126</v>
      </c>
      <c r="C1048" s="1882">
        <f>'Part VII-Pro Forma'!C33</f>
        <v>1.2369740702926146</v>
      </c>
      <c r="D1048" s="1882">
        <f>'Part VII-Pro Forma'!D33</f>
        <v>1.251653064128285</v>
      </c>
      <c r="E1048" s="1882">
        <f>'Part VII-Pro Forma'!E33</f>
        <v>1.2663218673050438</v>
      </c>
      <c r="F1048" s="1882">
        <f>'Part VII-Pro Forma'!F33</f>
        <v>1.2809747030724712</v>
      </c>
      <c r="G1048" s="1882">
        <f>'Part VII-Pro Forma'!G33</f>
        <v>1.2956001577679017</v>
      </c>
      <c r="H1048" s="1882">
        <f>'Part VII-Pro Forma'!H33</f>
        <v>1.3101863616202734</v>
      </c>
      <c r="I1048" s="1882">
        <f>'Part VII-Pro Forma'!I33</f>
        <v>1.3247261689708154</v>
      </c>
      <c r="J1048" s="1882">
        <f>'Part VII-Pro Forma'!J33</f>
        <v>1.3392067446798832</v>
      </c>
      <c r="K1048" s="1882">
        <f>'Part VII-Pro Forma'!K33</f>
        <v>1.3536173419923352</v>
      </c>
      <c r="N1048" s="1838">
        <f>'Part VII-Pro Forma'!N33</f>
        <v>0</v>
      </c>
      <c r="O1048" s="1838"/>
    </row>
    <row r="1049" spans="1:15">
      <c r="A1049" s="742" t="str">
        <f>IF('Part III-Sources of Funds'!$E$38 = "Neither", "", "DCR Mortgage B")</f>
        <v>DCR Mortgage B</v>
      </c>
      <c r="B1049" s="1882" t="str">
        <f>'Part VII-Pro Forma'!B34</f>
        <v/>
      </c>
      <c r="C1049" s="1882" t="str">
        <f>'Part VII-Pro Forma'!C34</f>
        <v/>
      </c>
      <c r="D1049" s="1882" t="str">
        <f>'Part VII-Pro Forma'!D34</f>
        <v/>
      </c>
      <c r="E1049" s="1882" t="str">
        <f>'Part VII-Pro Forma'!E34</f>
        <v/>
      </c>
      <c r="F1049" s="1882" t="str">
        <f>'Part VII-Pro Forma'!F34</f>
        <v/>
      </c>
      <c r="G1049" s="1882" t="str">
        <f>'Part VII-Pro Forma'!G34</f>
        <v/>
      </c>
      <c r="H1049" s="1882" t="str">
        <f>'Part VII-Pro Forma'!H34</f>
        <v/>
      </c>
      <c r="I1049" s="1882" t="str">
        <f>'Part VII-Pro Forma'!I34</f>
        <v/>
      </c>
      <c r="J1049" s="1882" t="str">
        <f>'Part VII-Pro Forma'!J34</f>
        <v/>
      </c>
      <c r="K1049" s="1882" t="str">
        <f>'Part VII-Pro Forma'!K34</f>
        <v/>
      </c>
      <c r="N1049" s="1838">
        <f>'Part VII-Pro Forma'!N34</f>
        <v>0</v>
      </c>
      <c r="O1049" s="1838"/>
    </row>
    <row r="1050" spans="1:15">
      <c r="A1050" s="742" t="str">
        <f>IF('Part III-Sources of Funds'!$E$38 = "Neither", "DCR First Mortgage", "DCR Mortgage C")</f>
        <v>DCR Mortgage C</v>
      </c>
      <c r="B1050" s="1882" t="str">
        <f>'Part VII-Pro Forma'!B35</f>
        <v/>
      </c>
      <c r="C1050" s="1882" t="str">
        <f>'Part VII-Pro Forma'!C35</f>
        <v/>
      </c>
      <c r="D1050" s="1882" t="str">
        <f>'Part VII-Pro Forma'!D35</f>
        <v/>
      </c>
      <c r="E1050" s="1882" t="str">
        <f>'Part VII-Pro Forma'!E35</f>
        <v/>
      </c>
      <c r="F1050" s="1882" t="str">
        <f>'Part VII-Pro Forma'!F35</f>
        <v/>
      </c>
      <c r="G1050" s="1882" t="str">
        <f>'Part VII-Pro Forma'!G35</f>
        <v/>
      </c>
      <c r="H1050" s="1882" t="str">
        <f>'Part VII-Pro Forma'!H35</f>
        <v/>
      </c>
      <c r="I1050" s="1882" t="str">
        <f>'Part VII-Pro Forma'!I35</f>
        <v/>
      </c>
      <c r="J1050" s="1882" t="str">
        <f>'Part VII-Pro Forma'!J35</f>
        <v/>
      </c>
      <c r="K1050" s="1882" t="str">
        <f>'Part VII-Pro Forma'!K35</f>
        <v/>
      </c>
      <c r="N1050" s="1838">
        <f>'Part VII-Pro Forma'!N35</f>
        <v>0</v>
      </c>
      <c r="O1050" s="1838"/>
    </row>
    <row r="1051" spans="1:15">
      <c r="A1051" s="742" t="s">
        <v>783</v>
      </c>
      <c r="B1051" s="1882" t="str">
        <f>'Part VII-Pro Forma'!B36</f>
        <v/>
      </c>
      <c r="C1051" s="1882" t="str">
        <f>'Part VII-Pro Forma'!C36</f>
        <v/>
      </c>
      <c r="D1051" s="1882" t="str">
        <f>'Part VII-Pro Forma'!D36</f>
        <v/>
      </c>
      <c r="E1051" s="1882" t="str">
        <f>'Part VII-Pro Forma'!E36</f>
        <v/>
      </c>
      <c r="F1051" s="1882" t="str">
        <f>'Part VII-Pro Forma'!F36</f>
        <v/>
      </c>
      <c r="G1051" s="1882" t="str">
        <f>'Part VII-Pro Forma'!G36</f>
        <v/>
      </c>
      <c r="H1051" s="1882" t="str">
        <f>'Part VII-Pro Forma'!H36</f>
        <v/>
      </c>
      <c r="I1051" s="1882" t="str">
        <f>'Part VII-Pro Forma'!I36</f>
        <v/>
      </c>
      <c r="J1051" s="1882" t="str">
        <f>'Part VII-Pro Forma'!J36</f>
        <v/>
      </c>
      <c r="K1051" s="1882" t="str">
        <f>'Part VII-Pro Forma'!K36</f>
        <v/>
      </c>
      <c r="N1051" s="1838">
        <f>'Part VII-Pro Forma'!N36</f>
        <v>0</v>
      </c>
      <c r="O1051" s="1838"/>
    </row>
    <row r="1052" spans="1:15">
      <c r="A1052" s="742" t="s">
        <v>3713</v>
      </c>
      <c r="B1052" s="1882">
        <f>'Part VII-Pro Forma'!B37</f>
        <v>1.2222980363479126</v>
      </c>
      <c r="C1052" s="1882">
        <f>'Part VII-Pro Forma'!C37</f>
        <v>1.2369740702926146</v>
      </c>
      <c r="D1052" s="1882">
        <f>'Part VII-Pro Forma'!D37</f>
        <v>1.251653064128285</v>
      </c>
      <c r="E1052" s="1882">
        <f>'Part VII-Pro Forma'!E37</f>
        <v>1.2663218673050438</v>
      </c>
      <c r="F1052" s="1882">
        <f>'Part VII-Pro Forma'!F37</f>
        <v>1.2809747030724712</v>
      </c>
      <c r="G1052" s="1882">
        <f>'Part VII-Pro Forma'!G37</f>
        <v>1.2956001577679017</v>
      </c>
      <c r="H1052" s="1882">
        <f>'Part VII-Pro Forma'!H37</f>
        <v>1.3101863616202734</v>
      </c>
      <c r="I1052" s="1882">
        <f>'Part VII-Pro Forma'!I37</f>
        <v>1.3247261689708154</v>
      </c>
      <c r="J1052" s="1882">
        <f>'Part VII-Pro Forma'!J37</f>
        <v>1.3392067446798832</v>
      </c>
      <c r="K1052" s="1882">
        <f>'Part VII-Pro Forma'!K37</f>
        <v>1.3536173419923352</v>
      </c>
      <c r="N1052" s="1838">
        <f>'Part VII-Pro Forma'!N37</f>
        <v>0</v>
      </c>
      <c r="O1052" s="1838"/>
    </row>
    <row r="1053" spans="1:15">
      <c r="A1053" s="742" t="s">
        <v>770</v>
      </c>
      <c r="B1053" s="1883">
        <f>'Part VII-Pro Forma'!B38</f>
        <v>2.1312577733199598</v>
      </c>
      <c r="C1053" s="1883">
        <f>'Part VII-Pro Forma'!C38</f>
        <v>2.1125303273819038</v>
      </c>
      <c r="D1053" s="1883">
        <f>'Part VII-Pro Forma'!D38</f>
        <v>2.0939549581460839</v>
      </c>
      <c r="E1053" s="1883">
        <f>'Part VII-Pro Forma'!E38</f>
        <v>2.075522596271842</v>
      </c>
      <c r="F1053" s="1883">
        <f>'Part VII-Pro Forma'!F38</f>
        <v>2.0572386088139094</v>
      </c>
      <c r="G1053" s="1883">
        <f>'Part VII-Pro Forma'!G38</f>
        <v>2.0390990011712167</v>
      </c>
      <c r="H1053" s="1883">
        <f>'Part VII-Pro Forma'!H38</f>
        <v>2.0211002455758451</v>
      </c>
      <c r="I1053" s="1883">
        <f>'Part VII-Pro Forma'!I38</f>
        <v>2.0032471228641735</v>
      </c>
      <c r="J1053" s="1883">
        <f>'Part VII-Pro Forma'!J38</f>
        <v>1.9855360387454051</v>
      </c>
      <c r="K1053" s="1883">
        <f>'Part VII-Pro Forma'!K38</f>
        <v>1.9679674649843408</v>
      </c>
      <c r="N1053" s="1838">
        <f>'Part VII-Pro Forma'!N38</f>
        <v>0</v>
      </c>
      <c r="O1053" s="1838"/>
    </row>
    <row r="1054" spans="1:15">
      <c r="A1054" s="742" t="s">
        <v>2617</v>
      </c>
      <c r="B1054" s="1881">
        <f>'Part VII-Pro Forma'!B39</f>
        <v>6780588.3753657602</v>
      </c>
      <c r="C1054" s="1881">
        <f>'Part VII-Pro Forma'!C39</f>
        <v>6692386.8149426132</v>
      </c>
      <c r="D1054" s="1881">
        <f>'Part VII-Pro Forma'!D39</f>
        <v>6600225.1571758408</v>
      </c>
      <c r="E1054" s="1881">
        <f>'Part VII-Pro Forma'!E39</f>
        <v>6503925.6005515493</v>
      </c>
      <c r="F1054" s="1881">
        <f>'Part VII-Pro Forma'!F39</f>
        <v>6403302.3605757328</v>
      </c>
      <c r="G1054" s="1881">
        <f>'Part VII-Pro Forma'!G39</f>
        <v>6298161.3113522846</v>
      </c>
      <c r="H1054" s="1881">
        <f>'Part VII-Pro Forma'!H39</f>
        <v>6188299.61106849</v>
      </c>
      <c r="I1054" s="1881">
        <f>'Part VII-Pro Forma'!I39</f>
        <v>6073505.3106654594</v>
      </c>
      <c r="J1054" s="1881">
        <f>'Part VII-Pro Forma'!J39</f>
        <v>5953556.9449385451</v>
      </c>
      <c r="K1054" s="1881">
        <f>'Part VII-Pro Forma'!K39</f>
        <v>5828223.1052788738</v>
      </c>
      <c r="N1054" s="1838">
        <f>'Part VII-Pro Forma'!N39</f>
        <v>0</v>
      </c>
      <c r="O1054" s="1838"/>
    </row>
    <row r="1055" spans="1:15">
      <c r="A1055" s="742" t="s">
        <v>2618</v>
      </c>
      <c r="B1055" s="1881" t="str">
        <f>'Part VII-Pro Forma'!B40</f>
        <v/>
      </c>
      <c r="C1055" s="1881" t="str">
        <f>'Part VII-Pro Forma'!C40</f>
        <v/>
      </c>
      <c r="D1055" s="1881" t="str">
        <f>'Part VII-Pro Forma'!D40</f>
        <v/>
      </c>
      <c r="E1055" s="1881" t="str">
        <f>'Part VII-Pro Forma'!E40</f>
        <v/>
      </c>
      <c r="F1055" s="1881" t="str">
        <f>'Part VII-Pro Forma'!F40</f>
        <v/>
      </c>
      <c r="G1055" s="1881" t="str">
        <f>'Part VII-Pro Forma'!G40</f>
        <v/>
      </c>
      <c r="H1055" s="1881" t="str">
        <f>'Part VII-Pro Forma'!H40</f>
        <v/>
      </c>
      <c r="I1055" s="1881" t="str">
        <f>'Part VII-Pro Forma'!I40</f>
        <v/>
      </c>
      <c r="J1055" s="1881" t="str">
        <f>'Part VII-Pro Forma'!J40</f>
        <v/>
      </c>
      <c r="K1055" s="1881" t="str">
        <f>'Part VII-Pro Forma'!K40</f>
        <v/>
      </c>
      <c r="N1055" s="1838">
        <f>'Part VII-Pro Forma'!N40</f>
        <v>0</v>
      </c>
      <c r="O1055" s="1838"/>
    </row>
    <row r="1056" spans="1:15">
      <c r="A1056" s="742" t="s">
        <v>2619</v>
      </c>
      <c r="B1056" s="1881" t="str">
        <f>'Part VII-Pro Forma'!B41</f>
        <v/>
      </c>
      <c r="C1056" s="1881" t="str">
        <f>'Part VII-Pro Forma'!C41</f>
        <v/>
      </c>
      <c r="D1056" s="1881" t="str">
        <f>'Part VII-Pro Forma'!D41</f>
        <v/>
      </c>
      <c r="E1056" s="1881" t="str">
        <f>'Part VII-Pro Forma'!E41</f>
        <v/>
      </c>
      <c r="F1056" s="1881" t="str">
        <f>'Part VII-Pro Forma'!F41</f>
        <v/>
      </c>
      <c r="G1056" s="1881" t="str">
        <f>'Part VII-Pro Forma'!G41</f>
        <v/>
      </c>
      <c r="H1056" s="1881" t="str">
        <f>'Part VII-Pro Forma'!H41</f>
        <v/>
      </c>
      <c r="I1056" s="1881" t="str">
        <f>'Part VII-Pro Forma'!I41</f>
        <v/>
      </c>
      <c r="J1056" s="1881" t="str">
        <f>'Part VII-Pro Forma'!J41</f>
        <v/>
      </c>
      <c r="K1056" s="1881" t="str">
        <f>'Part VII-Pro Forma'!K41</f>
        <v/>
      </c>
      <c r="N1056" s="1838">
        <f>'Part VII-Pro Forma'!N41</f>
        <v>0</v>
      </c>
      <c r="O1056" s="1838"/>
    </row>
    <row r="1057" spans="1:15">
      <c r="A1057" s="742" t="s">
        <v>784</v>
      </c>
      <c r="B1057" s="1881" t="str">
        <f>'Part VII-Pro Forma'!B42</f>
        <v/>
      </c>
      <c r="C1057" s="1881" t="str">
        <f>'Part VII-Pro Forma'!C42</f>
        <v/>
      </c>
      <c r="D1057" s="1881" t="str">
        <f>'Part VII-Pro Forma'!D42</f>
        <v/>
      </c>
      <c r="E1057" s="1881" t="str">
        <f>'Part VII-Pro Forma'!E42</f>
        <v/>
      </c>
      <c r="F1057" s="1881" t="str">
        <f>'Part VII-Pro Forma'!F42</f>
        <v/>
      </c>
      <c r="G1057" s="1881" t="str">
        <f>'Part VII-Pro Forma'!G42</f>
        <v/>
      </c>
      <c r="H1057" s="1881" t="str">
        <f>'Part VII-Pro Forma'!H42</f>
        <v/>
      </c>
      <c r="I1057" s="1881" t="str">
        <f>'Part VII-Pro Forma'!I42</f>
        <v/>
      </c>
      <c r="J1057" s="1881" t="str">
        <f>'Part VII-Pro Forma'!J42</f>
        <v/>
      </c>
      <c r="K1057" s="1881" t="str">
        <f>'Part VII-Pro Forma'!K42</f>
        <v/>
      </c>
      <c r="N1057" s="1838">
        <f>'Part VII-Pro Forma'!N42</f>
        <v>0</v>
      </c>
      <c r="O1057" s="1838"/>
    </row>
    <row r="1058" spans="1:15">
      <c r="A1058" s="742" t="s">
        <v>4088</v>
      </c>
      <c r="B1058" s="1881">
        <f>'Part VII-Pro Forma'!B43</f>
        <v>415907.1</v>
      </c>
      <c r="C1058" s="1881">
        <f>'Part VII-Pro Forma'!C43</f>
        <v>369695.19999999995</v>
      </c>
      <c r="D1058" s="1881">
        <f>'Part VII-Pro Forma'!D43</f>
        <v>323483.29999999993</v>
      </c>
      <c r="E1058" s="1881">
        <f>'Part VII-Pro Forma'!E43</f>
        <v>277271.39999999991</v>
      </c>
      <c r="F1058" s="1881">
        <f>'Part VII-Pro Forma'!F43</f>
        <v>231059.49999999991</v>
      </c>
      <c r="G1058" s="1881">
        <f>'Part VII-Pro Forma'!G43</f>
        <v>184847.59999999992</v>
      </c>
      <c r="H1058" s="1881">
        <f>'Part VII-Pro Forma'!H43</f>
        <v>138635.69999999992</v>
      </c>
      <c r="I1058" s="1881">
        <f>'Part VII-Pro Forma'!I43</f>
        <v>92423.79999999993</v>
      </c>
      <c r="J1058" s="1881">
        <f>'Part VII-Pro Forma'!J43</f>
        <v>46211.899999999929</v>
      </c>
      <c r="K1058" s="1881">
        <f>'Part VII-Pro Forma'!K43</f>
        <v>0</v>
      </c>
      <c r="N1058" s="1838">
        <f>'Part VII-Pro Forma'!N43</f>
        <v>0</v>
      </c>
      <c r="O1058" s="1838"/>
    </row>
    <row r="1059" spans="1:15">
      <c r="B1059" s="1881"/>
      <c r="C1059" s="1881"/>
      <c r="D1059" s="1881"/>
      <c r="E1059" s="1881"/>
      <c r="F1059" s="1881"/>
      <c r="G1059" s="1881"/>
      <c r="H1059" s="1881"/>
      <c r="I1059" s="1881"/>
      <c r="J1059" s="1881"/>
      <c r="K1059" s="1881"/>
    </row>
    <row r="1060" spans="1:15">
      <c r="A1060" s="742" t="s">
        <v>2480</v>
      </c>
      <c r="B1060" s="1881">
        <f>K1028+1</f>
        <v>11</v>
      </c>
      <c r="C1060" s="1881">
        <f t="shared" ref="C1060:K1060" si="364">B1060+1</f>
        <v>12</v>
      </c>
      <c r="D1060" s="1881">
        <f t="shared" si="364"/>
        <v>13</v>
      </c>
      <c r="E1060" s="1881">
        <f t="shared" si="364"/>
        <v>14</v>
      </c>
      <c r="F1060" s="1881">
        <f t="shared" si="364"/>
        <v>15</v>
      </c>
      <c r="G1060" s="1881">
        <f t="shared" si="364"/>
        <v>16</v>
      </c>
      <c r="H1060" s="1881">
        <f t="shared" si="364"/>
        <v>17</v>
      </c>
      <c r="I1060" s="1881">
        <f t="shared" si="364"/>
        <v>18</v>
      </c>
      <c r="J1060" s="1881">
        <f t="shared" si="364"/>
        <v>19</v>
      </c>
      <c r="K1060" s="1881">
        <f t="shared" si="364"/>
        <v>20</v>
      </c>
      <c r="N1060" s="2111" t="s">
        <v>2622</v>
      </c>
      <c r="O1060" s="2111"/>
    </row>
    <row r="1061" spans="1:15">
      <c r="A1061" s="742" t="s">
        <v>2404</v>
      </c>
      <c r="B1061" s="1881">
        <f>'Part VII-Pro Forma'!B46</f>
        <v>1138638.3078287027</v>
      </c>
      <c r="C1061" s="1881">
        <f>'Part VII-Pro Forma'!C46</f>
        <v>1161411.0739852765</v>
      </c>
      <c r="D1061" s="1881">
        <f>'Part VII-Pro Forma'!D46</f>
        <v>1184639.2954649823</v>
      </c>
      <c r="E1061" s="1881">
        <f>'Part VII-Pro Forma'!E46</f>
        <v>1208332.0813742818</v>
      </c>
      <c r="F1061" s="1881">
        <f>'Part VII-Pro Forma'!F46</f>
        <v>1232498.7230017676</v>
      </c>
      <c r="G1061" s="1881">
        <f>'Part VII-Pro Forma'!G46</f>
        <v>1257148.6974618025</v>
      </c>
      <c r="H1061" s="1881">
        <f>'Part VII-Pro Forma'!H46</f>
        <v>1282291.6714110388</v>
      </c>
      <c r="I1061" s="1881">
        <f>'Part VII-Pro Forma'!I46</f>
        <v>1307937.5048392597</v>
      </c>
      <c r="J1061" s="1881">
        <f>'Part VII-Pro Forma'!J46</f>
        <v>1334096.2549360448</v>
      </c>
      <c r="K1061" s="1881">
        <f>'Part VII-Pro Forma'!K46</f>
        <v>1360778.1800347657</v>
      </c>
      <c r="N1061" s="1838">
        <f>'Part VII-Pro Forma'!N46</f>
        <v>0</v>
      </c>
      <c r="O1061" s="1838"/>
    </row>
    <row r="1062" spans="1:15">
      <c r="A1062" s="742" t="s">
        <v>1016</v>
      </c>
      <c r="B1062" s="1881">
        <f>'Part VII-Pro Forma'!B47</f>
        <v>22772.766156574056</v>
      </c>
      <c r="C1062" s="1881">
        <f>'Part VII-Pro Forma'!C47</f>
        <v>23228.221479705535</v>
      </c>
      <c r="D1062" s="1881">
        <f>'Part VII-Pro Forma'!D47</f>
        <v>23692.785909299648</v>
      </c>
      <c r="E1062" s="1881">
        <f>'Part VII-Pro Forma'!E47</f>
        <v>24166.641627485638</v>
      </c>
      <c r="F1062" s="1881">
        <f>'Part VII-Pro Forma'!F47</f>
        <v>24649.974460035355</v>
      </c>
      <c r="G1062" s="1881">
        <f>'Part VII-Pro Forma'!G47</f>
        <v>25142.973949236057</v>
      </c>
      <c r="H1062" s="1881">
        <f>'Part VII-Pro Forma'!H47</f>
        <v>25645.83342822078</v>
      </c>
      <c r="I1062" s="1881">
        <f>'Part VII-Pro Forma'!I47</f>
        <v>26158.750096785199</v>
      </c>
      <c r="J1062" s="1881">
        <f>'Part VII-Pro Forma'!J47</f>
        <v>26681.925098720898</v>
      </c>
      <c r="K1062" s="1881">
        <f>'Part VII-Pro Forma'!K47</f>
        <v>27215.563600695317</v>
      </c>
      <c r="N1062" s="1838">
        <f>'Part VII-Pro Forma'!N47</f>
        <v>0</v>
      </c>
      <c r="O1062" s="1838"/>
    </row>
    <row r="1063" spans="1:15">
      <c r="A1063" s="742" t="s">
        <v>2405</v>
      </c>
      <c r="B1063" s="1881">
        <f>'Part VII-Pro Forma'!B48</f>
        <v>-81298.775178969387</v>
      </c>
      <c r="C1063" s="1881">
        <f>'Part VII-Pro Forma'!C48</f>
        <v>-82924.750682548751</v>
      </c>
      <c r="D1063" s="1881">
        <f>'Part VII-Pro Forma'!D48</f>
        <v>-84583.245696199752</v>
      </c>
      <c r="E1063" s="1881">
        <f>'Part VII-Pro Forma'!E48</f>
        <v>-86274.910610123727</v>
      </c>
      <c r="F1063" s="1881">
        <f>'Part VII-Pro Forma'!F48</f>
        <v>-88000.408822326222</v>
      </c>
      <c r="G1063" s="1881">
        <f>'Part VII-Pro Forma'!G48</f>
        <v>-89760.416998772707</v>
      </c>
      <c r="H1063" s="1881">
        <f>'Part VII-Pro Forma'!H48</f>
        <v>-91555.625338748185</v>
      </c>
      <c r="I1063" s="1881">
        <f>'Part VII-Pro Forma'!I48</f>
        <v>-93386.737845523152</v>
      </c>
      <c r="J1063" s="1881">
        <f>'Part VII-Pro Forma'!J48</f>
        <v>-95254.472602433612</v>
      </c>
      <c r="K1063" s="1881">
        <f>'Part VII-Pro Forma'!K48</f>
        <v>-97159.562054482274</v>
      </c>
      <c r="N1063" s="1838">
        <f>'Part VII-Pro Forma'!N48</f>
        <v>0</v>
      </c>
      <c r="O1063" s="1838"/>
    </row>
    <row r="1064" spans="1:15">
      <c r="A1064" s="742" t="s">
        <v>52</v>
      </c>
      <c r="B1064" s="1881">
        <f>'Part VII-Pro Forma'!B49</f>
        <v>0</v>
      </c>
      <c r="C1064" s="1881">
        <f>'Part VII-Pro Forma'!C49</f>
        <v>0</v>
      </c>
      <c r="D1064" s="1881">
        <f>'Part VII-Pro Forma'!D49</f>
        <v>0</v>
      </c>
      <c r="E1064" s="1881">
        <f>'Part VII-Pro Forma'!E49</f>
        <v>0</v>
      </c>
      <c r="F1064" s="1881">
        <f>'Part VII-Pro Forma'!F49</f>
        <v>0</v>
      </c>
      <c r="G1064" s="1881">
        <f>'Part VII-Pro Forma'!G49</f>
        <v>0</v>
      </c>
      <c r="H1064" s="1881">
        <f>'Part VII-Pro Forma'!H49</f>
        <v>0</v>
      </c>
      <c r="I1064" s="1881">
        <f>'Part VII-Pro Forma'!I49</f>
        <v>0</v>
      </c>
      <c r="J1064" s="1881">
        <f>'Part VII-Pro Forma'!J49</f>
        <v>0</v>
      </c>
      <c r="K1064" s="1881">
        <f>'Part VII-Pro Forma'!K49</f>
        <v>0</v>
      </c>
      <c r="N1064" s="1838">
        <f>'Part VII-Pro Forma'!N49</f>
        <v>0</v>
      </c>
      <c r="O1064" s="1838"/>
    </row>
    <row r="1065" spans="1:15">
      <c r="A1065" s="742" t="s">
        <v>53</v>
      </c>
      <c r="B1065" s="1881">
        <f>'Part VII-Pro Forma'!B50</f>
        <v>0</v>
      </c>
      <c r="C1065" s="1881">
        <f>'Part VII-Pro Forma'!C50</f>
        <v>0</v>
      </c>
      <c r="D1065" s="1881">
        <f>'Part VII-Pro Forma'!D50</f>
        <v>0</v>
      </c>
      <c r="E1065" s="1881">
        <f>'Part VII-Pro Forma'!E50</f>
        <v>0</v>
      </c>
      <c r="F1065" s="1881">
        <f>'Part VII-Pro Forma'!F50</f>
        <v>0</v>
      </c>
      <c r="G1065" s="1881">
        <f>'Part VII-Pro Forma'!G50</f>
        <v>0</v>
      </c>
      <c r="H1065" s="1881">
        <f>'Part VII-Pro Forma'!H50</f>
        <v>0</v>
      </c>
      <c r="I1065" s="1881">
        <f>'Part VII-Pro Forma'!I50</f>
        <v>0</v>
      </c>
      <c r="J1065" s="1881">
        <f>'Part VII-Pro Forma'!J50</f>
        <v>0</v>
      </c>
      <c r="K1065" s="1881">
        <f>'Part VII-Pro Forma'!K50</f>
        <v>0</v>
      </c>
      <c r="N1065" s="1838">
        <f>'Part VII-Pro Forma'!N50</f>
        <v>0</v>
      </c>
      <c r="O1065" s="1838"/>
    </row>
    <row r="1066" spans="1:15">
      <c r="A1066" s="742" t="s">
        <v>4945</v>
      </c>
      <c r="B1066" s="1881">
        <f>'Part VII-Pro Forma'!B51</f>
        <v>1080112.2988063074</v>
      </c>
      <c r="C1066" s="1881">
        <f>'Part VII-Pro Forma'!C51</f>
        <v>1101714.5447824332</v>
      </c>
      <c r="D1066" s="1881">
        <f>'Part VII-Pro Forma'!D51</f>
        <v>1123748.8356780822</v>
      </c>
      <c r="E1066" s="1881">
        <f>'Part VII-Pro Forma'!E51</f>
        <v>1146223.8123916436</v>
      </c>
      <c r="F1066" s="1881">
        <f>'Part VII-Pro Forma'!F51</f>
        <v>1169148.2886394768</v>
      </c>
      <c r="G1066" s="1881">
        <f>'Part VII-Pro Forma'!G51</f>
        <v>1192531.254412266</v>
      </c>
      <c r="H1066" s="1881">
        <f>'Part VII-Pro Forma'!H51</f>
        <v>1216381.8795005116</v>
      </c>
      <c r="I1066" s="1881">
        <f>'Part VII-Pro Forma'!I51</f>
        <v>1240709.5170905218</v>
      </c>
      <c r="J1066" s="1881">
        <f>'Part VII-Pro Forma'!J51</f>
        <v>1265523.7074323322</v>
      </c>
      <c r="K1066" s="1881">
        <f>'Part VII-Pro Forma'!K51</f>
        <v>1290834.1815809787</v>
      </c>
      <c r="N1066" s="1838">
        <f>'Part VII-Pro Forma'!N51</f>
        <v>0</v>
      </c>
      <c r="O1066" s="1838"/>
    </row>
    <row r="1067" spans="1:15">
      <c r="A1067" s="742" t="s">
        <v>614</v>
      </c>
      <c r="B1067" s="1881">
        <f>'Part VII-Pro Forma'!B52</f>
        <v>-476923.66903612454</v>
      </c>
      <c r="C1067" s="1881">
        <f>'Part VII-Pro Forma'!C52</f>
        <v>-491231.37910720834</v>
      </c>
      <c r="D1067" s="1881">
        <f>'Part VII-Pro Forma'!D52</f>
        <v>-505968.3204804245</v>
      </c>
      <c r="E1067" s="1881">
        <f>'Part VII-Pro Forma'!E52</f>
        <v>-521147.37009483721</v>
      </c>
      <c r="F1067" s="1881">
        <f>'Part VII-Pro Forma'!F52</f>
        <v>-536781.79119768238</v>
      </c>
      <c r="G1067" s="1881">
        <f>'Part VII-Pro Forma'!G52</f>
        <v>-552885.24493361288</v>
      </c>
      <c r="H1067" s="1881">
        <f>'Part VII-Pro Forma'!H52</f>
        <v>-569471.80228162115</v>
      </c>
      <c r="I1067" s="1881">
        <f>'Part VII-Pro Forma'!I52</f>
        <v>-586555.95635006984</v>
      </c>
      <c r="J1067" s="1881">
        <f>'Part VII-Pro Forma'!J52</f>
        <v>-604152.63504057191</v>
      </c>
      <c r="K1067" s="1881">
        <f>'Part VII-Pro Forma'!K52</f>
        <v>-622277.21409178909</v>
      </c>
      <c r="N1067" s="1838">
        <f>'Part VII-Pro Forma'!N52</f>
        <v>0</v>
      </c>
      <c r="O1067" s="1838"/>
    </row>
    <row r="1068" spans="1:15">
      <c r="A1068" s="742" t="s">
        <v>1115</v>
      </c>
      <c r="B1068" s="1881">
        <f>'Part VII-Pro Forma'!B53</f>
        <v>-48605</v>
      </c>
      <c r="C1068" s="1881">
        <f>'Part VII-Pro Forma'!C53</f>
        <v>-49577</v>
      </c>
      <c r="D1068" s="1881">
        <f>'Part VII-Pro Forma'!D53</f>
        <v>-50569</v>
      </c>
      <c r="E1068" s="1881">
        <f>'Part VII-Pro Forma'!E53</f>
        <v>-51580</v>
      </c>
      <c r="F1068" s="1881">
        <f>'Part VII-Pro Forma'!F53</f>
        <v>-52612</v>
      </c>
      <c r="G1068" s="1881">
        <f>'Part VII-Pro Forma'!G53</f>
        <v>-53664</v>
      </c>
      <c r="H1068" s="1881">
        <f>'Part VII-Pro Forma'!H53</f>
        <v>-54737</v>
      </c>
      <c r="I1068" s="1881">
        <f>'Part VII-Pro Forma'!I53</f>
        <v>-55832</v>
      </c>
      <c r="J1068" s="1881">
        <f>'Part VII-Pro Forma'!J53</f>
        <v>-56949</v>
      </c>
      <c r="K1068" s="1881">
        <f>'Part VII-Pro Forma'!K53</f>
        <v>-58088</v>
      </c>
      <c r="N1068" s="1838">
        <f>'Part VII-Pro Forma'!N53</f>
        <v>0</v>
      </c>
      <c r="O1068" s="1838"/>
    </row>
    <row r="1069" spans="1:15">
      <c r="A1069" s="742" t="s">
        <v>1202</v>
      </c>
      <c r="B1069" s="1881">
        <f>'Part VII-Pro Forma'!B54</f>
        <v>-28222.243966226557</v>
      </c>
      <c r="C1069" s="1881">
        <f>'Part VII-Pro Forma'!C54</f>
        <v>-29068.911285213355</v>
      </c>
      <c r="D1069" s="1881">
        <f>'Part VII-Pro Forma'!D54</f>
        <v>-29940.978623769752</v>
      </c>
      <c r="E1069" s="1881">
        <f>'Part VII-Pro Forma'!E54</f>
        <v>-30839.207982482843</v>
      </c>
      <c r="F1069" s="1881">
        <f>'Part VII-Pro Forma'!F54</f>
        <v>-31764.384221957331</v>
      </c>
      <c r="G1069" s="1881">
        <f>'Part VII-Pro Forma'!G54</f>
        <v>-32717.315748616053</v>
      </c>
      <c r="H1069" s="1881">
        <f>'Part VII-Pro Forma'!H54</f>
        <v>-33698.835221074529</v>
      </c>
      <c r="I1069" s="1881">
        <f>'Part VII-Pro Forma'!I54</f>
        <v>-34709.800277706767</v>
      </c>
      <c r="J1069" s="1881">
        <f>'Part VII-Pro Forma'!J54</f>
        <v>-35751.094286037966</v>
      </c>
      <c r="K1069" s="1881">
        <f>'Part VII-Pro Forma'!K54</f>
        <v>-36823.627114619107</v>
      </c>
      <c r="N1069" s="1838">
        <f>'Part VII-Pro Forma'!N54</f>
        <v>0</v>
      </c>
      <c r="O1069" s="1838"/>
    </row>
    <row r="1070" spans="1:15">
      <c r="A1070" s="742" t="s">
        <v>4944</v>
      </c>
      <c r="B1070" s="1881">
        <f>IF(B1060&lt;=+'Part VI-Revenues &amp; Expenses'!$K$243,-'Part VI-Revenues &amp; Expenses'!$H$243,0)</f>
        <v>0</v>
      </c>
      <c r="C1070" s="1881">
        <f>IF(C1060&lt;=+'Part VI-Revenues &amp; Expenses'!$K$243,-'Part VI-Revenues &amp; Expenses'!$H$243,0)</f>
        <v>0</v>
      </c>
      <c r="D1070" s="1881">
        <f>IF(D1060&lt;=+'Part VI-Revenues &amp; Expenses'!$K$243,-'Part VI-Revenues &amp; Expenses'!$H$243,0)</f>
        <v>0</v>
      </c>
      <c r="E1070" s="1881">
        <f>IF(E1060&lt;=+'Part VI-Revenues &amp; Expenses'!$K$243,-'Part VI-Revenues &amp; Expenses'!$H$243,0)</f>
        <v>0</v>
      </c>
      <c r="F1070" s="1881">
        <f>IF(F1060&lt;=+'Part VI-Revenues &amp; Expenses'!$K$243,-'Part VI-Revenues &amp; Expenses'!$H$243,0)</f>
        <v>0</v>
      </c>
      <c r="G1070" s="1881">
        <f>IF(G1060&lt;=+'Part VI-Revenues &amp; Expenses'!$K$243,-'Part VI-Revenues &amp; Expenses'!$H$243,0)</f>
        <v>0</v>
      </c>
      <c r="H1070" s="1881">
        <f>IF(H1060&lt;=+'Part VI-Revenues &amp; Expenses'!$K$243,-'Part VI-Revenues &amp; Expenses'!$H$243,0)</f>
        <v>0</v>
      </c>
      <c r="I1070" s="1881">
        <f>IF(I1060&lt;=+'Part VI-Revenues &amp; Expenses'!$K$243,-'Part VI-Revenues &amp; Expenses'!$H$243,0)</f>
        <v>0</v>
      </c>
      <c r="J1070" s="1881">
        <f>IF(J1060&lt;=+'Part VI-Revenues &amp; Expenses'!$K$243,-'Part VI-Revenues &amp; Expenses'!$H$243,0)</f>
        <v>0</v>
      </c>
      <c r="K1070" s="1881">
        <f>IF(K1060&lt;=+'Part VI-Revenues &amp; Expenses'!$K$243,-'Part VI-Revenues &amp; Expenses'!$H$243,0)</f>
        <v>0</v>
      </c>
      <c r="N1070" s="1838">
        <f>'Part VII-Pro Forma'!N55</f>
        <v>0</v>
      </c>
      <c r="O1070" s="1838"/>
    </row>
    <row r="1071" spans="1:15">
      <c r="A1071" s="742" t="s">
        <v>1203</v>
      </c>
      <c r="B1071" s="1881">
        <f>SUM(B1066:B1070)</f>
        <v>526361.38580395619</v>
      </c>
      <c r="C1071" s="1881">
        <f t="shared" ref="C1071:J1071" si="365">SUM(C1066:C1070)</f>
        <v>531837.25439001154</v>
      </c>
      <c r="D1071" s="1881">
        <f t="shared" si="365"/>
        <v>537270.53657388804</v>
      </c>
      <c r="E1071" s="1881">
        <f t="shared" si="365"/>
        <v>542657.23431432364</v>
      </c>
      <c r="F1071" s="1881">
        <f t="shared" si="365"/>
        <v>547990.11321983708</v>
      </c>
      <c r="G1071" s="1881">
        <f t="shared" si="365"/>
        <v>553264.69373003708</v>
      </c>
      <c r="H1071" s="1881">
        <f t="shared" si="365"/>
        <v>558474.2419978159</v>
      </c>
      <c r="I1071" s="1881">
        <f t="shared" si="365"/>
        <v>563611.76046274509</v>
      </c>
      <c r="J1071" s="1881">
        <f t="shared" si="365"/>
        <v>568670.97810572234</v>
      </c>
      <c r="K1071" s="1881">
        <f>SUM(K1066:K1070)</f>
        <v>573645.34037457046</v>
      </c>
      <c r="N1071" s="1838">
        <f>'Part VII-Pro Forma'!N56</f>
        <v>0</v>
      </c>
      <c r="O1071" s="1838"/>
    </row>
    <row r="1072" spans="1:15">
      <c r="A1072" s="742" t="str">
        <f>$A1040</f>
        <v>Mortgage A</v>
      </c>
      <c r="B1072" s="1881">
        <f>IF('Part III-Sources of Funds'!$P$38="", 0,-'Part III-Sources of Funds'!$P$38)</f>
        <v>-384782.82220370776</v>
      </c>
      <c r="C1072" s="1881">
        <f>IF('Part III-Sources of Funds'!$P$38="", 0,-'Part III-Sources of Funds'!$P$38)</f>
        <v>-384782.82220370776</v>
      </c>
      <c r="D1072" s="1881">
        <f>IF('Part III-Sources of Funds'!$P$38="", 0,-'Part III-Sources of Funds'!$P$38)</f>
        <v>-384782.82220370776</v>
      </c>
      <c r="E1072" s="1881">
        <f>IF('Part III-Sources of Funds'!$P$38="", 0,-'Part III-Sources of Funds'!$P$38)</f>
        <v>-384782.82220370776</v>
      </c>
      <c r="F1072" s="1881">
        <f>IF('Part III-Sources of Funds'!$P$38="", 0,-'Part III-Sources of Funds'!$P$38)</f>
        <v>-384782.82220370776</v>
      </c>
      <c r="G1072" s="1881">
        <f>IF('Part III-Sources of Funds'!$P$38="", 0,-'Part III-Sources of Funds'!$P$38)</f>
        <v>-384782.82220370776</v>
      </c>
      <c r="H1072" s="1881">
        <f>IF('Part III-Sources of Funds'!$P$38="", 0,-'Part III-Sources of Funds'!$P$38)</f>
        <v>-384782.82220370776</v>
      </c>
      <c r="I1072" s="1881">
        <f>IF('Part III-Sources of Funds'!$P$38="", 0,-'Part III-Sources of Funds'!$P$38)</f>
        <v>-384782.82220370776</v>
      </c>
      <c r="J1072" s="1881">
        <f>IF('Part III-Sources of Funds'!$P$38="", 0,-'Part III-Sources of Funds'!$P$38)</f>
        <v>-384782.82220370776</v>
      </c>
      <c r="K1072" s="1881">
        <f>IF('Part III-Sources of Funds'!$P$38="", 0,-'Part III-Sources of Funds'!$P$38)</f>
        <v>-384782.82220370776</v>
      </c>
      <c r="N1072" s="1838">
        <f>'Part VII-Pro Forma'!N57</f>
        <v>0</v>
      </c>
      <c r="O1072" s="1838"/>
    </row>
    <row r="1073" spans="1:15">
      <c r="A1073" s="742" t="str">
        <f>$A1041</f>
        <v>Mortgage B</v>
      </c>
      <c r="B1073" s="1881">
        <f>IF('Part III-Sources of Funds'!$P$39="", 0,-'Part III-Sources of Funds'!$P$39)</f>
        <v>0</v>
      </c>
      <c r="C1073" s="1881">
        <f>IF('Part III-Sources of Funds'!$P$39="", 0,-'Part III-Sources of Funds'!$P$39)</f>
        <v>0</v>
      </c>
      <c r="D1073" s="1881">
        <f>IF('Part III-Sources of Funds'!$P$39="", 0,-'Part III-Sources of Funds'!$P$39)</f>
        <v>0</v>
      </c>
      <c r="E1073" s="1881">
        <f>IF('Part III-Sources of Funds'!$P$39="", 0,-'Part III-Sources of Funds'!$P$39)</f>
        <v>0</v>
      </c>
      <c r="F1073" s="1881">
        <f>IF('Part III-Sources of Funds'!$P$39="", 0,-'Part III-Sources of Funds'!$P$39)</f>
        <v>0</v>
      </c>
      <c r="G1073" s="1881">
        <f>IF('Part III-Sources of Funds'!$P$39="", 0,-'Part III-Sources of Funds'!$P$39)</f>
        <v>0</v>
      </c>
      <c r="H1073" s="1881">
        <f>IF('Part III-Sources of Funds'!$P$39="", 0,-'Part III-Sources of Funds'!$P$39)</f>
        <v>0</v>
      </c>
      <c r="I1073" s="1881">
        <f>IF('Part III-Sources of Funds'!$P$39="", 0,-'Part III-Sources of Funds'!$P$39)</f>
        <v>0</v>
      </c>
      <c r="J1073" s="1881">
        <f>IF('Part III-Sources of Funds'!$P$39="", 0,-'Part III-Sources of Funds'!$P$39)</f>
        <v>0</v>
      </c>
      <c r="K1073" s="1881">
        <f>IF('Part III-Sources of Funds'!$P$39="", 0,-'Part III-Sources of Funds'!$P$39)</f>
        <v>0</v>
      </c>
      <c r="N1073" s="1838">
        <f>'Part VII-Pro Forma'!N58</f>
        <v>0</v>
      </c>
      <c r="O1073" s="1838"/>
    </row>
    <row r="1074" spans="1:15">
      <c r="A1074" s="742" t="str">
        <f>$A1042</f>
        <v>Mortgage C</v>
      </c>
      <c r="B1074" s="1881">
        <f>IF('Part III-Sources of Funds'!$P$40="", 0,-'Part III-Sources of Funds'!$P$40)</f>
        <v>0</v>
      </c>
      <c r="C1074" s="1881">
        <f>IF('Part III-Sources of Funds'!$P$40="", 0,-'Part III-Sources of Funds'!$P$40)</f>
        <v>0</v>
      </c>
      <c r="D1074" s="1881">
        <f>IF('Part III-Sources of Funds'!$P$40="", 0,-'Part III-Sources of Funds'!$P$40)</f>
        <v>0</v>
      </c>
      <c r="E1074" s="1881">
        <f>IF('Part III-Sources of Funds'!$P$40="", 0,-'Part III-Sources of Funds'!$P$40)</f>
        <v>0</v>
      </c>
      <c r="F1074" s="1881">
        <f>IF('Part III-Sources of Funds'!$P$40="", 0,-'Part III-Sources of Funds'!$P$40)</f>
        <v>0</v>
      </c>
      <c r="G1074" s="1881">
        <f>IF('Part III-Sources of Funds'!$P$40="", 0,-'Part III-Sources of Funds'!$P$40)</f>
        <v>0</v>
      </c>
      <c r="H1074" s="1881">
        <f>IF('Part III-Sources of Funds'!$P$40="", 0,-'Part III-Sources of Funds'!$P$40)</f>
        <v>0</v>
      </c>
      <c r="I1074" s="1881">
        <f>IF('Part III-Sources of Funds'!$P$40="", 0,-'Part III-Sources of Funds'!$P$40)</f>
        <v>0</v>
      </c>
      <c r="J1074" s="1881">
        <f>IF('Part III-Sources of Funds'!$P$40="", 0,-'Part III-Sources of Funds'!$P$40)</f>
        <v>0</v>
      </c>
      <c r="K1074" s="1881">
        <f>IF('Part III-Sources of Funds'!$P$40="", 0,-'Part III-Sources of Funds'!$P$40)</f>
        <v>0</v>
      </c>
      <c r="N1074" s="1838">
        <f>'Part VII-Pro Forma'!N59</f>
        <v>0</v>
      </c>
      <c r="O1074" s="1838"/>
    </row>
    <row r="1075" spans="1:15">
      <c r="A1075" s="742" t="str">
        <f>$A1043</f>
        <v>D/S Other Source,not DDF</v>
      </c>
      <c r="B1075" s="1881">
        <f>IF('Part III-Sources of Funds'!$P$41="", 0,-'Part III-Sources of Funds'!$P$41)</f>
        <v>0</v>
      </c>
      <c r="C1075" s="1881">
        <f>IF('Part III-Sources of Funds'!$P$41="", 0,-'Part III-Sources of Funds'!$P$41)</f>
        <v>0</v>
      </c>
      <c r="D1075" s="1881">
        <f>IF('Part III-Sources of Funds'!$P$41="", 0,-'Part III-Sources of Funds'!$P$41)</f>
        <v>0</v>
      </c>
      <c r="E1075" s="1881">
        <f>IF('Part III-Sources of Funds'!$P$41="", 0,-'Part III-Sources of Funds'!$P$41)</f>
        <v>0</v>
      </c>
      <c r="F1075" s="1881">
        <f>IF('Part III-Sources of Funds'!$P$41="", 0,-'Part III-Sources of Funds'!$P$41)</f>
        <v>0</v>
      </c>
      <c r="G1075" s="1881">
        <f>IF('Part III-Sources of Funds'!$P$41="", 0,-'Part III-Sources of Funds'!$P$41)</f>
        <v>0</v>
      </c>
      <c r="H1075" s="1881">
        <f>IF('Part III-Sources of Funds'!$P$41="", 0,-'Part III-Sources of Funds'!$P$41)</f>
        <v>0</v>
      </c>
      <c r="I1075" s="1881">
        <f>IF('Part III-Sources of Funds'!$P$41="", 0,-'Part III-Sources of Funds'!$P$41)</f>
        <v>0</v>
      </c>
      <c r="J1075" s="1881">
        <f>IF('Part III-Sources of Funds'!$P$41="", 0,-'Part III-Sources of Funds'!$P$41)</f>
        <v>0</v>
      </c>
      <c r="K1075" s="1881">
        <f>IF('Part III-Sources of Funds'!$P$41="", 0,-'Part III-Sources of Funds'!$P$41)</f>
        <v>0</v>
      </c>
      <c r="N1075" s="1838">
        <f>'Part VII-Pro Forma'!N60</f>
        <v>0</v>
      </c>
      <c r="O1075" s="1838"/>
    </row>
    <row r="1076" spans="1:15">
      <c r="A1076" s="742" t="s">
        <v>763</v>
      </c>
      <c r="B1076" s="1881"/>
      <c r="C1076" s="1881"/>
      <c r="D1076" s="1881"/>
      <c r="E1076" s="1881"/>
      <c r="F1076" s="1881"/>
      <c r="G1076" s="1881"/>
      <c r="H1076" s="1881"/>
      <c r="I1076" s="1881"/>
      <c r="J1076" s="1881"/>
      <c r="K1076" s="1881"/>
      <c r="N1076" s="1838">
        <f>'Part VII-Pro Forma'!N61</f>
        <v>0</v>
      </c>
      <c r="O1076" s="1838"/>
    </row>
    <row r="1077" spans="1:15">
      <c r="A1077" s="742" t="s">
        <v>1163</v>
      </c>
      <c r="B1077" s="1881">
        <f>+K1045</f>
        <v>0</v>
      </c>
      <c r="C1077" s="1881">
        <f t="shared" ref="C1077:K1077" si="366">+B1077</f>
        <v>0</v>
      </c>
      <c r="D1077" s="1881">
        <f t="shared" si="366"/>
        <v>0</v>
      </c>
      <c r="E1077" s="1881">
        <f t="shared" si="366"/>
        <v>0</v>
      </c>
      <c r="F1077" s="1881">
        <f t="shared" si="366"/>
        <v>0</v>
      </c>
      <c r="G1077" s="1881">
        <f t="shared" si="366"/>
        <v>0</v>
      </c>
      <c r="H1077" s="1881">
        <f t="shared" si="366"/>
        <v>0</v>
      </c>
      <c r="I1077" s="1881">
        <f t="shared" si="366"/>
        <v>0</v>
      </c>
      <c r="J1077" s="1881">
        <f t="shared" si="366"/>
        <v>0</v>
      </c>
      <c r="K1077" s="1881">
        <f t="shared" si="366"/>
        <v>0</v>
      </c>
      <c r="N1077" s="1838">
        <f>'Part VII-Pro Forma'!N62</f>
        <v>0</v>
      </c>
      <c r="O1077" s="1838"/>
    </row>
    <row r="1078" spans="1:15">
      <c r="A1078" s="742" t="s">
        <v>4087</v>
      </c>
      <c r="B1078" s="1881">
        <f>IF('Part III-Sources of Funds'!$P$43="", 0,-'Part III-Sources of Funds'!$P$43)</f>
        <v>-46211.9</v>
      </c>
      <c r="C1078" s="1881">
        <f>IF('Part III-Sources of Funds'!$P$43="", 0,-'Part III-Sources of Funds'!$P$43)</f>
        <v>-46211.9</v>
      </c>
      <c r="D1078" s="1881">
        <f>IF('Part III-Sources of Funds'!$P$43="", 0,-'Part III-Sources of Funds'!$P$43)</f>
        <v>-46211.9</v>
      </c>
      <c r="E1078" s="1881">
        <f>IF('Part III-Sources of Funds'!$P$43="", 0,-'Part III-Sources of Funds'!$P$43)</f>
        <v>-46211.9</v>
      </c>
      <c r="F1078" s="1881">
        <f>IF('Part III-Sources of Funds'!$P$43="", 0,-'Part III-Sources of Funds'!$P$43)</f>
        <v>-46211.9</v>
      </c>
      <c r="G1078" s="1881"/>
      <c r="H1078" s="1881"/>
      <c r="I1078" s="1881"/>
      <c r="J1078" s="1881"/>
      <c r="K1078" s="1881"/>
      <c r="N1078" s="1838">
        <f>'Part VII-Pro Forma'!N63</f>
        <v>0</v>
      </c>
      <c r="O1078" s="1838"/>
    </row>
    <row r="1079" spans="1:15">
      <c r="A1079" s="742" t="s">
        <v>1164</v>
      </c>
      <c r="B1079" s="1881">
        <f>'Part VII-Pro Forma'!B64</f>
        <v>95366.66360024843</v>
      </c>
      <c r="C1079" s="1881">
        <f>'Part VII-Pro Forma'!C64</f>
        <v>100842.53218630378</v>
      </c>
      <c r="D1079" s="1881">
        <f>'Part VII-Pro Forma'!D64</f>
        <v>106275.81437018028</v>
      </c>
      <c r="E1079" s="1881">
        <f>'Part VII-Pro Forma'!E64</f>
        <v>111662.51211061588</v>
      </c>
      <c r="F1079" s="1881">
        <f>'Part VII-Pro Forma'!F64</f>
        <v>116995.39101612932</v>
      </c>
      <c r="G1079" s="1881">
        <f>'Part VII-Pro Forma'!G64</f>
        <v>168481.87152632931</v>
      </c>
      <c r="H1079" s="1881">
        <f>'Part VII-Pro Forma'!H64</f>
        <v>173691.41979410814</v>
      </c>
      <c r="I1079" s="1881">
        <f>'Part VII-Pro Forma'!I64</f>
        <v>178828.93825903733</v>
      </c>
      <c r="J1079" s="1881">
        <f>'Part VII-Pro Forma'!J64</f>
        <v>183888.15590201458</v>
      </c>
      <c r="K1079" s="1881">
        <f>'Part VII-Pro Forma'!K64</f>
        <v>188862.51817086269</v>
      </c>
      <c r="N1079" s="1838">
        <f>'Part VII-Pro Forma'!N64</f>
        <v>0</v>
      </c>
      <c r="O1079" s="1838"/>
    </row>
    <row r="1080" spans="1:15">
      <c r="A1080" s="742" t="str">
        <f>$A1048</f>
        <v>DCR Mortgage A</v>
      </c>
      <c r="B1080" s="1882">
        <f>'Part VII-Pro Forma'!B65</f>
        <v>1.3679440854178655</v>
      </c>
      <c r="C1080" s="1882">
        <f>'Part VII-Pro Forma'!C65</f>
        <v>1.3821751484229505</v>
      </c>
      <c r="D1080" s="1882">
        <f>'Part VII-Pro Forma'!D65</f>
        <v>1.3962955349640109</v>
      </c>
      <c r="E1080" s="1882">
        <f>'Part VII-Pro Forma'!E65</f>
        <v>1.4102948546570917</v>
      </c>
      <c r="F1080" s="1882">
        <f>'Part VII-Pro Forma'!F65</f>
        <v>1.4241543062692279</v>
      </c>
      <c r="G1080" s="1882">
        <f>'Part VII-Pro Forma'!G65</f>
        <v>1.4378622480115117</v>
      </c>
      <c r="H1080" s="1882">
        <f>'Part VII-Pro Forma'!H65</f>
        <v>1.4514011795000408</v>
      </c>
      <c r="I1080" s="1882">
        <f>'Part VII-Pro Forma'!I65</f>
        <v>1.4647529149946397</v>
      </c>
      <c r="J1080" s="1882">
        <f>'Part VII-Pro Forma'!J65</f>
        <v>1.4779011569405829</v>
      </c>
      <c r="K1080" s="1882">
        <f>'Part VII-Pro Forma'!K65</f>
        <v>1.4908288709179358</v>
      </c>
      <c r="N1080" s="1838">
        <f>'Part VII-Pro Forma'!N65</f>
        <v>0</v>
      </c>
      <c r="O1080" s="1838"/>
    </row>
    <row r="1081" spans="1:15">
      <c r="A1081" s="742" t="str">
        <f>$A1049</f>
        <v>DCR Mortgage B</v>
      </c>
      <c r="B1081" s="1882" t="str">
        <f>'Part VII-Pro Forma'!B66</f>
        <v/>
      </c>
      <c r="C1081" s="1882" t="str">
        <f>'Part VII-Pro Forma'!C66</f>
        <v/>
      </c>
      <c r="D1081" s="1882" t="str">
        <f>'Part VII-Pro Forma'!D66</f>
        <v/>
      </c>
      <c r="E1081" s="1882" t="str">
        <f>'Part VII-Pro Forma'!E66</f>
        <v/>
      </c>
      <c r="F1081" s="1882" t="str">
        <f>'Part VII-Pro Forma'!F66</f>
        <v/>
      </c>
      <c r="G1081" s="1882" t="str">
        <f>'Part VII-Pro Forma'!G66</f>
        <v/>
      </c>
      <c r="H1081" s="1882" t="str">
        <f>'Part VII-Pro Forma'!H66</f>
        <v/>
      </c>
      <c r="I1081" s="1882" t="str">
        <f>'Part VII-Pro Forma'!I66</f>
        <v/>
      </c>
      <c r="J1081" s="1882" t="str">
        <f>'Part VII-Pro Forma'!J66</f>
        <v/>
      </c>
      <c r="K1081" s="1882" t="str">
        <f>'Part VII-Pro Forma'!K66</f>
        <v/>
      </c>
      <c r="N1081" s="1838">
        <f>'Part VII-Pro Forma'!N66</f>
        <v>0</v>
      </c>
      <c r="O1081" s="1838"/>
    </row>
    <row r="1082" spans="1:15">
      <c r="A1082" s="742" t="str">
        <f>$A1050</f>
        <v>DCR Mortgage C</v>
      </c>
      <c r="B1082" s="1882" t="str">
        <f>'Part VII-Pro Forma'!B67</f>
        <v/>
      </c>
      <c r="C1082" s="1882" t="str">
        <f>'Part VII-Pro Forma'!C67</f>
        <v/>
      </c>
      <c r="D1082" s="1882" t="str">
        <f>'Part VII-Pro Forma'!D67</f>
        <v/>
      </c>
      <c r="E1082" s="1882" t="str">
        <f>'Part VII-Pro Forma'!E67</f>
        <v/>
      </c>
      <c r="F1082" s="1882" t="str">
        <f>'Part VII-Pro Forma'!F67</f>
        <v/>
      </c>
      <c r="G1082" s="1882" t="str">
        <f>'Part VII-Pro Forma'!G67</f>
        <v/>
      </c>
      <c r="H1082" s="1882" t="str">
        <f>'Part VII-Pro Forma'!H67</f>
        <v/>
      </c>
      <c r="I1082" s="1882" t="str">
        <f>'Part VII-Pro Forma'!I67</f>
        <v/>
      </c>
      <c r="J1082" s="1882" t="str">
        <f>'Part VII-Pro Forma'!J67</f>
        <v/>
      </c>
      <c r="K1082" s="1882" t="str">
        <f>'Part VII-Pro Forma'!K67</f>
        <v/>
      </c>
      <c r="N1082" s="1838">
        <f>'Part VII-Pro Forma'!N67</f>
        <v>0</v>
      </c>
      <c r="O1082" s="1838"/>
    </row>
    <row r="1083" spans="1:15">
      <c r="A1083" s="742" t="str">
        <f>$A1051</f>
        <v>DCR Other Source</v>
      </c>
      <c r="B1083" s="1882" t="str">
        <f>'Part VII-Pro Forma'!B68</f>
        <v/>
      </c>
      <c r="C1083" s="1882" t="str">
        <f>'Part VII-Pro Forma'!C68</f>
        <v/>
      </c>
      <c r="D1083" s="1882" t="str">
        <f>'Part VII-Pro Forma'!D68</f>
        <v/>
      </c>
      <c r="E1083" s="1882" t="str">
        <f>'Part VII-Pro Forma'!E68</f>
        <v/>
      </c>
      <c r="F1083" s="1882" t="str">
        <f>'Part VII-Pro Forma'!F68</f>
        <v/>
      </c>
      <c r="G1083" s="1882" t="str">
        <f>'Part VII-Pro Forma'!G68</f>
        <v/>
      </c>
      <c r="H1083" s="1882" t="str">
        <f>'Part VII-Pro Forma'!H68</f>
        <v/>
      </c>
      <c r="I1083" s="1882" t="str">
        <f>'Part VII-Pro Forma'!I68</f>
        <v/>
      </c>
      <c r="J1083" s="1882" t="str">
        <f>'Part VII-Pro Forma'!J68</f>
        <v/>
      </c>
      <c r="K1083" s="1882" t="str">
        <f>'Part VII-Pro Forma'!K68</f>
        <v/>
      </c>
      <c r="N1083" s="1838">
        <f>'Part VII-Pro Forma'!N68</f>
        <v>0</v>
      </c>
      <c r="O1083" s="1838"/>
    </row>
    <row r="1084" spans="1:15">
      <c r="A1084" s="742" t="s">
        <v>3713</v>
      </c>
      <c r="B1084" s="1882">
        <f>'Part VII-Pro Forma'!B69</f>
        <v>1.3679440854178655</v>
      </c>
      <c r="C1084" s="1882">
        <f>'Part VII-Pro Forma'!C69</f>
        <v>1.3821751484229505</v>
      </c>
      <c r="D1084" s="1882">
        <f>'Part VII-Pro Forma'!D69</f>
        <v>1.3962955349640109</v>
      </c>
      <c r="E1084" s="1882">
        <f>'Part VII-Pro Forma'!E69</f>
        <v>1.4102948546570917</v>
      </c>
      <c r="F1084" s="1882">
        <f>'Part VII-Pro Forma'!F69</f>
        <v>1.4241543062692279</v>
      </c>
      <c r="G1084" s="1882">
        <f>'Part VII-Pro Forma'!G69</f>
        <v>1.4378622480115117</v>
      </c>
      <c r="H1084" s="1882">
        <f>'Part VII-Pro Forma'!H69</f>
        <v>1.4514011795000408</v>
      </c>
      <c r="I1084" s="1882">
        <f>'Part VII-Pro Forma'!I69</f>
        <v>1.4647529149946397</v>
      </c>
      <c r="J1084" s="1882">
        <f>'Part VII-Pro Forma'!J69</f>
        <v>1.4779011569405829</v>
      </c>
      <c r="K1084" s="1882">
        <f>'Part VII-Pro Forma'!K69</f>
        <v>1.4908288709179358</v>
      </c>
      <c r="N1084" s="1838">
        <f>'Part VII-Pro Forma'!N69</f>
        <v>0</v>
      </c>
      <c r="O1084" s="1838"/>
    </row>
    <row r="1085" spans="1:15">
      <c r="A1085" s="742" t="s">
        <v>770</v>
      </c>
      <c r="B1085" s="1883">
        <f>'Part VII-Pro Forma'!B70</f>
        <v>1.9505381814182603</v>
      </c>
      <c r="C1085" s="1883">
        <f>'Part VII-Pro Forma'!C70</f>
        <v>1.9332487245171404</v>
      </c>
      <c r="D1085" s="1883">
        <f>'Part VII-Pro Forma'!D70</f>
        <v>1.9160961921260042</v>
      </c>
      <c r="E1085" s="1883">
        <f>'Part VII-Pro Forma'!E70</f>
        <v>1.8990842999341928</v>
      </c>
      <c r="F1085" s="1883">
        <f>'Part VII-Pro Forma'!F70</f>
        <v>1.8822070366370498</v>
      </c>
      <c r="G1085" s="1883">
        <f>'Part VII-Pro Forma'!G70</f>
        <v>1.8654679092546149</v>
      </c>
      <c r="H1085" s="1883">
        <f>'Part VII-Pro Forma'!H70</f>
        <v>1.8488642024550561</v>
      </c>
      <c r="I1085" s="1883">
        <f>'Part VII-Pro Forma'!I70</f>
        <v>1.8323934837264295</v>
      </c>
      <c r="J1085" s="1883">
        <f>'Part VII-Pro Forma'!J70</f>
        <v>1.8160561825670778</v>
      </c>
      <c r="K1085" s="1883">
        <f>'Part VII-Pro Forma'!K70</f>
        <v>1.7998525735699147</v>
      </c>
      <c r="N1085" s="1838">
        <f>'Part VII-Pro Forma'!N70</f>
        <v>0</v>
      </c>
      <c r="O1085" s="1838"/>
    </row>
    <row r="1086" spans="1:15">
      <c r="A1086" s="742" t="s">
        <v>2617</v>
      </c>
      <c r="B1086" s="1881">
        <f>'Part VII-Pro Forma'!B71</f>
        <v>5697261.9932317138</v>
      </c>
      <c r="C1086" s="1881">
        <f>'Part VII-Pro Forma'!C71</f>
        <v>5560420.9540103842</v>
      </c>
      <c r="D1086" s="1881">
        <f>'Part VII-Pro Forma'!D71</f>
        <v>5417435.9890657514</v>
      </c>
      <c r="E1086" s="1881">
        <f>'Part VII-Pro Forma'!E71</f>
        <v>5268031.2467709323</v>
      </c>
      <c r="F1086" s="1881">
        <f>'Part VII-Pro Forma'!F71</f>
        <v>5111918.4902386293</v>
      </c>
      <c r="G1086" s="1881">
        <f>'Part VII-Pro Forma'!G71</f>
        <v>4948796.541244383</v>
      </c>
      <c r="H1086" s="1881">
        <f>'Part VII-Pro Forma'!H71</f>
        <v>4778350.6991829388</v>
      </c>
      <c r="I1086" s="1881">
        <f>'Part VII-Pro Forma'!I71</f>
        <v>4600252.1339367656</v>
      </c>
      <c r="J1086" s="1881">
        <f>'Part VII-Pro Forma'!J71</f>
        <v>4414157.2514854185</v>
      </c>
      <c r="K1086" s="1881">
        <f>'Part VII-Pro Forma'!K71</f>
        <v>4219707.03103186</v>
      </c>
      <c r="N1086" s="1838">
        <f>'Part VII-Pro Forma'!N71</f>
        <v>0</v>
      </c>
      <c r="O1086" s="1838"/>
    </row>
    <row r="1087" spans="1:15">
      <c r="A1087" s="742" t="s">
        <v>2618</v>
      </c>
      <c r="B1087" s="1881" t="str">
        <f>'Part VII-Pro Forma'!B72</f>
        <v/>
      </c>
      <c r="C1087" s="1881" t="str">
        <f>'Part VII-Pro Forma'!C72</f>
        <v/>
      </c>
      <c r="D1087" s="1881" t="str">
        <f>'Part VII-Pro Forma'!D72</f>
        <v/>
      </c>
      <c r="E1087" s="1881" t="str">
        <f>'Part VII-Pro Forma'!E72</f>
        <v/>
      </c>
      <c r="F1087" s="1881" t="str">
        <f>'Part VII-Pro Forma'!F72</f>
        <v/>
      </c>
      <c r="G1087" s="1881" t="str">
        <f>'Part VII-Pro Forma'!G72</f>
        <v/>
      </c>
      <c r="H1087" s="1881" t="str">
        <f>'Part VII-Pro Forma'!H72</f>
        <v/>
      </c>
      <c r="I1087" s="1881" t="str">
        <f>'Part VII-Pro Forma'!I72</f>
        <v/>
      </c>
      <c r="J1087" s="1881" t="str">
        <f>'Part VII-Pro Forma'!J72</f>
        <v/>
      </c>
      <c r="K1087" s="1881" t="str">
        <f>'Part VII-Pro Forma'!K72</f>
        <v/>
      </c>
      <c r="N1087" s="1838">
        <f>'Part VII-Pro Forma'!N72</f>
        <v>0</v>
      </c>
      <c r="O1087" s="1838"/>
    </row>
    <row r="1088" spans="1:15">
      <c r="A1088" s="742" t="s">
        <v>2619</v>
      </c>
      <c r="B1088" s="1881" t="str">
        <f>'Part VII-Pro Forma'!B73</f>
        <v/>
      </c>
      <c r="C1088" s="1881" t="str">
        <f>'Part VII-Pro Forma'!C73</f>
        <v/>
      </c>
      <c r="D1088" s="1881" t="str">
        <f>'Part VII-Pro Forma'!D73</f>
        <v/>
      </c>
      <c r="E1088" s="1881" t="str">
        <f>'Part VII-Pro Forma'!E73</f>
        <v/>
      </c>
      <c r="F1088" s="1881" t="str">
        <f>'Part VII-Pro Forma'!F73</f>
        <v/>
      </c>
      <c r="G1088" s="1881" t="str">
        <f>'Part VII-Pro Forma'!G73</f>
        <v/>
      </c>
      <c r="H1088" s="1881" t="str">
        <f>'Part VII-Pro Forma'!H73</f>
        <v/>
      </c>
      <c r="I1088" s="1881" t="str">
        <f>'Part VII-Pro Forma'!I73</f>
        <v/>
      </c>
      <c r="J1088" s="1881" t="str">
        <f>'Part VII-Pro Forma'!J73</f>
        <v/>
      </c>
      <c r="K1088" s="1881" t="str">
        <f>'Part VII-Pro Forma'!K73</f>
        <v/>
      </c>
      <c r="N1088" s="1838">
        <f>'Part VII-Pro Forma'!N73</f>
        <v>0</v>
      </c>
      <c r="O1088" s="1838"/>
    </row>
    <row r="1089" spans="1:15">
      <c r="A1089" s="742" t="s">
        <v>784</v>
      </c>
      <c r="B1089" s="1881" t="str">
        <f>'Part VII-Pro Forma'!B74</f>
        <v/>
      </c>
      <c r="C1089" s="1881" t="str">
        <f>'Part VII-Pro Forma'!C74</f>
        <v/>
      </c>
      <c r="D1089" s="1881" t="str">
        <f>'Part VII-Pro Forma'!D74</f>
        <v/>
      </c>
      <c r="E1089" s="1881" t="str">
        <f>'Part VII-Pro Forma'!E74</f>
        <v/>
      </c>
      <c r="F1089" s="1881" t="str">
        <f>'Part VII-Pro Forma'!F74</f>
        <v/>
      </c>
      <c r="G1089" s="1881" t="str">
        <f>'Part VII-Pro Forma'!G74</f>
        <v/>
      </c>
      <c r="H1089" s="1881" t="str">
        <f>'Part VII-Pro Forma'!H74</f>
        <v/>
      </c>
      <c r="I1089" s="1881" t="str">
        <f>'Part VII-Pro Forma'!I74</f>
        <v/>
      </c>
      <c r="J1089" s="1881" t="str">
        <f>'Part VII-Pro Forma'!J74</f>
        <v/>
      </c>
      <c r="K1089" s="1881" t="str">
        <f>'Part VII-Pro Forma'!K74</f>
        <v/>
      </c>
      <c r="N1089" s="1838">
        <f>'Part VII-Pro Forma'!N74</f>
        <v>0</v>
      </c>
      <c r="O1089" s="1838"/>
    </row>
    <row r="1090" spans="1:15">
      <c r="A1090" s="742" t="s">
        <v>4088</v>
      </c>
      <c r="B1090" s="1881">
        <f>'Part VII-Pro Forma'!B75</f>
        <v>0</v>
      </c>
      <c r="C1090" s="1881">
        <f>'Part VII-Pro Forma'!C75</f>
        <v>0</v>
      </c>
      <c r="D1090" s="1881">
        <f>'Part VII-Pro Forma'!D75</f>
        <v>0</v>
      </c>
      <c r="E1090" s="1881">
        <f>'Part VII-Pro Forma'!E75</f>
        <v>0</v>
      </c>
      <c r="F1090" s="1881">
        <f>'Part VII-Pro Forma'!F75</f>
        <v>0</v>
      </c>
      <c r="G1090" s="1881">
        <f>'Part VII-Pro Forma'!G75</f>
        <v>0</v>
      </c>
      <c r="H1090" s="1881" t="str">
        <f>'Part VII-Pro Forma'!H75</f>
        <v/>
      </c>
      <c r="I1090" s="1881" t="str">
        <f>'Part VII-Pro Forma'!I75</f>
        <v/>
      </c>
      <c r="J1090" s="1881" t="str">
        <f>'Part VII-Pro Forma'!J75</f>
        <v/>
      </c>
      <c r="K1090" s="1881" t="str">
        <f>'Part VII-Pro Forma'!K75</f>
        <v/>
      </c>
      <c r="N1090" s="1838">
        <f>'Part VII-Pro Forma'!N75</f>
        <v>0</v>
      </c>
      <c r="O1090" s="1838"/>
    </row>
    <row r="1091" spans="1:15">
      <c r="B1091" s="1881"/>
      <c r="C1091" s="1881"/>
      <c r="D1091" s="1881"/>
      <c r="E1091" s="1881"/>
      <c r="F1091" s="1881"/>
      <c r="G1091" s="1881"/>
      <c r="H1091" s="1881"/>
      <c r="I1091" s="1881"/>
      <c r="J1091" s="1881"/>
      <c r="K1091" s="1881"/>
    </row>
    <row r="1092" spans="1:15">
      <c r="A1092" s="742" t="s">
        <v>2480</v>
      </c>
      <c r="B1092" s="1881">
        <f>K1060+1</f>
        <v>21</v>
      </c>
      <c r="C1092" s="1881">
        <f t="shared" ref="C1092:K1092" si="367">B1092+1</f>
        <v>22</v>
      </c>
      <c r="D1092" s="1881">
        <f t="shared" si="367"/>
        <v>23</v>
      </c>
      <c r="E1092" s="1881">
        <f t="shared" si="367"/>
        <v>24</v>
      </c>
      <c r="F1092" s="1881">
        <f t="shared" si="367"/>
        <v>25</v>
      </c>
      <c r="G1092" s="1881">
        <f t="shared" si="367"/>
        <v>26</v>
      </c>
      <c r="H1092" s="1881">
        <f t="shared" si="367"/>
        <v>27</v>
      </c>
      <c r="I1092" s="1881">
        <f t="shared" si="367"/>
        <v>28</v>
      </c>
      <c r="J1092" s="1881">
        <f t="shared" si="367"/>
        <v>29</v>
      </c>
      <c r="K1092" s="1881">
        <f t="shared" si="367"/>
        <v>30</v>
      </c>
      <c r="N1092" s="2111" t="s">
        <v>2623</v>
      </c>
      <c r="O1092" s="2111"/>
    </row>
    <row r="1093" spans="1:15">
      <c r="A1093" s="742" t="s">
        <v>2404</v>
      </c>
      <c r="B1093" s="1881">
        <f>'Part VII-Pro Forma'!B78</f>
        <v>1387993.7436354612</v>
      </c>
      <c r="C1093" s="1881">
        <f>'Part VII-Pro Forma'!C78</f>
        <v>1415753.6185081704</v>
      </c>
      <c r="D1093" s="1881">
        <f>'Part VII-Pro Forma'!D78</f>
        <v>1444068.6908783338</v>
      </c>
      <c r="E1093" s="1881">
        <f>'Part VII-Pro Forma'!E78</f>
        <v>1472950.0646959001</v>
      </c>
      <c r="F1093" s="1881">
        <f>'Part VII-Pro Forma'!F78</f>
        <v>1502409.0659898182</v>
      </c>
      <c r="G1093" s="1881">
        <f>'Part VII-Pro Forma'!G78</f>
        <v>1532457.2473096147</v>
      </c>
      <c r="H1093" s="1881">
        <f>'Part VII-Pro Forma'!H78</f>
        <v>1563106.3922558071</v>
      </c>
      <c r="I1093" s="1881">
        <f>'Part VII-Pro Forma'!I78</f>
        <v>1594368.5201009228</v>
      </c>
      <c r="J1093" s="1881">
        <f>'Part VII-Pro Forma'!J78</f>
        <v>1626255.8905029418</v>
      </c>
      <c r="K1093" s="1881">
        <f>'Part VII-Pro Forma'!K78</f>
        <v>1658781.0083130002</v>
      </c>
      <c r="N1093" s="1838">
        <f>'Part VII-Pro Forma'!N78</f>
        <v>0</v>
      </c>
      <c r="O1093" s="1838"/>
    </row>
    <row r="1094" spans="1:15">
      <c r="A1094" s="742" t="s">
        <v>1016</v>
      </c>
      <c r="B1094" s="1881">
        <f>'Part VII-Pro Forma'!B79</f>
        <v>27759.874872709224</v>
      </c>
      <c r="C1094" s="1881">
        <f>'Part VII-Pro Forma'!C79</f>
        <v>28315.072370163409</v>
      </c>
      <c r="D1094" s="1881">
        <f>'Part VII-Pro Forma'!D79</f>
        <v>28881.373817566677</v>
      </c>
      <c r="E1094" s="1881">
        <f>'Part VII-Pro Forma'!E79</f>
        <v>29459.001293918005</v>
      </c>
      <c r="F1094" s="1881">
        <f>'Part VII-Pro Forma'!F79</f>
        <v>30048.181319796367</v>
      </c>
      <c r="G1094" s="1881">
        <f>'Part VII-Pro Forma'!G79</f>
        <v>30649.144946192297</v>
      </c>
      <c r="H1094" s="1881">
        <f>'Part VII-Pro Forma'!H79</f>
        <v>31262.127845116145</v>
      </c>
      <c r="I1094" s="1881">
        <f>'Part VII-Pro Forma'!I79</f>
        <v>31887.37040201846</v>
      </c>
      <c r="J1094" s="1881">
        <f>'Part VII-Pro Forma'!J79</f>
        <v>32525.117810058837</v>
      </c>
      <c r="K1094" s="1881">
        <f>'Part VII-Pro Forma'!K79</f>
        <v>33175.620166260007</v>
      </c>
      <c r="N1094" s="1838">
        <f>'Part VII-Pro Forma'!N79</f>
        <v>0</v>
      </c>
      <c r="O1094" s="1838"/>
    </row>
    <row r="1095" spans="1:15">
      <c r="A1095" s="742" t="s">
        <v>2405</v>
      </c>
      <c r="B1095" s="1881">
        <f>'Part VII-Pro Forma'!B80</f>
        <v>-99102.753295571936</v>
      </c>
      <c r="C1095" s="1881">
        <f>'Part VII-Pro Forma'!C80</f>
        <v>-101084.80836148337</v>
      </c>
      <c r="D1095" s="1881">
        <f>'Part VII-Pro Forma'!D80</f>
        <v>-103106.50452871305</v>
      </c>
      <c r="E1095" s="1881">
        <f>'Part VII-Pro Forma'!E80</f>
        <v>-105168.63461928729</v>
      </c>
      <c r="F1095" s="1881">
        <f>'Part VII-Pro Forma'!F80</f>
        <v>-107272.00731167303</v>
      </c>
      <c r="G1095" s="1881">
        <f>'Part VII-Pro Forma'!G80</f>
        <v>-109417.4474579065</v>
      </c>
      <c r="H1095" s="1881">
        <f>'Part VII-Pro Forma'!H80</f>
        <v>-111605.79640706464</v>
      </c>
      <c r="I1095" s="1881">
        <f>'Part VII-Pro Forma'!I80</f>
        <v>-113837.91233520591</v>
      </c>
      <c r="J1095" s="1881">
        <f>'Part VII-Pro Forma'!J80</f>
        <v>-116114.67058191006</v>
      </c>
      <c r="K1095" s="1881">
        <f>'Part VII-Pro Forma'!K80</f>
        <v>-118436.96399354823</v>
      </c>
      <c r="N1095" s="1838">
        <f>'Part VII-Pro Forma'!N80</f>
        <v>0</v>
      </c>
      <c r="O1095" s="1838"/>
    </row>
    <row r="1096" spans="1:15">
      <c r="A1096" s="742" t="s">
        <v>52</v>
      </c>
      <c r="B1096" s="1881">
        <f>'Part VII-Pro Forma'!B81</f>
        <v>0</v>
      </c>
      <c r="C1096" s="1881">
        <f>'Part VII-Pro Forma'!C81</f>
        <v>0</v>
      </c>
      <c r="D1096" s="1881">
        <f>'Part VII-Pro Forma'!D81</f>
        <v>0</v>
      </c>
      <c r="E1096" s="1881">
        <f>'Part VII-Pro Forma'!E81</f>
        <v>0</v>
      </c>
      <c r="F1096" s="1881">
        <f>'Part VII-Pro Forma'!F81</f>
        <v>0</v>
      </c>
      <c r="G1096" s="1881">
        <f>'Part VII-Pro Forma'!G81</f>
        <v>0</v>
      </c>
      <c r="H1096" s="1881">
        <f>'Part VII-Pro Forma'!H81</f>
        <v>0</v>
      </c>
      <c r="I1096" s="1881">
        <f>'Part VII-Pro Forma'!I81</f>
        <v>0</v>
      </c>
      <c r="J1096" s="1881">
        <f>'Part VII-Pro Forma'!J81</f>
        <v>0</v>
      </c>
      <c r="K1096" s="1881">
        <f>'Part VII-Pro Forma'!K81</f>
        <v>0</v>
      </c>
      <c r="N1096" s="1838">
        <f>'Part VII-Pro Forma'!N81</f>
        <v>0</v>
      </c>
      <c r="O1096" s="1838"/>
    </row>
    <row r="1097" spans="1:15">
      <c r="A1097" s="742" t="s">
        <v>53</v>
      </c>
      <c r="B1097" s="1881">
        <f>'Part VII-Pro Forma'!B82</f>
        <v>0</v>
      </c>
      <c r="C1097" s="1881">
        <f>'Part VII-Pro Forma'!C82</f>
        <v>0</v>
      </c>
      <c r="D1097" s="1881">
        <f>'Part VII-Pro Forma'!D82</f>
        <v>0</v>
      </c>
      <c r="E1097" s="1881">
        <f>'Part VII-Pro Forma'!E82</f>
        <v>0</v>
      </c>
      <c r="F1097" s="1881">
        <f>'Part VII-Pro Forma'!F82</f>
        <v>0</v>
      </c>
      <c r="G1097" s="1881">
        <f>'Part VII-Pro Forma'!G82</f>
        <v>0</v>
      </c>
      <c r="H1097" s="1881">
        <f>'Part VII-Pro Forma'!H82</f>
        <v>0</v>
      </c>
      <c r="I1097" s="1881">
        <f>'Part VII-Pro Forma'!I82</f>
        <v>0</v>
      </c>
      <c r="J1097" s="1881">
        <f>'Part VII-Pro Forma'!J82</f>
        <v>0</v>
      </c>
      <c r="K1097" s="1881">
        <f>'Part VII-Pro Forma'!K82</f>
        <v>0</v>
      </c>
      <c r="N1097" s="1838">
        <f>'Part VII-Pro Forma'!N82</f>
        <v>0</v>
      </c>
      <c r="O1097" s="1838"/>
    </row>
    <row r="1098" spans="1:15">
      <c r="A1098" s="742" t="s">
        <v>4945</v>
      </c>
      <c r="B1098" s="1881">
        <f>'Part VII-Pro Forma'!B83</f>
        <v>1316650.8652125983</v>
      </c>
      <c r="C1098" s="1881">
        <f>'Part VII-Pro Forma'!C83</f>
        <v>1342983.8825168505</v>
      </c>
      <c r="D1098" s="1881">
        <f>'Part VII-Pro Forma'!D83</f>
        <v>1369843.5601671876</v>
      </c>
      <c r="E1098" s="1881">
        <f>'Part VII-Pro Forma'!E83</f>
        <v>1397240.431370531</v>
      </c>
      <c r="F1098" s="1881">
        <f>'Part VII-Pro Forma'!F83</f>
        <v>1425185.2399979415</v>
      </c>
      <c r="G1098" s="1881">
        <f>'Part VII-Pro Forma'!G83</f>
        <v>1453688.9447979005</v>
      </c>
      <c r="H1098" s="1881">
        <f>'Part VII-Pro Forma'!H83</f>
        <v>1482762.7236938586</v>
      </c>
      <c r="I1098" s="1881">
        <f>'Part VII-Pro Forma'!I83</f>
        <v>1512417.9781677355</v>
      </c>
      <c r="J1098" s="1881">
        <f>'Part VII-Pro Forma'!J83</f>
        <v>1542666.3377310906</v>
      </c>
      <c r="K1098" s="1881">
        <f>'Part VII-Pro Forma'!K83</f>
        <v>1573519.6644857121</v>
      </c>
      <c r="N1098" s="1838">
        <f>'Part VII-Pro Forma'!N83</f>
        <v>0</v>
      </c>
      <c r="O1098" s="1838"/>
    </row>
    <row r="1099" spans="1:15">
      <c r="A1099" s="742" t="s">
        <v>614</v>
      </c>
      <c r="B1099" s="1881">
        <f>'Part VII-Pro Forma'!B84</f>
        <v>-640945.53051454271</v>
      </c>
      <c r="C1099" s="1881">
        <f>'Part VII-Pro Forma'!C84</f>
        <v>-660173.89642997889</v>
      </c>
      <c r="D1099" s="1881">
        <f>'Part VII-Pro Forma'!D84</f>
        <v>-679979.11332287837</v>
      </c>
      <c r="E1099" s="1881">
        <f>'Part VII-Pro Forma'!E84</f>
        <v>-700378.48672256467</v>
      </c>
      <c r="F1099" s="1881">
        <f>'Part VII-Pro Forma'!F84</f>
        <v>-721389.8413242416</v>
      </c>
      <c r="G1099" s="1881">
        <f>'Part VII-Pro Forma'!G84</f>
        <v>-743031.53656396875</v>
      </c>
      <c r="H1099" s="1881">
        <f>'Part VII-Pro Forma'!H84</f>
        <v>-765322.482660888</v>
      </c>
      <c r="I1099" s="1881">
        <f>'Part VII-Pro Forma'!I84</f>
        <v>-788282.15714071447</v>
      </c>
      <c r="J1099" s="1881">
        <f>'Part VII-Pro Forma'!J84</f>
        <v>-811930.62185493601</v>
      </c>
      <c r="K1099" s="1881">
        <f>'Part VII-Pro Forma'!K84</f>
        <v>-836288.5405105839</v>
      </c>
      <c r="N1099" s="1838">
        <f>'Part VII-Pro Forma'!N84</f>
        <v>0</v>
      </c>
      <c r="O1099" s="1838"/>
    </row>
    <row r="1100" spans="1:15">
      <c r="A1100" s="742" t="s">
        <v>1115</v>
      </c>
      <c r="B1100" s="1881">
        <f>'Part VII-Pro Forma'!B85</f>
        <v>-59249</v>
      </c>
      <c r="C1100" s="1881">
        <f>'Part VII-Pro Forma'!C85</f>
        <v>-60434</v>
      </c>
      <c r="D1100" s="1881">
        <f>'Part VII-Pro Forma'!D85</f>
        <v>-61643</v>
      </c>
      <c r="E1100" s="1881">
        <f>'Part VII-Pro Forma'!E85</f>
        <v>-62876</v>
      </c>
      <c r="F1100" s="1881">
        <f>'Part VII-Pro Forma'!F85</f>
        <v>-64133</v>
      </c>
      <c r="G1100" s="1881">
        <f>'Part VII-Pro Forma'!G85</f>
        <v>-65416</v>
      </c>
      <c r="H1100" s="1881">
        <f>'Part VII-Pro Forma'!H85</f>
        <v>-66724</v>
      </c>
      <c r="I1100" s="1881">
        <f>'Part VII-Pro Forma'!I85</f>
        <v>-68059</v>
      </c>
      <c r="J1100" s="1881">
        <f>'Part VII-Pro Forma'!J85</f>
        <v>-69420</v>
      </c>
      <c r="K1100" s="1881">
        <f>'Part VII-Pro Forma'!K85</f>
        <v>-70808</v>
      </c>
      <c r="N1100" s="1838">
        <f>'Part VII-Pro Forma'!N85</f>
        <v>0</v>
      </c>
      <c r="O1100" s="1838"/>
    </row>
    <row r="1101" spans="1:15">
      <c r="A1101" s="742" t="s">
        <v>1202</v>
      </c>
      <c r="B1101" s="1881">
        <f>'Part VII-Pro Forma'!B86</f>
        <v>-37928.335928057677</v>
      </c>
      <c r="C1101" s="1881">
        <f>'Part VII-Pro Forma'!C86</f>
        <v>-39066.186005899406</v>
      </c>
      <c r="D1101" s="1881">
        <f>'Part VII-Pro Forma'!D86</f>
        <v>-40238.171586076387</v>
      </c>
      <c r="E1101" s="1881">
        <f>'Part VII-Pro Forma'!E86</f>
        <v>-41445.316733658685</v>
      </c>
      <c r="F1101" s="1881">
        <f>'Part VII-Pro Forma'!F86</f>
        <v>-42688.676235668441</v>
      </c>
      <c r="G1101" s="1881">
        <f>'Part VII-Pro Forma'!G86</f>
        <v>-43969.336522738493</v>
      </c>
      <c r="H1101" s="1881">
        <f>'Part VII-Pro Forma'!H86</f>
        <v>-45288.416618420655</v>
      </c>
      <c r="I1101" s="1881">
        <f>'Part VII-Pro Forma'!I86</f>
        <v>-46647.069116973267</v>
      </c>
      <c r="J1101" s="1881">
        <f>'Part VII-Pro Forma'!J86</f>
        <v>-48046.481190482467</v>
      </c>
      <c r="K1101" s="1881">
        <f>'Part VII-Pro Forma'!K86</f>
        <v>-49487.875626196932</v>
      </c>
      <c r="N1101" s="1838">
        <f>'Part VII-Pro Forma'!N86</f>
        <v>0</v>
      </c>
      <c r="O1101" s="1838"/>
    </row>
    <row r="1102" spans="1:15">
      <c r="A1102" s="742" t="s">
        <v>4944</v>
      </c>
      <c r="B1102" s="1881">
        <f>IF(B1092&lt;=+'Part VI-Revenues &amp; Expenses'!$K$243,-'Part VI-Revenues &amp; Expenses'!$H$243,0)</f>
        <v>0</v>
      </c>
      <c r="C1102" s="1881">
        <f>IF(C1092&lt;=+'Part VI-Revenues &amp; Expenses'!$K$243,-'Part VI-Revenues &amp; Expenses'!$H$243,0)</f>
        <v>0</v>
      </c>
      <c r="D1102" s="1881">
        <f>IF(D1092&lt;=+'Part VI-Revenues &amp; Expenses'!$K$243,-'Part VI-Revenues &amp; Expenses'!$H$243,0)</f>
        <v>0</v>
      </c>
      <c r="E1102" s="1881">
        <f>IF(E1092&lt;=+'Part VI-Revenues &amp; Expenses'!$K$243,-'Part VI-Revenues &amp; Expenses'!$H$243,0)</f>
        <v>0</v>
      </c>
      <c r="F1102" s="1881">
        <f>IF(F1092&lt;=+'Part VI-Revenues &amp; Expenses'!$K$243,-'Part VI-Revenues &amp; Expenses'!$H$243,0)</f>
        <v>0</v>
      </c>
      <c r="G1102" s="1881">
        <f>IF(G1092&lt;=+'Part VI-Revenues &amp; Expenses'!$K$243,-'Part VI-Revenues &amp; Expenses'!$H$243,0)</f>
        <v>0</v>
      </c>
      <c r="H1102" s="1881">
        <f>IF(H1092&lt;=+'Part VI-Revenues &amp; Expenses'!$K$243,-'Part VI-Revenues &amp; Expenses'!$H$243,0)</f>
        <v>0</v>
      </c>
      <c r="I1102" s="1881">
        <f>IF(I1092&lt;=+'Part VI-Revenues &amp; Expenses'!$K$243,-'Part VI-Revenues &amp; Expenses'!$H$243,0)</f>
        <v>0</v>
      </c>
      <c r="J1102" s="1881">
        <f>IF(J1092&lt;=+'Part VI-Revenues &amp; Expenses'!$K$243,-'Part VI-Revenues &amp; Expenses'!$H$243,0)</f>
        <v>0</v>
      </c>
      <c r="K1102" s="1881">
        <f>IF(K1092&lt;=+'Part VI-Revenues &amp; Expenses'!$K$243,-'Part VI-Revenues &amp; Expenses'!$H$243,0)</f>
        <v>0</v>
      </c>
      <c r="N1102" s="1838">
        <f>'Part VII-Pro Forma'!N87</f>
        <v>0</v>
      </c>
      <c r="O1102" s="1838"/>
    </row>
    <row r="1103" spans="1:15">
      <c r="A1103" s="742" t="s">
        <v>1203</v>
      </c>
      <c r="B1103" s="1881">
        <f>SUM(B1098:B1102)</f>
        <v>578527.99876999797</v>
      </c>
      <c r="C1103" s="1881">
        <f t="shared" ref="C1103:J1103" si="368">SUM(C1098:C1102)</f>
        <v>583309.80008097214</v>
      </c>
      <c r="D1103" s="1881">
        <f t="shared" si="368"/>
        <v>587983.27525823284</v>
      </c>
      <c r="E1103" s="1881">
        <f t="shared" si="368"/>
        <v>592540.62791430764</v>
      </c>
      <c r="F1103" s="1881">
        <f t="shared" si="368"/>
        <v>596973.72243803146</v>
      </c>
      <c r="G1103" s="1881">
        <f t="shared" si="368"/>
        <v>601272.0717111933</v>
      </c>
      <c r="H1103" s="1881">
        <f t="shared" si="368"/>
        <v>605427.82441454998</v>
      </c>
      <c r="I1103" s="1881">
        <f t="shared" si="368"/>
        <v>609429.75191004772</v>
      </c>
      <c r="J1103" s="1881">
        <f t="shared" si="368"/>
        <v>613269.2346856721</v>
      </c>
      <c r="K1103" s="1881">
        <f>SUM(K1098:K1102)</f>
        <v>616935.2483489312</v>
      </c>
      <c r="N1103" s="1838">
        <f>'Part VII-Pro Forma'!N88</f>
        <v>0</v>
      </c>
      <c r="O1103" s="1838"/>
    </row>
    <row r="1104" spans="1:15">
      <c r="A1104" s="742" t="str">
        <f>$A1072</f>
        <v>Mortgage A</v>
      </c>
      <c r="B1104" s="1881">
        <f>IF('Part III-Sources of Funds'!$P$38="", 0,-'Part III-Sources of Funds'!$P$38)</f>
        <v>-384782.82220370776</v>
      </c>
      <c r="C1104" s="1881">
        <f>IF('Part III-Sources of Funds'!$P$38="", 0,-'Part III-Sources of Funds'!$P$38)</f>
        <v>-384782.82220370776</v>
      </c>
      <c r="D1104" s="1881">
        <f>IF('Part III-Sources of Funds'!$P$38="", 0,-'Part III-Sources of Funds'!$P$38)</f>
        <v>-384782.82220370776</v>
      </c>
      <c r="E1104" s="1881">
        <f>IF('Part III-Sources of Funds'!$P$38="", 0,-'Part III-Sources of Funds'!$P$38)</f>
        <v>-384782.82220370776</v>
      </c>
      <c r="F1104" s="1881">
        <f>IF('Part III-Sources of Funds'!$P$38="", 0,-'Part III-Sources of Funds'!$P$38)</f>
        <v>-384782.82220370776</v>
      </c>
      <c r="G1104" s="1881">
        <f>IF('Part III-Sources of Funds'!$P$38="", 0,-'Part III-Sources of Funds'!$P$38)</f>
        <v>-384782.82220370776</v>
      </c>
      <c r="H1104" s="1881">
        <f>IF('Part III-Sources of Funds'!$P$38="", 0,-'Part III-Sources of Funds'!$P$38)</f>
        <v>-384782.82220370776</v>
      </c>
      <c r="I1104" s="1881">
        <f>IF('Part III-Sources of Funds'!$P$38="", 0,-'Part III-Sources of Funds'!$P$38)</f>
        <v>-384782.82220370776</v>
      </c>
      <c r="J1104" s="1881">
        <f>IF('Part III-Sources of Funds'!$P$38="", 0,-'Part III-Sources of Funds'!$P$38)</f>
        <v>-384782.82220370776</v>
      </c>
      <c r="K1104" s="1881">
        <f>IF('Part III-Sources of Funds'!$P$38="", 0,-'Part III-Sources of Funds'!$P$38)</f>
        <v>-384782.82220370776</v>
      </c>
      <c r="N1104" s="1838">
        <f>'Part VII-Pro Forma'!N89</f>
        <v>0</v>
      </c>
      <c r="O1104" s="1838"/>
    </row>
    <row r="1105" spans="1:15">
      <c r="A1105" s="742" t="str">
        <f>$A1073</f>
        <v>Mortgage B</v>
      </c>
      <c r="B1105" s="1881">
        <f>IF('Part III-Sources of Funds'!$P$39="", 0,-'Part III-Sources of Funds'!$P$39)</f>
        <v>0</v>
      </c>
      <c r="C1105" s="1881">
        <f>IF('Part III-Sources of Funds'!$P$39="", 0,-'Part III-Sources of Funds'!$P$39)</f>
        <v>0</v>
      </c>
      <c r="D1105" s="1881">
        <f>IF('Part III-Sources of Funds'!$P$39="", 0,-'Part III-Sources of Funds'!$P$39)</f>
        <v>0</v>
      </c>
      <c r="E1105" s="1881">
        <f>IF('Part III-Sources of Funds'!$P$39="", 0,-'Part III-Sources of Funds'!$P$39)</f>
        <v>0</v>
      </c>
      <c r="F1105" s="1881">
        <f>IF('Part III-Sources of Funds'!$P$39="", 0,-'Part III-Sources of Funds'!$P$39)</f>
        <v>0</v>
      </c>
      <c r="G1105" s="1881">
        <f>IF('Part III-Sources of Funds'!$P$39="", 0,-'Part III-Sources of Funds'!$P$39)</f>
        <v>0</v>
      </c>
      <c r="H1105" s="1881">
        <f>IF('Part III-Sources of Funds'!$P$39="", 0,-'Part III-Sources of Funds'!$P$39)</f>
        <v>0</v>
      </c>
      <c r="I1105" s="1881">
        <f>IF('Part III-Sources of Funds'!$P$39="", 0,-'Part III-Sources of Funds'!$P$39)</f>
        <v>0</v>
      </c>
      <c r="J1105" s="1881">
        <f>IF('Part III-Sources of Funds'!$P$39="", 0,-'Part III-Sources of Funds'!$P$39)</f>
        <v>0</v>
      </c>
      <c r="K1105" s="1881">
        <f>IF('Part III-Sources of Funds'!$P$39="", 0,-'Part III-Sources of Funds'!$P$39)</f>
        <v>0</v>
      </c>
      <c r="N1105" s="1838">
        <f>'Part VII-Pro Forma'!N90</f>
        <v>0</v>
      </c>
      <c r="O1105" s="1838"/>
    </row>
    <row r="1106" spans="1:15">
      <c r="A1106" s="742" t="str">
        <f>$A1074</f>
        <v>Mortgage C</v>
      </c>
      <c r="B1106" s="1881">
        <f>IF('Part III-Sources of Funds'!$P$40="", 0,-'Part III-Sources of Funds'!$P$40)</f>
        <v>0</v>
      </c>
      <c r="C1106" s="1881">
        <f>IF('Part III-Sources of Funds'!$P$40="", 0,-'Part III-Sources of Funds'!$P$40)</f>
        <v>0</v>
      </c>
      <c r="D1106" s="1881">
        <f>IF('Part III-Sources of Funds'!$P$40="", 0,-'Part III-Sources of Funds'!$P$40)</f>
        <v>0</v>
      </c>
      <c r="E1106" s="1881">
        <f>IF('Part III-Sources of Funds'!$P$40="", 0,-'Part III-Sources of Funds'!$P$40)</f>
        <v>0</v>
      </c>
      <c r="F1106" s="1881">
        <f>IF('Part III-Sources of Funds'!$P$40="", 0,-'Part III-Sources of Funds'!$P$40)</f>
        <v>0</v>
      </c>
      <c r="G1106" s="1881">
        <f>IF('Part III-Sources of Funds'!$P$40="", 0,-'Part III-Sources of Funds'!$P$40)</f>
        <v>0</v>
      </c>
      <c r="H1106" s="1881">
        <f>IF('Part III-Sources of Funds'!$P$40="", 0,-'Part III-Sources of Funds'!$P$40)</f>
        <v>0</v>
      </c>
      <c r="I1106" s="1881">
        <f>IF('Part III-Sources of Funds'!$P$40="", 0,-'Part III-Sources of Funds'!$P$40)</f>
        <v>0</v>
      </c>
      <c r="J1106" s="1881">
        <f>IF('Part III-Sources of Funds'!$P$40="", 0,-'Part III-Sources of Funds'!$P$40)</f>
        <v>0</v>
      </c>
      <c r="K1106" s="1881">
        <f>IF('Part III-Sources of Funds'!$P$40="", 0,-'Part III-Sources of Funds'!$P$40)</f>
        <v>0</v>
      </c>
      <c r="N1106" s="1838">
        <f>'Part VII-Pro Forma'!N91</f>
        <v>0</v>
      </c>
      <c r="O1106" s="1838"/>
    </row>
    <row r="1107" spans="1:15">
      <c r="A1107" s="742" t="str">
        <f>$A1075</f>
        <v>D/S Other Source,not DDF</v>
      </c>
      <c r="B1107" s="1881">
        <f>IF('Part III-Sources of Funds'!$P$41="", 0,-'Part III-Sources of Funds'!$P$41)</f>
        <v>0</v>
      </c>
      <c r="C1107" s="1881">
        <f>IF('Part III-Sources of Funds'!$P$41="", 0,-'Part III-Sources of Funds'!$P$41)</f>
        <v>0</v>
      </c>
      <c r="D1107" s="1881">
        <f>IF('Part III-Sources of Funds'!$P$41="", 0,-'Part III-Sources of Funds'!$P$41)</f>
        <v>0</v>
      </c>
      <c r="E1107" s="1881">
        <f>IF('Part III-Sources of Funds'!$P$41="", 0,-'Part III-Sources of Funds'!$P$41)</f>
        <v>0</v>
      </c>
      <c r="F1107" s="1881">
        <f>IF('Part III-Sources of Funds'!$P$41="", 0,-'Part III-Sources of Funds'!$P$41)</f>
        <v>0</v>
      </c>
      <c r="G1107" s="1881">
        <f>IF('Part III-Sources of Funds'!$P$41="", 0,-'Part III-Sources of Funds'!$P$41)</f>
        <v>0</v>
      </c>
      <c r="H1107" s="1881">
        <f>IF('Part III-Sources of Funds'!$P$41="", 0,-'Part III-Sources of Funds'!$P$41)</f>
        <v>0</v>
      </c>
      <c r="I1107" s="1881">
        <f>IF('Part III-Sources of Funds'!$P$41="", 0,-'Part III-Sources of Funds'!$P$41)</f>
        <v>0</v>
      </c>
      <c r="J1107" s="1881">
        <f>IF('Part III-Sources of Funds'!$P$41="", 0,-'Part III-Sources of Funds'!$P$41)</f>
        <v>0</v>
      </c>
      <c r="K1107" s="1881">
        <f>IF('Part III-Sources of Funds'!$P$41="", 0,-'Part III-Sources of Funds'!$P$41)</f>
        <v>0</v>
      </c>
      <c r="N1107" s="1838">
        <f>'Part VII-Pro Forma'!N92</f>
        <v>0</v>
      </c>
      <c r="O1107" s="1838"/>
    </row>
    <row r="1108" spans="1:15">
      <c r="A1108" s="742" t="s">
        <v>763</v>
      </c>
      <c r="B1108" s="1881"/>
      <c r="C1108" s="1881"/>
      <c r="D1108" s="1881"/>
      <c r="E1108" s="1881"/>
      <c r="F1108" s="1881"/>
      <c r="G1108" s="1881"/>
      <c r="H1108" s="1881"/>
      <c r="I1108" s="1881"/>
      <c r="J1108" s="1881"/>
      <c r="K1108" s="1881"/>
      <c r="N1108" s="1838">
        <f>'Part VII-Pro Forma'!N93</f>
        <v>0</v>
      </c>
      <c r="O1108" s="1838"/>
    </row>
    <row r="1109" spans="1:15">
      <c r="A1109" s="742" t="s">
        <v>1163</v>
      </c>
      <c r="B1109" s="1881">
        <f>+K1077</f>
        <v>0</v>
      </c>
      <c r="C1109" s="1881">
        <f t="shared" ref="C1109:K1109" si="369">+B1109</f>
        <v>0</v>
      </c>
      <c r="D1109" s="1881">
        <f t="shared" si="369"/>
        <v>0</v>
      </c>
      <c r="E1109" s="1881">
        <f t="shared" si="369"/>
        <v>0</v>
      </c>
      <c r="F1109" s="1881">
        <f t="shared" si="369"/>
        <v>0</v>
      </c>
      <c r="G1109" s="1881">
        <f t="shared" si="369"/>
        <v>0</v>
      </c>
      <c r="H1109" s="1881">
        <f t="shared" si="369"/>
        <v>0</v>
      </c>
      <c r="I1109" s="1881">
        <f t="shared" si="369"/>
        <v>0</v>
      </c>
      <c r="J1109" s="1881">
        <f t="shared" si="369"/>
        <v>0</v>
      </c>
      <c r="K1109" s="1881">
        <f t="shared" si="369"/>
        <v>0</v>
      </c>
      <c r="N1109" s="1838">
        <f>'Part VII-Pro Forma'!N94</f>
        <v>0</v>
      </c>
      <c r="O1109" s="1838"/>
    </row>
    <row r="1110" spans="1:15">
      <c r="A1110" s="742" t="s">
        <v>1164</v>
      </c>
      <c r="B1110" s="1881">
        <f>'Part VII-Pro Forma'!B95</f>
        <v>193745.1765662902</v>
      </c>
      <c r="C1110" s="1881">
        <f>'Part VII-Pro Forma'!C95</f>
        <v>198526.97787726438</v>
      </c>
      <c r="D1110" s="1881">
        <f>'Part VII-Pro Forma'!D95</f>
        <v>203200.45305452507</v>
      </c>
      <c r="E1110" s="1881">
        <f>'Part VII-Pro Forma'!E95</f>
        <v>207757.80571059987</v>
      </c>
      <c r="F1110" s="1881">
        <f>'Part VII-Pro Forma'!F95</f>
        <v>212190.90023432369</v>
      </c>
      <c r="G1110" s="1881">
        <f>'Part VII-Pro Forma'!G95</f>
        <v>216489.24950748554</v>
      </c>
      <c r="H1110" s="1881">
        <f>'Part VII-Pro Forma'!H95</f>
        <v>220645.00221084221</v>
      </c>
      <c r="I1110" s="1881">
        <f>'Part VII-Pro Forma'!I95</f>
        <v>224646.92970633996</v>
      </c>
      <c r="J1110" s="1881">
        <f>'Part VII-Pro Forma'!J95</f>
        <v>228486.41248196433</v>
      </c>
      <c r="K1110" s="1881">
        <f>'Part VII-Pro Forma'!K95</f>
        <v>232152.42614522344</v>
      </c>
      <c r="N1110" s="1838">
        <f>'Part VII-Pro Forma'!N95</f>
        <v>0</v>
      </c>
      <c r="O1110" s="1838"/>
    </row>
    <row r="1111" spans="1:15">
      <c r="A1111" s="742" t="str">
        <f>$A1080</f>
        <v>DCR Mortgage A</v>
      </c>
      <c r="B1111" s="1882">
        <f>'Part VII-Pro Forma'!B96</f>
        <v>1.5035182585768334</v>
      </c>
      <c r="C1111" s="1882">
        <f>'Part VII-Pro Forma'!C96</f>
        <v>1.5159455319244015</v>
      </c>
      <c r="D1111" s="1882">
        <f>'Part VII-Pro Forma'!D96</f>
        <v>1.5280912798829382</v>
      </c>
      <c r="E1111" s="1882">
        <f>'Part VII-Pro Forma'!E96</f>
        <v>1.5399352406657356</v>
      </c>
      <c r="F1111" s="1882">
        <f>'Part VII-Pro Forma'!F96</f>
        <v>1.5514562708882773</v>
      </c>
      <c r="G1111" s="1882">
        <f>'Part VII-Pro Forma'!G96</f>
        <v>1.562627115908189</v>
      </c>
      <c r="H1111" s="1882">
        <f>'Part VII-Pro Forma'!H96</f>
        <v>1.5734273711783076</v>
      </c>
      <c r="I1111" s="1882">
        <f>'Part VII-Pro Forma'!I96</f>
        <v>1.583827854943612</v>
      </c>
      <c r="J1111" s="1882">
        <f>'Part VII-Pro Forma'!J96</f>
        <v>1.5938061662248566</v>
      </c>
      <c r="K1111" s="1882">
        <f>'Part VII-Pro Forma'!K96</f>
        <v>1.6033336540744008</v>
      </c>
      <c r="N1111" s="1838">
        <f>'Part VII-Pro Forma'!N96</f>
        <v>0</v>
      </c>
      <c r="O1111" s="1838"/>
    </row>
    <row r="1112" spans="1:15">
      <c r="A1112" s="742" t="str">
        <f>$A1081</f>
        <v>DCR Mortgage B</v>
      </c>
      <c r="B1112" s="1882" t="str">
        <f>'Part VII-Pro Forma'!B97</f>
        <v/>
      </c>
      <c r="C1112" s="1882" t="str">
        <f>'Part VII-Pro Forma'!C97</f>
        <v/>
      </c>
      <c r="D1112" s="1882" t="str">
        <f>'Part VII-Pro Forma'!D97</f>
        <v/>
      </c>
      <c r="E1112" s="1882" t="str">
        <f>'Part VII-Pro Forma'!E97</f>
        <v/>
      </c>
      <c r="F1112" s="1882" t="str">
        <f>'Part VII-Pro Forma'!F97</f>
        <v/>
      </c>
      <c r="G1112" s="1882" t="str">
        <f>'Part VII-Pro Forma'!G97</f>
        <v/>
      </c>
      <c r="H1112" s="1882" t="str">
        <f>'Part VII-Pro Forma'!H97</f>
        <v/>
      </c>
      <c r="I1112" s="1882" t="str">
        <f>'Part VII-Pro Forma'!I97</f>
        <v/>
      </c>
      <c r="J1112" s="1882" t="str">
        <f>'Part VII-Pro Forma'!J97</f>
        <v/>
      </c>
      <c r="K1112" s="1882" t="str">
        <f>'Part VII-Pro Forma'!K97</f>
        <v/>
      </c>
      <c r="N1112" s="1838">
        <f>'Part VII-Pro Forma'!N97</f>
        <v>0</v>
      </c>
      <c r="O1112" s="1838"/>
    </row>
    <row r="1113" spans="1:15">
      <c r="A1113" s="742" t="str">
        <f>$A1082</f>
        <v>DCR Mortgage C</v>
      </c>
      <c r="B1113" s="1882" t="str">
        <f>'Part VII-Pro Forma'!B98</f>
        <v/>
      </c>
      <c r="C1113" s="1882" t="str">
        <f>'Part VII-Pro Forma'!C98</f>
        <v/>
      </c>
      <c r="D1113" s="1882" t="str">
        <f>'Part VII-Pro Forma'!D98</f>
        <v/>
      </c>
      <c r="E1113" s="1882" t="str">
        <f>'Part VII-Pro Forma'!E98</f>
        <v/>
      </c>
      <c r="F1113" s="1882" t="str">
        <f>'Part VII-Pro Forma'!F98</f>
        <v/>
      </c>
      <c r="G1113" s="1882" t="str">
        <f>'Part VII-Pro Forma'!G98</f>
        <v/>
      </c>
      <c r="H1113" s="1882" t="str">
        <f>'Part VII-Pro Forma'!H98</f>
        <v/>
      </c>
      <c r="I1113" s="1882" t="str">
        <f>'Part VII-Pro Forma'!I98</f>
        <v/>
      </c>
      <c r="J1113" s="1882" t="str">
        <f>'Part VII-Pro Forma'!J98</f>
        <v/>
      </c>
      <c r="K1113" s="1882" t="str">
        <f>'Part VII-Pro Forma'!K98</f>
        <v/>
      </c>
      <c r="N1113" s="1838">
        <f>'Part VII-Pro Forma'!N98</f>
        <v>0</v>
      </c>
      <c r="O1113" s="1838"/>
    </row>
    <row r="1114" spans="1:15">
      <c r="A1114" s="742" t="str">
        <f>$A1083</f>
        <v>DCR Other Source</v>
      </c>
      <c r="B1114" s="1882" t="str">
        <f>'Part VII-Pro Forma'!B99</f>
        <v/>
      </c>
      <c r="C1114" s="1882" t="str">
        <f>'Part VII-Pro Forma'!C99</f>
        <v/>
      </c>
      <c r="D1114" s="1882" t="str">
        <f>'Part VII-Pro Forma'!D99</f>
        <v/>
      </c>
      <c r="E1114" s="1882" t="str">
        <f>'Part VII-Pro Forma'!E99</f>
        <v/>
      </c>
      <c r="F1114" s="1882" t="str">
        <f>'Part VII-Pro Forma'!F99</f>
        <v/>
      </c>
      <c r="G1114" s="1882" t="str">
        <f>'Part VII-Pro Forma'!G99</f>
        <v/>
      </c>
      <c r="H1114" s="1882" t="str">
        <f>'Part VII-Pro Forma'!H99</f>
        <v/>
      </c>
      <c r="I1114" s="1882" t="str">
        <f>'Part VII-Pro Forma'!I99</f>
        <v/>
      </c>
      <c r="J1114" s="1882" t="str">
        <f>'Part VII-Pro Forma'!J99</f>
        <v/>
      </c>
      <c r="K1114" s="1882" t="str">
        <f>'Part VII-Pro Forma'!K99</f>
        <v/>
      </c>
      <c r="N1114" s="1838">
        <f>'Part VII-Pro Forma'!N99</f>
        <v>0</v>
      </c>
      <c r="O1114" s="1838"/>
    </row>
    <row r="1115" spans="1:15">
      <c r="A1115" s="742" t="s">
        <v>3713</v>
      </c>
      <c r="B1115" s="1882">
        <f>'Part VII-Pro Forma'!B100</f>
        <v>1.5035182585768334</v>
      </c>
      <c r="C1115" s="1882">
        <f>'Part VII-Pro Forma'!C100</f>
        <v>1.5159455319244015</v>
      </c>
      <c r="D1115" s="1882">
        <f>'Part VII-Pro Forma'!D100</f>
        <v>1.5280912798829382</v>
      </c>
      <c r="E1115" s="1882">
        <f>'Part VII-Pro Forma'!E100</f>
        <v>1.5399352406657356</v>
      </c>
      <c r="F1115" s="1882">
        <f>'Part VII-Pro Forma'!F100</f>
        <v>1.5514562708882773</v>
      </c>
      <c r="G1115" s="1882">
        <f>'Part VII-Pro Forma'!G100</f>
        <v>1.562627115908189</v>
      </c>
      <c r="H1115" s="1882">
        <f>'Part VII-Pro Forma'!H100</f>
        <v>1.5734273711783076</v>
      </c>
      <c r="I1115" s="1882">
        <f>'Part VII-Pro Forma'!I100</f>
        <v>1.583827854943612</v>
      </c>
      <c r="J1115" s="1882">
        <f>'Part VII-Pro Forma'!J100</f>
        <v>1.5938061662248566</v>
      </c>
      <c r="K1115" s="1882">
        <f>'Part VII-Pro Forma'!K100</f>
        <v>1.6033336540744008</v>
      </c>
      <c r="N1115" s="1838">
        <f>'Part VII-Pro Forma'!N100</f>
        <v>0</v>
      </c>
      <c r="O1115" s="1838"/>
    </row>
    <row r="1116" spans="1:15">
      <c r="A1116" s="742" t="s">
        <v>770</v>
      </c>
      <c r="B1116" s="1883">
        <f>'Part VII-Pro Forma'!B101</f>
        <v>1.7837827888441209</v>
      </c>
      <c r="C1116" s="1883">
        <f>'Part VII-Pro Forma'!C101</f>
        <v>1.7678421754373954</v>
      </c>
      <c r="D1116" s="1883">
        <f>'Part VII-Pro Forma'!D101</f>
        <v>1.7520311321692235</v>
      </c>
      <c r="E1116" s="1883">
        <f>'Part VII-Pro Forma'!E101</f>
        <v>1.73634991007742</v>
      </c>
      <c r="F1116" s="1883">
        <f>'Part VII-Pro Forma'!F101</f>
        <v>1.7207986242413591</v>
      </c>
      <c r="G1116" s="1883">
        <f>'Part VII-Pro Forma'!G101</f>
        <v>1.7053732635933314</v>
      </c>
      <c r="H1116" s="1883">
        <f>'Part VII-Pro Forma'!H101</f>
        <v>1.6900760757515538</v>
      </c>
      <c r="I1116" s="1883">
        <f>'Part VII-Pro Forma'!I101</f>
        <v>1.6749033200972583</v>
      </c>
      <c r="J1116" s="1883">
        <f>'Part VII-Pro Forma'!J101</f>
        <v>1.6598570542948017</v>
      </c>
      <c r="K1116" s="1883">
        <f>'Part VII-Pro Forma'!K101</f>
        <v>1.6449354996190073</v>
      </c>
      <c r="N1116" s="1838">
        <f>'Part VII-Pro Forma'!N101</f>
        <v>0</v>
      </c>
      <c r="O1116" s="1838"/>
    </row>
    <row r="1117" spans="1:15">
      <c r="A1117" s="742" t="s">
        <v>2617</v>
      </c>
      <c r="B1117" s="1881">
        <f>'Part VII-Pro Forma'!B102</f>
        <v>4016526.3323669042</v>
      </c>
      <c r="C1117" s="1881">
        <f>'Part VII-Pro Forma'!C102</f>
        <v>3804223.1721355217</v>
      </c>
      <c r="D1117" s="1881">
        <f>'Part VII-Pro Forma'!D102</f>
        <v>3582387.9676087541</v>
      </c>
      <c r="E1117" s="1881">
        <f>'Part VII-Pro Forma'!E102</f>
        <v>3350592.746502297</v>
      </c>
      <c r="F1117" s="1881">
        <f>'Part VII-Pro Forma'!F102</f>
        <v>3108390.3213173077</v>
      </c>
      <c r="G1117" s="1881">
        <f>'Part VII-Pro Forma'!G102</f>
        <v>2855313.4266105411</v>
      </c>
      <c r="H1117" s="1881">
        <f>'Part VII-Pro Forma'!H102</f>
        <v>2590873.8175294134</v>
      </c>
      <c r="I1117" s="1881">
        <f>'Part VII-Pro Forma'!I102</f>
        <v>2314561.3278728453</v>
      </c>
      <c r="J1117" s="1881">
        <f>'Part VII-Pro Forma'!J102</f>
        <v>2025842.8858606736</v>
      </c>
      <c r="K1117" s="1881">
        <f>'Part VII-Pro Forma'!K102</f>
        <v>1724161.485712809</v>
      </c>
      <c r="N1117" s="1838">
        <f>'Part VII-Pro Forma'!N102</f>
        <v>0</v>
      </c>
      <c r="O1117" s="1838"/>
    </row>
    <row r="1118" spans="1:15">
      <c r="A1118" s="742" t="s">
        <v>2618</v>
      </c>
      <c r="B1118" s="1881" t="str">
        <f>'Part VII-Pro Forma'!B103</f>
        <v/>
      </c>
      <c r="C1118" s="1881" t="str">
        <f>'Part VII-Pro Forma'!C103</f>
        <v/>
      </c>
      <c r="D1118" s="1881" t="str">
        <f>'Part VII-Pro Forma'!D103</f>
        <v/>
      </c>
      <c r="E1118" s="1881" t="str">
        <f>'Part VII-Pro Forma'!E103</f>
        <v/>
      </c>
      <c r="F1118" s="1881" t="str">
        <f>'Part VII-Pro Forma'!F103</f>
        <v/>
      </c>
      <c r="G1118" s="1881" t="str">
        <f>'Part VII-Pro Forma'!G103</f>
        <v/>
      </c>
      <c r="H1118" s="1881" t="str">
        <f>'Part VII-Pro Forma'!H103</f>
        <v/>
      </c>
      <c r="I1118" s="1881" t="str">
        <f>'Part VII-Pro Forma'!I103</f>
        <v/>
      </c>
      <c r="J1118" s="1881" t="str">
        <f>'Part VII-Pro Forma'!J103</f>
        <v/>
      </c>
      <c r="K1118" s="1881" t="str">
        <f>'Part VII-Pro Forma'!K103</f>
        <v/>
      </c>
      <c r="N1118" s="1838">
        <f>'Part VII-Pro Forma'!N103</f>
        <v>0</v>
      </c>
      <c r="O1118" s="1838"/>
    </row>
    <row r="1119" spans="1:15">
      <c r="A1119" s="742" t="s">
        <v>2619</v>
      </c>
      <c r="B1119" s="1881" t="str">
        <f>'Part VII-Pro Forma'!B104</f>
        <v/>
      </c>
      <c r="C1119" s="1881" t="str">
        <f>'Part VII-Pro Forma'!C104</f>
        <v/>
      </c>
      <c r="D1119" s="1881" t="str">
        <f>'Part VII-Pro Forma'!D104</f>
        <v/>
      </c>
      <c r="E1119" s="1881" t="str">
        <f>'Part VII-Pro Forma'!E104</f>
        <v/>
      </c>
      <c r="F1119" s="1881" t="str">
        <f>'Part VII-Pro Forma'!F104</f>
        <v/>
      </c>
      <c r="G1119" s="1881" t="str">
        <f>'Part VII-Pro Forma'!G104</f>
        <v/>
      </c>
      <c r="H1119" s="1881" t="str">
        <f>'Part VII-Pro Forma'!H104</f>
        <v/>
      </c>
      <c r="I1119" s="1881" t="str">
        <f>'Part VII-Pro Forma'!I104</f>
        <v/>
      </c>
      <c r="J1119" s="1881" t="str">
        <f>'Part VII-Pro Forma'!J104</f>
        <v/>
      </c>
      <c r="K1119" s="1881" t="str">
        <f>'Part VII-Pro Forma'!K104</f>
        <v/>
      </c>
      <c r="N1119" s="1838">
        <f>'Part VII-Pro Forma'!N104</f>
        <v>0</v>
      </c>
      <c r="O1119" s="1838"/>
    </row>
    <row r="1120" spans="1:15">
      <c r="A1120" s="742" t="s">
        <v>784</v>
      </c>
      <c r="B1120" s="1881" t="str">
        <f>'Part VII-Pro Forma'!B105</f>
        <v/>
      </c>
      <c r="C1120" s="1881" t="str">
        <f>'Part VII-Pro Forma'!C105</f>
        <v/>
      </c>
      <c r="D1120" s="1881" t="str">
        <f>'Part VII-Pro Forma'!D105</f>
        <v/>
      </c>
      <c r="E1120" s="1881" t="str">
        <f>'Part VII-Pro Forma'!E105</f>
        <v/>
      </c>
      <c r="F1120" s="1881" t="str">
        <f>'Part VII-Pro Forma'!F105</f>
        <v/>
      </c>
      <c r="G1120" s="1881" t="str">
        <f>'Part VII-Pro Forma'!G105</f>
        <v/>
      </c>
      <c r="H1120" s="1881" t="str">
        <f>'Part VII-Pro Forma'!H105</f>
        <v/>
      </c>
      <c r="I1120" s="1881" t="str">
        <f>'Part VII-Pro Forma'!I105</f>
        <v/>
      </c>
      <c r="J1120" s="1881" t="str">
        <f>'Part VII-Pro Forma'!J105</f>
        <v/>
      </c>
      <c r="K1120" s="1881" t="str">
        <f>'Part VII-Pro Forma'!K105</f>
        <v/>
      </c>
      <c r="N1120" s="1838">
        <f>'Part VII-Pro Forma'!N105</f>
        <v>0</v>
      </c>
      <c r="O1120" s="1838"/>
    </row>
    <row r="1121" spans="1:15">
      <c r="B1121" s="1881"/>
      <c r="C1121" s="1881"/>
      <c r="D1121" s="1881"/>
      <c r="E1121" s="1881"/>
      <c r="F1121" s="1881"/>
      <c r="G1121" s="1881"/>
      <c r="H1121" s="1881"/>
      <c r="I1121" s="1881"/>
      <c r="J1121" s="1881"/>
      <c r="K1121" s="1881"/>
    </row>
    <row r="1122" spans="1:15">
      <c r="A1122" s="742" t="s">
        <v>2480</v>
      </c>
      <c r="B1122" s="1881">
        <f>K1092+1</f>
        <v>31</v>
      </c>
      <c r="C1122" s="1881">
        <f>B1122+1</f>
        <v>32</v>
      </c>
      <c r="D1122" s="1881">
        <f>C1122+1</f>
        <v>33</v>
      </c>
      <c r="E1122" s="1881">
        <f>D1122+1</f>
        <v>34</v>
      </c>
      <c r="F1122" s="1881">
        <f>E1122+1</f>
        <v>35</v>
      </c>
      <c r="G1122" s="1881"/>
      <c r="H1122" s="1881"/>
      <c r="I1122" s="1881"/>
      <c r="J1122" s="1881"/>
      <c r="K1122" s="1881"/>
      <c r="N1122" s="2111" t="s">
        <v>3703</v>
      </c>
      <c r="O1122" s="2111"/>
    </row>
    <row r="1123" spans="1:15">
      <c r="A1123" s="742" t="s">
        <v>2404</v>
      </c>
      <c r="B1123" s="1881">
        <f>'Part VII-Pro Forma'!B108</f>
        <v>1691956.6284792605</v>
      </c>
      <c r="C1123" s="1881">
        <f>'Part VII-Pro Forma'!C108</f>
        <v>1725795.7610488452</v>
      </c>
      <c r="D1123" s="1881">
        <f>'Part VII-Pro Forma'!D108</f>
        <v>1760311.6762698225</v>
      </c>
      <c r="E1123" s="1881">
        <f>'Part VII-Pro Forma'!E108</f>
        <v>1795517.9097952191</v>
      </c>
      <c r="F1123" s="1881">
        <f>'Part VII-Pro Forma'!F108</f>
        <v>1831428.2679911233</v>
      </c>
      <c r="G1123" s="1881"/>
      <c r="H1123" s="1881"/>
      <c r="I1123" s="1881"/>
      <c r="J1123" s="1881"/>
      <c r="K1123" s="1881"/>
      <c r="N1123" s="1838">
        <f>'Part VII-Pro Forma'!N108</f>
        <v>0</v>
      </c>
      <c r="O1123" s="1838"/>
    </row>
    <row r="1124" spans="1:15">
      <c r="A1124" s="742" t="s">
        <v>1016</v>
      </c>
      <c r="B1124" s="1881">
        <f>'Part VII-Pro Forma'!B109</f>
        <v>33839.132569585214</v>
      </c>
      <c r="C1124" s="1881">
        <f>'Part VII-Pro Forma'!C109</f>
        <v>34515.915220976909</v>
      </c>
      <c r="D1124" s="1881">
        <f>'Part VII-Pro Forma'!D109</f>
        <v>35206.233525396456</v>
      </c>
      <c r="E1124" s="1881">
        <f>'Part VII-Pro Forma'!E109</f>
        <v>35910.358195904388</v>
      </c>
      <c r="F1124" s="1881">
        <f>'Part VII-Pro Forma'!F109</f>
        <v>36628.565359822467</v>
      </c>
      <c r="G1124" s="1881"/>
      <c r="H1124" s="1881"/>
      <c r="I1124" s="1881"/>
      <c r="J1124" s="1881"/>
      <c r="K1124" s="1881"/>
      <c r="N1124" s="1838">
        <f>'Part VII-Pro Forma'!N109</f>
        <v>0</v>
      </c>
      <c r="O1124" s="1838"/>
    </row>
    <row r="1125" spans="1:15">
      <c r="A1125" s="742" t="s">
        <v>2405</v>
      </c>
      <c r="B1125" s="1881">
        <f>'Part VII-Pro Forma'!B110</f>
        <v>-120805.70327341922</v>
      </c>
      <c r="C1125" s="1881">
        <f>'Part VII-Pro Forma'!C110</f>
        <v>-123221.81733888756</v>
      </c>
      <c r="D1125" s="1881">
        <f>'Part VII-Pro Forma'!D110</f>
        <v>-125686.25368566535</v>
      </c>
      <c r="E1125" s="1881">
        <f>'Part VII-Pro Forma'!E110</f>
        <v>-128199.97875937866</v>
      </c>
      <c r="F1125" s="1881">
        <f>'Part VII-Pro Forma'!F110</f>
        <v>-130763.97833456621</v>
      </c>
      <c r="G1125" s="1881"/>
      <c r="H1125" s="1881"/>
      <c r="I1125" s="1881"/>
      <c r="J1125" s="1881"/>
      <c r="K1125" s="1881"/>
      <c r="N1125" s="1838">
        <f>'Part VII-Pro Forma'!N110</f>
        <v>0</v>
      </c>
      <c r="O1125" s="1838"/>
    </row>
    <row r="1126" spans="1:15">
      <c r="A1126" s="742" t="s">
        <v>52</v>
      </c>
      <c r="B1126" s="1881">
        <f>'Part VII-Pro Forma'!B111</f>
        <v>0</v>
      </c>
      <c r="C1126" s="1881">
        <f>'Part VII-Pro Forma'!C111</f>
        <v>0</v>
      </c>
      <c r="D1126" s="1881">
        <f>'Part VII-Pro Forma'!D111</f>
        <v>0</v>
      </c>
      <c r="E1126" s="1881">
        <f>'Part VII-Pro Forma'!E111</f>
        <v>0</v>
      </c>
      <c r="F1126" s="1881">
        <f>'Part VII-Pro Forma'!F111</f>
        <v>0</v>
      </c>
      <c r="G1126" s="1881"/>
      <c r="H1126" s="1881"/>
      <c r="I1126" s="1881"/>
      <c r="J1126" s="1881"/>
      <c r="K1126" s="1881"/>
      <c r="N1126" s="1838">
        <f>'Part VII-Pro Forma'!N111</f>
        <v>0</v>
      </c>
      <c r="O1126" s="1838"/>
    </row>
    <row r="1127" spans="1:15">
      <c r="A1127" s="742" t="s">
        <v>53</v>
      </c>
      <c r="B1127" s="1881">
        <f>'Part VII-Pro Forma'!B112</f>
        <v>0</v>
      </c>
      <c r="C1127" s="1881">
        <f>'Part VII-Pro Forma'!C112</f>
        <v>0</v>
      </c>
      <c r="D1127" s="1881">
        <f>'Part VII-Pro Forma'!D112</f>
        <v>0</v>
      </c>
      <c r="E1127" s="1881">
        <f>'Part VII-Pro Forma'!E112</f>
        <v>0</v>
      </c>
      <c r="F1127" s="1881">
        <f>'Part VII-Pro Forma'!F112</f>
        <v>0</v>
      </c>
      <c r="G1127" s="1881"/>
      <c r="H1127" s="1881"/>
      <c r="I1127" s="1881"/>
      <c r="J1127" s="1881"/>
      <c r="K1127" s="1881"/>
      <c r="N1127" s="1838">
        <f>'Part VII-Pro Forma'!N112</f>
        <v>0</v>
      </c>
      <c r="O1127" s="1838"/>
    </row>
    <row r="1128" spans="1:15">
      <c r="A1128" s="742" t="s">
        <v>4945</v>
      </c>
      <c r="B1128" s="1881">
        <f>'Part VII-Pro Forma'!B113</f>
        <v>1604990.0577754264</v>
      </c>
      <c r="C1128" s="1881">
        <f>'Part VII-Pro Forma'!C113</f>
        <v>1637089.8589309345</v>
      </c>
      <c r="D1128" s="1881">
        <f>'Part VII-Pro Forma'!D113</f>
        <v>1669831.6561095538</v>
      </c>
      <c r="E1128" s="1881">
        <f>'Part VII-Pro Forma'!E113</f>
        <v>1703228.2892317448</v>
      </c>
      <c r="F1128" s="1881">
        <f>'Part VII-Pro Forma'!F113</f>
        <v>1737292.8550163796</v>
      </c>
      <c r="G1128" s="1881"/>
      <c r="H1128" s="1881"/>
      <c r="I1128" s="1881"/>
      <c r="J1128" s="1881"/>
      <c r="K1128" s="1881"/>
      <c r="N1128" s="1838">
        <f>'Part VII-Pro Forma'!N113</f>
        <v>0</v>
      </c>
      <c r="O1128" s="1838"/>
    </row>
    <row r="1129" spans="1:15">
      <c r="A1129" s="742" t="s">
        <v>614</v>
      </c>
      <c r="B1129" s="1881">
        <f>'Part VII-Pro Forma'!B114</f>
        <v>-861377.19672590145</v>
      </c>
      <c r="C1129" s="1881">
        <f>'Part VII-Pro Forma'!C114</f>
        <v>-887218.51262767869</v>
      </c>
      <c r="D1129" s="1881">
        <f>'Part VII-Pro Forma'!D114</f>
        <v>-913835.06800650887</v>
      </c>
      <c r="E1129" s="1881">
        <f>'Part VII-Pro Forma'!E114</f>
        <v>-941250.12004670419</v>
      </c>
      <c r="F1129" s="1881">
        <f>'Part VII-Pro Forma'!F114</f>
        <v>-969487.62364810507</v>
      </c>
      <c r="G1129" s="1881"/>
      <c r="H1129" s="1881"/>
      <c r="I1129" s="1881"/>
      <c r="J1129" s="1881"/>
      <c r="K1129" s="1881"/>
      <c r="N1129" s="1838">
        <f>'Part VII-Pro Forma'!N114</f>
        <v>0</v>
      </c>
      <c r="O1129" s="1838"/>
    </row>
    <row r="1130" spans="1:15">
      <c r="A1130" s="742" t="s">
        <v>1115</v>
      </c>
      <c r="B1130" s="1881">
        <f>'Part VII-Pro Forma'!B115</f>
        <v>-72225</v>
      </c>
      <c r="C1130" s="1881">
        <f>'Part VII-Pro Forma'!C115</f>
        <v>-73669</v>
      </c>
      <c r="D1130" s="1881">
        <f>'Part VII-Pro Forma'!D115</f>
        <v>-75142</v>
      </c>
      <c r="E1130" s="1881">
        <f>'Part VII-Pro Forma'!E115</f>
        <v>-76645</v>
      </c>
      <c r="F1130" s="1881">
        <f>'Part VII-Pro Forma'!F115</f>
        <v>-78178</v>
      </c>
      <c r="G1130" s="1881"/>
      <c r="H1130" s="1881"/>
      <c r="I1130" s="1881"/>
      <c r="J1130" s="1881"/>
      <c r="K1130" s="1881"/>
      <c r="N1130" s="1838">
        <f>'Part VII-Pro Forma'!N115</f>
        <v>0</v>
      </c>
      <c r="O1130" s="1838"/>
    </row>
    <row r="1131" spans="1:15">
      <c r="A1131" s="742" t="s">
        <v>1202</v>
      </c>
      <c r="B1131" s="1881">
        <f>'Part VII-Pro Forma'!B116</f>
        <v>-50972.511894982839</v>
      </c>
      <c r="C1131" s="1881">
        <f>'Part VII-Pro Forma'!C116</f>
        <v>-52501.687251832336</v>
      </c>
      <c r="D1131" s="1881">
        <f>'Part VII-Pro Forma'!D116</f>
        <v>-54076.737869387296</v>
      </c>
      <c r="E1131" s="1881">
        <f>'Part VII-Pro Forma'!E116</f>
        <v>-55699.040005468916</v>
      </c>
      <c r="F1131" s="1881">
        <f>'Part VII-Pro Forma'!F116</f>
        <v>-57370.011205632974</v>
      </c>
      <c r="G1131" s="1881"/>
      <c r="H1131" s="1881"/>
      <c r="I1131" s="1881"/>
      <c r="J1131" s="1881"/>
      <c r="K1131" s="1881"/>
      <c r="N1131" s="1838">
        <f>'Part VII-Pro Forma'!N116</f>
        <v>0</v>
      </c>
      <c r="O1131" s="1838"/>
    </row>
    <row r="1132" spans="1:15">
      <c r="A1132" s="742" t="s">
        <v>4944</v>
      </c>
      <c r="B1132" s="1881">
        <f>IF(B1122&lt;=+'Part VI-Revenues &amp; Expenses'!$K$243,-'Part VI-Revenues &amp; Expenses'!$H$243,0)</f>
        <v>0</v>
      </c>
      <c r="C1132" s="1881">
        <f>IF(C1122&lt;=+'Part VI-Revenues &amp; Expenses'!$K$243,-'Part VI-Revenues &amp; Expenses'!$H$243,0)</f>
        <v>0</v>
      </c>
      <c r="D1132" s="1881">
        <f>IF(D1122&lt;=+'Part VI-Revenues &amp; Expenses'!$K$243,-'Part VI-Revenues &amp; Expenses'!$H$243,0)</f>
        <v>0</v>
      </c>
      <c r="E1132" s="1881">
        <f>IF(E1122&lt;=+'Part VI-Revenues &amp; Expenses'!$K$243,-'Part VI-Revenues &amp; Expenses'!$H$243,0)</f>
        <v>0</v>
      </c>
      <c r="F1132" s="1881">
        <f>IF(F1122&lt;=+'Part VI-Revenues &amp; Expenses'!$K$243,-'Part VI-Revenues &amp; Expenses'!$H$243,0)</f>
        <v>0</v>
      </c>
      <c r="G1132" s="1881"/>
      <c r="H1132" s="1881"/>
      <c r="I1132" s="1881"/>
      <c r="J1132" s="1881"/>
      <c r="K1132" s="1881"/>
      <c r="N1132" s="1838">
        <f>'Part VII-Pro Forma'!N117</f>
        <v>0</v>
      </c>
      <c r="O1132" s="1838"/>
    </row>
    <row r="1133" spans="1:15">
      <c r="A1133" s="742" t="s">
        <v>1203</v>
      </c>
      <c r="B1133" s="1881">
        <f t="shared" ref="B1133:E1133" si="370">SUM(B1128:B1132)</f>
        <v>620415.34915454208</v>
      </c>
      <c r="C1133" s="1881">
        <f t="shared" si="370"/>
        <v>623700.65905142343</v>
      </c>
      <c r="D1133" s="1881">
        <f t="shared" si="370"/>
        <v>626777.85023365763</v>
      </c>
      <c r="E1133" s="1881">
        <f t="shared" si="370"/>
        <v>629634.12917957176</v>
      </c>
      <c r="F1133" s="1881">
        <f>SUM(F1128:F1132)</f>
        <v>632257.22016264161</v>
      </c>
      <c r="G1133" s="1881"/>
      <c r="H1133" s="1881"/>
      <c r="I1133" s="1881"/>
      <c r="J1133" s="1881"/>
      <c r="K1133" s="1881"/>
      <c r="N1133" s="1838">
        <f>'Part VII-Pro Forma'!N118</f>
        <v>0</v>
      </c>
      <c r="O1133" s="1838"/>
    </row>
    <row r="1134" spans="1:15">
      <c r="A1134" s="742" t="str">
        <f>$A1104</f>
        <v>Mortgage A</v>
      </c>
      <c r="B1134" s="1881">
        <f>IF('Part III-Sources of Funds'!$P$38="", 0,-'Part III-Sources of Funds'!$P$38)</f>
        <v>-384782.82220370776</v>
      </c>
      <c r="C1134" s="1881">
        <f>IF('Part III-Sources of Funds'!$P$38="", 0,-'Part III-Sources of Funds'!$P$38)</f>
        <v>-384782.82220370776</v>
      </c>
      <c r="D1134" s="1881">
        <f>IF('Part III-Sources of Funds'!$P$38="", 0,-'Part III-Sources of Funds'!$P$38)</f>
        <v>-384782.82220370776</v>
      </c>
      <c r="E1134" s="1881">
        <f>IF('Part III-Sources of Funds'!$P$38="", 0,-'Part III-Sources of Funds'!$P$38)</f>
        <v>-384782.82220370776</v>
      </c>
      <c r="F1134" s="1881">
        <f>IF('Part III-Sources of Funds'!$P$38="", 0,-'Part III-Sources of Funds'!$P$38)</f>
        <v>-384782.82220370776</v>
      </c>
      <c r="G1134" s="1881"/>
      <c r="H1134" s="1881"/>
      <c r="I1134" s="1881"/>
      <c r="J1134" s="1881"/>
      <c r="K1134" s="1881"/>
      <c r="N1134" s="1838">
        <f>'Part VII-Pro Forma'!N119</f>
        <v>0</v>
      </c>
      <c r="O1134" s="1838"/>
    </row>
    <row r="1135" spans="1:15">
      <c r="A1135" s="742" t="str">
        <f>$A1105</f>
        <v>Mortgage B</v>
      </c>
      <c r="B1135" s="1881">
        <f>IF('Part III-Sources of Funds'!$P$39="", 0,-'Part III-Sources of Funds'!$P$39)</f>
        <v>0</v>
      </c>
      <c r="C1135" s="1881">
        <f>IF('Part III-Sources of Funds'!$P$39="", 0,-'Part III-Sources of Funds'!$P$39)</f>
        <v>0</v>
      </c>
      <c r="D1135" s="1881">
        <f>IF('Part III-Sources of Funds'!$P$39="", 0,-'Part III-Sources of Funds'!$P$39)</f>
        <v>0</v>
      </c>
      <c r="E1135" s="1881">
        <f>IF('Part III-Sources of Funds'!$P$39="", 0,-'Part III-Sources of Funds'!$P$39)</f>
        <v>0</v>
      </c>
      <c r="F1135" s="1881">
        <f>IF('Part III-Sources of Funds'!$P$39="", 0,-'Part III-Sources of Funds'!$P$39)</f>
        <v>0</v>
      </c>
      <c r="G1135" s="1881"/>
      <c r="H1135" s="1881"/>
      <c r="I1135" s="1881"/>
      <c r="J1135" s="1881"/>
      <c r="K1135" s="1881"/>
      <c r="N1135" s="1838">
        <f>'Part VII-Pro Forma'!N120</f>
        <v>0</v>
      </c>
      <c r="O1135" s="1838"/>
    </row>
    <row r="1136" spans="1:15">
      <c r="A1136" s="742" t="str">
        <f>$A1106</f>
        <v>Mortgage C</v>
      </c>
      <c r="B1136" s="1881">
        <f>IF('Part III-Sources of Funds'!$P$40="", 0,-'Part III-Sources of Funds'!$P$40)</f>
        <v>0</v>
      </c>
      <c r="C1136" s="1881">
        <f>IF('Part III-Sources of Funds'!$P$40="", 0,-'Part III-Sources of Funds'!$P$40)</f>
        <v>0</v>
      </c>
      <c r="D1136" s="1881">
        <f>IF('Part III-Sources of Funds'!$P$40="", 0,-'Part III-Sources of Funds'!$P$40)</f>
        <v>0</v>
      </c>
      <c r="E1136" s="1881">
        <f>IF('Part III-Sources of Funds'!$P$40="", 0,-'Part III-Sources of Funds'!$P$40)</f>
        <v>0</v>
      </c>
      <c r="F1136" s="1881">
        <f>IF('Part III-Sources of Funds'!$P$40="", 0,-'Part III-Sources of Funds'!$P$40)</f>
        <v>0</v>
      </c>
      <c r="G1136" s="1881"/>
      <c r="H1136" s="1881"/>
      <c r="I1136" s="1881"/>
      <c r="J1136" s="1881"/>
      <c r="K1136" s="1881"/>
      <c r="N1136" s="1838">
        <f>'Part VII-Pro Forma'!N121</f>
        <v>0</v>
      </c>
      <c r="O1136" s="1838"/>
    </row>
    <row r="1137" spans="1:15">
      <c r="A1137" s="742" t="str">
        <f>$A1107</f>
        <v>D/S Other Source,not DDF</v>
      </c>
      <c r="B1137" s="1881">
        <f>IF('Part III-Sources of Funds'!$P$41="", 0,-'Part III-Sources of Funds'!$P$41)</f>
        <v>0</v>
      </c>
      <c r="C1137" s="1881">
        <f>IF('Part III-Sources of Funds'!$P$41="", 0,-'Part III-Sources of Funds'!$P$41)</f>
        <v>0</v>
      </c>
      <c r="D1137" s="1881">
        <f>IF('Part III-Sources of Funds'!$P$41="", 0,-'Part III-Sources of Funds'!$P$41)</f>
        <v>0</v>
      </c>
      <c r="E1137" s="1881">
        <f>IF('Part III-Sources of Funds'!$P$41="", 0,-'Part III-Sources of Funds'!$P$41)</f>
        <v>0</v>
      </c>
      <c r="F1137" s="1881">
        <f>IF('Part III-Sources of Funds'!$P$41="", 0,-'Part III-Sources of Funds'!$P$41)</f>
        <v>0</v>
      </c>
      <c r="G1137" s="1881"/>
      <c r="H1137" s="1881"/>
      <c r="I1137" s="1881"/>
      <c r="J1137" s="1881"/>
      <c r="K1137" s="1881"/>
      <c r="N1137" s="1838">
        <f>'Part VII-Pro Forma'!N122</f>
        <v>0</v>
      </c>
      <c r="O1137" s="1838"/>
    </row>
    <row r="1138" spans="1:15">
      <c r="A1138" s="742" t="s">
        <v>763</v>
      </c>
      <c r="B1138" s="1881"/>
      <c r="C1138" s="1881"/>
      <c r="D1138" s="1881"/>
      <c r="E1138" s="1881"/>
      <c r="F1138" s="1881"/>
      <c r="G1138" s="1881"/>
      <c r="H1138" s="1881"/>
      <c r="I1138" s="1881"/>
      <c r="J1138" s="1881"/>
      <c r="K1138" s="1881"/>
      <c r="N1138" s="1838">
        <f>'Part VII-Pro Forma'!N123</f>
        <v>0</v>
      </c>
      <c r="O1138" s="1838"/>
    </row>
    <row r="1139" spans="1:15">
      <c r="A1139" s="742" t="s">
        <v>1163</v>
      </c>
      <c r="B1139" s="1881">
        <f>+K1109</f>
        <v>0</v>
      </c>
      <c r="C1139" s="1881">
        <f>+B1139</f>
        <v>0</v>
      </c>
      <c r="D1139" s="1881">
        <f>+C1139</f>
        <v>0</v>
      </c>
      <c r="E1139" s="1881">
        <f>+D1139</f>
        <v>0</v>
      </c>
      <c r="F1139" s="1881">
        <f>+E1139</f>
        <v>0</v>
      </c>
      <c r="G1139" s="1881"/>
      <c r="H1139" s="1881"/>
      <c r="I1139" s="1881"/>
      <c r="J1139" s="1881"/>
      <c r="K1139" s="1881"/>
      <c r="N1139" s="1838">
        <f>'Part VII-Pro Forma'!N124</f>
        <v>0</v>
      </c>
      <c r="O1139" s="1838"/>
    </row>
    <row r="1140" spans="1:15">
      <c r="A1140" s="742" t="s">
        <v>1164</v>
      </c>
      <c r="B1140" s="1881">
        <f>'Part VII-Pro Forma'!B125</f>
        <v>235632.52695083432</v>
      </c>
      <c r="C1140" s="1881">
        <f>'Part VII-Pro Forma'!C125</f>
        <v>238917.83684771566</v>
      </c>
      <c r="D1140" s="1881">
        <f>'Part VII-Pro Forma'!D125</f>
        <v>241995.02802994987</v>
      </c>
      <c r="E1140" s="1881">
        <f>'Part VII-Pro Forma'!E125</f>
        <v>244851.30697586399</v>
      </c>
      <c r="F1140" s="1881">
        <f>'Part VII-Pro Forma'!F125</f>
        <v>247474.39795893384</v>
      </c>
      <c r="G1140" s="1881"/>
      <c r="H1140" s="1881"/>
      <c r="I1140" s="1881"/>
      <c r="J1140" s="1881"/>
      <c r="K1140" s="1881"/>
      <c r="N1140" s="1838">
        <f>'Part VII-Pro Forma'!N125</f>
        <v>0</v>
      </c>
      <c r="O1140" s="1838"/>
    </row>
    <row r="1141" spans="1:15">
      <c r="A1141" s="742" t="str">
        <f>$A1111</f>
        <v>DCR Mortgage A</v>
      </c>
      <c r="B1141" s="1882">
        <f>'Part VII-Pro Forma'!B126</f>
        <v>1.6123779788331822</v>
      </c>
      <c r="C1141" s="1882">
        <f>'Part VII-Pro Forma'!C126</f>
        <v>1.6209160676128891</v>
      </c>
      <c r="D1141" s="1882">
        <f>'Part VII-Pro Forma'!D126</f>
        <v>1.6289132831970221</v>
      </c>
      <c r="E1141" s="1882">
        <f>'Part VII-Pro Forma'!E126</f>
        <v>1.6363363769036376</v>
      </c>
      <c r="F1141" s="1882">
        <f>'Part VII-Pro Forma'!F126</f>
        <v>1.6431534457323527</v>
      </c>
      <c r="G1141" s="1881"/>
      <c r="H1141" s="1881"/>
      <c r="I1141" s="1881"/>
      <c r="J1141" s="1881"/>
      <c r="K1141" s="1881"/>
      <c r="N1141" s="1838">
        <f>'Part VII-Pro Forma'!N126</f>
        <v>0</v>
      </c>
      <c r="O1141" s="1838"/>
    </row>
    <row r="1142" spans="1:15">
      <c r="A1142" s="742" t="str">
        <f>$A1112</f>
        <v>DCR Mortgage B</v>
      </c>
      <c r="B1142" s="1882" t="str">
        <f>'Part VII-Pro Forma'!B127</f>
        <v/>
      </c>
      <c r="C1142" s="1882" t="str">
        <f>'Part VII-Pro Forma'!C127</f>
        <v/>
      </c>
      <c r="D1142" s="1882" t="str">
        <f>'Part VII-Pro Forma'!D127</f>
        <v/>
      </c>
      <c r="E1142" s="1882" t="str">
        <f>'Part VII-Pro Forma'!E127</f>
        <v/>
      </c>
      <c r="F1142" s="1882" t="str">
        <f>'Part VII-Pro Forma'!F127</f>
        <v/>
      </c>
      <c r="G1142" s="1881"/>
      <c r="H1142" s="1881"/>
      <c r="I1142" s="1881"/>
      <c r="J1142" s="1881"/>
      <c r="K1142" s="1881"/>
      <c r="N1142" s="1838">
        <f>'Part VII-Pro Forma'!N127</f>
        <v>0</v>
      </c>
      <c r="O1142" s="1838"/>
    </row>
    <row r="1143" spans="1:15">
      <c r="A1143" s="742" t="str">
        <f>$A1113</f>
        <v>DCR Mortgage C</v>
      </c>
      <c r="B1143" s="1882" t="str">
        <f>'Part VII-Pro Forma'!B128</f>
        <v/>
      </c>
      <c r="C1143" s="1882" t="str">
        <f>'Part VII-Pro Forma'!C128</f>
        <v/>
      </c>
      <c r="D1143" s="1882" t="str">
        <f>'Part VII-Pro Forma'!D128</f>
        <v/>
      </c>
      <c r="E1143" s="1882" t="str">
        <f>'Part VII-Pro Forma'!E128</f>
        <v/>
      </c>
      <c r="F1143" s="1882" t="str">
        <f>'Part VII-Pro Forma'!F128</f>
        <v/>
      </c>
      <c r="G1143" s="1881"/>
      <c r="H1143" s="1881"/>
      <c r="I1143" s="1881"/>
      <c r="J1143" s="1881"/>
      <c r="K1143" s="1881"/>
      <c r="N1143" s="1838">
        <f>'Part VII-Pro Forma'!N128</f>
        <v>0</v>
      </c>
      <c r="O1143" s="1838"/>
    </row>
    <row r="1144" spans="1:15">
      <c r="A1144" s="742" t="str">
        <f>$A1114</f>
        <v>DCR Other Source</v>
      </c>
      <c r="B1144" s="1882" t="str">
        <f>'Part VII-Pro Forma'!B129</f>
        <v/>
      </c>
      <c r="C1144" s="1882" t="str">
        <f>'Part VII-Pro Forma'!C129</f>
        <v/>
      </c>
      <c r="D1144" s="1882" t="str">
        <f>'Part VII-Pro Forma'!D129</f>
        <v/>
      </c>
      <c r="E1144" s="1882" t="str">
        <f>'Part VII-Pro Forma'!E129</f>
        <v/>
      </c>
      <c r="F1144" s="1882" t="str">
        <f>'Part VII-Pro Forma'!F129</f>
        <v/>
      </c>
      <c r="G1144" s="1881"/>
      <c r="H1144" s="1881"/>
      <c r="I1144" s="1881"/>
      <c r="J1144" s="1881"/>
      <c r="K1144" s="1881"/>
      <c r="N1144" s="1838">
        <f>'Part VII-Pro Forma'!N129</f>
        <v>0</v>
      </c>
      <c r="O1144" s="1838"/>
    </row>
    <row r="1145" spans="1:15">
      <c r="A1145" s="742" t="s">
        <v>3713</v>
      </c>
      <c r="B1145" s="1882">
        <f>'Part VII-Pro Forma'!B130</f>
        <v>1.6123779788331822</v>
      </c>
      <c r="C1145" s="1882">
        <f>'Part VII-Pro Forma'!C130</f>
        <v>1.6209160676128891</v>
      </c>
      <c r="D1145" s="1882">
        <f>'Part VII-Pro Forma'!D130</f>
        <v>1.6289132831970221</v>
      </c>
      <c r="E1145" s="1882">
        <f>'Part VII-Pro Forma'!E130</f>
        <v>1.6363363769036376</v>
      </c>
      <c r="F1145" s="1882">
        <f>'Part VII-Pro Forma'!F130</f>
        <v>1.6431534457323527</v>
      </c>
      <c r="G1145" s="1881"/>
      <c r="H1145" s="1881"/>
      <c r="I1145" s="1881"/>
      <c r="J1145" s="1881"/>
      <c r="K1145" s="1881"/>
      <c r="N1145" s="1838">
        <f>'Part VII-Pro Forma'!N130</f>
        <v>0</v>
      </c>
      <c r="O1145" s="1838"/>
    </row>
    <row r="1146" spans="1:15">
      <c r="A1146" s="742" t="s">
        <v>770</v>
      </c>
      <c r="B1146" s="1883">
        <f>'Part VII-Pro Forma'!B131</f>
        <v>1.6301353708583188</v>
      </c>
      <c r="C1146" s="1883">
        <f>'Part VII-Pro Forma'!C131</f>
        <v>1.615460140216197</v>
      </c>
      <c r="D1146" s="1883">
        <f>'Part VII-Pro Forma'!D131</f>
        <v>1.6009065368467026</v>
      </c>
      <c r="E1146" s="1883">
        <f>'Part VII-Pro Forma'!E131</f>
        <v>1.5864731316617573</v>
      </c>
      <c r="F1146" s="1883">
        <f>'Part VII-Pro Forma'!F131</f>
        <v>1.5721600283472548</v>
      </c>
      <c r="G1146" s="1881"/>
      <c r="H1146" s="1881"/>
      <c r="I1146" s="1881"/>
      <c r="J1146" s="1881"/>
      <c r="K1146" s="1881"/>
      <c r="N1146" s="1838">
        <f>'Part VII-Pro Forma'!N131</f>
        <v>0</v>
      </c>
      <c r="O1146" s="1838"/>
    </row>
    <row r="1147" spans="1:15">
      <c r="A1147" s="742" t="s">
        <v>2617</v>
      </c>
      <c r="B1147" s="1881">
        <f>'Part VII-Pro Forma'!B132</f>
        <v>1408935.113054082</v>
      </c>
      <c r="C1147" s="1881">
        <f>'Part VII-Pro Forma'!C132</f>
        <v>1079555.6220716247</v>
      </c>
      <c r="D1147" s="1881">
        <f>'Part VII-Pro Forma'!D132</f>
        <v>735387.56225856463</v>
      </c>
      <c r="E1147" s="1881">
        <f>'Part VII-Pro Forma'!E132</f>
        <v>375766.95248054178</v>
      </c>
      <c r="F1147" s="1881">
        <f>'Part VII-Pro Forma'!F132</f>
        <v>-6.5716449171304703E-8</v>
      </c>
      <c r="G1147" s="1881"/>
      <c r="H1147" s="1881"/>
      <c r="I1147" s="1881"/>
      <c r="J1147" s="1881"/>
      <c r="K1147" s="1881"/>
      <c r="N1147" s="1838">
        <f>'Part VII-Pro Forma'!N132</f>
        <v>0</v>
      </c>
      <c r="O1147" s="1838"/>
    </row>
    <row r="1148" spans="1:15">
      <c r="A1148" s="742" t="s">
        <v>2618</v>
      </c>
      <c r="B1148" s="1881" t="str">
        <f>'Part VII-Pro Forma'!B133</f>
        <v/>
      </c>
      <c r="C1148" s="1881" t="str">
        <f>'Part VII-Pro Forma'!C133</f>
        <v/>
      </c>
      <c r="D1148" s="1881" t="str">
        <f>'Part VII-Pro Forma'!D133</f>
        <v/>
      </c>
      <c r="E1148" s="1881" t="str">
        <f>'Part VII-Pro Forma'!E133</f>
        <v/>
      </c>
      <c r="F1148" s="1881" t="str">
        <f>'Part VII-Pro Forma'!F133</f>
        <v/>
      </c>
      <c r="G1148" s="1881"/>
      <c r="H1148" s="1881"/>
      <c r="I1148" s="1881"/>
      <c r="J1148" s="1881"/>
      <c r="K1148" s="1881"/>
      <c r="N1148" s="1838">
        <f>'Part VII-Pro Forma'!N133</f>
        <v>0</v>
      </c>
      <c r="O1148" s="1838"/>
    </row>
    <row r="1149" spans="1:15">
      <c r="A1149" s="742" t="s">
        <v>2619</v>
      </c>
      <c r="B1149" s="1881" t="str">
        <f>'Part VII-Pro Forma'!B134</f>
        <v/>
      </c>
      <c r="C1149" s="1881" t="str">
        <f>'Part VII-Pro Forma'!C134</f>
        <v/>
      </c>
      <c r="D1149" s="1881" t="str">
        <f>'Part VII-Pro Forma'!D134</f>
        <v/>
      </c>
      <c r="E1149" s="1881" t="str">
        <f>'Part VII-Pro Forma'!E134</f>
        <v/>
      </c>
      <c r="F1149" s="1881" t="str">
        <f>'Part VII-Pro Forma'!F134</f>
        <v/>
      </c>
      <c r="G1149" s="1881"/>
      <c r="H1149" s="1881"/>
      <c r="I1149" s="1881"/>
      <c r="J1149" s="1881"/>
      <c r="K1149" s="1881"/>
      <c r="N1149" s="1838">
        <f>'Part VII-Pro Forma'!N134</f>
        <v>0</v>
      </c>
      <c r="O1149" s="1838"/>
    </row>
    <row r="1150" spans="1:15">
      <c r="A1150" s="742" t="s">
        <v>784</v>
      </c>
      <c r="B1150" s="1881" t="str">
        <f>'Part VII-Pro Forma'!B135</f>
        <v/>
      </c>
      <c r="C1150" s="1881" t="str">
        <f>'Part VII-Pro Forma'!C135</f>
        <v/>
      </c>
      <c r="D1150" s="1881" t="str">
        <f>'Part VII-Pro Forma'!D135</f>
        <v/>
      </c>
      <c r="E1150" s="1881" t="str">
        <f>'Part VII-Pro Forma'!E135</f>
        <v/>
      </c>
      <c r="F1150" s="1881" t="str">
        <f>'Part VII-Pro Forma'!F135</f>
        <v/>
      </c>
      <c r="G1150" s="1881"/>
      <c r="H1150" s="1881"/>
      <c r="I1150" s="1881"/>
      <c r="J1150" s="1881"/>
      <c r="K1150" s="1881"/>
      <c r="N1150" s="1838">
        <f>'Part VII-Pro Forma'!N135</f>
        <v>0</v>
      </c>
      <c r="O1150" s="1838"/>
    </row>
    <row r="1152" spans="1:15">
      <c r="A1152" s="742" t="s">
        <v>571</v>
      </c>
      <c r="G1152" s="742" t="s">
        <v>1031</v>
      </c>
    </row>
    <row r="1153" spans="1:19">
      <c r="B1153" s="2111"/>
    </row>
    <row r="1154" spans="1:19" ht="15.75" customHeight="1">
      <c r="A1154" s="1708" t="str">
        <f>'Part VII-Pro Forma'!A139</f>
        <v>APPLICANTS: Explain any any debt service payment amounts that deviate from the amount shown in Permanent Sources (Part III)</v>
      </c>
      <c r="B1154" s="1708"/>
      <c r="C1154" s="1708"/>
      <c r="D1154" s="1708"/>
      <c r="E1154" s="1708"/>
      <c r="F1154" s="1708"/>
      <c r="G1154" s="1708">
        <f>'Part VII-Pro Forma'!G139</f>
        <v>0</v>
      </c>
      <c r="H1154" s="1708"/>
      <c r="I1154" s="1708"/>
      <c r="J1154" s="1708"/>
      <c r="K1154" s="1708"/>
      <c r="N1154" s="2727" t="s">
        <v>2693</v>
      </c>
      <c r="O1154" s="2727"/>
    </row>
    <row r="1159" spans="1:19" ht="12.75" customHeight="1">
      <c r="A1159" s="1631" t="str">
        <f>CONCATENATE("PART EIGHT - THRESHOLD CRITERIA","  -  ",'Part I-Project Information'!$O$6," ",'Part I-Project Information'!$F$34,", ",'Part I-Project Information'!F1196,", ",'Part I-Project Information'!J1197," County")</f>
        <v>PART EIGHT - THRESHOLD CRITERIA  -  2019-5 Stone Terrace Phase II, ,  County</v>
      </c>
      <c r="B1159" s="1631"/>
      <c r="C1159" s="1631"/>
      <c r="D1159" s="1631"/>
      <c r="E1159" s="1631"/>
      <c r="F1159" s="1631"/>
      <c r="G1159" s="1631"/>
      <c r="H1159" s="1631"/>
      <c r="I1159" s="1631"/>
      <c r="J1159" s="1631"/>
      <c r="K1159" s="1631"/>
      <c r="L1159" s="1631"/>
      <c r="M1159" s="1631"/>
      <c r="N1159" s="1631"/>
      <c r="O1159" s="1631"/>
      <c r="P1159" s="1631"/>
      <c r="Q1159" s="1631"/>
      <c r="R1159" s="2752" t="str">
        <f>'Part I-Project Information'!$B$6</f>
        <v>May 2019 Final</v>
      </c>
      <c r="S1159" s="2752"/>
    </row>
    <row r="1160" spans="1:19">
      <c r="R1160" s="2752"/>
      <c r="S1160" s="2752"/>
    </row>
    <row r="1161" spans="1:19" ht="20.25" customHeight="1">
      <c r="A1161" s="2778" t="str">
        <f>'Part VIII-Threshold Criteria'!A3</f>
        <v>Preliminary Rating: Incomplete</v>
      </c>
      <c r="B1161" s="2778"/>
      <c r="C1161" s="2778"/>
      <c r="D1161" s="2778"/>
      <c r="E1161" s="2778"/>
      <c r="F1161" s="2778"/>
      <c r="G1161" s="2778"/>
      <c r="H1161" s="2778" t="str">
        <f>'Part VIII-Threshold Criteria'!H3</f>
        <v/>
      </c>
      <c r="I1161" s="2778"/>
      <c r="J1161" s="2778"/>
      <c r="K1161" s="2778"/>
      <c r="L1161" s="2778"/>
      <c r="M1161" s="2778"/>
      <c r="N1161" s="2778"/>
      <c r="O1161" s="2038" t="s">
        <v>935</v>
      </c>
      <c r="P1161" s="2038"/>
      <c r="Q1161" s="2754" t="s">
        <v>1843</v>
      </c>
      <c r="R1161" s="2752"/>
      <c r="S1161" s="2752"/>
    </row>
    <row r="1162" spans="1:19">
      <c r="A1162" s="1633"/>
      <c r="B1162" s="2779"/>
      <c r="C1162" s="2779"/>
      <c r="D1162" s="2779"/>
      <c r="E1162" s="1633"/>
      <c r="F1162" s="1633"/>
      <c r="G1162" s="1633"/>
      <c r="H1162" s="1633"/>
      <c r="I1162" s="1633"/>
      <c r="J1162" s="1633"/>
      <c r="K1162" s="1633"/>
      <c r="L1162" s="1633"/>
      <c r="M1162" s="1633"/>
      <c r="N1162" s="1633"/>
      <c r="P1162" s="1633"/>
      <c r="Q1162" s="1633"/>
      <c r="R1162" s="2752"/>
      <c r="S1162" s="2752"/>
    </row>
    <row r="1163" spans="1:19">
      <c r="A1163" s="1633"/>
      <c r="B1163" s="1633"/>
      <c r="C1163" s="1633"/>
      <c r="D1163" s="1633"/>
      <c r="E1163" s="1633"/>
      <c r="F1163" s="1633"/>
      <c r="G1163" s="1633"/>
      <c r="H1163" s="1633"/>
      <c r="I1163" s="1633"/>
      <c r="J1163" s="1633"/>
      <c r="K1163" s="1633"/>
      <c r="L1163" s="1633"/>
      <c r="M1163" s="1633"/>
      <c r="N1163" s="1633"/>
      <c r="P1163" s="1633"/>
      <c r="Q1163" s="1633"/>
      <c r="R1163" s="2752"/>
      <c r="S1163" s="2752"/>
    </row>
    <row r="1164" spans="1:19" ht="18" customHeight="1">
      <c r="A1164" s="2780" t="s">
        <v>567</v>
      </c>
      <c r="J1164" s="1887" t="s">
        <v>4540</v>
      </c>
      <c r="K1164" s="1887"/>
      <c r="L1164" s="1887"/>
      <c r="M1164" s="1887"/>
      <c r="N1164" s="1887"/>
      <c r="O1164" s="1887"/>
      <c r="P1164" s="2781"/>
      <c r="Q1164" s="2781"/>
      <c r="R1164" s="2752"/>
      <c r="S1164" s="2752"/>
    </row>
    <row r="1165" spans="1:19">
      <c r="A1165" s="1889" t="s">
        <v>3451</v>
      </c>
      <c r="H1165" s="1631"/>
      <c r="I1165" s="1631"/>
      <c r="J1165" s="1631"/>
      <c r="K1165" s="1631"/>
      <c r="L1165" s="1631"/>
      <c r="M1165" s="1633"/>
      <c r="N1165" s="1633"/>
    </row>
    <row r="1166" spans="1:19" ht="12.75" customHeight="1">
      <c r="A1166" s="1890" t="s">
        <v>1408</v>
      </c>
      <c r="B1166" s="1890"/>
      <c r="C1166" s="1890"/>
      <c r="D1166" s="1890"/>
      <c r="E1166" s="1890"/>
      <c r="F1166" s="1890"/>
      <c r="G1166" s="1890"/>
      <c r="H1166" s="1890"/>
      <c r="I1166" s="1890"/>
      <c r="J1166" s="1890"/>
      <c r="K1166" s="1890"/>
      <c r="L1166" s="1890"/>
      <c r="M1166" s="1890"/>
      <c r="N1166" s="1890"/>
      <c r="O1166" s="1890"/>
      <c r="P1166" s="1890"/>
      <c r="Q1166" s="1890"/>
      <c r="R1166" s="2727" t="s">
        <v>2031</v>
      </c>
      <c r="S1166" s="2727"/>
    </row>
    <row r="1167" spans="1:19" ht="12.75" customHeight="1">
      <c r="A1167" s="1890" t="s">
        <v>226</v>
      </c>
      <c r="B1167" s="1890"/>
      <c r="C1167" s="1890"/>
      <c r="D1167" s="1890"/>
      <c r="E1167" s="1890"/>
      <c r="F1167" s="1890"/>
      <c r="G1167" s="1890"/>
      <c r="H1167" s="1890"/>
      <c r="I1167" s="1890"/>
      <c r="J1167" s="1890"/>
      <c r="K1167" s="1890"/>
      <c r="L1167" s="1890"/>
      <c r="M1167" s="1890"/>
      <c r="N1167" s="1890"/>
      <c r="O1167" s="1890"/>
      <c r="P1167" s="1890"/>
      <c r="Q1167" s="1890"/>
      <c r="R1167" s="2727"/>
      <c r="S1167" s="2727"/>
    </row>
    <row r="1168" spans="1:19" ht="12.75" customHeight="1">
      <c r="A1168" s="1890" t="s">
        <v>1404</v>
      </c>
      <c r="B1168" s="1890"/>
      <c r="C1168" s="1890"/>
      <c r="D1168" s="1890"/>
      <c r="E1168" s="1890"/>
      <c r="F1168" s="1890"/>
      <c r="G1168" s="1890"/>
      <c r="H1168" s="1890"/>
      <c r="I1168" s="1890"/>
      <c r="J1168" s="1890"/>
      <c r="K1168" s="1890"/>
      <c r="L1168" s="1890"/>
      <c r="M1168" s="1890"/>
      <c r="N1168" s="1890"/>
      <c r="O1168" s="1890"/>
      <c r="P1168" s="1890"/>
      <c r="Q1168" s="1890"/>
      <c r="R1168" s="2727"/>
      <c r="S1168" s="2727"/>
    </row>
    <row r="1169" spans="1:19" ht="12.75" customHeight="1">
      <c r="A1169" s="1890" t="s">
        <v>1405</v>
      </c>
      <c r="B1169" s="1890"/>
      <c r="C1169" s="1890"/>
      <c r="D1169" s="1890"/>
      <c r="E1169" s="1890"/>
      <c r="F1169" s="1890"/>
      <c r="G1169" s="1890"/>
      <c r="H1169" s="1890"/>
      <c r="I1169" s="1890"/>
      <c r="J1169" s="1890"/>
      <c r="K1169" s="1890"/>
      <c r="L1169" s="1890"/>
      <c r="M1169" s="1890"/>
      <c r="N1169" s="1890"/>
      <c r="O1169" s="1890"/>
      <c r="P1169" s="1890"/>
      <c r="Q1169" s="1890"/>
      <c r="R1169" s="2727"/>
      <c r="S1169" s="2727"/>
    </row>
    <row r="1170" spans="1:19" ht="15">
      <c r="A1170" s="1890" t="s">
        <v>1406</v>
      </c>
      <c r="B1170" s="1890"/>
      <c r="C1170" s="1890"/>
      <c r="D1170" s="1890"/>
      <c r="E1170" s="1890"/>
      <c r="F1170" s="1890"/>
      <c r="G1170" s="1890"/>
      <c r="H1170" s="1890"/>
      <c r="I1170" s="1890"/>
      <c r="J1170" s="1890"/>
      <c r="K1170" s="1890"/>
      <c r="L1170" s="1890"/>
      <c r="M1170" s="1890"/>
      <c r="N1170" s="1890"/>
      <c r="O1170" s="1890"/>
      <c r="P1170" s="1890"/>
      <c r="Q1170" s="1890"/>
      <c r="R1170" s="2782"/>
      <c r="S1170" s="2782"/>
    </row>
    <row r="1171" spans="1:19" ht="15">
      <c r="A1171" s="1890" t="s">
        <v>1407</v>
      </c>
      <c r="B1171" s="1890"/>
      <c r="C1171" s="1890"/>
      <c r="D1171" s="1890"/>
      <c r="E1171" s="1890"/>
      <c r="F1171" s="1890"/>
      <c r="G1171" s="1890"/>
      <c r="H1171" s="1890"/>
      <c r="I1171" s="1890"/>
      <c r="J1171" s="1890"/>
      <c r="K1171" s="1890"/>
      <c r="L1171" s="1890"/>
      <c r="M1171" s="1890"/>
      <c r="N1171" s="1890"/>
      <c r="O1171" s="1890"/>
      <c r="P1171" s="1890"/>
      <c r="Q1171" s="1890"/>
      <c r="R1171" s="2782"/>
      <c r="S1171" s="2782"/>
    </row>
    <row r="1172" spans="1:19">
      <c r="A1172" s="1890" t="s">
        <v>1409</v>
      </c>
      <c r="B1172" s="1890"/>
      <c r="C1172" s="1890"/>
      <c r="D1172" s="1890"/>
      <c r="E1172" s="1890"/>
      <c r="F1172" s="1890"/>
      <c r="G1172" s="1890"/>
      <c r="H1172" s="1890"/>
      <c r="I1172" s="1890"/>
      <c r="J1172" s="1890"/>
      <c r="K1172" s="1890"/>
      <c r="L1172" s="1890"/>
      <c r="M1172" s="1890"/>
      <c r="N1172" s="1890"/>
      <c r="O1172" s="1890"/>
      <c r="P1172" s="1890"/>
      <c r="Q1172" s="1890"/>
    </row>
    <row r="1173" spans="1:19" ht="12.75" customHeight="1">
      <c r="A1173" s="1890" t="s">
        <v>2018</v>
      </c>
      <c r="B1173" s="1890"/>
      <c r="C1173" s="1890"/>
      <c r="D1173" s="1890"/>
      <c r="E1173" s="1890"/>
      <c r="F1173" s="1890"/>
      <c r="G1173" s="1890"/>
      <c r="H1173" s="1890"/>
      <c r="I1173" s="1890"/>
      <c r="J1173" s="1890"/>
      <c r="K1173" s="1890"/>
      <c r="L1173" s="1890"/>
      <c r="M1173" s="1890"/>
      <c r="N1173" s="1890"/>
      <c r="O1173" s="1890"/>
      <c r="P1173" s="1890"/>
      <c r="Q1173" s="1890"/>
      <c r="R1173" s="2727" t="s">
        <v>2031</v>
      </c>
      <c r="S1173" s="2727"/>
    </row>
    <row r="1174" spans="1:19" ht="12.75" customHeight="1">
      <c r="A1174" s="1890" t="s">
        <v>2019</v>
      </c>
      <c r="B1174" s="1890"/>
      <c r="C1174" s="1890"/>
      <c r="D1174" s="1890"/>
      <c r="E1174" s="1890"/>
      <c r="F1174" s="1890"/>
      <c r="G1174" s="1890"/>
      <c r="H1174" s="1890"/>
      <c r="I1174" s="1890"/>
      <c r="J1174" s="1890"/>
      <c r="K1174" s="1890"/>
      <c r="L1174" s="1890"/>
      <c r="M1174" s="1890"/>
      <c r="N1174" s="1890"/>
      <c r="O1174" s="1890"/>
      <c r="P1174" s="1890"/>
      <c r="Q1174" s="1890"/>
      <c r="R1174" s="2727"/>
      <c r="S1174" s="2727"/>
    </row>
    <row r="1175" spans="1:19" ht="12.75" customHeight="1">
      <c r="A1175" s="1890" t="s">
        <v>2020</v>
      </c>
      <c r="B1175" s="1890"/>
      <c r="C1175" s="1890"/>
      <c r="D1175" s="1890"/>
      <c r="E1175" s="1890"/>
      <c r="F1175" s="1890"/>
      <c r="G1175" s="1890"/>
      <c r="H1175" s="1890"/>
      <c r="I1175" s="1890"/>
      <c r="J1175" s="1890"/>
      <c r="K1175" s="1890"/>
      <c r="L1175" s="1890"/>
      <c r="M1175" s="1890"/>
      <c r="N1175" s="1890"/>
      <c r="O1175" s="1890"/>
      <c r="P1175" s="1890"/>
      <c r="Q1175" s="1890"/>
      <c r="R1175" s="2727"/>
      <c r="S1175" s="2727"/>
    </row>
    <row r="1176" spans="1:19" ht="12.75" customHeight="1">
      <c r="A1176" s="1890" t="s">
        <v>2021</v>
      </c>
      <c r="B1176" s="1890"/>
      <c r="C1176" s="1890"/>
      <c r="D1176" s="1890"/>
      <c r="E1176" s="1890"/>
      <c r="F1176" s="1890"/>
      <c r="G1176" s="1890"/>
      <c r="H1176" s="1890"/>
      <c r="I1176" s="1890"/>
      <c r="J1176" s="1890"/>
      <c r="K1176" s="1890"/>
      <c r="L1176" s="1890"/>
      <c r="M1176" s="1890"/>
      <c r="N1176" s="1890"/>
      <c r="O1176" s="1890"/>
      <c r="P1176" s="1890"/>
      <c r="Q1176" s="1890"/>
      <c r="R1176" s="2727"/>
      <c r="S1176" s="2727"/>
    </row>
    <row r="1177" spans="1:19" ht="12.75" customHeight="1">
      <c r="A1177" s="1890" t="s">
        <v>2022</v>
      </c>
      <c r="B1177" s="1890"/>
      <c r="C1177" s="1890"/>
      <c r="D1177" s="1890"/>
      <c r="E1177" s="1890"/>
      <c r="F1177" s="1890"/>
      <c r="G1177" s="1890"/>
      <c r="H1177" s="1890"/>
      <c r="I1177" s="1890"/>
      <c r="J1177" s="1890"/>
      <c r="K1177" s="1890"/>
      <c r="L1177" s="1890"/>
      <c r="M1177" s="1890"/>
      <c r="N1177" s="1890"/>
      <c r="O1177" s="1890"/>
      <c r="P1177" s="1890"/>
      <c r="Q1177" s="1890"/>
      <c r="R1177" s="2727"/>
      <c r="S1177" s="2727"/>
    </row>
    <row r="1178" spans="1:19" ht="12.75" customHeight="1">
      <c r="A1178" s="1890" t="s">
        <v>2023</v>
      </c>
      <c r="B1178" s="1890"/>
      <c r="C1178" s="1890"/>
      <c r="D1178" s="1890"/>
      <c r="E1178" s="1890"/>
      <c r="F1178" s="1890"/>
      <c r="G1178" s="1890"/>
      <c r="H1178" s="1890"/>
      <c r="I1178" s="1890"/>
      <c r="J1178" s="1890"/>
      <c r="K1178" s="1890"/>
      <c r="L1178" s="1890"/>
      <c r="M1178" s="1890"/>
      <c r="N1178" s="1890"/>
      <c r="O1178" s="1890"/>
      <c r="P1178" s="1890"/>
      <c r="Q1178" s="1890"/>
      <c r="R1178" s="2727"/>
      <c r="S1178" s="2727"/>
    </row>
    <row r="1179" spans="1:19">
      <c r="A1179" s="1890" t="s">
        <v>2024</v>
      </c>
      <c r="B1179" s="1890"/>
      <c r="C1179" s="1890"/>
      <c r="D1179" s="1890"/>
      <c r="E1179" s="1890"/>
      <c r="F1179" s="1890"/>
      <c r="G1179" s="1890"/>
      <c r="H1179" s="1890"/>
      <c r="I1179" s="1890"/>
      <c r="J1179" s="1890"/>
      <c r="K1179" s="1890"/>
      <c r="L1179" s="1890"/>
      <c r="M1179" s="1890"/>
      <c r="N1179" s="1890"/>
      <c r="O1179" s="1890"/>
      <c r="P1179" s="1890"/>
      <c r="Q1179" s="1890"/>
    </row>
    <row r="1180" spans="1:19" ht="12.75" customHeight="1">
      <c r="A1180" s="1890" t="s">
        <v>2025</v>
      </c>
      <c r="B1180" s="1890"/>
      <c r="C1180" s="1890"/>
      <c r="D1180" s="1890"/>
      <c r="E1180" s="1890"/>
      <c r="F1180" s="1890"/>
      <c r="G1180" s="1890"/>
      <c r="H1180" s="1890"/>
      <c r="I1180" s="1890"/>
      <c r="J1180" s="1890"/>
      <c r="K1180" s="1890"/>
      <c r="L1180" s="1890"/>
      <c r="M1180" s="1890"/>
      <c r="N1180" s="1890"/>
      <c r="O1180" s="1890"/>
      <c r="P1180" s="1890"/>
      <c r="Q1180" s="1890"/>
      <c r="R1180" s="2727" t="s">
        <v>2031</v>
      </c>
      <c r="S1180" s="2727"/>
    </row>
    <row r="1181" spans="1:19" ht="12.75" customHeight="1">
      <c r="A1181" s="1890" t="s">
        <v>2026</v>
      </c>
      <c r="B1181" s="1890"/>
      <c r="C1181" s="1890"/>
      <c r="D1181" s="1890"/>
      <c r="E1181" s="1890"/>
      <c r="F1181" s="1890"/>
      <c r="G1181" s="1890"/>
      <c r="H1181" s="1890"/>
      <c r="I1181" s="1890"/>
      <c r="J1181" s="1890"/>
      <c r="K1181" s="1890"/>
      <c r="L1181" s="1890"/>
      <c r="M1181" s="1890"/>
      <c r="N1181" s="1890"/>
      <c r="O1181" s="1890"/>
      <c r="P1181" s="1890"/>
      <c r="Q1181" s="1890"/>
      <c r="R1181" s="2727"/>
      <c r="S1181" s="2727"/>
    </row>
    <row r="1182" spans="1:19" ht="12.75" customHeight="1">
      <c r="A1182" s="1890" t="s">
        <v>2027</v>
      </c>
      <c r="B1182" s="1890"/>
      <c r="C1182" s="1890"/>
      <c r="D1182" s="1890"/>
      <c r="E1182" s="1890"/>
      <c r="F1182" s="1890"/>
      <c r="G1182" s="1890"/>
      <c r="H1182" s="1890"/>
      <c r="I1182" s="1890"/>
      <c r="J1182" s="1890"/>
      <c r="K1182" s="1890"/>
      <c r="L1182" s="1890"/>
      <c r="M1182" s="1890"/>
      <c r="N1182" s="1890"/>
      <c r="O1182" s="1890"/>
      <c r="P1182" s="1890"/>
      <c r="Q1182" s="1890"/>
      <c r="R1182" s="2727"/>
      <c r="S1182" s="2727"/>
    </row>
    <row r="1183" spans="1:19" ht="12.75" customHeight="1">
      <c r="A1183" s="1890" t="s">
        <v>2028</v>
      </c>
      <c r="B1183" s="1890"/>
      <c r="C1183" s="1890"/>
      <c r="D1183" s="1890"/>
      <c r="E1183" s="1890"/>
      <c r="F1183" s="1890"/>
      <c r="G1183" s="1890"/>
      <c r="H1183" s="1890"/>
      <c r="I1183" s="1890"/>
      <c r="J1183" s="1890"/>
      <c r="K1183" s="1890"/>
      <c r="L1183" s="1890"/>
      <c r="M1183" s="1890"/>
      <c r="N1183" s="1890"/>
      <c r="O1183" s="1890"/>
      <c r="P1183" s="1890"/>
      <c r="Q1183" s="1890"/>
      <c r="R1183" s="2727"/>
      <c r="S1183" s="2727"/>
    </row>
    <row r="1184" spans="1:19" ht="12.75" customHeight="1">
      <c r="A1184" s="1890" t="s">
        <v>2029</v>
      </c>
      <c r="B1184" s="1890"/>
      <c r="C1184" s="1890"/>
      <c r="D1184" s="1890"/>
      <c r="E1184" s="1890"/>
      <c r="F1184" s="1890"/>
      <c r="G1184" s="1890"/>
      <c r="H1184" s="1890"/>
      <c r="I1184" s="1890"/>
      <c r="J1184" s="1890"/>
      <c r="K1184" s="1890"/>
      <c r="L1184" s="1890"/>
      <c r="M1184" s="1890"/>
      <c r="N1184" s="1890"/>
      <c r="O1184" s="1890"/>
      <c r="P1184" s="1890"/>
      <c r="Q1184" s="1890"/>
      <c r="R1184" s="2727"/>
      <c r="S1184" s="2727"/>
    </row>
    <row r="1185" spans="1:22" ht="12.75" customHeight="1">
      <c r="A1185" s="1890" t="s">
        <v>2030</v>
      </c>
      <c r="B1185" s="1890"/>
      <c r="C1185" s="1890"/>
      <c r="D1185" s="1890"/>
      <c r="E1185" s="1890"/>
      <c r="F1185" s="1890"/>
      <c r="G1185" s="1890"/>
      <c r="H1185" s="1890"/>
      <c r="I1185" s="1890"/>
      <c r="J1185" s="1890"/>
      <c r="K1185" s="1890"/>
      <c r="L1185" s="1890"/>
      <c r="M1185" s="1890"/>
      <c r="N1185" s="1890"/>
      <c r="O1185" s="1890"/>
      <c r="P1185" s="1890"/>
      <c r="Q1185" s="1890"/>
      <c r="R1185" s="2727"/>
      <c r="S1185" s="2727"/>
    </row>
    <row r="1187" spans="1:22">
      <c r="A1187" s="2783" t="s">
        <v>616</v>
      </c>
      <c r="B1187" s="1913" t="s">
        <v>2651</v>
      </c>
      <c r="C1187" s="1921"/>
      <c r="D1187" s="521"/>
      <c r="E1187" s="521"/>
      <c r="F1187" s="521"/>
      <c r="G1187" s="521"/>
      <c r="I1187" s="1895"/>
      <c r="J1187" s="1895"/>
      <c r="K1187" s="1895"/>
      <c r="L1187" s="1633"/>
      <c r="M1187" s="1633"/>
      <c r="O1187" s="2784" t="s">
        <v>1867</v>
      </c>
      <c r="P1187" s="1634"/>
      <c r="Q1187" s="1634"/>
    </row>
    <row r="1189" spans="1:22" ht="20.25">
      <c r="B1189" s="1866" t="s">
        <v>3756</v>
      </c>
      <c r="C1189" s="1866"/>
      <c r="D1189" s="1866"/>
      <c r="E1189" s="1866"/>
      <c r="F1189" s="1866"/>
      <c r="G1189" s="1895"/>
      <c r="H1189" s="1895"/>
      <c r="I1189" s="1895"/>
      <c r="J1189" s="1895"/>
      <c r="K1189" s="1633"/>
      <c r="L1189" s="1633"/>
      <c r="M1189" s="1633"/>
      <c r="N1189" s="1633"/>
      <c r="O1189" s="1633"/>
      <c r="P1189" s="1633"/>
      <c r="S1189" s="2785"/>
      <c r="T1189" s="2785"/>
    </row>
    <row r="1190" spans="1:22" ht="180">
      <c r="A1190" s="1900" t="str">
        <f>'Part VIII-Threshold Criteria'!A32</f>
        <v>The financial aspects of this application have been completed and filed in accordance and compliance with the 2019 Qualified Allocation Plan.</v>
      </c>
      <c r="B1190" s="1900"/>
      <c r="C1190" s="1900"/>
      <c r="D1190" s="1900"/>
      <c r="E1190" s="1900"/>
      <c r="F1190" s="1900"/>
      <c r="G1190" s="1900"/>
      <c r="H1190" s="1900"/>
      <c r="I1190" s="1900"/>
      <c r="J1190" s="1900"/>
      <c r="K1190" s="1900"/>
      <c r="L1190" s="1900"/>
      <c r="M1190" s="1900"/>
      <c r="N1190" s="1900"/>
      <c r="O1190" s="1900"/>
      <c r="P1190" s="1900"/>
      <c r="Q1190" s="1900"/>
      <c r="R1190" s="2786" t="s">
        <v>1254</v>
      </c>
      <c r="S1190" s="2786"/>
      <c r="T1190" s="2785"/>
      <c r="U1190" s="1634"/>
      <c r="V1190" s="1634"/>
    </row>
    <row r="1191" spans="1:22">
      <c r="B1191" s="1897" t="s">
        <v>1866</v>
      </c>
      <c r="C1191" s="1898"/>
      <c r="D1191" s="1899"/>
      <c r="E1191" s="1899"/>
      <c r="F1191" s="1899"/>
      <c r="G1191" s="1899"/>
      <c r="H1191" s="1899"/>
      <c r="I1191" s="1899"/>
      <c r="J1191" s="1899"/>
      <c r="K1191" s="1899"/>
      <c r="L1191" s="1899"/>
      <c r="M1191" s="1899"/>
      <c r="N1191" s="1899"/>
      <c r="O1191" s="1899"/>
      <c r="P1191" s="1899"/>
    </row>
    <row r="1192" spans="1:22" ht="15">
      <c r="A1192" s="1900">
        <f>'Part VIII-Threshold Criteria'!A34</f>
        <v>0</v>
      </c>
      <c r="B1192" s="1900"/>
      <c r="C1192" s="1900"/>
      <c r="D1192" s="1900"/>
      <c r="E1192" s="1900"/>
      <c r="F1192" s="1900"/>
      <c r="G1192" s="1900"/>
      <c r="H1192" s="1900"/>
      <c r="I1192" s="1900"/>
      <c r="J1192" s="1900"/>
      <c r="K1192" s="1900"/>
      <c r="L1192" s="1900"/>
      <c r="M1192" s="1900"/>
      <c r="N1192" s="1900"/>
      <c r="O1192" s="1900"/>
      <c r="P1192" s="1900"/>
      <c r="Q1192" s="1900"/>
      <c r="R1192" s="2786" t="s">
        <v>1254</v>
      </c>
      <c r="S1192" s="2786"/>
    </row>
    <row r="1193" spans="1:22">
      <c r="B1193" s="1895"/>
      <c r="C1193" s="1899"/>
      <c r="D1193" s="1899"/>
      <c r="E1193" s="1899"/>
      <c r="F1193" s="1899"/>
      <c r="G1193" s="1899"/>
      <c r="H1193" s="1899"/>
      <c r="I1193" s="1899"/>
      <c r="J1193" s="1899"/>
      <c r="K1193" s="1899"/>
      <c r="L1193" s="1899"/>
      <c r="M1193" s="1899"/>
      <c r="N1193" s="1899"/>
      <c r="O1193" s="1899"/>
      <c r="P1193" s="1899"/>
      <c r="Q1193" s="1633"/>
    </row>
    <row r="1194" spans="1:22">
      <c r="A1194" s="1947" t="s">
        <v>740</v>
      </c>
      <c r="B1194" s="1631" t="s">
        <v>2711</v>
      </c>
      <c r="C1194" s="1631"/>
      <c r="D1194" s="1631"/>
      <c r="E1194" s="1899"/>
      <c r="G1194" s="1634"/>
      <c r="H1194" s="1634"/>
      <c r="I1194" s="1634"/>
      <c r="J1194" s="1631"/>
      <c r="L1194" s="2776"/>
      <c r="M1194" s="2776"/>
      <c r="N1194" s="2776"/>
      <c r="O1194" s="2784" t="s">
        <v>1867</v>
      </c>
      <c r="P1194" s="1634"/>
      <c r="Q1194" s="1634"/>
    </row>
    <row r="1195" spans="1:22">
      <c r="A1195" s="1902"/>
      <c r="B1195" s="1902"/>
      <c r="C1195" s="1902"/>
      <c r="D1195" s="1902"/>
      <c r="E1195" s="1902"/>
      <c r="F1195" s="1902"/>
      <c r="G1195" s="1652" t="s">
        <v>2715</v>
      </c>
      <c r="H1195" s="1652"/>
      <c r="I1195" s="521"/>
      <c r="J1195" s="1631"/>
      <c r="K1195" s="521" t="s">
        <v>3635</v>
      </c>
      <c r="L1195" s="521"/>
      <c r="M1195" s="521"/>
      <c r="N1195" s="521"/>
    </row>
    <row r="1196" spans="1:22" ht="13.5">
      <c r="A1196" s="1902"/>
      <c r="B1196" s="1902"/>
      <c r="C1196" s="1902"/>
      <c r="D1196" s="1902"/>
      <c r="E1196" s="1902"/>
      <c r="F1196" s="1902"/>
      <c r="G1196" s="1652" t="s">
        <v>346</v>
      </c>
      <c r="H1196" s="1652"/>
      <c r="I1196" s="521"/>
      <c r="J1196" s="1631"/>
      <c r="K1196" s="521" t="s">
        <v>3636</v>
      </c>
      <c r="L1196" s="521"/>
      <c r="M1196" s="521"/>
      <c r="N1196" s="521"/>
      <c r="P1196" s="1753" t="s">
        <v>2735</v>
      </c>
      <c r="Q1196" s="1895" t="str">
        <f>'Part VIII-Threshold Criteria'!Q38</f>
        <v>Yes</v>
      </c>
    </row>
    <row r="1197" spans="1:22">
      <c r="A1197" s="1902"/>
      <c r="B1197" s="1902"/>
      <c r="C1197" s="1902"/>
      <c r="D1197" s="1902"/>
      <c r="E1197" s="1902"/>
      <c r="F1197" s="1902"/>
      <c r="G1197" s="521"/>
      <c r="H1197" s="521"/>
      <c r="I1197" s="521"/>
      <c r="J1197" s="1631"/>
      <c r="K1197" s="521"/>
      <c r="L1197" s="521"/>
      <c r="M1197" s="521"/>
      <c r="N1197" s="521"/>
    </row>
    <row r="1198" spans="1:22" ht="13.5" customHeight="1">
      <c r="D1198" s="1903" t="s">
        <v>2714</v>
      </c>
      <c r="F1198" s="1904" t="s">
        <v>3453</v>
      </c>
      <c r="G1198" s="1904" t="s">
        <v>5046</v>
      </c>
      <c r="H1198" s="1904"/>
      <c r="I1198" s="1904"/>
      <c r="K1198" s="1904" t="s">
        <v>3453</v>
      </c>
      <c r="L1198" s="1904" t="s">
        <v>5045</v>
      </c>
      <c r="M1198" s="1904"/>
      <c r="N1198" s="1904"/>
      <c r="R1198" s="1632"/>
      <c r="V1198" s="1631"/>
    </row>
    <row r="1199" spans="1:22" ht="12.75" customHeight="1">
      <c r="A1199" s="1890" t="s">
        <v>3358</v>
      </c>
      <c r="B1199" s="1890"/>
      <c r="C1199" s="1890"/>
      <c r="D1199" s="1906" t="s">
        <v>568</v>
      </c>
      <c r="E1199" s="1895">
        <v>0</v>
      </c>
      <c r="F1199" s="1907" t="str">
        <f>IF('Part VI-Revenues &amp; Expenses'!$J$135 =0,"",'Part VI-Revenues &amp; Expenses'!$J$135)</f>
        <v/>
      </c>
      <c r="G1199" s="1908">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41" t="str">
        <f>CONCATENATE("x ", F1199," units = ")</f>
        <v xml:space="preserve">x  units = </v>
      </c>
      <c r="I1199" s="1909" t="str">
        <f>IF(F1199="","",F1199*G1199)</f>
        <v/>
      </c>
      <c r="J1199" s="1631"/>
      <c r="K1199" s="1907" t="str">
        <f>IF('Part VI-Revenues &amp; Expenses'!$J$136 =0,"",'Part VI-Revenues &amp; Expenses'!$J$136)</f>
        <v/>
      </c>
      <c r="L1199" s="1908">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41" t="str">
        <f>CONCATENATE("x ", K1199," units = ")</f>
        <v xml:space="preserve">x  units = </v>
      </c>
      <c r="N1199" s="1909" t="str">
        <f>IF(K1199="","",K1199*L1199)</f>
        <v/>
      </c>
      <c r="O1199" s="1899"/>
      <c r="P1199" s="1810" t="s">
        <v>3894</v>
      </c>
      <c r="Q1199" s="1810"/>
      <c r="R1199" s="1632"/>
      <c r="V1199" s="1631"/>
    </row>
    <row r="1200" spans="1:22" ht="12.75" customHeight="1">
      <c r="A1200" s="1890"/>
      <c r="B1200" s="1890"/>
      <c r="C1200" s="1890"/>
      <c r="D1200" s="1906" t="s">
        <v>2440</v>
      </c>
      <c r="E1200" s="1895">
        <v>1</v>
      </c>
      <c r="F1200" s="1907" t="str">
        <f>IF('Part VI-Revenues &amp; Expenses'!$K$135 =0,"",'Part VI-Revenues &amp; Expenses'!$K$135)</f>
        <v/>
      </c>
      <c r="G1200" s="1908">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41" t="str">
        <f>CONCATENATE("x ", F1200," units = ")</f>
        <v xml:space="preserve">x  units = </v>
      </c>
      <c r="I1200" s="1909" t="str">
        <f>IF(F1200="","",F1200*G1200)</f>
        <v/>
      </c>
      <c r="J1200" s="1631"/>
      <c r="K1200" s="1907" t="str">
        <f>IF('Part VI-Revenues &amp; Expenses'!$K$136 =0,"",'Part VI-Revenues &amp; Expenses'!$K$136)</f>
        <v/>
      </c>
      <c r="L1200" s="1908">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41" t="str">
        <f>CONCATENATE("x ", K1200," units = ")</f>
        <v xml:space="preserve">x  units = </v>
      </c>
      <c r="N1200" s="1909" t="str">
        <f>IF(K1200="","",K1200*L1200)</f>
        <v/>
      </c>
      <c r="O1200" s="1899"/>
      <c r="P1200" s="2752" t="str">
        <f>IF('Part I-Project Information'!$F$38="","",VLOOKUP('Part I-Project Information'!$J$39,'DCA Underwriting Assumptions'!$G$158:$N$317,8,FALSE))</f>
        <v>Atlanta</v>
      </c>
      <c r="Q1200" s="2752"/>
      <c r="R1200" s="1632"/>
    </row>
    <row r="1201" spans="1:22">
      <c r="A1201" s="1890"/>
      <c r="B1201" s="1890"/>
      <c r="C1201" s="1890"/>
      <c r="D1201" s="1906" t="s">
        <v>2441</v>
      </c>
      <c r="E1201" s="1895">
        <v>2</v>
      </c>
      <c r="F1201" s="1907" t="str">
        <f>IF('Part VI-Revenues &amp; Expenses'!$L$135 =0,"",'Part VI-Revenues &amp; Expenses'!$L$135)</f>
        <v/>
      </c>
      <c r="G1201" s="1908">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41" t="str">
        <f>CONCATENATE("x ", F1201," units = ")</f>
        <v xml:space="preserve">x  units = </v>
      </c>
      <c r="I1201" s="1909" t="str">
        <f t="shared" ref="I1201:I1203" si="371">IF(F1201="","",F1201*G1201)</f>
        <v/>
      </c>
      <c r="J1201" s="1631"/>
      <c r="K1201" s="1907" t="str">
        <f>IF('Part VI-Revenues &amp; Expenses'!$L$136 =0,"",'Part VI-Revenues &amp; Expenses'!$L$136)</f>
        <v/>
      </c>
      <c r="L1201" s="1908">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41" t="str">
        <f>CONCATENATE("x ", K1201," units = ")</f>
        <v xml:space="preserve">x  units = </v>
      </c>
      <c r="N1201" s="1909" t="str">
        <f t="shared" ref="N1201:N1203" si="372">IF(K1201="","",K1201*L1201)</f>
        <v/>
      </c>
      <c r="O1201" s="1899"/>
      <c r="P1201" s="2752"/>
      <c r="Q1201" s="2752"/>
    </row>
    <row r="1202" spans="1:22" ht="12.75" customHeight="1">
      <c r="A1202" s="1890"/>
      <c r="B1202" s="1890"/>
      <c r="C1202" s="1890"/>
      <c r="D1202" s="1906" t="s">
        <v>2442</v>
      </c>
      <c r="E1202" s="1895">
        <v>3</v>
      </c>
      <c r="F1202" s="1907" t="str">
        <f>IF('Part VI-Revenues &amp; Expenses'!$M$135 =0,"",'Part VI-Revenues &amp; Expenses'!$M$135)</f>
        <v/>
      </c>
      <c r="G1202" s="1908">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41" t="str">
        <f>CONCATENATE("x ", F1202," units = ")</f>
        <v xml:space="preserve">x  units = </v>
      </c>
      <c r="I1202" s="1909" t="str">
        <f t="shared" si="371"/>
        <v/>
      </c>
      <c r="J1202" s="1631"/>
      <c r="K1202" s="1907" t="str">
        <f>IF('Part VI-Revenues &amp; Expenses'!$M$136 =0,"",'Part VI-Revenues &amp; Expenses'!$M$136)</f>
        <v/>
      </c>
      <c r="L1202" s="1908">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41" t="str">
        <f>CONCATENATE("x ", K1202," units = ")</f>
        <v xml:space="preserve">x  units = </v>
      </c>
      <c r="N1202" s="1909" t="str">
        <f t="shared" si="372"/>
        <v/>
      </c>
      <c r="O1202" s="1899"/>
      <c r="P1202" s="1867" t="s">
        <v>5044</v>
      </c>
      <c r="Q1202" s="1867"/>
    </row>
    <row r="1203" spans="1:22">
      <c r="C1203" s="1631"/>
      <c r="D1203" s="1906" t="s">
        <v>2443</v>
      </c>
      <c r="E1203" s="1895">
        <v>4</v>
      </c>
      <c r="F1203" s="1907" t="str">
        <f>IF('Part VI-Revenues &amp; Expenses'!$N$135 =0,"",'Part VI-Revenues &amp; Expenses'!$N$135)</f>
        <v/>
      </c>
      <c r="G1203" s="1908">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41" t="str">
        <f>CONCATENATE("x ", F1203," units = ")</f>
        <v xml:space="preserve">x  units = </v>
      </c>
      <c r="I1203" s="1909" t="str">
        <f t="shared" si="371"/>
        <v/>
      </c>
      <c r="J1203" s="1631"/>
      <c r="K1203" s="1907" t="str">
        <f>IF('Part VI-Revenues &amp; Expenses'!$N$136 =0,"",'Part VI-Revenues &amp; Expenses'!$N$136)</f>
        <v/>
      </c>
      <c r="L1203" s="1908">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41" t="str">
        <f>CONCATENATE("x ", K1203," units = ")</f>
        <v xml:space="preserve">x  units = </v>
      </c>
      <c r="N1203" s="1909" t="str">
        <f t="shared" si="372"/>
        <v/>
      </c>
      <c r="O1203" s="1899"/>
      <c r="P1203" s="2787">
        <f>'Part IV-A-Uses of Funds'!$G$132</f>
        <v>18093801</v>
      </c>
      <c r="Q1203" s="2787"/>
    </row>
    <row r="1204" spans="1:22">
      <c r="C1204" s="1631"/>
      <c r="D1204" s="1912" t="s">
        <v>3368</v>
      </c>
      <c r="E1204" s="1913"/>
      <c r="F1204" s="1914">
        <f>SUM(F1199:F1203)</f>
        <v>0</v>
      </c>
      <c r="G1204" s="2788"/>
      <c r="H1204" s="1916"/>
      <c r="I1204" s="1917">
        <f>SUM(I1199:I1203)</f>
        <v>0</v>
      </c>
      <c r="J1204" s="1918"/>
      <c r="K1204" s="1914">
        <f>SUM(K1199:K1203)</f>
        <v>0</v>
      </c>
      <c r="L1204" s="1918"/>
      <c r="M1204" s="1916"/>
      <c r="N1204" s="1917">
        <f>SUM(N1199:N1203)</f>
        <v>0</v>
      </c>
      <c r="O1204" s="1899"/>
      <c r="P1204" s="2787"/>
      <c r="Q1204" s="2787"/>
    </row>
    <row r="1205" spans="1:22">
      <c r="C1205" s="1631"/>
      <c r="D1205" s="2085"/>
      <c r="E1205" s="2085"/>
      <c r="F1205" s="1920"/>
      <c r="G1205" s="1921"/>
      <c r="I1205" s="1920"/>
      <c r="K1205" s="1920"/>
      <c r="M1205" s="1899"/>
      <c r="N1205" s="1920"/>
      <c r="O1205" s="1899"/>
      <c r="R1205" s="1632"/>
    </row>
    <row r="1206" spans="1:22" ht="12.75" customHeight="1">
      <c r="A1206" s="1890" t="s">
        <v>3353</v>
      </c>
      <c r="B1206" s="1890"/>
      <c r="C1206" s="1890"/>
      <c r="D1206" s="1906" t="s">
        <v>568</v>
      </c>
      <c r="E1206" s="1907">
        <v>0</v>
      </c>
      <c r="F1206" s="1907" t="str">
        <f>IF('Part VI-Revenues &amp; Expenses'!$J$137 =0,"",'Part VI-Revenues &amp; Expenses'!$J$137)</f>
        <v/>
      </c>
      <c r="G1206" s="1908"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41" t="str">
        <f>CONCATENATE("x ", F1206," units = ")</f>
        <v xml:space="preserve">x  units = </v>
      </c>
      <c r="I1206" s="1909" t="str">
        <f>IF(F1206="","",F1206*G1206)</f>
        <v/>
      </c>
      <c r="J1206" s="1631"/>
      <c r="K1206" s="1907" t="str">
        <f>IF('Part VI-Revenues &amp; Expenses'!$J$138 =0,"",'Part VI-Revenues &amp; Expenses'!$J$138)</f>
        <v/>
      </c>
      <c r="L1206" s="1908"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41" t="str">
        <f>CONCATENATE("x ", K1206," units = ")</f>
        <v xml:space="preserve">x  units = </v>
      </c>
      <c r="N1206" s="1909" t="str">
        <f>IF(K1206="","",K1206*L1206)</f>
        <v/>
      </c>
      <c r="P1206" s="2787"/>
      <c r="Q1206" s="2787"/>
      <c r="S1206" s="2019" t="s">
        <v>5166</v>
      </c>
      <c r="T1206" s="2019"/>
      <c r="U1206" s="2019"/>
      <c r="V1206" s="2019"/>
    </row>
    <row r="1207" spans="1:22" ht="12.75" customHeight="1">
      <c r="A1207" s="1890"/>
      <c r="B1207" s="1890"/>
      <c r="C1207" s="1890"/>
      <c r="D1207" s="1906" t="s">
        <v>2440</v>
      </c>
      <c r="E1207" s="1895">
        <v>1</v>
      </c>
      <c r="F1207" s="1907" t="str">
        <f>IF('Part VI-Revenues &amp; Expenses'!$K$137 =0,"",'Part VI-Revenues &amp; Expenses'!$K$137)</f>
        <v/>
      </c>
      <c r="G1207" s="1908"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41" t="str">
        <f>CONCATENATE("x ", F1207," units = ")</f>
        <v xml:space="preserve">x  units = </v>
      </c>
      <c r="I1207" s="1909" t="str">
        <f>IF(F1207="","",F1207*G1207)</f>
        <v/>
      </c>
      <c r="J1207" s="1631"/>
      <c r="K1207" s="1907" t="str">
        <f>IF('Part VI-Revenues &amp; Expenses'!$K$138 =0,"",'Part VI-Revenues &amp; Expenses'!$K$138)</f>
        <v/>
      </c>
      <c r="L1207" s="1908"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41" t="str">
        <f>CONCATENATE("x ", K1207," units = ")</f>
        <v xml:space="preserve">x  units = </v>
      </c>
      <c r="N1207" s="1909" t="str">
        <f>IF(K1207="","",K1207*L1207)</f>
        <v/>
      </c>
      <c r="P1207" s="1785" t="s">
        <v>4091</v>
      </c>
      <c r="Q1207" s="1785"/>
      <c r="S1207" s="2019"/>
      <c r="T1207" s="2019"/>
      <c r="U1207" s="2019"/>
      <c r="V1207" s="2019"/>
    </row>
    <row r="1208" spans="1:22" ht="12.75" customHeight="1">
      <c r="A1208" s="1890"/>
      <c r="B1208" s="1890"/>
      <c r="C1208" s="1890"/>
      <c r="D1208" s="1906" t="s">
        <v>2441</v>
      </c>
      <c r="E1208" s="1895">
        <v>2</v>
      </c>
      <c r="F1208" s="1907" t="str">
        <f>IF('Part VI-Revenues &amp; Expenses'!$L$137 =0,"",'Part VI-Revenues &amp; Expenses'!$L$137)</f>
        <v/>
      </c>
      <c r="G1208" s="1908"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41" t="str">
        <f>CONCATENATE("x ", F1208," units = ")</f>
        <v xml:space="preserve">x  units = </v>
      </c>
      <c r="I1208" s="1909" t="str">
        <f t="shared" ref="I1208:I1210" si="373">IF(F1208="","",F1208*G1208)</f>
        <v/>
      </c>
      <c r="J1208" s="1631"/>
      <c r="K1208" s="1907" t="str">
        <f>IF('Part VI-Revenues &amp; Expenses'!$L$138 =0,"",'Part VI-Revenues &amp; Expenses'!$L$138)</f>
        <v/>
      </c>
      <c r="L1208" s="1908"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41" t="str">
        <f>CONCATENATE("x ", K1208," units = ")</f>
        <v xml:space="preserve">x  units = </v>
      </c>
      <c r="N1208" s="1909" t="str">
        <f t="shared" ref="N1208:N1210" si="374">IF(K1208="","",K1208*L1208)</f>
        <v/>
      </c>
      <c r="O1208" s="1923"/>
      <c r="P1208" s="2789"/>
      <c r="Q1208" s="2789"/>
      <c r="R1208" s="1632"/>
      <c r="S1208" s="2019"/>
      <c r="T1208" s="2019"/>
      <c r="U1208" s="2019"/>
      <c r="V1208" s="2019"/>
    </row>
    <row r="1209" spans="1:22" ht="12.75" customHeight="1">
      <c r="C1209" s="1631"/>
      <c r="D1209" s="1906" t="s">
        <v>2442</v>
      </c>
      <c r="E1209" s="1895">
        <v>3</v>
      </c>
      <c r="F1209" s="1907" t="str">
        <f>IF('Part VI-Revenues &amp; Expenses'!$M$137 =0,"",'Part VI-Revenues &amp; Expenses'!$M$137)</f>
        <v/>
      </c>
      <c r="G1209" s="1908"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41" t="str">
        <f>CONCATENATE("x ", F1209," units = ")</f>
        <v xml:space="preserve">x  units = </v>
      </c>
      <c r="I1209" s="1909" t="str">
        <f t="shared" si="373"/>
        <v/>
      </c>
      <c r="J1209" s="1631"/>
      <c r="K1209" s="1907" t="str">
        <f>IF('Part VI-Revenues &amp; Expenses'!$M$138 =0,"",'Part VI-Revenues &amp; Expenses'!$M$138)</f>
        <v/>
      </c>
      <c r="L1209" s="1908"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41" t="str">
        <f>CONCATENATE("x ", K1209," units = ")</f>
        <v xml:space="preserve">x  units = </v>
      </c>
      <c r="N1209" s="1909" t="str">
        <f t="shared" si="374"/>
        <v/>
      </c>
      <c r="O1209" s="1923"/>
      <c r="P1209" s="2789"/>
      <c r="Q1209" s="2789"/>
      <c r="S1209" s="2019"/>
      <c r="T1209" s="2019"/>
      <c r="U1209" s="2019"/>
      <c r="V1209" s="2019"/>
    </row>
    <row r="1210" spans="1:22" ht="12.75" customHeight="1">
      <c r="C1210" s="1631"/>
      <c r="D1210" s="1906" t="s">
        <v>2443</v>
      </c>
      <c r="E1210" s="1895">
        <v>4</v>
      </c>
      <c r="F1210" s="1907" t="str">
        <f>IF('Part VI-Revenues &amp; Expenses'!$N$137 =0,"",'Part VI-Revenues &amp; Expenses'!$N$137)</f>
        <v/>
      </c>
      <c r="G1210" s="1908"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41" t="str">
        <f>CONCATENATE("x ", F1210," units = ")</f>
        <v xml:space="preserve">x  units = </v>
      </c>
      <c r="I1210" s="1909" t="str">
        <f t="shared" si="373"/>
        <v/>
      </c>
      <c r="J1210" s="1631"/>
      <c r="K1210" s="1907" t="str">
        <f>IF('Part VI-Revenues &amp; Expenses'!$N$138 =0,"",'Part VI-Revenues &amp; Expenses'!$N$138)</f>
        <v/>
      </c>
      <c r="L1210" s="1908"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41" t="str">
        <f>CONCATENATE("x ", K1210," units = ")</f>
        <v xml:space="preserve">x  units = </v>
      </c>
      <c r="N1210" s="1909" t="str">
        <f t="shared" si="374"/>
        <v/>
      </c>
      <c r="O1210" s="1923"/>
      <c r="P1210" s="521" t="s">
        <v>3630</v>
      </c>
      <c r="Q1210" s="521"/>
      <c r="S1210" s="2019"/>
      <c r="T1210" s="2019"/>
      <c r="U1210" s="2019"/>
      <c r="V1210" s="2019"/>
    </row>
    <row r="1211" spans="1:22" ht="12.75" customHeight="1">
      <c r="C1211" s="1631"/>
      <c r="D1211" s="1912" t="s">
        <v>3368</v>
      </c>
      <c r="E1211" s="1913"/>
      <c r="F1211" s="1914">
        <f>SUM(F1206:F1210)</f>
        <v>0</v>
      </c>
      <c r="G1211" s="2788"/>
      <c r="H1211" s="1916"/>
      <c r="I1211" s="1917">
        <f>SUM(I1206:I1210)</f>
        <v>0</v>
      </c>
      <c r="J1211" s="1918"/>
      <c r="K1211" s="1914">
        <f>SUM(K1206:K1210)</f>
        <v>0</v>
      </c>
      <c r="L1211" s="1918"/>
      <c r="M1211" s="1916"/>
      <c r="N1211" s="1917">
        <f>SUM(N1206:N1210)</f>
        <v>0</v>
      </c>
      <c r="O1211" s="1923"/>
      <c r="P1211" s="1821" t="s">
        <v>3246</v>
      </c>
      <c r="Q1211" s="1821" t="s">
        <v>256</v>
      </c>
      <c r="R1211" s="1632"/>
      <c r="S1211" s="2019"/>
      <c r="T1211" s="2019"/>
      <c r="U1211" s="2019"/>
      <c r="V1211" s="2019"/>
    </row>
    <row r="1212" spans="1:22" ht="12.75" customHeight="1">
      <c r="C1212" s="1631"/>
      <c r="D1212" s="2085"/>
      <c r="E1212" s="2085"/>
      <c r="F1212" s="1920"/>
      <c r="G1212" s="1921"/>
      <c r="I1212" s="1920"/>
      <c r="K1212" s="1920"/>
      <c r="M1212" s="1899"/>
      <c r="N1212" s="1920"/>
      <c r="O1212" s="1923"/>
      <c r="R1212" s="1632"/>
      <c r="S1212" s="2019"/>
      <c r="T1212" s="2019"/>
      <c r="U1212" s="2019"/>
      <c r="V1212" s="2019"/>
    </row>
    <row r="1213" spans="1:22" ht="12.75" customHeight="1">
      <c r="A1213" s="1652" t="s">
        <v>3354</v>
      </c>
      <c r="C1213" s="1631"/>
      <c r="D1213" s="1906" t="s">
        <v>568</v>
      </c>
      <c r="E1213" s="1895">
        <v>0</v>
      </c>
      <c r="F1213" s="1907" t="str">
        <f>IF('Part VI-Revenues &amp; Expenses'!$J$139 =0,"",'Part VI-Revenues &amp; Expenses'!$J$139)</f>
        <v/>
      </c>
      <c r="G1213" s="1908">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41" t="str">
        <f>CONCATENATE("x ", F1213," units = ")</f>
        <v xml:space="preserve">x  units = </v>
      </c>
      <c r="I1213" s="1909" t="str">
        <f>IF(F1213="","",F1213*G1213)</f>
        <v/>
      </c>
      <c r="J1213" s="1631"/>
      <c r="K1213" s="1907" t="str">
        <f>IF('Part VI-Revenues &amp; Expenses'!$J$140 =0,"",'Part VI-Revenues &amp; Expenses'!$J$140)</f>
        <v/>
      </c>
      <c r="L1213" s="1908">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41" t="str">
        <f>CONCATENATE("x ", K1213," units = ")</f>
        <v xml:space="preserve">x  units = </v>
      </c>
      <c r="N1213" s="1909" t="str">
        <f>IF(K1213="","",K1213*L1213)</f>
        <v/>
      </c>
      <c r="O1213" s="1923"/>
      <c r="P1213" s="1924">
        <f>'Part IX Scoring Criteria'!O1578</f>
        <v>0</v>
      </c>
      <c r="Q1213" s="1924">
        <f>'Part IX Scoring Criteria'!P1578</f>
        <v>0</v>
      </c>
      <c r="R1213" s="1632"/>
      <c r="S1213" s="2019"/>
      <c r="T1213" s="2019"/>
      <c r="U1213" s="2019"/>
      <c r="V1213" s="2019"/>
    </row>
    <row r="1214" spans="1:22" ht="12.75" customHeight="1">
      <c r="C1214" s="1631"/>
      <c r="D1214" s="1906" t="s">
        <v>2440</v>
      </c>
      <c r="E1214" s="1895">
        <v>1</v>
      </c>
      <c r="F1214" s="1907" t="str">
        <f>IF('Part VI-Revenues &amp; Expenses'!$K$139 =0,"",'Part VI-Revenues &amp; Expenses'!$K$139)</f>
        <v/>
      </c>
      <c r="G1214" s="1908">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41" t="str">
        <f>CONCATENATE("x ", F1214," units = ")</f>
        <v xml:space="preserve">x  units = </v>
      </c>
      <c r="I1214" s="1909" t="str">
        <f>IF(F1214="","",F1214*G1214)</f>
        <v/>
      </c>
      <c r="J1214" s="1631"/>
      <c r="K1214" s="1907" t="str">
        <f>IF('Part VI-Revenues &amp; Expenses'!$K$140 =0,"",'Part VI-Revenues &amp; Expenses'!$K$140)</f>
        <v/>
      </c>
      <c r="L1214" s="1908">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41" t="str">
        <f>CONCATENATE("x ", K1214," units = ")</f>
        <v xml:space="preserve">x  units = </v>
      </c>
      <c r="N1214" s="1909" t="str">
        <f>IF(K1214="","",K1214*L1214)</f>
        <v/>
      </c>
      <c r="P1214" s="521" t="s">
        <v>3631</v>
      </c>
      <c r="Q1214" s="521"/>
      <c r="S1214" s="2019"/>
      <c r="T1214" s="2019"/>
      <c r="U1214" s="2019"/>
      <c r="V1214" s="2019"/>
    </row>
    <row r="1215" spans="1:22" ht="12.75" customHeight="1">
      <c r="C1215" s="1631"/>
      <c r="D1215" s="1906" t="s">
        <v>2441</v>
      </c>
      <c r="E1215" s="1895">
        <v>2</v>
      </c>
      <c r="F1215" s="1907" t="str">
        <f>IF('Part VI-Revenues &amp; Expenses'!$L$139 =0,"",'Part VI-Revenues &amp; Expenses'!$L$139)</f>
        <v/>
      </c>
      <c r="G1215" s="1908">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41" t="str">
        <f>CONCATENATE("x ", F1215," units = ")</f>
        <v xml:space="preserve">x  units = </v>
      </c>
      <c r="I1215" s="1909" t="str">
        <f t="shared" ref="I1215:I1217" si="375">IF(F1215="","",F1215*G1215)</f>
        <v/>
      </c>
      <c r="J1215" s="1631"/>
      <c r="K1215" s="1907" t="str">
        <f>IF('Part VI-Revenues &amp; Expenses'!$L$140 =0,"",'Part VI-Revenues &amp; Expenses'!$L$140)</f>
        <v/>
      </c>
      <c r="L1215" s="1908">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41" t="str">
        <f>CONCATENATE("x ", K1215," units = ")</f>
        <v xml:space="preserve">x  units = </v>
      </c>
      <c r="N1215" s="1909" t="str">
        <f t="shared" ref="N1215:N1217" si="376">IF(K1215="","",K1215*L1215)</f>
        <v/>
      </c>
      <c r="P1215" s="1821" t="s">
        <v>3246</v>
      </c>
      <c r="Q1215" s="1821" t="s">
        <v>256</v>
      </c>
      <c r="S1215" s="2019"/>
      <c r="T1215" s="2019"/>
      <c r="U1215" s="2019"/>
      <c r="V1215" s="2019"/>
    </row>
    <row r="1216" spans="1:22" ht="13.5" customHeight="1">
      <c r="C1216" s="1631"/>
      <c r="D1216" s="1906" t="s">
        <v>2442</v>
      </c>
      <c r="E1216" s="1895">
        <v>3</v>
      </c>
      <c r="F1216" s="1907" t="str">
        <f>IF('Part VI-Revenues &amp; Expenses'!$M$139 =0,"",'Part VI-Revenues &amp; Expenses'!$M$139)</f>
        <v/>
      </c>
      <c r="G1216" s="1908">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41" t="str">
        <f>CONCATENATE("x ", F1216," units = ")</f>
        <v xml:space="preserve">x  units = </v>
      </c>
      <c r="I1216" s="1909" t="str">
        <f t="shared" si="375"/>
        <v/>
      </c>
      <c r="J1216" s="1631"/>
      <c r="K1216" s="1907" t="str">
        <f>IF('Part VI-Revenues &amp; Expenses'!$M$140 =0,"",'Part VI-Revenues &amp; Expenses'!$M$140)</f>
        <v/>
      </c>
      <c r="L1216" s="1908">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41" t="str">
        <f>CONCATENATE("x ", K1216," units = ")</f>
        <v xml:space="preserve">x  units = </v>
      </c>
      <c r="N1216" s="1909" t="str">
        <f t="shared" si="376"/>
        <v/>
      </c>
      <c r="O1216" s="1923"/>
      <c r="P1216" s="1924">
        <f>'Part IX Scoring Criteria'!O1229</f>
        <v>0</v>
      </c>
      <c r="Q1216" s="1924">
        <f>'Part IX Scoring Criteria'!P1229</f>
        <v>0</v>
      </c>
      <c r="S1216" s="2019"/>
      <c r="T1216" s="2019"/>
      <c r="U1216" s="2019"/>
      <c r="V1216" s="2019"/>
    </row>
    <row r="1217" spans="1:22" ht="12.75" customHeight="1">
      <c r="C1217" s="1631"/>
      <c r="D1217" s="1906" t="s">
        <v>2443</v>
      </c>
      <c r="E1217" s="1895">
        <v>4</v>
      </c>
      <c r="F1217" s="1907" t="str">
        <f>IF('Part VI-Revenues &amp; Expenses'!$N$139 =0,"",'Part VI-Revenues &amp; Expenses'!$N$139)</f>
        <v/>
      </c>
      <c r="G1217" s="1908">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41" t="str">
        <f>CONCATENATE("x ", F1217," units = ")</f>
        <v xml:space="preserve">x  units = </v>
      </c>
      <c r="I1217" s="1909" t="str">
        <f t="shared" si="375"/>
        <v/>
      </c>
      <c r="J1217" s="1631"/>
      <c r="K1217" s="1907" t="str">
        <f>IF('Part VI-Revenues &amp; Expenses'!$N$140 =0,"",'Part VI-Revenues &amp; Expenses'!$N$140)</f>
        <v/>
      </c>
      <c r="L1217" s="1908">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41" t="str">
        <f>CONCATENATE("x ", K1217," units = ")</f>
        <v xml:space="preserve">x  units = </v>
      </c>
      <c r="N1217" s="1909" t="str">
        <f t="shared" si="376"/>
        <v/>
      </c>
      <c r="O1217" s="1923"/>
      <c r="P1217" s="2790" t="s">
        <v>2770</v>
      </c>
      <c r="Q1217" s="2790"/>
      <c r="V1217" s="1631"/>
    </row>
    <row r="1218" spans="1:22" ht="12.75" customHeight="1">
      <c r="C1218" s="1631"/>
      <c r="D1218" s="1912" t="s">
        <v>3368</v>
      </c>
      <c r="E1218" s="1913"/>
      <c r="F1218" s="1914">
        <f>SUM(F1213:F1217)</f>
        <v>0</v>
      </c>
      <c r="G1218" s="2788"/>
      <c r="H1218" s="1916"/>
      <c r="I1218" s="1917">
        <f>SUM(I1213:I1217)</f>
        <v>0</v>
      </c>
      <c r="J1218" s="1918"/>
      <c r="K1218" s="1914">
        <f>SUM(K1213:K1217)</f>
        <v>0</v>
      </c>
      <c r="L1218" s="1918"/>
      <c r="M1218" s="1916"/>
      <c r="N1218" s="1917">
        <f>SUM(N1213:N1217)</f>
        <v>0</v>
      </c>
      <c r="O1218" s="1923"/>
      <c r="P1218" s="2790"/>
      <c r="Q1218" s="2790"/>
      <c r="V1218" s="1631"/>
    </row>
    <row r="1219" spans="1:22" ht="12.75" customHeight="1">
      <c r="C1219" s="1631"/>
      <c r="D1219" s="2085"/>
      <c r="E1219" s="2085"/>
      <c r="F1219" s="1920"/>
      <c r="G1219" s="1921"/>
      <c r="I1219" s="1920"/>
      <c r="K1219" s="1920"/>
      <c r="M1219" s="1899"/>
      <c r="N1219" s="1920"/>
      <c r="O1219" s="1923"/>
      <c r="P1219" s="2790"/>
      <c r="Q1219" s="2790"/>
      <c r="R1219" s="1632"/>
      <c r="V1219" s="1631"/>
    </row>
    <row r="1220" spans="1:22" ht="12.75" customHeight="1">
      <c r="A1220" s="1652" t="s">
        <v>3355</v>
      </c>
      <c r="C1220" s="1631"/>
      <c r="D1220" s="1906" t="s">
        <v>568</v>
      </c>
      <c r="E1220" s="1895">
        <v>0</v>
      </c>
      <c r="F1220" s="1907" t="str">
        <f>IF('Part VI-Revenues &amp; Expenses'!$J$141 =0,"",'Part VI-Revenues &amp; Expenses'!$J$141)</f>
        <v/>
      </c>
      <c r="G1220" s="1908"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41" t="str">
        <f>CONCATENATE("x ", F1220," units = ")</f>
        <v xml:space="preserve">x  units = </v>
      </c>
      <c r="I1220" s="1909" t="str">
        <f>IF(F1220="","",F1220*G1220)</f>
        <v/>
      </c>
      <c r="J1220" s="1631"/>
      <c r="K1220" s="1907" t="str">
        <f>IF('Part VI-Revenues &amp; Expenses'!$J$142 =0,"",'Part VI-Revenues &amp; Expenses'!$J$142)</f>
        <v/>
      </c>
      <c r="L1220" s="1908"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41" t="str">
        <f>CONCATENATE("x ", K1220," units = ")</f>
        <v xml:space="preserve">x  units = </v>
      </c>
      <c r="N1220" s="1909" t="str">
        <f>IF(K1220="","",K1220*L1220)</f>
        <v/>
      </c>
      <c r="O1220" s="1923"/>
      <c r="P1220" s="2790"/>
      <c r="Q1220" s="2790"/>
      <c r="R1220" s="1632"/>
      <c r="V1220" s="1631"/>
    </row>
    <row r="1221" spans="1:22" ht="12.75" customHeight="1">
      <c r="C1221" s="1631"/>
      <c r="D1221" s="1906" t="s">
        <v>2440</v>
      </c>
      <c r="E1221" s="1895">
        <v>1</v>
      </c>
      <c r="F1221" s="1907">
        <f>IF('Part VI-Revenues &amp; Expenses'!$K$141 =0,"",'Part VI-Revenues &amp; Expenses'!$K$141)</f>
        <v>12</v>
      </c>
      <c r="G1221" s="1908"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41" t="str">
        <f>CONCATENATE("x ", F1221," units = ")</f>
        <v xml:space="preserve">x 12 units = </v>
      </c>
      <c r="I1221" s="1909" t="e">
        <f>IF(F1221="","",F1221*G1221)</f>
        <v>#N/A</v>
      </c>
      <c r="J1221" s="1631"/>
      <c r="K1221" s="1907" t="str">
        <f>IF('Part VI-Revenues &amp; Expenses'!$K$142 =0,"",'Part VI-Revenues &amp; Expenses'!$K$142)</f>
        <v/>
      </c>
      <c r="L1221" s="1908"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41" t="str">
        <f>CONCATENATE("x ", K1221," units = ")</f>
        <v xml:space="preserve">x  units = </v>
      </c>
      <c r="N1221" s="1909" t="str">
        <f>IF(K1221="","",K1221*L1221)</f>
        <v/>
      </c>
      <c r="O1221" s="1923"/>
      <c r="P1221" s="2791">
        <f>'Part VIII-Threshold Criteria'!P63</f>
        <v>18573020</v>
      </c>
      <c r="Q1221" s="2791"/>
      <c r="R1221" s="1631"/>
      <c r="S1221" s="1631"/>
      <c r="V1221" s="1631"/>
    </row>
    <row r="1222" spans="1:22" ht="12.75" customHeight="1">
      <c r="C1222" s="1631"/>
      <c r="D1222" s="1906" t="s">
        <v>2441</v>
      </c>
      <c r="E1222" s="1895">
        <v>2</v>
      </c>
      <c r="F1222" s="1907">
        <f>IF('Part VI-Revenues &amp; Expenses'!$L$141 =0,"",'Part VI-Revenues &amp; Expenses'!$L$141)</f>
        <v>56</v>
      </c>
      <c r="G1222" s="1908"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41" t="str">
        <f>CONCATENATE("x ", F1222," units = ")</f>
        <v xml:space="preserve">x 56 units = </v>
      </c>
      <c r="I1222" s="1909" t="e">
        <f t="shared" ref="I1222:I1224" si="377">IF(F1222="","",F1222*G1222)</f>
        <v>#N/A</v>
      </c>
      <c r="J1222" s="1631"/>
      <c r="K1222" s="1907" t="str">
        <f>IF('Part VI-Revenues &amp; Expenses'!$L$142 =0,"",'Part VI-Revenues &amp; Expenses'!$L$142)</f>
        <v/>
      </c>
      <c r="L1222" s="1908"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41" t="str">
        <f>CONCATENATE("x ", K1222," units = ")</f>
        <v xml:space="preserve">x  units = </v>
      </c>
      <c r="N1222" s="1909" t="str">
        <f t="shared" ref="N1222:N1224" si="378">IF(K1222="","",K1222*L1222)</f>
        <v/>
      </c>
      <c r="P1222" s="2791"/>
      <c r="Q1222" s="2791"/>
      <c r="R1222" s="1631"/>
      <c r="S1222" s="1631"/>
      <c r="V1222" s="1631"/>
    </row>
    <row r="1223" spans="1:22" ht="12.75" customHeight="1">
      <c r="C1223" s="1631"/>
      <c r="D1223" s="1906" t="s">
        <v>2442</v>
      </c>
      <c r="E1223" s="1895">
        <v>3</v>
      </c>
      <c r="F1223" s="1907">
        <f>IF('Part VI-Revenues &amp; Expenses'!$M$141 =0,"",'Part VI-Revenues &amp; Expenses'!$M$141)</f>
        <v>8</v>
      </c>
      <c r="G1223" s="1908"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41" t="str">
        <f>CONCATENATE("x ", F1223," units = ")</f>
        <v xml:space="preserve">x 8 units = </v>
      </c>
      <c r="I1223" s="1909" t="e">
        <f t="shared" si="377"/>
        <v>#N/A</v>
      </c>
      <c r="J1223" s="1631"/>
      <c r="K1223" s="1907" t="str">
        <f>IF('Part VI-Revenues &amp; Expenses'!$M$142 =0,"",'Part VI-Revenues &amp; Expenses'!$M$142)</f>
        <v/>
      </c>
      <c r="L1223" s="1908"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41" t="str">
        <f>CONCATENATE("x ", K1223," units = ")</f>
        <v xml:space="preserve">x  units = </v>
      </c>
      <c r="N1223" s="1909" t="str">
        <f t="shared" si="378"/>
        <v/>
      </c>
      <c r="P1223" s="1902" t="s">
        <v>4542</v>
      </c>
      <c r="Q1223" s="1902"/>
      <c r="R1223" s="1632"/>
      <c r="V1223" s="1631"/>
    </row>
    <row r="1224" spans="1:22">
      <c r="C1224" s="1631"/>
      <c r="D1224" s="1906" t="s">
        <v>2443</v>
      </c>
      <c r="E1224" s="1895">
        <v>4</v>
      </c>
      <c r="F1224" s="1907">
        <f>IF('Part VI-Revenues &amp; Expenses'!$N$141 =0,"",'Part VI-Revenues &amp; Expenses'!$N$141)</f>
        <v>8</v>
      </c>
      <c r="G1224" s="1908"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41" t="str">
        <f>CONCATENATE("x ", F1224," units = ")</f>
        <v xml:space="preserve">x 8 units = </v>
      </c>
      <c r="I1224" s="1909" t="e">
        <f t="shared" si="377"/>
        <v>#N/A</v>
      </c>
      <c r="J1224" s="1631"/>
      <c r="K1224" s="1907" t="str">
        <f>IF('Part VI-Revenues &amp; Expenses'!$N$142 =0,"",'Part VI-Revenues &amp; Expenses'!$N$142)</f>
        <v/>
      </c>
      <c r="L1224" s="1908"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41" t="str">
        <f>CONCATENATE("x ", K1224," units = ")</f>
        <v xml:space="preserve">x  units = </v>
      </c>
      <c r="N1224" s="1909" t="str">
        <f t="shared" si="378"/>
        <v/>
      </c>
      <c r="O1224" s="1923"/>
      <c r="P1224" s="1902"/>
      <c r="Q1224" s="1902"/>
      <c r="R1224" s="1632"/>
      <c r="V1224" s="1631"/>
    </row>
    <row r="1225" spans="1:22">
      <c r="C1225" s="1631"/>
      <c r="D1225" s="1912" t="s">
        <v>3368</v>
      </c>
      <c r="E1225" s="1913"/>
      <c r="F1225" s="1914">
        <f>SUM(F1220:F1224)</f>
        <v>84</v>
      </c>
      <c r="G1225" s="2788"/>
      <c r="H1225" s="1916"/>
      <c r="I1225" s="1917" t="e">
        <f>SUM(I1220:I1224)</f>
        <v>#N/A</v>
      </c>
      <c r="J1225" s="1918"/>
      <c r="K1225" s="1914">
        <f>SUM(K1220:K1224)</f>
        <v>0</v>
      </c>
      <c r="L1225" s="1918"/>
      <c r="M1225" s="1916"/>
      <c r="N1225" s="1917">
        <f>SUM(N1220:N1224)</f>
        <v>0</v>
      </c>
      <c r="O1225" s="1923"/>
      <c r="P1225" s="1902"/>
      <c r="Q1225" s="1902"/>
      <c r="R1225" s="1632"/>
      <c r="V1225" s="1631"/>
    </row>
    <row r="1226" spans="1:22">
      <c r="C1226" s="1631"/>
      <c r="D1226" s="1631"/>
      <c r="E1226" s="1486"/>
      <c r="F1226" s="1631"/>
      <c r="G1226" s="521"/>
      <c r="H1226" s="1927"/>
      <c r="I1226" s="1927"/>
      <c r="J1226" s="1927"/>
      <c r="K1226" s="1927"/>
      <c r="L1226" s="1927"/>
      <c r="M1226" s="1927"/>
      <c r="N1226" s="1928"/>
      <c r="O1226" s="1923"/>
      <c r="P1226" s="1902"/>
      <c r="Q1226" s="1902"/>
      <c r="R1226" s="1632"/>
      <c r="S1226" s="1632"/>
      <c r="V1226" s="1631"/>
    </row>
    <row r="1227" spans="1:22" ht="13.5">
      <c r="A1227" s="1841" t="s">
        <v>3369</v>
      </c>
      <c r="B1227" s="1631"/>
      <c r="C1227" s="1631"/>
      <c r="D1227" s="1631"/>
      <c r="E1227" s="1634"/>
      <c r="F1227" s="2792">
        <f>F1204+F1211+F1218+F1225</f>
        <v>84</v>
      </c>
      <c r="G1227" s="1710"/>
      <c r="H1227" s="1723" t="e">
        <f>I1204+I1211+I1218+I1225</f>
        <v>#N/A</v>
      </c>
      <c r="I1227" s="1723"/>
      <c r="J1227" s="1723"/>
      <c r="K1227" s="2792">
        <f>K1204+K1211+K1218+K1225</f>
        <v>0</v>
      </c>
      <c r="L1227" s="2793"/>
      <c r="M1227" s="1723">
        <f>N1204+N1211+N1218+N1225</f>
        <v>0</v>
      </c>
      <c r="N1227" s="1723"/>
      <c r="O1227" s="1723"/>
      <c r="P1227" s="1902"/>
      <c r="Q1227" s="1902"/>
      <c r="R1227" s="1632"/>
      <c r="S1227" s="1632"/>
      <c r="V1227" s="1631"/>
    </row>
    <row r="1228" spans="1:22">
      <c r="B1228" s="1842" t="s">
        <v>3756</v>
      </c>
      <c r="D1228" s="1842"/>
      <c r="E1228" s="1842"/>
      <c r="F1228" s="1842"/>
      <c r="G1228" s="1842"/>
      <c r="H1228" s="1841"/>
      <c r="I1228" s="1895"/>
      <c r="J1228" s="1895"/>
      <c r="K1228" s="1897" t="s">
        <v>1866</v>
      </c>
      <c r="L1228" s="1633"/>
      <c r="M1228" s="1633"/>
      <c r="N1228" s="1633"/>
      <c r="O1228" s="1633"/>
      <c r="P1228" s="1902"/>
      <c r="Q1228" s="1902"/>
    </row>
    <row r="1229" spans="1:22" ht="78.75">
      <c r="A1229" s="1900" t="str">
        <f>'Part VIII-Threshold Criteria'!A71</f>
        <v>Total development costs as submitted are within the Project Cost Limit.</v>
      </c>
      <c r="B1229" s="1900"/>
      <c r="C1229" s="1900"/>
      <c r="D1229" s="1900"/>
      <c r="E1229" s="1900"/>
      <c r="F1229" s="1900"/>
      <c r="G1229" s="1900"/>
      <c r="H1229" s="1900"/>
      <c r="I1229" s="1900"/>
      <c r="J1229" s="1900"/>
      <c r="K1229" s="1900"/>
      <c r="L1229" s="1900"/>
      <c r="M1229" s="1900"/>
      <c r="N1229" s="1900"/>
      <c r="O1229" s="1900"/>
      <c r="P1229" s="1900"/>
      <c r="Q1229" s="1900"/>
      <c r="R1229" s="2786" t="s">
        <v>1254</v>
      </c>
      <c r="U1229" s="1634"/>
      <c r="V1229" s="1634"/>
    </row>
    <row r="1230" spans="1:22">
      <c r="B1230" s="1895"/>
      <c r="C1230" s="1899"/>
      <c r="D1230" s="1899"/>
      <c r="E1230" s="1899"/>
      <c r="F1230" s="1899"/>
      <c r="G1230" s="1899"/>
      <c r="H1230" s="1899"/>
      <c r="I1230" s="1899"/>
      <c r="J1230" s="1899"/>
      <c r="K1230" s="1899"/>
      <c r="L1230" s="1899"/>
      <c r="M1230" s="1899"/>
      <c r="N1230" s="1899"/>
      <c r="O1230" s="1899"/>
      <c r="P1230" s="1899"/>
      <c r="Q1230" s="1633"/>
    </row>
    <row r="1231" spans="1:22">
      <c r="A1231" s="1947" t="s">
        <v>742</v>
      </c>
      <c r="B1231" s="1631" t="s">
        <v>1191</v>
      </c>
      <c r="C1231" s="1631"/>
      <c r="D1231" s="1631"/>
      <c r="E1231" s="1899"/>
      <c r="F1231" s="1899"/>
      <c r="G1231" s="1921" t="s">
        <v>99</v>
      </c>
      <c r="H1231" s="1899"/>
      <c r="J1231" s="521" t="str">
        <f>'Part I-Project Information'!$H$82</f>
        <v>Family</v>
      </c>
      <c r="K1231" s="521"/>
      <c r="L1231" s="521"/>
      <c r="O1231" s="2784" t="s">
        <v>1867</v>
      </c>
      <c r="P1231" s="1634"/>
      <c r="Q1231" s="1634"/>
    </row>
    <row r="1232" spans="1:22">
      <c r="B1232" s="1842" t="s">
        <v>3756</v>
      </c>
      <c r="D1232" s="1842"/>
      <c r="E1232" s="1842"/>
      <c r="F1232" s="1842"/>
      <c r="G1232" s="1842"/>
      <c r="H1232" s="1841"/>
      <c r="I1232" s="1895"/>
      <c r="J1232" s="1895"/>
      <c r="K1232" s="1897" t="s">
        <v>1866</v>
      </c>
      <c r="L1232" s="1633"/>
      <c r="M1232" s="1633"/>
      <c r="N1232" s="1633"/>
      <c r="O1232" s="1633"/>
      <c r="P1232" s="1633"/>
      <c r="Q1232" s="1633"/>
    </row>
    <row r="1233" spans="1:22" ht="15">
      <c r="A1233" s="1900">
        <f>'Part VIII-Threshold Criteria'!A75</f>
        <v>0</v>
      </c>
      <c r="B1233" s="1900"/>
      <c r="C1233" s="1900"/>
      <c r="D1233" s="1900"/>
      <c r="E1233" s="1900"/>
      <c r="F1233" s="1900"/>
      <c r="G1233" s="1900"/>
      <c r="H1233" s="1900"/>
      <c r="I1233" s="1900"/>
      <c r="J1233" s="1900"/>
      <c r="K1233" s="1900"/>
      <c r="L1233" s="1900"/>
      <c r="M1233" s="1900"/>
      <c r="N1233" s="1900"/>
      <c r="O1233" s="1900"/>
      <c r="P1233" s="1900"/>
      <c r="Q1233" s="1900"/>
      <c r="R1233" s="2786" t="s">
        <v>1254</v>
      </c>
      <c r="U1233" s="1634"/>
      <c r="V1233" s="1634"/>
    </row>
    <row r="1234" spans="1:22">
      <c r="A1234" s="1633"/>
      <c r="B1234" s="1895"/>
      <c r="C1234" s="1899"/>
      <c r="D1234" s="1899"/>
      <c r="E1234" s="1899"/>
      <c r="F1234" s="1899"/>
      <c r="G1234" s="1899"/>
      <c r="H1234" s="1899"/>
      <c r="I1234" s="1899"/>
      <c r="J1234" s="1899"/>
      <c r="K1234" s="1899"/>
      <c r="L1234" s="1899"/>
      <c r="M1234" s="1899"/>
      <c r="N1234" s="1899"/>
      <c r="O1234" s="1899"/>
      <c r="P1234" s="1899"/>
      <c r="Q1234" s="1633"/>
    </row>
    <row r="1235" spans="1:22">
      <c r="A1235" s="1947" t="s">
        <v>1792</v>
      </c>
      <c r="B1235" s="1947" t="s">
        <v>2652</v>
      </c>
      <c r="C1235" s="1841"/>
      <c r="D1235" s="1899"/>
      <c r="E1235" s="1899"/>
      <c r="F1235" s="1899"/>
      <c r="G1235" s="1899"/>
      <c r="H1235" s="1899"/>
      <c r="I1235" s="1899"/>
      <c r="J1235" s="1899"/>
      <c r="L1235" s="2794" t="s">
        <v>4757</v>
      </c>
      <c r="M1235" s="2795" t="s">
        <v>4758</v>
      </c>
      <c r="O1235" s="2784" t="s">
        <v>1867</v>
      </c>
      <c r="P1235" s="1634"/>
      <c r="Q1235" s="1634"/>
    </row>
    <row r="1237" spans="1:22" ht="12.75" customHeight="1">
      <c r="A1237" s="1944" t="s">
        <v>1983</v>
      </c>
      <c r="B1237" s="1900" t="s">
        <v>4749</v>
      </c>
      <c r="C1237" s="1900"/>
      <c r="D1237" s="1900"/>
      <c r="E1237" s="1900"/>
      <c r="F1237" s="1900"/>
      <c r="G1237" s="1900"/>
      <c r="H1237" s="1900"/>
      <c r="I1237" s="1900"/>
      <c r="J1237" s="1900"/>
      <c r="L1237" s="1948" t="s">
        <v>2911</v>
      </c>
      <c r="M1237" s="1943">
        <v>2</v>
      </c>
      <c r="N1237" s="1921" t="s">
        <v>3697</v>
      </c>
      <c r="P1237" s="521" t="str">
        <f>'Part VIII-Threshold Criteria'!P79</f>
        <v>Agree</v>
      </c>
      <c r="Q1237" s="521"/>
    </row>
    <row r="1238" spans="1:22">
      <c r="A1238" s="1944"/>
      <c r="B1238" s="1900"/>
      <c r="C1238" s="1900"/>
      <c r="D1238" s="1900"/>
      <c r="E1238" s="1900"/>
      <c r="F1238" s="1900"/>
      <c r="G1238" s="1900"/>
      <c r="H1238" s="1900"/>
      <c r="I1238" s="1900"/>
      <c r="J1238" s="1900"/>
      <c r="L1238" s="1948" t="s">
        <v>4756</v>
      </c>
      <c r="M1238" s="1948">
        <v>4</v>
      </c>
      <c r="O1238" s="1900"/>
      <c r="P1238" s="521"/>
      <c r="Q1238" s="521"/>
    </row>
    <row r="1239" spans="1:22">
      <c r="A1239" s="1937" t="s">
        <v>1985</v>
      </c>
      <c r="B1239" s="1921" t="s">
        <v>4759</v>
      </c>
      <c r="C1239" s="1921"/>
      <c r="D1239" s="1921"/>
      <c r="E1239" s="1921"/>
      <c r="F1239" s="1921"/>
      <c r="G1239" s="1921"/>
      <c r="H1239" s="1921"/>
      <c r="I1239" s="1921"/>
      <c r="J1239" s="1921"/>
      <c r="K1239" s="1900"/>
      <c r="L1239" s="1921"/>
      <c r="N1239" s="2796"/>
      <c r="O1239" s="2796"/>
      <c r="P1239" s="2796"/>
    </row>
    <row r="1240" spans="1:22">
      <c r="A1240" s="1937"/>
      <c r="B1240" s="1952" t="s">
        <v>1737</v>
      </c>
      <c r="C1240" s="1921" t="s">
        <v>4763</v>
      </c>
      <c r="D1240" s="1921"/>
      <c r="E1240" s="1921"/>
      <c r="F1240" s="1921"/>
      <c r="G1240" s="1921"/>
      <c r="H1240" s="1921"/>
      <c r="I1240" s="1921"/>
      <c r="J1240" s="1921"/>
      <c r="K1240" s="1900"/>
      <c r="L1240" s="1921"/>
      <c r="N1240" s="1921" t="s">
        <v>3697</v>
      </c>
      <c r="O1240" s="2796"/>
      <c r="P1240" s="1895" t="str">
        <f>'Part VIII-Threshold Criteria'!P82</f>
        <v>Agree</v>
      </c>
      <c r="Q1240" s="1895"/>
    </row>
    <row r="1241" spans="1:22">
      <c r="A1241" s="1937"/>
      <c r="B1241" s="1952" t="s">
        <v>1738</v>
      </c>
      <c r="C1241" s="1921" t="s">
        <v>4760</v>
      </c>
      <c r="D1241" s="1921"/>
      <c r="E1241" s="1921"/>
      <c r="F1241" s="1921"/>
      <c r="G1241" s="1921"/>
      <c r="H1241" s="1921"/>
      <c r="I1241" s="1921"/>
      <c r="J1241" s="1921"/>
      <c r="K1241" s="1900"/>
      <c r="L1241" s="1921"/>
      <c r="N1241" s="1921" t="s">
        <v>3697</v>
      </c>
      <c r="O1241" s="2796"/>
      <c r="P1241" s="1895" t="str">
        <f>'Part VIII-Threshold Criteria'!P83</f>
        <v>Agree</v>
      </c>
      <c r="Q1241" s="1895"/>
    </row>
    <row r="1242" spans="1:22">
      <c r="A1242" s="1944"/>
      <c r="B1242" s="1952" t="s">
        <v>1739</v>
      </c>
      <c r="C1242" s="1921" t="s">
        <v>4761</v>
      </c>
      <c r="E1242" s="1921"/>
      <c r="F1242" s="1921"/>
      <c r="G1242" s="1921"/>
      <c r="H1242" s="1921"/>
      <c r="I1242" s="1921"/>
      <c r="J1242" s="1921"/>
      <c r="K1242" s="1900"/>
      <c r="L1242" s="1921"/>
      <c r="M1242" s="2796"/>
      <c r="N1242" s="1921" t="s">
        <v>3697</v>
      </c>
      <c r="O1242" s="2796"/>
      <c r="P1242" s="1895" t="str">
        <f>'Part VIII-Threshold Criteria'!P84</f>
        <v>Agree</v>
      </c>
      <c r="Q1242" s="1895"/>
    </row>
    <row r="1243" spans="1:22">
      <c r="A1243" s="2079"/>
      <c r="B1243" s="1952" t="s">
        <v>2365</v>
      </c>
      <c r="C1243" s="1952" t="s">
        <v>4764</v>
      </c>
      <c r="D1243" s="1867"/>
      <c r="E1243" s="1867"/>
      <c r="F1243" s="1867"/>
      <c r="G1243" s="1867"/>
      <c r="H1243" s="1867"/>
      <c r="I1243" s="1631"/>
      <c r="J1243" s="1631"/>
      <c r="N1243" s="1921" t="s">
        <v>3697</v>
      </c>
      <c r="O1243" s="2796"/>
      <c r="P1243" s="1895">
        <f>'Part VIII-Threshold Criteria'!P85</f>
        <v>0</v>
      </c>
      <c r="Q1243" s="1895"/>
    </row>
    <row r="1244" spans="1:22">
      <c r="A1244" s="2079"/>
      <c r="B1244" s="1952"/>
      <c r="C1244" s="1921" t="s">
        <v>4765</v>
      </c>
      <c r="D1244" s="1867"/>
      <c r="E1244" s="1867"/>
      <c r="F1244" s="1867"/>
      <c r="G1244" s="1867"/>
      <c r="H1244" s="1867"/>
      <c r="I1244" s="1631"/>
      <c r="J1244" s="1631"/>
      <c r="L1244" s="521">
        <f>'Part VIII-Threshold Criteria'!L86</f>
        <v>0</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9"/>
      <c r="B1245" s="1952" t="s">
        <v>1549</v>
      </c>
      <c r="C1245" s="1900" t="s">
        <v>4762</v>
      </c>
      <c r="D1245" s="1900"/>
      <c r="E1245" s="1900"/>
      <c r="F1245" s="1900"/>
      <c r="G1245" s="1900"/>
      <c r="H1245" s="1900"/>
      <c r="I1245" s="1900"/>
      <c r="J1245" s="1900"/>
      <c r="K1245" s="1900"/>
      <c r="L1245" s="1900"/>
      <c r="M1245" s="1904"/>
      <c r="N1245" s="1921" t="s">
        <v>3697</v>
      </c>
      <c r="O1245" s="2796"/>
      <c r="P1245" s="1895">
        <f>'Part VIII-Threshold Criteria'!P87</f>
        <v>0</v>
      </c>
      <c r="Q1245" s="1895"/>
    </row>
    <row r="1246" spans="1:22">
      <c r="A1246" s="1937"/>
      <c r="C1246" s="1900"/>
      <c r="D1246" s="1900"/>
      <c r="E1246" s="1900"/>
      <c r="F1246" s="1900"/>
      <c r="G1246" s="1900"/>
      <c r="H1246" s="1900"/>
      <c r="I1246" s="1900"/>
      <c r="J1246" s="1900"/>
      <c r="K1246" s="1900"/>
      <c r="L1246" s="1900"/>
      <c r="M1246" s="1904"/>
    </row>
    <row r="1247" spans="1:22">
      <c r="B1247" s="1842" t="s">
        <v>3756</v>
      </c>
      <c r="D1247" s="1842"/>
      <c r="E1247" s="1842"/>
      <c r="F1247" s="1842"/>
      <c r="G1247" s="1842"/>
      <c r="H1247" s="1841"/>
      <c r="I1247" s="1895"/>
      <c r="J1247" s="1895"/>
      <c r="K1247" s="1897" t="s">
        <v>1866</v>
      </c>
      <c r="L1247" s="1633"/>
      <c r="M1247" s="1633"/>
      <c r="N1247" s="1633"/>
      <c r="O1247" s="1633"/>
      <c r="P1247" s="1633"/>
      <c r="Q1247" s="1633"/>
    </row>
    <row r="1248" spans="1:22" ht="15">
      <c r="A1248" s="1900">
        <f>'Part VIII-Threshold Criteria'!A90</f>
        <v>0</v>
      </c>
      <c r="B1248" s="1900"/>
      <c r="C1248" s="1900"/>
      <c r="D1248" s="1900"/>
      <c r="E1248" s="1900"/>
      <c r="F1248" s="1900"/>
      <c r="G1248" s="1900"/>
      <c r="H1248" s="1900"/>
      <c r="I1248" s="1900"/>
      <c r="J1248" s="1900"/>
      <c r="K1248" s="1900"/>
      <c r="L1248" s="1900"/>
      <c r="M1248" s="1900"/>
      <c r="N1248" s="1900"/>
      <c r="O1248" s="1900"/>
      <c r="P1248" s="1900"/>
      <c r="Q1248" s="1900"/>
      <c r="R1248" s="2786" t="s">
        <v>1254</v>
      </c>
      <c r="U1248" s="1634"/>
      <c r="V1248" s="1634"/>
    </row>
    <row r="1249" spans="1:22">
      <c r="A1249" s="1633"/>
      <c r="B1249" s="1895"/>
      <c r="C1249" s="1899"/>
      <c r="D1249" s="1899"/>
      <c r="E1249" s="1899"/>
      <c r="F1249" s="1899"/>
      <c r="G1249" s="1899"/>
      <c r="H1249" s="1899"/>
      <c r="I1249" s="1899"/>
      <c r="J1249" s="1899"/>
      <c r="K1249" s="1899"/>
      <c r="L1249" s="1899"/>
      <c r="M1249" s="1899"/>
      <c r="N1249" s="1899"/>
      <c r="O1249" s="1899"/>
      <c r="P1249" s="1899"/>
      <c r="Q1249" s="1633"/>
    </row>
    <row r="1250" spans="1:22">
      <c r="A1250" s="1947" t="s">
        <v>1794</v>
      </c>
      <c r="B1250" s="1947" t="s">
        <v>2653</v>
      </c>
      <c r="C1250" s="1947"/>
      <c r="D1250" s="1899"/>
      <c r="E1250" s="1899"/>
      <c r="F1250" s="1899"/>
      <c r="G1250" s="1899"/>
      <c r="H1250" s="1899"/>
      <c r="I1250" s="1899"/>
      <c r="J1250" s="1899"/>
      <c r="K1250" s="1899"/>
      <c r="O1250" s="2784" t="s">
        <v>1867</v>
      </c>
      <c r="P1250" s="1634"/>
      <c r="Q1250" s="1634"/>
    </row>
    <row r="1252" spans="1:22">
      <c r="A1252" s="1937" t="s">
        <v>1983</v>
      </c>
      <c r="B1252" s="1216" t="s">
        <v>2460</v>
      </c>
      <c r="D1252" s="1867"/>
      <c r="E1252" s="1867"/>
      <c r="F1252" s="1867"/>
      <c r="G1252" s="1867"/>
      <c r="H1252" s="1867"/>
      <c r="I1252" s="1631"/>
      <c r="J1252" s="1631"/>
      <c r="K1252" s="1631"/>
      <c r="L1252" s="1937" t="s">
        <v>1983</v>
      </c>
      <c r="M1252" s="521" t="str">
        <f>'Part VIII-Threshold Criteria'!M94</f>
        <v>John Wall and Associates</v>
      </c>
      <c r="N1252" s="521">
        <f>'Part VIII-Threshold Criteria'!N94</f>
        <v>0</v>
      </c>
      <c r="O1252" s="521">
        <f>'Part VIII-Threshold Criteria'!O94</f>
        <v>0</v>
      </c>
      <c r="P1252" s="1631">
        <f>'Part VIII-Threshold Criteria'!P94</f>
        <v>0</v>
      </c>
      <c r="Q1252" s="1895"/>
    </row>
    <row r="1253" spans="1:22">
      <c r="A1253" s="1937" t="s">
        <v>1985</v>
      </c>
      <c r="B1253" s="521" t="s">
        <v>2036</v>
      </c>
      <c r="D1253" s="1867"/>
      <c r="E1253" s="1867"/>
      <c r="F1253" s="1867"/>
      <c r="L1253" s="1937" t="s">
        <v>1985</v>
      </c>
      <c r="M1253" s="521" t="str">
        <f>'Part VIII-Threshold Criteria'!M95</f>
        <v>3 months</v>
      </c>
      <c r="N1253" s="521">
        <f>'Part VIII-Threshold Criteria'!N95</f>
        <v>0</v>
      </c>
      <c r="O1253" s="521">
        <f>'Part VIII-Threshold Criteria'!O95</f>
        <v>0</v>
      </c>
      <c r="P1253" s="1631">
        <f>'Part VIII-Threshold Criteria'!P95</f>
        <v>0</v>
      </c>
      <c r="Q1253" s="1895"/>
    </row>
    <row r="1254" spans="1:22">
      <c r="A1254" s="1937" t="s">
        <v>749</v>
      </c>
      <c r="B1254" s="521" t="s">
        <v>2879</v>
      </c>
      <c r="D1254" s="1867"/>
      <c r="E1254" s="1867"/>
      <c r="F1254" s="1867"/>
      <c r="L1254" s="1937" t="s">
        <v>749</v>
      </c>
      <c r="M1254" s="2797" t="str">
        <f>'Part VIII-Threshold Criteria'!M96</f>
        <v>98.5% among LIHTC; 96.1% overall</v>
      </c>
      <c r="N1254" s="2797">
        <f>'Part VIII-Threshold Criteria'!N96</f>
        <v>0</v>
      </c>
      <c r="O1254" s="2797">
        <f>'Part VIII-Threshold Criteria'!O96</f>
        <v>0</v>
      </c>
      <c r="P1254" s="2160">
        <f>'Part VIII-Threshold Criteria'!P96</f>
        <v>0</v>
      </c>
      <c r="Q1254" s="1895"/>
    </row>
    <row r="1255" spans="1:22">
      <c r="A1255" s="1937" t="s">
        <v>2115</v>
      </c>
      <c r="B1255" s="521" t="s">
        <v>3898</v>
      </c>
      <c r="D1255" s="1867"/>
      <c r="E1255" s="1867"/>
      <c r="F1255" s="1867"/>
      <c r="L1255" s="1937" t="s">
        <v>3899</v>
      </c>
      <c r="M1255" s="2798">
        <f>'Part VIII-Threshold Criteria'!M97</f>
        <v>3.5999999999999997E-2</v>
      </c>
      <c r="N1255" s="2797"/>
      <c r="O1255" s="1940" t="s">
        <v>4130</v>
      </c>
      <c r="P1255" s="2083">
        <f>'Part VIII-Threshold Criteria'!P97</f>
        <v>3.5999999999999997E-2</v>
      </c>
      <c r="Q1255" s="1895"/>
    </row>
    <row r="1256" spans="1:22">
      <c r="A1256" s="1944" t="s">
        <v>1735</v>
      </c>
      <c r="B1256" s="1921" t="s">
        <v>3897</v>
      </c>
      <c r="D1256" s="1921"/>
      <c r="E1256" s="1921"/>
      <c r="F1256" s="1921"/>
      <c r="G1256" s="1921"/>
      <c r="H1256" s="1921"/>
      <c r="I1256" s="1921"/>
      <c r="J1256" s="1921"/>
      <c r="K1256" s="1921"/>
      <c r="L1256" s="1921"/>
      <c r="M1256" s="1921"/>
      <c r="N1256" s="1921"/>
      <c r="O1256" s="1921"/>
      <c r="P1256" s="1921"/>
      <c r="Q1256" s="1921"/>
    </row>
    <row r="1257" spans="1:22">
      <c r="B1257" s="1937"/>
      <c r="C1257" s="521"/>
      <c r="D1257" s="1895" t="s">
        <v>2378</v>
      </c>
      <c r="E1257" s="1841" t="s">
        <v>617</v>
      </c>
      <c r="F1257" s="1841"/>
      <c r="H1257" s="521"/>
      <c r="I1257" s="1895" t="s">
        <v>2378</v>
      </c>
      <c r="J1257" s="1841" t="s">
        <v>617</v>
      </c>
      <c r="K1257" s="1841"/>
      <c r="M1257" s="521"/>
      <c r="N1257" s="1895" t="s">
        <v>2378</v>
      </c>
      <c r="O1257" s="1841" t="s">
        <v>617</v>
      </c>
      <c r="P1257" s="1841"/>
      <c r="Q1257" s="1937"/>
    </row>
    <row r="1258" spans="1:22">
      <c r="C1258" s="1937" t="s">
        <v>1737</v>
      </c>
      <c r="D1258" s="1895">
        <f>'Part VIII-Threshold Criteria'!D100</f>
        <v>0</v>
      </c>
      <c r="E1258" s="521" t="str">
        <f>'Part VIII-Threshold Criteria'!E100</f>
        <v>Alexander at Stonecrest</v>
      </c>
      <c r="F1258" s="521">
        <f>'Part VIII-Threshold Criteria'!F100</f>
        <v>0</v>
      </c>
      <c r="G1258" s="521">
        <f>'Part VIII-Threshold Criteria'!G100</f>
        <v>0</v>
      </c>
      <c r="H1258" s="1937" t="s">
        <v>1739</v>
      </c>
      <c r="I1258" s="1895" t="str">
        <f>'Part VIII-Threshold Criteria'!I100</f>
        <v>2001-512</v>
      </c>
      <c r="J1258" s="521" t="str">
        <f>'Part VIII-Threshold Criteria'!J100</f>
        <v>Greens at Stonecreek</v>
      </c>
      <c r="K1258" s="521">
        <f>'Part VIII-Threshold Criteria'!K100</f>
        <v>0</v>
      </c>
      <c r="L1258" s="521">
        <f>'Part VIII-Threshold Criteria'!L100</f>
        <v>0</v>
      </c>
      <c r="M1258" s="1937" t="s">
        <v>1549</v>
      </c>
      <c r="N1258" s="1895" t="str">
        <f>'Part VIII-Threshold Criteria'!N100</f>
        <v>2007-053</v>
      </c>
      <c r="O1258" s="521" t="str">
        <f>'Part VIII-Threshold Criteria'!O100</f>
        <v>Terraces at Parkview</v>
      </c>
      <c r="P1258" s="521">
        <f>'Part VIII-Threshold Criteria'!P100</f>
        <v>0</v>
      </c>
      <c r="Q1258" s="521">
        <f>'Part VIII-Threshold Criteria'!Q100</f>
        <v>0</v>
      </c>
    </row>
    <row r="1259" spans="1:22">
      <c r="C1259" s="1937" t="s">
        <v>1738</v>
      </c>
      <c r="D1259" s="1895" t="str">
        <f>'Part VIII-Threshold Criteria'!D101</f>
        <v>2015-028</v>
      </c>
      <c r="E1259" s="521" t="str">
        <f>'Part VIII-Threshold Criteria'!E101</f>
        <v>Granite Crossing</v>
      </c>
      <c r="F1259" s="521">
        <f>'Part VIII-Threshold Criteria'!F101</f>
        <v>0</v>
      </c>
      <c r="G1259" s="521">
        <f>'Part VIII-Threshold Criteria'!G101</f>
        <v>0</v>
      </c>
      <c r="H1259" s="1937" t="s">
        <v>2365</v>
      </c>
      <c r="I1259" s="1895">
        <f>'Part VIII-Threshold Criteria'!I101</f>
        <v>0</v>
      </c>
      <c r="J1259" s="521" t="str">
        <f>'Part VIII-Threshold Criteria'!J101</f>
        <v>Villas of Friendly Heights</v>
      </c>
      <c r="K1259" s="521">
        <f>'Part VIII-Threshold Criteria'!K101</f>
        <v>0</v>
      </c>
      <c r="L1259" s="521">
        <f>'Part VIII-Threshold Criteria'!L101</f>
        <v>0</v>
      </c>
      <c r="M1259" s="1937" t="s">
        <v>1550</v>
      </c>
      <c r="N1259" s="1895" t="str">
        <f>'Part VIII-Threshold Criteria'!N101</f>
        <v>2008-504</v>
      </c>
      <c r="O1259" s="521" t="str">
        <f>'Part VIII-Threshold Criteria'!O101</f>
        <v>Hills at Farmington</v>
      </c>
      <c r="P1259" s="521">
        <f>'Part VIII-Threshold Criteria'!P101</f>
        <v>0</v>
      </c>
      <c r="Q1259" s="521">
        <f>'Part VIII-Threshold Criteria'!Q101</f>
        <v>0</v>
      </c>
    </row>
    <row r="1260" spans="1:22">
      <c r="A1260" s="1937" t="s">
        <v>1736</v>
      </c>
      <c r="B1260" s="521" t="s">
        <v>0</v>
      </c>
      <c r="D1260" s="1867"/>
      <c r="E1260" s="1867"/>
      <c r="F1260" s="1867"/>
      <c r="G1260" s="1867"/>
      <c r="H1260" s="1867"/>
      <c r="I1260" s="1631"/>
      <c r="J1260" s="1631"/>
      <c r="K1260" s="1867"/>
      <c r="L1260" s="1834"/>
      <c r="M1260" s="1834"/>
      <c r="O1260" s="1937" t="s">
        <v>1736</v>
      </c>
      <c r="P1260" s="1895" t="str">
        <f>'Part VIII-Threshold Criteria'!P102</f>
        <v>Yes</v>
      </c>
      <c r="Q1260" s="1895"/>
    </row>
    <row r="1261" spans="1:22">
      <c r="B1261" s="1842" t="s">
        <v>3756</v>
      </c>
      <c r="D1261" s="1842"/>
      <c r="E1261" s="1842"/>
      <c r="F1261" s="1842"/>
      <c r="G1261" s="1842"/>
      <c r="H1261" s="1841"/>
      <c r="I1261" s="1895"/>
      <c r="J1261" s="1895"/>
      <c r="K1261" s="1895"/>
      <c r="L1261" s="1633"/>
      <c r="M1261" s="1633"/>
      <c r="N1261" s="1633"/>
      <c r="O1261" s="1633"/>
      <c r="P1261" s="1633"/>
      <c r="Q1261" s="1633"/>
    </row>
    <row r="1262" spans="1:22">
      <c r="A1262" s="1900">
        <f>'Part VIII-Threshold Criteria'!A104</f>
        <v>0</v>
      </c>
      <c r="B1262" s="1900"/>
      <c r="C1262" s="1900"/>
      <c r="D1262" s="1900"/>
      <c r="E1262" s="1900"/>
      <c r="F1262" s="1900"/>
      <c r="G1262" s="1900"/>
      <c r="H1262" s="1900"/>
      <c r="I1262" s="1900"/>
      <c r="J1262" s="1900"/>
      <c r="K1262" s="1900"/>
      <c r="L1262" s="1900"/>
      <c r="M1262" s="1900"/>
      <c r="N1262" s="1900"/>
      <c r="O1262" s="1900"/>
      <c r="P1262" s="1900"/>
      <c r="Q1262" s="1900"/>
      <c r="U1262" s="1634"/>
      <c r="V1262" s="1634"/>
    </row>
    <row r="1263" spans="1:22">
      <c r="B1263" s="1897" t="s">
        <v>1866</v>
      </c>
      <c r="C1263" s="1898"/>
      <c r="D1263" s="1899"/>
      <c r="E1263" s="1899"/>
      <c r="F1263" s="1899"/>
      <c r="G1263" s="1899"/>
      <c r="H1263" s="1899"/>
      <c r="I1263" s="1899"/>
      <c r="J1263" s="1899"/>
      <c r="K1263" s="1899"/>
      <c r="L1263" s="1899"/>
      <c r="M1263" s="1899"/>
      <c r="N1263" s="1899"/>
      <c r="O1263" s="1899"/>
      <c r="P1263" s="1899"/>
      <c r="Q1263" s="1899"/>
    </row>
    <row r="1264" spans="1:22">
      <c r="A1264" s="1900">
        <f>'Part VIII-Threshold Criteria'!A106</f>
        <v>0</v>
      </c>
      <c r="B1264" s="1900"/>
      <c r="C1264" s="1900"/>
      <c r="D1264" s="1900"/>
      <c r="E1264" s="1900"/>
      <c r="F1264" s="1900"/>
      <c r="G1264" s="1900"/>
      <c r="H1264" s="1900"/>
      <c r="I1264" s="1900"/>
      <c r="J1264" s="1900"/>
      <c r="K1264" s="1900"/>
      <c r="L1264" s="1900"/>
      <c r="M1264" s="1900"/>
      <c r="N1264" s="1900"/>
      <c r="O1264" s="1900"/>
      <c r="P1264" s="1900"/>
      <c r="Q1264" s="1900"/>
    </row>
    <row r="1265" spans="1:22">
      <c r="A1265" s="1947" t="s">
        <v>530</v>
      </c>
      <c r="B1265" s="1947" t="s">
        <v>2654</v>
      </c>
      <c r="C1265" s="1947"/>
      <c r="D1265" s="1899"/>
      <c r="E1265" s="1899"/>
      <c r="F1265" s="1899"/>
      <c r="G1265" s="1899"/>
      <c r="H1265" s="1899"/>
      <c r="I1265" s="1899"/>
      <c r="J1265" s="1899"/>
      <c r="K1265" s="1899"/>
      <c r="L1265" s="1899"/>
      <c r="M1265" s="1899"/>
      <c r="O1265" s="2784" t="s">
        <v>1867</v>
      </c>
      <c r="P1265" s="1634"/>
      <c r="Q1265" s="1634"/>
    </row>
    <row r="1267" spans="1:22">
      <c r="B1267" s="1216" t="s">
        <v>4943</v>
      </c>
      <c r="P1267" s="1895" t="str">
        <f>'Part VIII-Threshold Criteria'!P109</f>
        <v>Yes</v>
      </c>
      <c r="Q1267" s="1895"/>
    </row>
    <row r="1268" spans="1:22">
      <c r="A1268" s="1937" t="s">
        <v>1983</v>
      </c>
      <c r="B1268" s="521" t="s">
        <v>493</v>
      </c>
      <c r="C1268" s="521"/>
      <c r="E1268" s="521"/>
      <c r="F1268" s="521"/>
      <c r="G1268" s="521"/>
      <c r="H1268" s="521"/>
      <c r="I1268" s="521"/>
      <c r="J1268" s="521"/>
      <c r="K1268" s="521"/>
      <c r="L1268" s="521"/>
      <c r="M1268" s="521"/>
      <c r="O1268" s="1937" t="s">
        <v>1983</v>
      </c>
      <c r="P1268" s="1895" t="str">
        <f>'Part VIII-Threshold Criteria'!P110</f>
        <v>No</v>
      </c>
      <c r="Q1268" s="1895"/>
    </row>
    <row r="1269" spans="1:22">
      <c r="A1269" s="1937" t="s">
        <v>1985</v>
      </c>
      <c r="B1269" s="521" t="s">
        <v>1304</v>
      </c>
      <c r="C1269" s="521"/>
      <c r="E1269" s="521"/>
      <c r="F1269" s="521"/>
      <c r="G1269" s="521"/>
      <c r="H1269" s="521"/>
      <c r="I1269" s="521"/>
      <c r="J1269" s="521"/>
      <c r="K1269" s="521"/>
      <c r="L1269" s="1841"/>
      <c r="M1269" s="1841"/>
      <c r="O1269" s="1937" t="s">
        <v>1985</v>
      </c>
      <c r="P1269" s="1895" t="str">
        <f>'Part VIII-Threshold Criteria'!P111</f>
        <v>Yes</v>
      </c>
      <c r="Q1269" s="1895"/>
    </row>
    <row r="1270" spans="1:22">
      <c r="A1270" s="521"/>
      <c r="B1270" s="521" t="s">
        <v>554</v>
      </c>
      <c r="E1270" s="1631"/>
      <c r="F1270" s="1631"/>
      <c r="G1270" s="1631"/>
      <c r="H1270" s="1631"/>
      <c r="I1270" s="1631"/>
      <c r="L1270" s="1937" t="s">
        <v>555</v>
      </c>
      <c r="M1270" s="521" t="str">
        <f>'Part VIII-Threshold Criteria'!M112</f>
        <v>Everson, Huber &amp; Associates</v>
      </c>
      <c r="N1270" s="521">
        <f>'Part VIII-Threshold Criteria'!N112</f>
        <v>0</v>
      </c>
      <c r="O1270" s="521">
        <f>'Part VIII-Threshold Criteria'!O112</f>
        <v>0</v>
      </c>
      <c r="P1270" s="1631">
        <f>'Part VIII-Threshold Criteria'!P112</f>
        <v>0</v>
      </c>
      <c r="Q1270" s="1895"/>
    </row>
    <row r="1271" spans="1:22">
      <c r="A1271" s="1895"/>
      <c r="B1271" s="1952" t="s">
        <v>1737</v>
      </c>
      <c r="C1271" s="1841" t="s">
        <v>4766</v>
      </c>
      <c r="D1271" s="1947"/>
      <c r="E1271" s="1947"/>
      <c r="F1271" s="1947"/>
      <c r="G1271" s="1947"/>
      <c r="H1271" s="1947"/>
      <c r="I1271" s="1947"/>
      <c r="J1271" s="1947"/>
      <c r="K1271" s="1947"/>
      <c r="L1271" s="1947"/>
      <c r="M1271" s="1947"/>
      <c r="O1271" s="1944" t="s">
        <v>1737</v>
      </c>
      <c r="P1271" s="1895" t="str">
        <f>'Part VIII-Threshold Criteria'!P113</f>
        <v>Yes</v>
      </c>
      <c r="Q1271" s="1895"/>
    </row>
    <row r="1272" spans="1:22">
      <c r="A1272" s="1895"/>
      <c r="B1272" s="1841" t="s">
        <v>1738</v>
      </c>
      <c r="C1272" s="1841" t="s">
        <v>3471</v>
      </c>
      <c r="D1272" s="1947"/>
      <c r="E1272" s="1947"/>
      <c r="F1272" s="1947"/>
      <c r="G1272" s="1947"/>
      <c r="H1272" s="1947"/>
      <c r="I1272" s="1947"/>
      <c r="J1272" s="1947"/>
      <c r="K1272" s="1947"/>
      <c r="L1272" s="1947"/>
      <c r="M1272" s="1947"/>
      <c r="O1272" s="1937" t="s">
        <v>1738</v>
      </c>
      <c r="P1272" s="1895" t="str">
        <f>'Part VIII-Threshold Criteria'!P114</f>
        <v>Yes</v>
      </c>
      <c r="Q1272" s="1895"/>
    </row>
    <row r="1273" spans="1:22">
      <c r="A1273" s="1895"/>
      <c r="B1273" s="1952" t="s">
        <v>1739</v>
      </c>
      <c r="C1273" s="1841" t="s">
        <v>3472</v>
      </c>
      <c r="D1273" s="1947"/>
      <c r="E1273" s="1947"/>
      <c r="F1273" s="1947"/>
      <c r="G1273" s="1947"/>
      <c r="H1273" s="1947"/>
      <c r="I1273" s="1947"/>
      <c r="J1273" s="1947"/>
      <c r="K1273" s="1947"/>
      <c r="L1273" s="1947"/>
      <c r="M1273" s="1947"/>
      <c r="O1273" s="1944" t="s">
        <v>1739</v>
      </c>
      <c r="P1273" s="1895" t="str">
        <f>'Part VIII-Threshold Criteria'!P115</f>
        <v>Yes</v>
      </c>
      <c r="Q1273" s="1895"/>
    </row>
    <row r="1274" spans="1:22">
      <c r="A1274" s="1895"/>
      <c r="B1274" s="1952" t="s">
        <v>2365</v>
      </c>
      <c r="C1274" s="1841" t="s">
        <v>2880</v>
      </c>
      <c r="D1274" s="1841"/>
      <c r="E1274" s="1841"/>
      <c r="F1274" s="1841"/>
      <c r="G1274" s="1841"/>
      <c r="H1274" s="1841"/>
      <c r="I1274" s="1841"/>
      <c r="J1274" s="1841"/>
      <c r="K1274" s="1841"/>
      <c r="L1274" s="1841"/>
      <c r="M1274" s="1843"/>
      <c r="O1274" s="1944" t="s">
        <v>2365</v>
      </c>
      <c r="P1274" s="1895" t="str">
        <f>'Part VIII-Threshold Criteria'!P116</f>
        <v>Yes</v>
      </c>
      <c r="Q1274" s="1895"/>
    </row>
    <row r="1275" spans="1:22" ht="12.75" customHeight="1">
      <c r="A1275" s="1948"/>
      <c r="B1275" s="1952" t="s">
        <v>1549</v>
      </c>
      <c r="C1275" s="1900" t="s">
        <v>2689</v>
      </c>
      <c r="D1275" s="1900"/>
      <c r="E1275" s="1900"/>
      <c r="F1275" s="1900"/>
      <c r="G1275" s="1900"/>
      <c r="H1275" s="1900"/>
      <c r="I1275" s="1900"/>
      <c r="J1275" s="1900"/>
      <c r="K1275" s="1900"/>
      <c r="L1275" s="1900"/>
      <c r="M1275" s="1900"/>
      <c r="N1275" s="1900"/>
      <c r="O1275" s="1944" t="s">
        <v>1549</v>
      </c>
      <c r="P1275" s="1948">
        <f>'Part VIII-Threshold Criteria'!P117</f>
        <v>0</v>
      </c>
      <c r="Q1275" s="1948"/>
      <c r="R1275" s="1913"/>
      <c r="S1275" s="1913"/>
      <c r="T1275" s="1913"/>
      <c r="U1275" s="1913"/>
      <c r="V1275" s="1913"/>
    </row>
    <row r="1276" spans="1:22">
      <c r="A1276" s="1937" t="s">
        <v>749</v>
      </c>
      <c r="B1276" s="521" t="s">
        <v>146</v>
      </c>
      <c r="D1276" s="521"/>
      <c r="E1276" s="521"/>
      <c r="F1276" s="521"/>
      <c r="G1276" s="521"/>
      <c r="H1276" s="521"/>
      <c r="I1276" s="521"/>
      <c r="J1276" s="521"/>
      <c r="K1276" s="521"/>
      <c r="L1276" s="521"/>
      <c r="M1276" s="521"/>
      <c r="O1276" s="1937" t="s">
        <v>749</v>
      </c>
      <c r="P1276" s="1895">
        <f>'Part VIII-Threshold Criteria'!P118</f>
        <v>0</v>
      </c>
      <c r="Q1276" s="1895"/>
    </row>
    <row r="1277" spans="1:22">
      <c r="A1277" s="1937" t="s">
        <v>2115</v>
      </c>
      <c r="B1277" s="521" t="s">
        <v>1428</v>
      </c>
      <c r="D1277" s="521"/>
      <c r="E1277" s="521"/>
      <c r="G1277" s="521"/>
      <c r="I1277" s="521"/>
      <c r="K1277" s="521"/>
      <c r="L1277" s="1841"/>
      <c r="M1277" s="1841"/>
      <c r="N1277" s="1841"/>
      <c r="O1277" s="1937" t="s">
        <v>2115</v>
      </c>
      <c r="P1277" s="1841"/>
      <c r="Q1277" s="1841"/>
    </row>
    <row r="1278" spans="1:22">
      <c r="B1278" s="1841" t="s">
        <v>1737</v>
      </c>
      <c r="C1278" s="521" t="s">
        <v>1429</v>
      </c>
      <c r="E1278" s="521"/>
      <c r="F1278" s="521"/>
      <c r="G1278" s="521"/>
      <c r="H1278" s="521"/>
      <c r="I1278" s="521"/>
      <c r="J1278" s="521"/>
      <c r="K1278" s="521"/>
      <c r="L1278" s="1841"/>
      <c r="M1278" s="1841"/>
      <c r="O1278" s="1937" t="s">
        <v>1737</v>
      </c>
      <c r="P1278" s="1895" t="str">
        <f>'Part VIII-Threshold Criteria'!P120</f>
        <v>No</v>
      </c>
      <c r="Q1278" s="1895"/>
    </row>
    <row r="1279" spans="1:22">
      <c r="B1279" s="1841" t="s">
        <v>1738</v>
      </c>
      <c r="C1279" s="521" t="s">
        <v>1430</v>
      </c>
      <c r="E1279" s="521"/>
      <c r="F1279" s="521"/>
      <c r="G1279" s="521"/>
      <c r="H1279" s="521"/>
      <c r="I1279" s="521"/>
      <c r="J1279" s="521"/>
      <c r="K1279" s="521"/>
      <c r="L1279" s="1841"/>
      <c r="M1279" s="1841"/>
      <c r="O1279" s="1937" t="s">
        <v>1738</v>
      </c>
      <c r="P1279" s="1895" t="str">
        <f>'Part VIII-Threshold Criteria'!P121</f>
        <v>No</v>
      </c>
      <c r="Q1279" s="1895"/>
    </row>
    <row r="1280" spans="1:22">
      <c r="B1280" s="1841" t="s">
        <v>1739</v>
      </c>
      <c r="C1280" s="521" t="s">
        <v>1431</v>
      </c>
      <c r="E1280" s="521"/>
      <c r="F1280" s="521"/>
      <c r="G1280" s="521"/>
      <c r="H1280" s="521"/>
      <c r="I1280" s="521"/>
      <c r="J1280" s="521"/>
      <c r="K1280" s="521"/>
      <c r="L1280" s="1841"/>
      <c r="M1280" s="1841"/>
      <c r="O1280" s="1937" t="s">
        <v>1739</v>
      </c>
      <c r="P1280" s="1895" t="str">
        <f>'Part VIII-Threshold Criteria'!P122</f>
        <v>No</v>
      </c>
      <c r="Q1280" s="1895"/>
    </row>
    <row r="1281" spans="1:22">
      <c r="B1281" s="1842" t="s">
        <v>3756</v>
      </c>
      <c r="D1281" s="1842"/>
      <c r="E1281" s="1842"/>
      <c r="F1281" s="1842"/>
      <c r="G1281" s="1842"/>
      <c r="H1281" s="1841"/>
      <c r="I1281" s="1895"/>
      <c r="J1281" s="1895"/>
      <c r="K1281" s="1895"/>
      <c r="L1281" s="1633"/>
      <c r="M1281" s="1633"/>
      <c r="N1281" s="1633"/>
      <c r="O1281" s="1633"/>
      <c r="P1281" s="1633"/>
      <c r="Q1281" s="1633"/>
    </row>
    <row r="1282" spans="1:22">
      <c r="A1282" s="1900">
        <f>'Part VIII-Threshold Criteria'!A124</f>
        <v>0</v>
      </c>
      <c r="B1282" s="1900"/>
      <c r="C1282" s="1900"/>
      <c r="D1282" s="1900"/>
      <c r="E1282" s="1900"/>
      <c r="F1282" s="1900"/>
      <c r="G1282" s="1900"/>
      <c r="H1282" s="1900"/>
      <c r="I1282" s="1900"/>
      <c r="J1282" s="1900"/>
      <c r="K1282" s="1900"/>
      <c r="L1282" s="1900"/>
      <c r="M1282" s="1900"/>
      <c r="N1282" s="1900"/>
      <c r="O1282" s="1900"/>
      <c r="P1282" s="1900"/>
      <c r="Q1282" s="1900"/>
      <c r="U1282" s="1634"/>
      <c r="V1282" s="1634"/>
    </row>
    <row r="1283" spans="1:22">
      <c r="B1283" s="1897" t="s">
        <v>1866</v>
      </c>
      <c r="C1283" s="1898"/>
      <c r="D1283" s="1899"/>
      <c r="E1283" s="1899"/>
      <c r="F1283" s="1899"/>
      <c r="G1283" s="1899"/>
      <c r="H1283" s="1899"/>
      <c r="I1283" s="1899"/>
      <c r="J1283" s="1899"/>
      <c r="K1283" s="1899"/>
      <c r="L1283" s="1899"/>
      <c r="M1283" s="1899"/>
      <c r="N1283" s="1899"/>
      <c r="O1283" s="1899"/>
      <c r="P1283" s="1899"/>
      <c r="Q1283" s="1899"/>
    </row>
    <row r="1284" spans="1:22">
      <c r="A1284" s="1900">
        <f>'Part VIII-Threshold Criteria'!A126</f>
        <v>0</v>
      </c>
      <c r="B1284" s="1900"/>
      <c r="C1284" s="1900"/>
      <c r="D1284" s="1900"/>
      <c r="E1284" s="1900"/>
      <c r="F1284" s="1900"/>
      <c r="G1284" s="1900"/>
      <c r="H1284" s="1900"/>
      <c r="I1284" s="1900"/>
      <c r="J1284" s="1900"/>
      <c r="K1284" s="1900"/>
      <c r="L1284" s="1900"/>
      <c r="M1284" s="1900"/>
      <c r="N1284" s="1900"/>
      <c r="O1284" s="1900"/>
      <c r="P1284" s="1900"/>
      <c r="Q1284" s="1900"/>
    </row>
    <row r="1285" spans="1:22">
      <c r="A1285" s="1947" t="s">
        <v>772</v>
      </c>
      <c r="B1285" s="1947" t="s">
        <v>2655</v>
      </c>
      <c r="C1285" s="1841"/>
      <c r="D1285" s="1899"/>
      <c r="E1285" s="1899"/>
      <c r="F1285" s="1899"/>
      <c r="G1285" s="1899"/>
      <c r="H1285" s="1899"/>
      <c r="I1285" s="1899"/>
      <c r="J1285" s="1899"/>
      <c r="K1285" s="1899"/>
      <c r="L1285" s="1899"/>
      <c r="M1285" s="1899"/>
      <c r="O1285" s="2784" t="s">
        <v>1867</v>
      </c>
      <c r="P1285" s="1634"/>
      <c r="Q1285" s="1634"/>
    </row>
    <row r="1287" spans="1:22">
      <c r="A1287" s="1937" t="s">
        <v>1983</v>
      </c>
      <c r="B1287" s="521" t="s">
        <v>3637</v>
      </c>
      <c r="D1287" s="1867"/>
      <c r="E1287" s="1867"/>
      <c r="F1287" s="1867"/>
      <c r="G1287" s="1867"/>
      <c r="H1287" s="1867"/>
      <c r="I1287" s="1631"/>
      <c r="J1287" s="1631"/>
      <c r="K1287" s="1937" t="s">
        <v>1983</v>
      </c>
      <c r="L1287" s="1634" t="str">
        <f>'Part VIII-Threshold Criteria'!L129</f>
        <v>Geotechnical &amp; Environmental Consultants, Inc.</v>
      </c>
      <c r="M1287" s="1634">
        <f>'Part VIII-Threshold Criteria'!M129</f>
        <v>0</v>
      </c>
      <c r="N1287" s="1634">
        <f>'Part VIII-Threshold Criteria'!N129</f>
        <v>0</v>
      </c>
      <c r="O1287" s="1634">
        <f>'Part VIII-Threshold Criteria'!O129</f>
        <v>0</v>
      </c>
      <c r="P1287" s="1634">
        <f>'Part VIII-Threshold Criteria'!P129</f>
        <v>0</v>
      </c>
      <c r="Q1287" s="1895"/>
    </row>
    <row r="1288" spans="1:22">
      <c r="A1288" s="1937" t="s">
        <v>1985</v>
      </c>
      <c r="B1288" s="521" t="s">
        <v>1538</v>
      </c>
      <c r="D1288" s="1867"/>
      <c r="E1288" s="1867"/>
      <c r="F1288" s="1867"/>
      <c r="G1288" s="1867"/>
      <c r="H1288" s="1867"/>
      <c r="I1288" s="1631"/>
      <c r="J1288" s="1631"/>
      <c r="K1288" s="1867"/>
      <c r="L1288" s="1834"/>
      <c r="O1288" s="1937" t="s">
        <v>1985</v>
      </c>
      <c r="P1288" s="1895" t="str">
        <f>'Part VIII-Threshold Criteria'!P130</f>
        <v>No</v>
      </c>
      <c r="Q1288" s="1895"/>
    </row>
    <row r="1289" spans="1:22">
      <c r="A1289" s="1937" t="s">
        <v>749</v>
      </c>
      <c r="B1289" s="521" t="s">
        <v>151</v>
      </c>
      <c r="D1289" s="1867"/>
      <c r="E1289" s="1867"/>
      <c r="F1289" s="1867"/>
      <c r="G1289" s="1867"/>
      <c r="H1289" s="1867"/>
      <c r="I1289" s="1631"/>
      <c r="J1289" s="1631"/>
      <c r="K1289" s="1834"/>
      <c r="L1289" s="1834"/>
      <c r="O1289" s="1937" t="s">
        <v>749</v>
      </c>
      <c r="P1289" s="1895" t="str">
        <f>'Part VIII-Threshold Criteria'!P131</f>
        <v>Yes</v>
      </c>
      <c r="Q1289" s="1895"/>
    </row>
    <row r="1290" spans="1:22">
      <c r="A1290" s="1937"/>
      <c r="B1290" s="1841" t="s">
        <v>1737</v>
      </c>
      <c r="C1290" s="521" t="s">
        <v>2688</v>
      </c>
      <c r="E1290" s="1867"/>
      <c r="F1290" s="1867"/>
      <c r="G1290" s="1867"/>
      <c r="H1290" s="1867"/>
      <c r="I1290" s="1631"/>
      <c r="J1290" s="1631"/>
      <c r="K1290" s="1937" t="s">
        <v>1737</v>
      </c>
      <c r="L1290" s="1634" t="str">
        <f>'Part VIII-Threshold Criteria'!L132</f>
        <v>Geotechnical &amp; Environmental Consultants, Inc.</v>
      </c>
      <c r="M1290" s="1634">
        <f>'Part VIII-Threshold Criteria'!M132</f>
        <v>0</v>
      </c>
      <c r="N1290" s="1634">
        <f>'Part VIII-Threshold Criteria'!N132</f>
        <v>0</v>
      </c>
      <c r="O1290" s="1634">
        <f>'Part VIII-Threshold Criteria'!O132</f>
        <v>0</v>
      </c>
      <c r="P1290" s="1634">
        <f>'Part VIII-Threshold Criteria'!P132</f>
        <v>0</v>
      </c>
      <c r="Q1290" s="1895"/>
    </row>
    <row r="1291" spans="1:22">
      <c r="A1291" s="1828"/>
      <c r="B1291" s="1841" t="s">
        <v>1738</v>
      </c>
      <c r="C1291" s="521" t="s">
        <v>3473</v>
      </c>
      <c r="E1291" s="1631"/>
      <c r="F1291" s="1631"/>
      <c r="G1291" s="1631"/>
      <c r="H1291" s="521"/>
      <c r="I1291" s="1631"/>
      <c r="J1291" s="1631"/>
      <c r="K1291" s="1867"/>
      <c r="L1291" s="1834"/>
      <c r="M1291" s="1834"/>
      <c r="O1291" s="1937" t="s">
        <v>1738</v>
      </c>
      <c r="P1291" s="1895">
        <f>'Part VIII-Threshold Criteria'!P133</f>
        <v>69.5</v>
      </c>
      <c r="Q1291" s="1895"/>
    </row>
    <row r="1292" spans="1:22">
      <c r="A1292" s="1828"/>
      <c r="B1292" s="1841" t="s">
        <v>1739</v>
      </c>
      <c r="C1292" s="521" t="s">
        <v>4750</v>
      </c>
      <c r="E1292" s="1631"/>
      <c r="F1292" s="1631"/>
      <c r="G1292" s="1631"/>
      <c r="H1292" s="521"/>
      <c r="I1292" s="1631"/>
      <c r="J1292" s="1631"/>
      <c r="K1292" s="1867"/>
      <c r="L1292" s="1834"/>
      <c r="M1292" s="1834"/>
      <c r="O1292" s="1937" t="s">
        <v>1739</v>
      </c>
      <c r="P1292" s="1895" t="str">
        <f>'Part VIII-Threshold Criteria'!P134</f>
        <v>Yes</v>
      </c>
      <c r="Q1292" s="1895"/>
    </row>
    <row r="1293" spans="1:22">
      <c r="A1293" s="1937" t="s">
        <v>2115</v>
      </c>
      <c r="B1293" s="521" t="s">
        <v>1260</v>
      </c>
      <c r="D1293" s="1867"/>
      <c r="E1293" s="1867"/>
      <c r="F1293" s="1867"/>
      <c r="G1293" s="1867"/>
      <c r="H1293" s="1867"/>
      <c r="I1293" s="1631"/>
      <c r="J1293" s="1631"/>
      <c r="K1293" s="1867"/>
      <c r="L1293" s="1834"/>
      <c r="M1293" s="1834"/>
      <c r="N1293" s="1834"/>
      <c r="O1293" s="1937" t="s">
        <v>2115</v>
      </c>
    </row>
    <row r="1294" spans="1:22">
      <c r="A1294" s="1937"/>
      <c r="B1294" s="1841" t="s">
        <v>1737</v>
      </c>
      <c r="C1294" s="521" t="s">
        <v>149</v>
      </c>
      <c r="E1294" s="1867"/>
      <c r="F1294" s="1867"/>
      <c r="G1294" s="1867"/>
      <c r="H1294" s="1867"/>
      <c r="I1294" s="1631"/>
      <c r="J1294" s="1631"/>
      <c r="K1294" s="1867"/>
      <c r="L1294" s="1834"/>
      <c r="M1294" s="1834"/>
      <c r="O1294" s="1937" t="s">
        <v>1737</v>
      </c>
      <c r="P1294" s="1895" t="str">
        <f>'Part VIII-Threshold Criteria'!P136</f>
        <v>No</v>
      </c>
      <c r="Q1294" s="1895"/>
    </row>
    <row r="1295" spans="1:22">
      <c r="A1295" s="1937"/>
      <c r="B1295" s="1841" t="s">
        <v>1738</v>
      </c>
      <c r="C1295" s="521" t="s">
        <v>1261</v>
      </c>
      <c r="E1295" s="1867"/>
      <c r="F1295" s="1867"/>
      <c r="G1295" s="1867"/>
      <c r="H1295" s="1631"/>
      <c r="I1295" s="1631"/>
      <c r="J1295" s="1631"/>
      <c r="K1295" s="1867"/>
      <c r="L1295" s="1834"/>
      <c r="M1295" s="1834"/>
      <c r="O1295" s="1937" t="s">
        <v>1738</v>
      </c>
      <c r="P1295" s="1895" t="str">
        <f>'Part VIII-Threshold Criteria'!P137</f>
        <v>No</v>
      </c>
      <c r="Q1295" s="1895"/>
    </row>
    <row r="1296" spans="1:22">
      <c r="A1296" s="1937"/>
      <c r="B1296" s="1841"/>
      <c r="C1296" s="521" t="s">
        <v>2632</v>
      </c>
      <c r="E1296" s="1937" t="s">
        <v>2435</v>
      </c>
      <c r="F1296" s="521" t="s">
        <v>2633</v>
      </c>
      <c r="G1296" s="1631"/>
      <c r="H1296" s="521"/>
      <c r="I1296" s="1631"/>
      <c r="J1296" s="1631"/>
      <c r="K1296" s="1867"/>
      <c r="L1296" s="1834"/>
      <c r="M1296" s="1834"/>
      <c r="O1296" s="1937" t="s">
        <v>2435</v>
      </c>
      <c r="P1296" s="2799">
        <f>'Part VIII-Threshold Criteria'!P138</f>
        <v>0</v>
      </c>
      <c r="Q1296" s="2799"/>
    </row>
    <row r="1297" spans="1:17">
      <c r="A1297" s="1937"/>
      <c r="B1297" s="1841"/>
      <c r="E1297" s="1937" t="s">
        <v>2436</v>
      </c>
      <c r="F1297" s="521" t="s">
        <v>2634</v>
      </c>
      <c r="G1297" s="1631"/>
      <c r="H1297" s="521"/>
      <c r="I1297" s="1631"/>
      <c r="J1297" s="1631"/>
      <c r="K1297" s="1867"/>
      <c r="L1297" s="1834"/>
      <c r="M1297" s="1834"/>
      <c r="O1297" s="1937" t="s">
        <v>2436</v>
      </c>
      <c r="P1297" s="1895">
        <f>'Part VIII-Threshold Criteria'!P139</f>
        <v>0</v>
      </c>
      <c r="Q1297" s="1895"/>
    </row>
    <row r="1298" spans="1:17">
      <c r="A1298" s="1937"/>
      <c r="B1298" s="1841"/>
      <c r="E1298" s="1937" t="s">
        <v>2437</v>
      </c>
      <c r="F1298" s="521" t="s">
        <v>2635</v>
      </c>
      <c r="G1298" s="1631"/>
      <c r="H1298" s="521"/>
      <c r="I1298" s="1631"/>
      <c r="J1298" s="1631"/>
      <c r="K1298" s="1867"/>
      <c r="L1298" s="1834"/>
      <c r="M1298" s="1834"/>
      <c r="O1298" s="1937" t="s">
        <v>2437</v>
      </c>
      <c r="P1298" s="1895">
        <f>'Part VIII-Threshold Criteria'!P140</f>
        <v>0</v>
      </c>
      <c r="Q1298" s="1895"/>
    </row>
    <row r="1299" spans="1:17">
      <c r="A1299" s="1937"/>
      <c r="B1299" s="1841" t="s">
        <v>1739</v>
      </c>
      <c r="C1299" s="521" t="s">
        <v>1262</v>
      </c>
      <c r="E1299" s="1867"/>
      <c r="F1299" s="1867"/>
      <c r="G1299" s="1867"/>
      <c r="H1299" s="521"/>
      <c r="I1299" s="1631"/>
      <c r="J1299" s="1631"/>
      <c r="K1299" s="1867"/>
      <c r="L1299" s="1834"/>
      <c r="M1299" s="1834"/>
      <c r="O1299" s="1937" t="s">
        <v>1739</v>
      </c>
      <c r="P1299" s="1895" t="str">
        <f>'Part VIII-Threshold Criteria'!P141</f>
        <v>No</v>
      </c>
      <c r="Q1299" s="1895"/>
    </row>
    <row r="1300" spans="1:17">
      <c r="A1300" s="1937"/>
      <c r="B1300" s="1937"/>
      <c r="C1300" s="521" t="s">
        <v>2632</v>
      </c>
      <c r="E1300" s="1937" t="s">
        <v>2435</v>
      </c>
      <c r="F1300" s="521" t="s">
        <v>2636</v>
      </c>
      <c r="G1300" s="1631"/>
      <c r="H1300" s="521"/>
      <c r="I1300" s="1631"/>
      <c r="J1300" s="1631"/>
      <c r="K1300" s="1867"/>
      <c r="L1300" s="1834"/>
      <c r="O1300" s="1937" t="s">
        <v>2435</v>
      </c>
      <c r="P1300" s="2799">
        <f>'Part VIII-Threshold Criteria'!P142</f>
        <v>0</v>
      </c>
      <c r="Q1300" s="2799"/>
    </row>
    <row r="1301" spans="1:17">
      <c r="A1301" s="1937"/>
      <c r="B1301" s="1937"/>
      <c r="E1301" s="1937" t="s">
        <v>2436</v>
      </c>
      <c r="F1301" s="521" t="s">
        <v>2637</v>
      </c>
      <c r="G1301" s="1631"/>
      <c r="H1301" s="521"/>
      <c r="I1301" s="1631"/>
      <c r="J1301" s="1631"/>
      <c r="O1301" s="1937" t="s">
        <v>2436</v>
      </c>
      <c r="P1301" s="1895">
        <f>'Part VIII-Threshold Criteria'!P143</f>
        <v>0</v>
      </c>
      <c r="Q1301" s="1895"/>
    </row>
    <row r="1302" spans="1:17">
      <c r="A1302" s="1937"/>
      <c r="B1302" s="1937"/>
      <c r="E1302" s="1937" t="s">
        <v>2437</v>
      </c>
      <c r="F1302" s="521" t="s">
        <v>2635</v>
      </c>
      <c r="G1302" s="1631"/>
      <c r="H1302" s="521"/>
      <c r="I1302" s="1631"/>
      <c r="J1302" s="1631"/>
      <c r="O1302" s="1937" t="s">
        <v>2437</v>
      </c>
      <c r="P1302" s="1895">
        <f>'Part VIII-Threshold Criteria'!P144</f>
        <v>0</v>
      </c>
      <c r="Q1302" s="1895"/>
    </row>
    <row r="1303" spans="1:17">
      <c r="A1303" s="1937" t="s">
        <v>1735</v>
      </c>
      <c r="B1303" s="1841" t="s">
        <v>2414</v>
      </c>
      <c r="D1303" s="1867"/>
      <c r="E1303" s="1867"/>
      <c r="F1303" s="1867"/>
      <c r="G1303" s="1867"/>
      <c r="H1303" s="1867"/>
      <c r="I1303" s="1631"/>
      <c r="J1303" s="1631"/>
      <c r="K1303" s="1867"/>
      <c r="L1303" s="1834"/>
      <c r="M1303" s="1834"/>
      <c r="N1303" s="1834"/>
      <c r="O1303" s="1834"/>
      <c r="P1303" s="1834"/>
      <c r="Q1303" s="1834"/>
    </row>
    <row r="1304" spans="1:17">
      <c r="B1304" s="1841" t="s">
        <v>1737</v>
      </c>
      <c r="C1304" s="521" t="s">
        <v>2495</v>
      </c>
      <c r="E1304" s="1867"/>
      <c r="F1304" s="1895" t="str">
        <f>'Part VIII-Threshold Criteria'!F146</f>
        <v>No</v>
      </c>
      <c r="G1304" s="1895"/>
      <c r="H1304" s="1937" t="s">
        <v>4987</v>
      </c>
      <c r="I1304" s="1216" t="s">
        <v>2640</v>
      </c>
      <c r="L1304" s="1895" t="str">
        <f>'Part VIII-Threshold Criteria'!L146</f>
        <v>No</v>
      </c>
      <c r="M1304" s="1895"/>
      <c r="N1304" s="1937" t="s">
        <v>4991</v>
      </c>
      <c r="O1304" s="521" t="s">
        <v>1552</v>
      </c>
      <c r="P1304" s="1895" t="str">
        <f>'Part VIII-Threshold Criteria'!P146</f>
        <v>No</v>
      </c>
      <c r="Q1304" s="1895"/>
    </row>
    <row r="1305" spans="1:17">
      <c r="A1305" s="521"/>
      <c r="B1305" s="1841" t="s">
        <v>1738</v>
      </c>
      <c r="C1305" s="521" t="s">
        <v>2803</v>
      </c>
      <c r="E1305" s="1867"/>
      <c r="F1305" s="1895" t="str">
        <f>'Part VIII-Threshold Criteria'!F147</f>
        <v>Yes</v>
      </c>
      <c r="G1305" s="1895"/>
      <c r="H1305" s="1937" t="s">
        <v>4988</v>
      </c>
      <c r="I1305" s="1216" t="s">
        <v>2641</v>
      </c>
      <c r="L1305" s="1895" t="str">
        <f>'Part VIII-Threshold Criteria'!L147</f>
        <v>No</v>
      </c>
      <c r="M1305" s="1895"/>
      <c r="N1305" s="1937" t="s">
        <v>4992</v>
      </c>
      <c r="O1305" s="521" t="s">
        <v>1551</v>
      </c>
      <c r="P1305" s="1895" t="str">
        <f>'Part VIII-Threshold Criteria'!P147</f>
        <v>No</v>
      </c>
      <c r="Q1305" s="1895"/>
    </row>
    <row r="1306" spans="1:17">
      <c r="A1306" s="521"/>
      <c r="B1306" s="1841" t="s">
        <v>1739</v>
      </c>
      <c r="C1306" s="521" t="s">
        <v>2639</v>
      </c>
      <c r="E1306" s="1867"/>
      <c r="F1306" s="1895" t="str">
        <f>'Part VIII-Threshold Criteria'!F148</f>
        <v>No</v>
      </c>
      <c r="G1306" s="1895"/>
      <c r="H1306" s="1937" t="s">
        <v>4989</v>
      </c>
      <c r="I1306" s="1216" t="s">
        <v>3848</v>
      </c>
      <c r="L1306" s="1895" t="str">
        <f>'Part VIII-Threshold Criteria'!L148</f>
        <v>No</v>
      </c>
      <c r="M1306" s="1895"/>
      <c r="N1306" s="1937" t="s">
        <v>4993</v>
      </c>
      <c r="O1306" s="521" t="s">
        <v>1553</v>
      </c>
      <c r="P1306" s="1895" t="str">
        <f>'Part VIII-Threshold Criteria'!P148</f>
        <v>No</v>
      </c>
      <c r="Q1306" s="1895"/>
    </row>
    <row r="1307" spans="1:17">
      <c r="A1307" s="521"/>
      <c r="B1307" s="1841" t="s">
        <v>2365</v>
      </c>
      <c r="C1307" s="521" t="s">
        <v>2806</v>
      </c>
      <c r="E1307" s="1867"/>
      <c r="F1307" s="1895" t="str">
        <f>'Part VIII-Threshold Criteria'!F149</f>
        <v>No</v>
      </c>
      <c r="G1307" s="1895"/>
      <c r="H1307" s="1937" t="s">
        <v>4990</v>
      </c>
      <c r="I1307" s="521" t="s">
        <v>2802</v>
      </c>
      <c r="L1307" s="1895" t="str">
        <f>'Part VIII-Threshold Criteria'!L149</f>
        <v>No</v>
      </c>
      <c r="M1307" s="1895"/>
      <c r="O1307" s="1937"/>
    </row>
    <row r="1308" spans="1:17">
      <c r="A1308" s="521"/>
      <c r="B1308" s="1841" t="s">
        <v>2894</v>
      </c>
      <c r="C1308" s="521" t="s">
        <v>2804</v>
      </c>
      <c r="E1308" s="1867"/>
      <c r="F1308" s="1867"/>
      <c r="G1308" s="1867"/>
      <c r="H1308" s="1867"/>
      <c r="I1308" s="1867"/>
      <c r="J1308" s="1867"/>
      <c r="K1308" s="1867"/>
      <c r="L1308" s="1867"/>
      <c r="M1308" s="521"/>
      <c r="O1308" s="1937"/>
      <c r="P1308" s="1937"/>
    </row>
    <row r="1309" spans="1:17">
      <c r="A1309" s="521"/>
      <c r="C1309" s="1867" t="str">
        <f>'Part VIII-Threshold Criteria'!C151</f>
        <v>N/A</v>
      </c>
      <c r="D1309" s="1867">
        <f>'Part VIII-Threshold Criteria'!D151</f>
        <v>0</v>
      </c>
      <c r="E1309" s="1867">
        <f>'Part VIII-Threshold Criteria'!E151</f>
        <v>0</v>
      </c>
      <c r="F1309" s="1867">
        <f>'Part VIII-Threshold Criteria'!F151</f>
        <v>0</v>
      </c>
      <c r="G1309" s="1867">
        <f>'Part VIII-Threshold Criteria'!G151</f>
        <v>0</v>
      </c>
      <c r="H1309" s="1867">
        <f>'Part VIII-Threshold Criteria'!H151</f>
        <v>0</v>
      </c>
      <c r="I1309" s="1867">
        <f>'Part VIII-Threshold Criteria'!I151</f>
        <v>0</v>
      </c>
      <c r="J1309" s="1867">
        <f>'Part VIII-Threshold Criteria'!J151</f>
        <v>0</v>
      </c>
      <c r="K1309" s="1867">
        <f>'Part VIII-Threshold Criteria'!K151</f>
        <v>0</v>
      </c>
      <c r="L1309" s="1867">
        <f>'Part VIII-Threshold Criteria'!L151</f>
        <v>0</v>
      </c>
      <c r="M1309" s="1867">
        <f>'Part VIII-Threshold Criteria'!M151</f>
        <v>0</v>
      </c>
      <c r="N1309" s="1867">
        <f>'Part VIII-Threshold Criteria'!N151</f>
        <v>0</v>
      </c>
      <c r="O1309" s="1867">
        <f>'Part VIII-Threshold Criteria'!O151</f>
        <v>0</v>
      </c>
      <c r="P1309" s="1867">
        <f>'Part VIII-Threshold Criteria'!P151</f>
        <v>0</v>
      </c>
      <c r="Q1309" s="1867">
        <f>'Part VIII-Threshold Criteria'!Q151</f>
        <v>0</v>
      </c>
    </row>
    <row r="1310" spans="1:17">
      <c r="A1310" s="1937" t="s">
        <v>1736</v>
      </c>
      <c r="B1310" s="521" t="s">
        <v>3571</v>
      </c>
      <c r="D1310" s="1867"/>
      <c r="E1310" s="1867"/>
      <c r="F1310" s="1867"/>
      <c r="G1310" s="1867"/>
      <c r="H1310" s="1867"/>
      <c r="I1310" s="1631"/>
      <c r="J1310" s="1631"/>
      <c r="K1310" s="1867"/>
      <c r="L1310" s="1867"/>
      <c r="M1310" s="1834"/>
    </row>
    <row r="1311" spans="1:17">
      <c r="A1311" s="1631"/>
      <c r="B1311" s="1841" t="s">
        <v>1737</v>
      </c>
      <c r="C1311" s="521" t="s">
        <v>2807</v>
      </c>
      <c r="E1311" s="1867"/>
      <c r="F1311" s="1867"/>
      <c r="G1311" s="1867"/>
      <c r="H1311" s="1867"/>
      <c r="O1311" s="1937" t="s">
        <v>1737</v>
      </c>
      <c r="P1311" s="1895">
        <f>'Part VIII-Threshold Criteria'!P153</f>
        <v>0</v>
      </c>
      <c r="Q1311" s="1895"/>
    </row>
    <row r="1312" spans="1:17">
      <c r="A1312" s="1895"/>
      <c r="B1312" s="1841" t="s">
        <v>1738</v>
      </c>
      <c r="C1312" s="521" t="s">
        <v>490</v>
      </c>
      <c r="E1312" s="521"/>
      <c r="F1312" s="521"/>
      <c r="G1312" s="521"/>
      <c r="H1312" s="521"/>
      <c r="I1312" s="1631"/>
      <c r="J1312" s="1631"/>
      <c r="K1312" s="521"/>
      <c r="L1312" s="521"/>
      <c r="M1312" s="521"/>
      <c r="O1312" s="1937" t="s">
        <v>1738</v>
      </c>
      <c r="P1312" s="1895">
        <f>'Part VIII-Threshold Criteria'!P154</f>
        <v>0</v>
      </c>
      <c r="Q1312" s="1895"/>
    </row>
    <row r="1313" spans="1:22">
      <c r="A1313" s="1895"/>
      <c r="B1313" s="1841" t="s">
        <v>1739</v>
      </c>
      <c r="C1313" s="521" t="s">
        <v>681</v>
      </c>
      <c r="E1313" s="521"/>
      <c r="F1313" s="521"/>
      <c r="G1313" s="521"/>
      <c r="H1313" s="521"/>
      <c r="I1313" s="1631"/>
      <c r="J1313" s="1631"/>
      <c r="K1313" s="521"/>
      <c r="L1313" s="521"/>
      <c r="M1313" s="521"/>
      <c r="O1313" s="1937" t="s">
        <v>1739</v>
      </c>
      <c r="P1313" s="1895">
        <f>'Part VIII-Threshold Criteria'!P155</f>
        <v>0</v>
      </c>
      <c r="Q1313" s="1895"/>
    </row>
    <row r="1314" spans="1:22">
      <c r="A1314" s="1895"/>
      <c r="B1314" s="1841" t="s">
        <v>2365</v>
      </c>
      <c r="C1314" s="521" t="s">
        <v>4969</v>
      </c>
      <c r="E1314" s="521"/>
      <c r="F1314" s="521"/>
      <c r="G1314" s="521"/>
      <c r="H1314" s="521"/>
      <c r="I1314" s="1631"/>
      <c r="J1314" s="1631"/>
      <c r="K1314" s="521"/>
      <c r="L1314" s="521"/>
      <c r="M1314" s="521"/>
      <c r="O1314" s="1937" t="s">
        <v>1739</v>
      </c>
      <c r="P1314" s="1895">
        <f>'Part VIII-Threshold Criteria'!P156</f>
        <v>0</v>
      </c>
      <c r="Q1314" s="1895"/>
    </row>
    <row r="1315" spans="1:22">
      <c r="A1315" s="1216" t="s">
        <v>3463</v>
      </c>
      <c r="C1315" s="521"/>
      <c r="D1315" s="1867"/>
      <c r="E1315" s="1867"/>
      <c r="F1315" s="1867"/>
      <c r="G1315" s="1867"/>
      <c r="H1315" s="1867"/>
      <c r="I1315" s="1631"/>
      <c r="J1315" s="1631"/>
      <c r="K1315" s="1867"/>
      <c r="L1315" s="1867"/>
      <c r="M1315" s="1834"/>
      <c r="N1315" s="1834"/>
      <c r="O1315" s="1834"/>
      <c r="P1315" s="1834"/>
      <c r="Q1315" s="1834"/>
      <c r="R1315" s="1834"/>
    </row>
    <row r="1316" spans="1:22" ht="12.75" customHeight="1">
      <c r="A1316" s="1937" t="s">
        <v>1947</v>
      </c>
      <c r="B1316" s="1900" t="s">
        <v>4543</v>
      </c>
      <c r="C1316" s="1900"/>
      <c r="D1316" s="1900"/>
      <c r="E1316" s="1900"/>
      <c r="F1316" s="1900"/>
      <c r="G1316" s="1900"/>
      <c r="H1316" s="1900"/>
      <c r="I1316" s="1900"/>
      <c r="J1316" s="1900"/>
      <c r="K1316" s="1900"/>
      <c r="L1316" s="1900"/>
      <c r="M1316" s="1937" t="s">
        <v>1947</v>
      </c>
      <c r="N1316" s="1921" t="str">
        <f>'Part VIII-Threshold Criteria'!N158</f>
        <v>&lt;&lt;Select&gt;&gt;</v>
      </c>
      <c r="O1316" s="1921">
        <f>'Part VIII-Threshold Criteria'!O158</f>
        <v>0</v>
      </c>
      <c r="P1316" s="1921" t="s">
        <v>1771</v>
      </c>
      <c r="Q1316" s="1921"/>
      <c r="R1316" s="1631"/>
      <c r="S1316" s="1631"/>
      <c r="T1316" s="1631"/>
      <c r="U1316" s="1631"/>
      <c r="V1316" s="1631"/>
    </row>
    <row r="1317" spans="1:22">
      <c r="B1317" s="1842" t="s">
        <v>3756</v>
      </c>
      <c r="D1317" s="1842"/>
      <c r="E1317" s="1842"/>
      <c r="F1317" s="1842"/>
      <c r="G1317" s="1842"/>
      <c r="H1317" s="1841"/>
      <c r="I1317" s="1895"/>
      <c r="J1317" s="1895"/>
      <c r="K1317" s="1895"/>
      <c r="L1317" s="1633"/>
      <c r="M1317" s="1633"/>
      <c r="N1317" s="1633"/>
      <c r="O1317" s="1633"/>
      <c r="P1317" s="1633"/>
      <c r="Q1317" s="1633"/>
    </row>
    <row r="1318" spans="1:22" ht="15">
      <c r="A1318" s="1900">
        <f>'Part VIII-Threshold Criteria'!A160</f>
        <v>0</v>
      </c>
      <c r="B1318" s="1900"/>
      <c r="C1318" s="1900"/>
      <c r="D1318" s="1900"/>
      <c r="E1318" s="1900"/>
      <c r="F1318" s="1900"/>
      <c r="G1318" s="1900"/>
      <c r="H1318" s="1900"/>
      <c r="I1318" s="1900"/>
      <c r="J1318" s="1900"/>
      <c r="K1318" s="1900"/>
      <c r="L1318" s="1900"/>
      <c r="M1318" s="1900"/>
      <c r="N1318" s="1900"/>
      <c r="O1318" s="1900"/>
      <c r="P1318" s="1900"/>
      <c r="Q1318" s="1900"/>
      <c r="R1318" s="2786" t="s">
        <v>1254</v>
      </c>
      <c r="S1318" s="2786"/>
      <c r="U1318" s="1634"/>
      <c r="V1318" s="1634"/>
    </row>
    <row r="1319" spans="1:22" ht="15">
      <c r="R1319" s="2786"/>
      <c r="S1319" s="2786"/>
    </row>
    <row r="1320" spans="1:22">
      <c r="B1320" s="1897" t="s">
        <v>1866</v>
      </c>
      <c r="C1320" s="1898"/>
      <c r="D1320" s="1899"/>
      <c r="E1320" s="1899"/>
      <c r="F1320" s="1899"/>
      <c r="G1320" s="1899"/>
      <c r="H1320" s="1899"/>
      <c r="I1320" s="1899"/>
      <c r="J1320" s="1899"/>
      <c r="K1320" s="1899"/>
      <c r="L1320" s="1899"/>
      <c r="M1320" s="1899"/>
      <c r="N1320" s="1899"/>
      <c r="O1320" s="1899"/>
      <c r="P1320" s="1899"/>
      <c r="Q1320" s="1899"/>
    </row>
    <row r="1321" spans="1:22">
      <c r="A1321" s="1900">
        <f>'Part VIII-Threshold Criteria'!A163</f>
        <v>0</v>
      </c>
      <c r="B1321" s="1900"/>
      <c r="C1321" s="1900"/>
      <c r="D1321" s="1900"/>
      <c r="E1321" s="1900"/>
      <c r="F1321" s="1900"/>
      <c r="G1321" s="1900"/>
      <c r="H1321" s="1900"/>
      <c r="I1321" s="1900"/>
      <c r="J1321" s="1900"/>
      <c r="K1321" s="1900"/>
      <c r="L1321" s="1900"/>
      <c r="M1321" s="1900"/>
      <c r="N1321" s="1900"/>
      <c r="O1321" s="1900"/>
      <c r="P1321" s="1900"/>
      <c r="Q1321" s="1900"/>
    </row>
    <row r="1322" spans="1:22">
      <c r="A1322" s="1633"/>
      <c r="B1322" s="1895"/>
      <c r="C1322" s="1899"/>
      <c r="D1322" s="1899"/>
      <c r="E1322" s="1899"/>
      <c r="F1322" s="1899"/>
      <c r="G1322" s="1899"/>
      <c r="H1322" s="1899"/>
      <c r="I1322" s="1899"/>
      <c r="J1322" s="1899"/>
      <c r="K1322" s="1899"/>
      <c r="L1322" s="1899"/>
      <c r="M1322" s="1899"/>
      <c r="N1322" s="1899"/>
      <c r="O1322" s="1899"/>
      <c r="P1322" s="1899"/>
      <c r="Q1322" s="1633"/>
    </row>
    <row r="1323" spans="1:22">
      <c r="A1323" s="1947" t="s">
        <v>292</v>
      </c>
      <c r="B1323" s="1947" t="s">
        <v>2656</v>
      </c>
      <c r="C1323" s="1947"/>
      <c r="D1323" s="1899"/>
      <c r="E1323" s="1899"/>
      <c r="F1323" s="1899"/>
      <c r="G1323" s="1899"/>
      <c r="H1323" s="1899"/>
      <c r="I1323" s="1899"/>
      <c r="J1323" s="1899"/>
      <c r="K1323" s="1899"/>
      <c r="O1323" s="2784" t="s">
        <v>1867</v>
      </c>
      <c r="P1323" s="1634"/>
      <c r="Q1323" s="1634"/>
    </row>
    <row r="1324" spans="1:22">
      <c r="A1324" s="1937" t="s">
        <v>1983</v>
      </c>
      <c r="B1324" s="521" t="s">
        <v>5093</v>
      </c>
      <c r="D1324" s="521"/>
      <c r="E1324" s="521"/>
      <c r="F1324" s="521"/>
      <c r="G1324" s="521"/>
      <c r="H1324" s="521" t="s">
        <v>2707</v>
      </c>
      <c r="K1324" s="2800">
        <f>'Part VIII-Threshold Criteria'!K166</f>
        <v>43950</v>
      </c>
      <c r="L1324" s="2800">
        <f>'Part VIII-Threshold Criteria'!L166</f>
        <v>0</v>
      </c>
      <c r="N1324" s="521"/>
      <c r="O1324" s="1937" t="s">
        <v>1983</v>
      </c>
      <c r="P1324" s="1895" t="str">
        <f>'Part VIII-Threshold Criteria'!P166</f>
        <v>Yes</v>
      </c>
      <c r="Q1324" s="1895"/>
    </row>
    <row r="1325" spans="1:22">
      <c r="A1325" s="1937" t="s">
        <v>1985</v>
      </c>
      <c r="B1325" s="1921" t="s">
        <v>150</v>
      </c>
      <c r="D1325" s="1921"/>
      <c r="E1325" s="1921"/>
      <c r="F1325" s="1921" t="str">
        <f>IF(N1325="Ground lease/Option","Ground lease/Option:","")</f>
        <v/>
      </c>
      <c r="H1325" s="1216" t="str">
        <f>IF(N1325="Ground lease/Option","Annual Pymt:","")</f>
        <v/>
      </c>
      <c r="I1325" s="1874" t="str">
        <f>IF(N1325="Ground lease/Option",'Part VI-Revenues &amp; Expenses'!$H$243,"")</f>
        <v/>
      </c>
      <c r="K1325" s="1953" t="str">
        <f>IF(N1325="Ground lease/Option","Term:","")</f>
        <v/>
      </c>
      <c r="L1325" s="1964" t="str">
        <f>IF(N1325="Ground lease/Option",'Part VI-Revenues &amp; Expenses'!$K$243,"")</f>
        <v/>
      </c>
      <c r="M1325" s="1937" t="s">
        <v>1985</v>
      </c>
      <c r="N1325" s="1955" t="str">
        <f>'Part VIII-Threshold Criteria'!N167</f>
        <v>Purchase Contract</v>
      </c>
      <c r="O1325" s="1955">
        <f>'Part VIII-Threshold Criteria'!O167</f>
        <v>0</v>
      </c>
      <c r="P1325" s="1955" t="s">
        <v>1771</v>
      </c>
      <c r="Q1325" s="1955"/>
    </row>
    <row r="1326" spans="1:22">
      <c r="A1326" s="1937" t="s">
        <v>749</v>
      </c>
      <c r="B1326" s="1921" t="s">
        <v>682</v>
      </c>
      <c r="D1326" s="1921"/>
      <c r="E1326" s="1921"/>
      <c r="F1326" s="1921"/>
      <c r="G1326" s="1921"/>
      <c r="H1326" s="1921"/>
      <c r="J1326" s="1937" t="s">
        <v>749</v>
      </c>
      <c r="K1326" s="521" t="str">
        <f>'Part VIII-Threshold Criteria'!K168</f>
        <v>Stone Terrace GA LLC</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5"/>
    </row>
    <row r="1327" spans="1:22">
      <c r="B1327" s="1842" t="s">
        <v>3756</v>
      </c>
      <c r="D1327" s="1842"/>
      <c r="E1327" s="1842"/>
      <c r="F1327" s="1842"/>
      <c r="G1327" s="1842"/>
      <c r="H1327" s="1841"/>
      <c r="I1327" s="1895"/>
      <c r="J1327" s="1895"/>
      <c r="K1327" s="1895"/>
      <c r="L1327" s="1633"/>
      <c r="M1327" s="1633"/>
      <c r="N1327" s="1633"/>
      <c r="O1327" s="1633"/>
      <c r="P1327" s="1633"/>
      <c r="Q1327" s="1633"/>
    </row>
    <row r="1328" spans="1:22" ht="78.75">
      <c r="A1328" s="1900" t="str">
        <f>'Part VIII-Threshold Criteria'!A170</f>
        <v>Closing date given in contract is 10/31/19, with two 60-day extensions.</v>
      </c>
      <c r="B1328" s="1900"/>
      <c r="C1328" s="1900"/>
      <c r="D1328" s="1900"/>
      <c r="E1328" s="1900"/>
      <c r="F1328" s="1900"/>
      <c r="G1328" s="1900"/>
      <c r="H1328" s="1900"/>
      <c r="I1328" s="1900"/>
      <c r="J1328" s="1900"/>
      <c r="K1328" s="1900"/>
      <c r="L1328" s="1900"/>
      <c r="M1328" s="1900"/>
      <c r="N1328" s="1900"/>
      <c r="O1328" s="1900"/>
      <c r="P1328" s="1900"/>
      <c r="Q1328" s="1900"/>
      <c r="U1328" s="1634"/>
      <c r="V1328" s="1634"/>
    </row>
    <row r="1329" spans="1:22">
      <c r="B1329" s="1897" t="s">
        <v>1866</v>
      </c>
      <c r="C1329" s="1898"/>
      <c r="D1329" s="1899"/>
      <c r="E1329" s="1899"/>
      <c r="F1329" s="1899"/>
      <c r="G1329" s="1899"/>
      <c r="H1329" s="1899"/>
      <c r="I1329" s="1899"/>
      <c r="J1329" s="1899"/>
      <c r="K1329" s="1899"/>
      <c r="L1329" s="1899"/>
      <c r="M1329" s="1899"/>
      <c r="N1329" s="1899"/>
      <c r="O1329" s="1899"/>
      <c r="P1329" s="1899"/>
      <c r="Q1329" s="1899"/>
    </row>
    <row r="1330" spans="1:22">
      <c r="A1330" s="1900">
        <f>'Part VIII-Threshold Criteria'!A172</f>
        <v>0</v>
      </c>
      <c r="B1330" s="1900"/>
      <c r="C1330" s="1900"/>
      <c r="D1330" s="1900"/>
      <c r="E1330" s="1900"/>
      <c r="F1330" s="1900"/>
      <c r="G1330" s="1900"/>
      <c r="H1330" s="1900"/>
      <c r="I1330" s="1900"/>
      <c r="J1330" s="1900"/>
      <c r="K1330" s="1900"/>
      <c r="L1330" s="1900"/>
      <c r="M1330" s="1900"/>
      <c r="N1330" s="1900"/>
      <c r="O1330" s="1900"/>
      <c r="P1330" s="1900"/>
      <c r="Q1330" s="1900"/>
    </row>
    <row r="1331" spans="1:22">
      <c r="A1331" s="1633"/>
      <c r="B1331" s="1895"/>
      <c r="C1331" s="1899"/>
      <c r="D1331" s="1899"/>
      <c r="E1331" s="1899"/>
      <c r="F1331" s="1899"/>
      <c r="G1331" s="1899"/>
      <c r="H1331" s="1899"/>
      <c r="I1331" s="1899"/>
      <c r="J1331" s="1899"/>
      <c r="K1331" s="1899"/>
      <c r="L1331" s="1899"/>
      <c r="M1331" s="1899"/>
      <c r="Q1331" s="1633"/>
    </row>
    <row r="1332" spans="1:22">
      <c r="A1332" s="1947" t="s">
        <v>426</v>
      </c>
      <c r="B1332" s="1947" t="s">
        <v>2657</v>
      </c>
      <c r="C1332" s="1947"/>
      <c r="D1332" s="1899"/>
      <c r="E1332" s="1899"/>
      <c r="F1332" s="1899"/>
      <c r="G1332" s="1899"/>
      <c r="H1332" s="1899"/>
      <c r="I1332" s="1899"/>
      <c r="J1332" s="1899"/>
      <c r="K1332" s="1899"/>
      <c r="L1332" s="1899"/>
      <c r="M1332" s="1899"/>
      <c r="O1332" s="2784" t="s">
        <v>1867</v>
      </c>
      <c r="P1332" s="1634"/>
      <c r="Q1332" s="1634"/>
    </row>
    <row r="1333" spans="1:22" ht="12.75" customHeight="1">
      <c r="A1333" s="1944" t="s">
        <v>1983</v>
      </c>
      <c r="B1333" s="1900" t="s">
        <v>3745</v>
      </c>
      <c r="C1333" s="1900"/>
      <c r="D1333" s="1900"/>
      <c r="E1333" s="1900"/>
      <c r="F1333" s="1900"/>
      <c r="G1333" s="1900"/>
      <c r="H1333" s="1900"/>
      <c r="I1333" s="1900"/>
      <c r="J1333" s="1900"/>
      <c r="K1333" s="1900"/>
      <c r="L1333" s="1900"/>
      <c r="M1333" s="1900"/>
      <c r="N1333" s="1900"/>
      <c r="O1333" s="1944" t="s">
        <v>1983</v>
      </c>
      <c r="P1333" s="1948" t="str">
        <f>'Part VIII-Threshold Criteria'!P175</f>
        <v>Yes</v>
      </c>
      <c r="Q1333" s="1948"/>
    </row>
    <row r="1334" spans="1:22" ht="12.75" customHeight="1">
      <c r="A1334" s="1944" t="s">
        <v>1985</v>
      </c>
      <c r="B1334" s="1900" t="s">
        <v>4767</v>
      </c>
      <c r="C1334" s="1900"/>
      <c r="D1334" s="1900"/>
      <c r="E1334" s="1900"/>
      <c r="F1334" s="1900"/>
      <c r="G1334" s="1900"/>
      <c r="H1334" s="1900"/>
      <c r="I1334" s="1900"/>
      <c r="J1334" s="1900"/>
      <c r="K1334" s="1900"/>
      <c r="L1334" s="1900"/>
      <c r="M1334" s="1900"/>
      <c r="N1334" s="1900"/>
      <c r="O1334" s="1944" t="s">
        <v>1985</v>
      </c>
      <c r="P1334" s="1948">
        <f>'Part VIII-Threshold Criteria'!P176</f>
        <v>0</v>
      </c>
      <c r="Q1334" s="1948"/>
    </row>
    <row r="1335" spans="1:22" ht="12.75" customHeight="1">
      <c r="A1335" s="1944" t="s">
        <v>749</v>
      </c>
      <c r="B1335" s="1900" t="s">
        <v>3746</v>
      </c>
      <c r="C1335" s="1900"/>
      <c r="D1335" s="1900"/>
      <c r="E1335" s="1900"/>
      <c r="F1335" s="1900"/>
      <c r="G1335" s="1900"/>
      <c r="H1335" s="1900"/>
      <c r="I1335" s="1900"/>
      <c r="J1335" s="1900"/>
      <c r="K1335" s="1900"/>
      <c r="L1335" s="1900"/>
      <c r="M1335" s="1900"/>
      <c r="N1335" s="1900"/>
      <c r="O1335" s="1944" t="s">
        <v>749</v>
      </c>
      <c r="P1335" s="1948">
        <f>'Part VIII-Threshold Criteria'!P177</f>
        <v>0</v>
      </c>
      <c r="Q1335" s="1948"/>
    </row>
    <row r="1336" spans="1:22" ht="12.75" customHeight="1">
      <c r="A1336" s="1944" t="s">
        <v>2115</v>
      </c>
      <c r="B1336" s="1900" t="s">
        <v>4913</v>
      </c>
      <c r="C1336" s="1900"/>
      <c r="D1336" s="1900"/>
      <c r="E1336" s="1900"/>
      <c r="F1336" s="1900"/>
      <c r="G1336" s="1900"/>
      <c r="H1336" s="1900"/>
      <c r="I1336" s="1900"/>
      <c r="J1336" s="1900"/>
      <c r="K1336" s="1900"/>
      <c r="L1336" s="1900"/>
      <c r="M1336" s="1900"/>
      <c r="N1336" s="1900"/>
      <c r="O1336" s="1944" t="s">
        <v>2115</v>
      </c>
      <c r="P1336" s="1948">
        <f>'Part VIII-Threshold Criteria'!P178</f>
        <v>0</v>
      </c>
      <c r="Q1336" s="1948"/>
    </row>
    <row r="1337" spans="1:22">
      <c r="B1337" s="1842" t="s">
        <v>3756</v>
      </c>
      <c r="D1337" s="1842"/>
      <c r="E1337" s="1842"/>
      <c r="F1337" s="1842"/>
      <c r="G1337" s="1842"/>
      <c r="H1337" s="1841"/>
      <c r="I1337" s="1895"/>
      <c r="J1337" s="1895"/>
      <c r="K1337" s="1895"/>
      <c r="L1337" s="1633"/>
      <c r="M1337" s="1633"/>
      <c r="N1337" s="1633"/>
      <c r="O1337" s="1633"/>
      <c r="P1337" s="1633"/>
      <c r="Q1337" s="1633"/>
    </row>
    <row r="1338" spans="1:22">
      <c r="A1338" s="1900">
        <f>'Part VIII-Threshold Criteria'!A180</f>
        <v>0</v>
      </c>
      <c r="B1338" s="1900"/>
      <c r="C1338" s="1900"/>
      <c r="D1338" s="1900"/>
      <c r="E1338" s="1900"/>
      <c r="F1338" s="1900"/>
      <c r="G1338" s="1900"/>
      <c r="H1338" s="1900"/>
      <c r="I1338" s="1900"/>
      <c r="J1338" s="1900"/>
      <c r="K1338" s="1900"/>
      <c r="L1338" s="1900"/>
      <c r="M1338" s="1900"/>
      <c r="N1338" s="1900"/>
      <c r="O1338" s="1900"/>
      <c r="P1338" s="1900"/>
      <c r="Q1338" s="1900"/>
      <c r="U1338" s="1634"/>
      <c r="V1338" s="1634"/>
    </row>
    <row r="1339" spans="1:22">
      <c r="B1339" s="1897" t="s">
        <v>1866</v>
      </c>
      <c r="C1339" s="1898"/>
      <c r="D1339" s="1899"/>
      <c r="E1339" s="1899"/>
      <c r="F1339" s="1899"/>
      <c r="G1339" s="1899"/>
      <c r="H1339" s="1899"/>
      <c r="I1339" s="1899"/>
      <c r="J1339" s="1899"/>
      <c r="K1339" s="1899"/>
      <c r="L1339" s="1899"/>
      <c r="M1339" s="1899"/>
      <c r="N1339" s="1899"/>
      <c r="O1339" s="1899"/>
      <c r="P1339" s="1899"/>
      <c r="Q1339" s="1899"/>
    </row>
    <row r="1340" spans="1:22">
      <c r="A1340" s="1900">
        <f>'Part VIII-Threshold Criteria'!A182</f>
        <v>0</v>
      </c>
      <c r="B1340" s="1900"/>
      <c r="C1340" s="1900"/>
      <c r="D1340" s="1900"/>
      <c r="E1340" s="1900"/>
      <c r="F1340" s="1900"/>
      <c r="G1340" s="1900"/>
      <c r="H1340" s="1900"/>
      <c r="I1340" s="1900"/>
      <c r="J1340" s="1900"/>
      <c r="K1340" s="1900"/>
      <c r="L1340" s="1900"/>
      <c r="M1340" s="1900"/>
      <c r="N1340" s="1900"/>
      <c r="O1340" s="1900"/>
      <c r="P1340" s="1900"/>
      <c r="Q1340" s="1900"/>
    </row>
    <row r="1341" spans="1:22">
      <c r="B1341" s="1895"/>
      <c r="C1341" s="1899"/>
      <c r="D1341" s="1899"/>
      <c r="E1341" s="1899"/>
      <c r="F1341" s="1899"/>
      <c r="G1341" s="1899"/>
      <c r="H1341" s="1899"/>
      <c r="I1341" s="1899"/>
      <c r="J1341" s="1899"/>
      <c r="K1341" s="1899"/>
      <c r="L1341" s="1899"/>
      <c r="M1341" s="1899"/>
      <c r="N1341" s="1899"/>
      <c r="O1341" s="1899"/>
      <c r="P1341" s="1899"/>
      <c r="Q1341" s="1633"/>
    </row>
    <row r="1342" spans="1:22">
      <c r="A1342" s="1843" t="s">
        <v>362</v>
      </c>
      <c r="B1342" s="1631" t="s">
        <v>2658</v>
      </c>
      <c r="C1342" s="1631"/>
      <c r="D1342" s="1631"/>
      <c r="O1342" s="2784" t="s">
        <v>1867</v>
      </c>
      <c r="P1342" s="1634"/>
      <c r="Q1342" s="1634"/>
    </row>
    <row r="1343" spans="1:22">
      <c r="A1343" s="1944" t="s">
        <v>1983</v>
      </c>
      <c r="B1343" s="1952" t="s">
        <v>468</v>
      </c>
      <c r="D1343" s="1952"/>
      <c r="E1343" s="1952"/>
      <c r="F1343" s="1952"/>
      <c r="G1343" s="1952"/>
      <c r="H1343" s="1952"/>
      <c r="I1343" s="1952"/>
      <c r="J1343" s="1952"/>
      <c r="K1343" s="1952"/>
      <c r="L1343" s="1952"/>
      <c r="M1343" s="1952"/>
      <c r="O1343" s="1944" t="s">
        <v>1983</v>
      </c>
      <c r="P1343" s="1895" t="str">
        <f>'Part VIII-Threshold Criteria'!P185</f>
        <v>Yes</v>
      </c>
      <c r="Q1343" s="1895"/>
    </row>
    <row r="1344" spans="1:22">
      <c r="A1344" s="1944" t="s">
        <v>1985</v>
      </c>
      <c r="B1344" s="1952" t="s">
        <v>2643</v>
      </c>
      <c r="D1344" s="1952"/>
      <c r="E1344" s="1952"/>
      <c r="F1344" s="1952"/>
      <c r="G1344" s="1952"/>
      <c r="H1344" s="1952"/>
      <c r="I1344" s="1952"/>
      <c r="J1344" s="1952"/>
      <c r="K1344" s="1952"/>
      <c r="L1344" s="1952"/>
      <c r="M1344" s="1952"/>
      <c r="O1344" s="1944" t="s">
        <v>1985</v>
      </c>
      <c r="P1344" s="1895" t="str">
        <f>'Part VIII-Threshold Criteria'!P186</f>
        <v>Yes</v>
      </c>
      <c r="Q1344" s="1895"/>
    </row>
    <row r="1345" spans="1:22">
      <c r="A1345" s="1944" t="s">
        <v>749</v>
      </c>
      <c r="B1345" s="1952" t="s">
        <v>2644</v>
      </c>
      <c r="D1345" s="1952"/>
      <c r="E1345" s="1952"/>
      <c r="F1345" s="1952"/>
      <c r="G1345" s="1952"/>
      <c r="H1345" s="1952"/>
      <c r="I1345" s="1952"/>
      <c r="J1345" s="1921" t="s">
        <v>4930</v>
      </c>
      <c r="L1345" s="1952"/>
      <c r="M1345" s="1952"/>
      <c r="O1345" s="1944" t="s">
        <v>749</v>
      </c>
      <c r="P1345" s="1895" t="str">
        <f>'Part VIII-Threshold Criteria'!P187</f>
        <v>Yes</v>
      </c>
      <c r="Q1345" s="1895"/>
    </row>
    <row r="1346" spans="1:22">
      <c r="B1346" s="1841" t="s">
        <v>1737</v>
      </c>
      <c r="C1346" s="1841" t="s">
        <v>2645</v>
      </c>
      <c r="G1346" s="1952"/>
      <c r="H1346" s="1952"/>
      <c r="J1346" s="1952"/>
      <c r="K1346" s="1952"/>
      <c r="L1346" s="1952"/>
      <c r="M1346" s="1952"/>
      <c r="O1346" s="1953" t="s">
        <v>1737</v>
      </c>
      <c r="P1346" s="1895" t="str">
        <f>'Part VIII-Threshold Criteria'!P188</f>
        <v>Yes</v>
      </c>
      <c r="Q1346" s="1895"/>
    </row>
    <row r="1347" spans="1:22">
      <c r="A1347" s="1921"/>
      <c r="B1347" s="1841" t="s">
        <v>1738</v>
      </c>
      <c r="C1347" s="1841" t="s">
        <v>4545</v>
      </c>
      <c r="G1347" s="1952"/>
      <c r="H1347" s="1952"/>
      <c r="I1347" s="1952"/>
      <c r="J1347" s="1952"/>
      <c r="K1347" s="1952"/>
      <c r="L1347" s="1952"/>
      <c r="M1347" s="1952"/>
      <c r="O1347" s="1953" t="s">
        <v>1738</v>
      </c>
      <c r="P1347" s="1895" t="str">
        <f>'Part VIII-Threshold Criteria'!P189</f>
        <v>Yes</v>
      </c>
      <c r="Q1347" s="1895"/>
    </row>
    <row r="1348" spans="1:22" ht="12.75" customHeight="1">
      <c r="A1348" s="1944"/>
      <c r="B1348" s="1952" t="s">
        <v>1739</v>
      </c>
      <c r="C1348" s="1900" t="s">
        <v>3747</v>
      </c>
      <c r="D1348" s="1900"/>
      <c r="E1348" s="1900"/>
      <c r="F1348" s="1900"/>
      <c r="G1348" s="1900"/>
      <c r="H1348" s="1900"/>
      <c r="I1348" s="1900"/>
      <c r="J1348" s="1900"/>
      <c r="K1348" s="1900"/>
      <c r="L1348" s="1900"/>
      <c r="M1348" s="1900"/>
      <c r="N1348" s="1900"/>
      <c r="O1348" s="1944" t="s">
        <v>1739</v>
      </c>
      <c r="P1348" s="1948" t="str">
        <f>'Part VIII-Threshold Criteria'!P190</f>
        <v>Yes</v>
      </c>
      <c r="Q1348" s="1948"/>
      <c r="R1348" s="1913"/>
      <c r="S1348" s="1913"/>
      <c r="T1348" s="1913"/>
      <c r="U1348" s="1913"/>
      <c r="V1348" s="1913"/>
    </row>
    <row r="1349" spans="1:22">
      <c r="A1349" s="1944"/>
      <c r="B1349" s="1841" t="s">
        <v>2365</v>
      </c>
      <c r="C1349" s="1841" t="s">
        <v>2647</v>
      </c>
      <c r="G1349" s="1952"/>
      <c r="H1349" s="1952"/>
      <c r="I1349" s="1952"/>
      <c r="J1349" s="1952"/>
      <c r="K1349" s="1952"/>
      <c r="L1349" s="1952"/>
      <c r="M1349" s="1952"/>
      <c r="O1349" s="1953" t="s">
        <v>2365</v>
      </c>
      <c r="P1349" s="1895" t="str">
        <f>'Part VIII-Threshold Criteria'!P191</f>
        <v>Yes</v>
      </c>
      <c r="Q1349" s="1895"/>
    </row>
    <row r="1350" spans="1:22" ht="12.75" customHeight="1">
      <c r="A1350" s="1944"/>
      <c r="B1350" s="1952" t="s">
        <v>1549</v>
      </c>
      <c r="C1350" s="1900" t="s">
        <v>2648</v>
      </c>
      <c r="D1350" s="1900"/>
      <c r="E1350" s="1900"/>
      <c r="F1350" s="1900"/>
      <c r="G1350" s="1900"/>
      <c r="H1350" s="1900"/>
      <c r="I1350" s="1900"/>
      <c r="J1350" s="1900"/>
      <c r="K1350" s="1900"/>
      <c r="L1350" s="1900"/>
      <c r="M1350" s="1900"/>
      <c r="N1350" s="1900"/>
      <c r="O1350" s="1944" t="s">
        <v>1549</v>
      </c>
      <c r="P1350" s="1948" t="str">
        <f>'Part VIII-Threshold Criteria'!P192</f>
        <v>Yes</v>
      </c>
      <c r="Q1350" s="1948"/>
      <c r="R1350" s="1913"/>
      <c r="S1350" s="1913"/>
      <c r="T1350" s="1913"/>
      <c r="U1350" s="1913"/>
      <c r="V1350" s="1913"/>
    </row>
    <row r="1351" spans="1:22" ht="12.75" customHeight="1">
      <c r="A1351" s="1944"/>
      <c r="B1351" s="1952" t="s">
        <v>1550</v>
      </c>
      <c r="C1351" s="1900" t="s">
        <v>3900</v>
      </c>
      <c r="D1351" s="1900"/>
      <c r="E1351" s="1900"/>
      <c r="F1351" s="1900"/>
      <c r="G1351" s="1900"/>
      <c r="H1351" s="1900"/>
      <c r="I1351" s="1900"/>
      <c r="J1351" s="1900"/>
      <c r="K1351" s="1900"/>
      <c r="L1351" s="1900"/>
      <c r="M1351" s="1900"/>
      <c r="N1351" s="1900"/>
      <c r="O1351" s="1944" t="s">
        <v>1550</v>
      </c>
      <c r="P1351" s="1948" t="str">
        <f>'Part VIII-Threshold Criteria'!P193</f>
        <v>Yes</v>
      </c>
      <c r="Q1351" s="1948"/>
      <c r="R1351" s="1913"/>
      <c r="S1351" s="1913"/>
      <c r="T1351" s="1913"/>
      <c r="U1351" s="1913"/>
      <c r="V1351" s="1913"/>
    </row>
    <row r="1352" spans="1:22" ht="12.75" customHeight="1">
      <c r="A1352" s="1944" t="s">
        <v>2115</v>
      </c>
      <c r="B1352" s="1900" t="s">
        <v>2649</v>
      </c>
      <c r="C1352" s="1900"/>
      <c r="D1352" s="1900"/>
      <c r="E1352" s="1900"/>
      <c r="F1352" s="1900"/>
      <c r="G1352" s="1900"/>
      <c r="H1352" s="1900"/>
      <c r="I1352" s="1900"/>
      <c r="J1352" s="1900"/>
      <c r="K1352" s="1900"/>
      <c r="L1352" s="1900"/>
      <c r="M1352" s="1900"/>
      <c r="N1352" s="1900"/>
      <c r="O1352" s="1944" t="s">
        <v>2115</v>
      </c>
      <c r="P1352" s="1948" t="str">
        <f>'Part VIII-Threshold Criteria'!P194</f>
        <v>Yes</v>
      </c>
      <c r="Q1352" s="1948"/>
    </row>
    <row r="1353" spans="1:22">
      <c r="A1353" s="1944" t="s">
        <v>1735</v>
      </c>
      <c r="B1353" s="1952" t="s">
        <v>2379</v>
      </c>
      <c r="D1353" s="1952"/>
      <c r="E1353" s="1952"/>
      <c r="F1353" s="1952"/>
      <c r="G1353" s="1952"/>
      <c r="H1353" s="1952"/>
      <c r="I1353" s="1952"/>
      <c r="J1353" s="1952"/>
      <c r="K1353" s="1952"/>
      <c r="L1353" s="1952"/>
      <c r="M1353" s="1952"/>
      <c r="O1353" s="1944" t="s">
        <v>1735</v>
      </c>
      <c r="P1353" s="1895" t="str">
        <f>'Part VIII-Threshold Criteria'!P195</f>
        <v>Yes</v>
      </c>
      <c r="Q1353" s="1895"/>
    </row>
    <row r="1354" spans="1:22">
      <c r="B1354" s="1842" t="s">
        <v>3756</v>
      </c>
      <c r="D1354" s="1842"/>
      <c r="E1354" s="1842"/>
      <c r="F1354" s="1842"/>
      <c r="G1354" s="1842"/>
      <c r="H1354" s="1841"/>
      <c r="I1354" s="1895"/>
      <c r="J1354" s="1895"/>
      <c r="K1354" s="1895"/>
      <c r="L1354" s="1633"/>
      <c r="M1354" s="1633"/>
      <c r="N1354" s="1633"/>
      <c r="O1354" s="1633"/>
      <c r="P1354" s="1633"/>
      <c r="Q1354" s="1633"/>
    </row>
    <row r="1355" spans="1:22">
      <c r="A1355" s="1900">
        <f>'Part VIII-Threshold Criteria'!A197</f>
        <v>0</v>
      </c>
      <c r="B1355" s="1900"/>
      <c r="C1355" s="1900"/>
      <c r="D1355" s="1900"/>
      <c r="E1355" s="1900"/>
      <c r="F1355" s="1900"/>
      <c r="G1355" s="1900"/>
      <c r="H1355" s="1900"/>
      <c r="I1355" s="1900"/>
      <c r="J1355" s="1900"/>
      <c r="K1355" s="1900"/>
      <c r="L1355" s="1900"/>
      <c r="M1355" s="1900"/>
      <c r="N1355" s="1900"/>
      <c r="O1355" s="1900"/>
      <c r="P1355" s="1900"/>
      <c r="Q1355" s="1900"/>
      <c r="U1355" s="1634"/>
      <c r="V1355" s="1634"/>
    </row>
    <row r="1356" spans="1:22">
      <c r="B1356" s="1897" t="s">
        <v>1866</v>
      </c>
      <c r="C1356" s="1898"/>
      <c r="D1356" s="1899"/>
      <c r="E1356" s="1899"/>
      <c r="F1356" s="1899"/>
      <c r="G1356" s="1899"/>
      <c r="H1356" s="1899"/>
      <c r="I1356" s="1899"/>
      <c r="J1356" s="1899"/>
      <c r="K1356" s="1899"/>
      <c r="L1356" s="1899"/>
      <c r="M1356" s="1899"/>
      <c r="N1356" s="1899"/>
      <c r="O1356" s="1899"/>
      <c r="P1356" s="1899"/>
      <c r="Q1356" s="1899"/>
    </row>
    <row r="1357" spans="1:22">
      <c r="A1357" s="1900">
        <f>'Part VIII-Threshold Criteria'!A199</f>
        <v>0</v>
      </c>
      <c r="B1357" s="1900"/>
      <c r="C1357" s="1900"/>
      <c r="D1357" s="1900"/>
      <c r="E1357" s="1900"/>
      <c r="F1357" s="1900"/>
      <c r="G1357" s="1900"/>
      <c r="H1357" s="1900"/>
      <c r="I1357" s="1900"/>
      <c r="J1357" s="1900"/>
      <c r="K1357" s="1900"/>
      <c r="L1357" s="1900"/>
      <c r="M1357" s="1900"/>
      <c r="N1357" s="1900"/>
      <c r="O1357" s="1900"/>
      <c r="P1357" s="1900"/>
      <c r="Q1357" s="1900"/>
    </row>
    <row r="1358" spans="1:22">
      <c r="A1358" s="1633"/>
      <c r="B1358" s="1895"/>
      <c r="C1358" s="1899"/>
      <c r="D1358" s="1899"/>
      <c r="E1358" s="1899"/>
      <c r="F1358" s="1899"/>
      <c r="G1358" s="1899"/>
      <c r="H1358" s="1899"/>
      <c r="I1358" s="1899"/>
      <c r="J1358" s="1899"/>
      <c r="K1358" s="1899"/>
      <c r="L1358" s="1899"/>
      <c r="M1358" s="1899"/>
      <c r="N1358" s="1899"/>
      <c r="O1358" s="1899"/>
      <c r="P1358" s="1899"/>
      <c r="Q1358" s="1633"/>
    </row>
    <row r="1359" spans="1:22">
      <c r="A1359" s="1947" t="s">
        <v>363</v>
      </c>
      <c r="B1359" s="1947" t="s">
        <v>2659</v>
      </c>
      <c r="C1359" s="1947"/>
      <c r="D1359" s="1899"/>
      <c r="E1359" s="1954"/>
      <c r="F1359" s="1954"/>
      <c r="G1359" s="1899"/>
      <c r="J1359" s="1900"/>
      <c r="K1359" s="1900"/>
      <c r="L1359" s="1900"/>
      <c r="M1359" s="1900"/>
      <c r="N1359" s="1900"/>
      <c r="O1359" s="2784" t="s">
        <v>1867</v>
      </c>
      <c r="P1359" s="1634"/>
      <c r="Q1359" s="1634"/>
    </row>
    <row r="1360" spans="1:22" ht="12.75" customHeight="1">
      <c r="A1360" s="1867" t="s">
        <v>5084</v>
      </c>
      <c r="B1360" s="1867"/>
      <c r="C1360" s="1867"/>
      <c r="D1360" s="1867"/>
      <c r="E1360" s="1867"/>
      <c r="F1360" s="1867"/>
      <c r="G1360" s="1867"/>
      <c r="H1360" s="1867"/>
      <c r="I1360" s="1867"/>
      <c r="J1360" s="1867"/>
      <c r="K1360" s="1867"/>
      <c r="L1360" s="1867"/>
      <c r="M1360" s="1867"/>
      <c r="N1360" s="1867"/>
      <c r="O1360" s="1867"/>
      <c r="P1360" s="1867"/>
      <c r="Q1360" s="1867"/>
    </row>
    <row r="1361" spans="1:22">
      <c r="A1361" s="1828"/>
      <c r="B1361" s="1921" t="s">
        <v>97</v>
      </c>
      <c r="D1361" s="1921"/>
      <c r="E1361" s="1921"/>
      <c r="F1361" s="1921"/>
      <c r="G1361" s="1921"/>
      <c r="H1361" s="1937" t="s">
        <v>1737</v>
      </c>
      <c r="I1361" s="521" t="s">
        <v>152</v>
      </c>
      <c r="J1361" s="521" t="str">
        <f>'Part VIII-Threshold Criteria'!J203</f>
        <v>N/A</v>
      </c>
      <c r="K1361" s="521">
        <f>'Part VIII-Threshold Criteria'!K203</f>
        <v>0</v>
      </c>
      <c r="L1361" s="521">
        <f>'Part VIII-Threshold Criteria'!L203</f>
        <v>0</v>
      </c>
      <c r="M1361" s="521">
        <f>'Part VIII-Threshold Criteria'!M203</f>
        <v>0</v>
      </c>
      <c r="N1361" s="521">
        <f>'Part VIII-Threshold Criteria'!N203</f>
        <v>0</v>
      </c>
      <c r="O1361" s="1937" t="s">
        <v>1737</v>
      </c>
      <c r="P1361" s="1895">
        <f>'Part VIII-Threshold Criteria'!P203</f>
        <v>0</v>
      </c>
      <c r="Q1361" s="1895"/>
    </row>
    <row r="1362" spans="1:22">
      <c r="A1362" s="1828"/>
      <c r="B1362" s="1842" t="s">
        <v>3756</v>
      </c>
      <c r="C1362" s="1838"/>
      <c r="D1362" s="1838"/>
      <c r="E1362" s="1838"/>
      <c r="F1362" s="1838"/>
      <c r="H1362" s="1937" t="s">
        <v>1738</v>
      </c>
      <c r="I1362" s="521" t="s">
        <v>1596</v>
      </c>
      <c r="J1362" s="521" t="str">
        <f>'Part VIII-Threshold Criteria'!J204</f>
        <v>Georgia Power</v>
      </c>
      <c r="K1362" s="521">
        <f>'Part VIII-Threshold Criteria'!K204</f>
        <v>0</v>
      </c>
      <c r="L1362" s="521">
        <f>'Part VIII-Threshold Criteria'!L204</f>
        <v>0</v>
      </c>
      <c r="M1362" s="521">
        <f>'Part VIII-Threshold Criteria'!M204</f>
        <v>0</v>
      </c>
      <c r="N1362" s="521">
        <f>'Part VIII-Threshold Criteria'!N204</f>
        <v>0</v>
      </c>
      <c r="O1362" s="1937" t="s">
        <v>1738</v>
      </c>
      <c r="P1362" s="1895" t="str">
        <f>'Part VIII-Threshold Criteria'!P204</f>
        <v>Yes</v>
      </c>
      <c r="Q1362" s="1895"/>
    </row>
    <row r="1363" spans="1:22">
      <c r="A1363" s="1900">
        <f>'Part VIII-Threshold Criteria'!A205</f>
        <v>0</v>
      </c>
      <c r="B1363" s="1900"/>
      <c r="C1363" s="1900"/>
      <c r="D1363" s="1900"/>
      <c r="E1363" s="1900"/>
      <c r="F1363" s="1900"/>
      <c r="G1363" s="1900"/>
      <c r="H1363" s="1900"/>
      <c r="I1363" s="1900"/>
      <c r="J1363" s="1900"/>
      <c r="K1363" s="1900"/>
      <c r="L1363" s="1900"/>
      <c r="M1363" s="1900"/>
      <c r="N1363" s="1900"/>
      <c r="O1363" s="1900"/>
      <c r="P1363" s="1900"/>
      <c r="Q1363" s="1900"/>
      <c r="U1363" s="1634"/>
      <c r="V1363" s="1634"/>
    </row>
    <row r="1364" spans="1:22">
      <c r="B1364" s="1897" t="s">
        <v>1866</v>
      </c>
      <c r="C1364" s="1898"/>
      <c r="D1364" s="1899"/>
      <c r="E1364" s="1899"/>
      <c r="F1364" s="1899"/>
      <c r="G1364" s="1899"/>
      <c r="H1364" s="1899"/>
      <c r="I1364" s="1899"/>
      <c r="J1364" s="1899"/>
      <c r="K1364" s="1899"/>
      <c r="L1364" s="1899"/>
      <c r="M1364" s="1899"/>
      <c r="N1364" s="1899"/>
      <c r="O1364" s="1899"/>
      <c r="P1364" s="1899"/>
      <c r="Q1364" s="1899"/>
    </row>
    <row r="1365" spans="1:22">
      <c r="A1365" s="1900">
        <f>'Part VIII-Threshold Criteria'!A207</f>
        <v>0</v>
      </c>
      <c r="B1365" s="1900"/>
      <c r="C1365" s="1900"/>
      <c r="D1365" s="1900"/>
      <c r="E1365" s="1900"/>
      <c r="F1365" s="1900"/>
      <c r="G1365" s="1900"/>
      <c r="H1365" s="1900"/>
      <c r="I1365" s="1900"/>
      <c r="J1365" s="1900"/>
      <c r="K1365" s="1900"/>
      <c r="L1365" s="1900"/>
      <c r="M1365" s="1900"/>
      <c r="N1365" s="1900"/>
      <c r="O1365" s="1900"/>
      <c r="P1365" s="1900"/>
      <c r="Q1365" s="1900"/>
    </row>
    <row r="1366" spans="1:22">
      <c r="B1366" s="1895"/>
      <c r="C1366" s="1899"/>
      <c r="D1366" s="1899"/>
      <c r="E1366" s="1899"/>
      <c r="F1366" s="1899"/>
      <c r="G1366" s="1899"/>
      <c r="H1366" s="1899"/>
      <c r="I1366" s="1899"/>
      <c r="J1366" s="1899"/>
      <c r="K1366" s="1899"/>
      <c r="L1366" s="1899"/>
      <c r="M1366" s="1899"/>
      <c r="Q1366" s="1633"/>
    </row>
    <row r="1367" spans="1:22">
      <c r="A1367" s="1947" t="s">
        <v>364</v>
      </c>
      <c r="B1367" s="1631" t="s">
        <v>2660</v>
      </c>
      <c r="C1367" s="1631"/>
      <c r="D1367" s="521"/>
      <c r="E1367" s="521"/>
      <c r="F1367" s="521"/>
      <c r="G1367" s="1899"/>
      <c r="H1367" s="1899"/>
      <c r="I1367" s="1899"/>
      <c r="J1367" s="1899"/>
      <c r="K1367" s="1899"/>
      <c r="L1367" s="1899"/>
      <c r="M1367" s="1899"/>
      <c r="O1367" s="2784" t="s">
        <v>1867</v>
      </c>
      <c r="P1367" s="1634"/>
      <c r="Q1367" s="1634"/>
    </row>
    <row r="1368" spans="1:22" ht="12.75" customHeight="1">
      <c r="A1368" s="1944" t="s">
        <v>1983</v>
      </c>
      <c r="B1368" s="1900" t="s">
        <v>1849</v>
      </c>
      <c r="C1368" s="1900"/>
      <c r="D1368" s="1900"/>
      <c r="E1368" s="1900"/>
      <c r="F1368" s="1900"/>
      <c r="G1368" s="1900"/>
      <c r="H1368" s="1937" t="s">
        <v>1737</v>
      </c>
      <c r="I1368" s="521" t="s">
        <v>635</v>
      </c>
      <c r="J1368" s="521" t="str">
        <f>'Part VIII-Threshold Criteria'!J210</f>
        <v>DeKalb County Watershed Management</v>
      </c>
      <c r="K1368" s="521">
        <f>'Part VIII-Threshold Criteria'!K210</f>
        <v>0</v>
      </c>
      <c r="L1368" s="521">
        <f>'Part VIII-Threshold Criteria'!L210</f>
        <v>0</v>
      </c>
      <c r="M1368" s="521">
        <f>'Part VIII-Threshold Criteria'!M210</f>
        <v>0</v>
      </c>
      <c r="N1368" s="521">
        <f>'Part VIII-Threshold Criteria'!N210</f>
        <v>0</v>
      </c>
      <c r="O1368" s="1944" t="s">
        <v>1486</v>
      </c>
      <c r="P1368" s="1895" t="str">
        <f>'Part VIII-Threshold Criteria'!P210</f>
        <v>Yes</v>
      </c>
      <c r="Q1368" s="1895"/>
    </row>
    <row r="1369" spans="1:22">
      <c r="A1369" s="1636"/>
      <c r="B1369" s="1900"/>
      <c r="C1369" s="1900"/>
      <c r="D1369" s="1900"/>
      <c r="E1369" s="1900"/>
      <c r="F1369" s="1900"/>
      <c r="G1369" s="1900"/>
      <c r="H1369" s="1937" t="s">
        <v>1738</v>
      </c>
      <c r="I1369" s="521" t="s">
        <v>116</v>
      </c>
      <c r="J1369" s="521" t="str">
        <f>'Part VIII-Threshold Criteria'!J211</f>
        <v>DeKalb County Watershed Management</v>
      </c>
      <c r="K1369" s="521">
        <f>'Part VIII-Threshold Criteria'!K211</f>
        <v>0</v>
      </c>
      <c r="L1369" s="521">
        <f>'Part VIII-Threshold Criteria'!L211</f>
        <v>0</v>
      </c>
      <c r="M1369" s="521">
        <f>'Part VIII-Threshold Criteria'!M211</f>
        <v>0</v>
      </c>
      <c r="N1369" s="521">
        <f>'Part VIII-Threshold Criteria'!N211</f>
        <v>0</v>
      </c>
      <c r="O1369" s="1944" t="s">
        <v>1738</v>
      </c>
      <c r="P1369" s="1895" t="str">
        <f>'Part VIII-Threshold Criteria'!P211</f>
        <v>Yes</v>
      </c>
      <c r="Q1369" s="1895"/>
    </row>
    <row r="1370" spans="1:22">
      <c r="A1370" s="1944" t="s">
        <v>1985</v>
      </c>
      <c r="B1370" s="521" t="s">
        <v>3906</v>
      </c>
      <c r="C1370" s="2111"/>
      <c r="D1370" s="521"/>
      <c r="E1370" s="521"/>
      <c r="F1370" s="521"/>
      <c r="G1370" s="521"/>
      <c r="H1370" s="521"/>
      <c r="I1370" s="521"/>
      <c r="J1370" s="521"/>
      <c r="K1370" s="1631"/>
      <c r="L1370" s="521"/>
      <c r="M1370" s="521"/>
      <c r="N1370" s="2111"/>
      <c r="O1370" s="1937" t="s">
        <v>1985</v>
      </c>
      <c r="P1370" s="1895" t="str">
        <f>'Part VIII-Threshold Criteria'!P212</f>
        <v>Yes</v>
      </c>
      <c r="Q1370" s="1895"/>
    </row>
    <row r="1371" spans="1:22">
      <c r="A1371" s="1937" t="s">
        <v>749</v>
      </c>
      <c r="B1371" s="521" t="s">
        <v>3907</v>
      </c>
      <c r="D1371" s="521"/>
      <c r="E1371" s="521"/>
      <c r="F1371" s="521"/>
      <c r="G1371" s="521"/>
      <c r="H1371" s="521"/>
      <c r="I1371" s="521"/>
      <c r="J1371" s="521"/>
      <c r="K1371" s="1631"/>
      <c r="L1371" s="521"/>
      <c r="M1371" s="521"/>
      <c r="O1371" s="1937" t="s">
        <v>749</v>
      </c>
      <c r="P1371" s="1895">
        <f>'Part VIII-Threshold Criteria'!P213</f>
        <v>0</v>
      </c>
      <c r="Q1371" s="1895"/>
    </row>
    <row r="1372" spans="1:22">
      <c r="B1372" s="1842" t="s">
        <v>3756</v>
      </c>
      <c r="D1372" s="1842"/>
      <c r="E1372" s="1842"/>
      <c r="F1372" s="1842"/>
      <c r="G1372" s="1842"/>
      <c r="H1372" s="1841"/>
      <c r="I1372" s="1895"/>
      <c r="J1372" s="1895"/>
      <c r="K1372" s="1895"/>
      <c r="L1372" s="1633"/>
      <c r="M1372" s="1633"/>
      <c r="N1372" s="1633"/>
      <c r="O1372" s="1633"/>
      <c r="P1372" s="1633"/>
      <c r="Q1372" s="1633"/>
    </row>
    <row r="1373" spans="1:22">
      <c r="A1373" s="1900">
        <f>'Part VIII-Threshold Criteria'!A215</f>
        <v>0</v>
      </c>
      <c r="B1373" s="1900"/>
      <c r="C1373" s="1900"/>
      <c r="D1373" s="1900"/>
      <c r="E1373" s="1900"/>
      <c r="F1373" s="1900"/>
      <c r="G1373" s="1900"/>
      <c r="H1373" s="1900"/>
      <c r="I1373" s="1900"/>
      <c r="J1373" s="1900"/>
      <c r="K1373" s="1900"/>
      <c r="L1373" s="1900"/>
      <c r="M1373" s="1900"/>
      <c r="N1373" s="1900"/>
      <c r="O1373" s="1900"/>
      <c r="P1373" s="1900"/>
      <c r="Q1373" s="1900"/>
      <c r="U1373" s="1634"/>
      <c r="V1373" s="1634"/>
    </row>
    <row r="1374" spans="1:22">
      <c r="A1374" s="2111"/>
      <c r="B1374" s="1897" t="s">
        <v>1866</v>
      </c>
      <c r="C1374" s="1898"/>
      <c r="D1374" s="1900"/>
      <c r="E1374" s="1900"/>
      <c r="F1374" s="1900"/>
      <c r="G1374" s="1900"/>
      <c r="H1374" s="1900"/>
      <c r="I1374" s="1900"/>
      <c r="J1374" s="1900"/>
      <c r="K1374" s="1900"/>
      <c r="L1374" s="1900"/>
      <c r="M1374" s="1900"/>
      <c r="N1374" s="1900"/>
      <c r="O1374" s="1900"/>
      <c r="P1374" s="1900"/>
      <c r="Q1374" s="1900"/>
    </row>
    <row r="1375" spans="1:22">
      <c r="A1375" s="1900">
        <f>'Part VIII-Threshold Criteria'!A217</f>
        <v>0</v>
      </c>
      <c r="B1375" s="1900"/>
      <c r="C1375" s="1900"/>
      <c r="D1375" s="1900"/>
      <c r="E1375" s="1900"/>
      <c r="F1375" s="1900"/>
      <c r="G1375" s="1900"/>
      <c r="H1375" s="1900"/>
      <c r="I1375" s="1900"/>
      <c r="J1375" s="1900"/>
      <c r="K1375" s="1900"/>
      <c r="L1375" s="1900"/>
      <c r="M1375" s="1900"/>
      <c r="N1375" s="1900"/>
      <c r="O1375" s="1900"/>
      <c r="P1375" s="1900"/>
      <c r="Q1375" s="1900"/>
    </row>
    <row r="1376" spans="1:22">
      <c r="A1376" s="1634"/>
      <c r="B1376" s="521"/>
      <c r="C1376" s="1900"/>
      <c r="D1376" s="1900"/>
      <c r="E1376" s="1900"/>
      <c r="F1376" s="1900"/>
      <c r="G1376" s="1900"/>
      <c r="H1376" s="1900"/>
      <c r="I1376" s="1900"/>
      <c r="J1376" s="1900"/>
      <c r="K1376" s="1900"/>
      <c r="L1376" s="1900"/>
      <c r="M1376" s="1900"/>
      <c r="N1376" s="2111"/>
      <c r="O1376" s="2111"/>
      <c r="P1376" s="2111"/>
      <c r="Q1376" s="1634"/>
    </row>
    <row r="1377" spans="1:22">
      <c r="A1377" s="1947" t="s">
        <v>1726</v>
      </c>
      <c r="B1377" s="1947" t="s">
        <v>2661</v>
      </c>
      <c r="C1377" s="1841"/>
      <c r="D1377" s="1899"/>
      <c r="E1377" s="1899"/>
      <c r="F1377" s="1899"/>
      <c r="G1377" s="1899"/>
      <c r="H1377" s="1899"/>
      <c r="I1377" s="1899"/>
      <c r="J1377" s="1899"/>
      <c r="K1377" s="1899"/>
      <c r="L1377" s="1899"/>
      <c r="M1377" s="1899"/>
      <c r="O1377" s="2784" t="s">
        <v>1867</v>
      </c>
      <c r="P1377" s="1634"/>
      <c r="Q1377" s="1634"/>
    </row>
    <row r="1378" spans="1:22">
      <c r="B1378" s="1216" t="s">
        <v>1192</v>
      </c>
      <c r="N1378" s="1637"/>
      <c r="P1378" s="521" t="str">
        <f>'Part VIII-Threshold Criteria'!P220</f>
        <v>Yes</v>
      </c>
      <c r="Q1378" s="521"/>
    </row>
    <row r="1379" spans="1:22">
      <c r="A1379" s="1937" t="s">
        <v>1983</v>
      </c>
      <c r="B1379" s="521" t="s">
        <v>4546</v>
      </c>
      <c r="D1379" s="1631"/>
      <c r="E1379" s="1631"/>
      <c r="F1379" s="1631"/>
      <c r="G1379" s="1631"/>
      <c r="H1379" s="1631"/>
      <c r="I1379" s="1631"/>
      <c r="J1379" s="1631"/>
      <c r="K1379" s="1631"/>
      <c r="L1379" s="1631"/>
      <c r="M1379" s="1631"/>
      <c r="O1379" s="1937" t="s">
        <v>1983</v>
      </c>
      <c r="P1379" s="1895" t="str">
        <f>'Part VIII-Threshold Criteria'!P221</f>
        <v>Agree</v>
      </c>
      <c r="Q1379" s="1895"/>
    </row>
    <row r="1380" spans="1:22">
      <c r="A1380" s="1937"/>
      <c r="B1380" s="1841" t="s">
        <v>1737</v>
      </c>
      <c r="C1380" s="521" t="s">
        <v>1931</v>
      </c>
      <c r="E1380" s="521"/>
      <c r="F1380" s="521"/>
      <c r="G1380" s="521"/>
      <c r="H1380" s="521"/>
      <c r="I1380" s="1631"/>
      <c r="J1380" s="1937" t="s">
        <v>1486</v>
      </c>
      <c r="K1380" s="521" t="str">
        <f>'Part VIII-Threshold Criteria'!K222</f>
        <v>Room</v>
      </c>
      <c r="L1380" s="521">
        <f>'Part VIII-Threshold Criteria'!L222</f>
        <v>0</v>
      </c>
      <c r="Q1380" s="1895"/>
    </row>
    <row r="1381" spans="1:22" ht="13.5">
      <c r="A1381" s="1937"/>
      <c r="B1381" s="1841" t="s">
        <v>1738</v>
      </c>
      <c r="C1381" s="1841" t="s">
        <v>4752</v>
      </c>
      <c r="E1381" s="1841"/>
      <c r="F1381" s="1841"/>
      <c r="G1381" s="1841"/>
      <c r="H1381" s="1841"/>
      <c r="I1381" s="1631"/>
      <c r="J1381" s="1937" t="s">
        <v>1487</v>
      </c>
      <c r="K1381" s="521" t="str">
        <f>'Part VIII-Threshold Criteria'!K223</f>
        <v>Covered Porch</v>
      </c>
      <c r="L1381" s="521">
        <f>'Part VIII-Threshold Criteria'!L223</f>
        <v>0</v>
      </c>
      <c r="M1381" s="2055" t="str">
        <f>'Part VIII-Threshold Criteria'!M223</f>
        <v>If "Other", explain here</v>
      </c>
      <c r="N1381" s="2055">
        <f>'Part VIII-Threshold Criteria'!N223</f>
        <v>0</v>
      </c>
      <c r="O1381" s="2055">
        <f>'Part VIII-Threshold Criteria'!O223</f>
        <v>0</v>
      </c>
      <c r="P1381" s="2055">
        <f>'Part VIII-Threshold Criteria'!P223</f>
        <v>0</v>
      </c>
      <c r="Q1381" s="1895"/>
    </row>
    <row r="1382" spans="1:22">
      <c r="A1382" s="1937"/>
      <c r="B1382" s="1841" t="s">
        <v>1739</v>
      </c>
      <c r="C1382" s="1841" t="s">
        <v>4755</v>
      </c>
      <c r="E1382" s="1841"/>
      <c r="F1382" s="1841"/>
      <c r="G1382" s="1841"/>
      <c r="H1382" s="1841"/>
      <c r="I1382" s="1631"/>
      <c r="J1382" s="1937" t="s">
        <v>1488</v>
      </c>
      <c r="K1382" s="521" t="str">
        <f>'Part VIII-Threshold Criteria'!K224</f>
        <v>Yes - W&amp;D hookups installed in each unit</v>
      </c>
      <c r="L1382" s="521">
        <f>'Part VIII-Threshold Criteria'!L224</f>
        <v>0</v>
      </c>
      <c r="M1382" s="521">
        <f>'Part VIII-Threshold Criteria'!M224</f>
        <v>0</v>
      </c>
      <c r="N1382" s="521">
        <f>'Part VIII-Threshold Criteria'!N224</f>
        <v>0</v>
      </c>
      <c r="O1382" s="521"/>
      <c r="P1382" s="2111"/>
      <c r="Q1382" s="1895"/>
      <c r="R1382" s="1631"/>
    </row>
    <row r="1383" spans="1:22">
      <c r="A1383" s="1937"/>
      <c r="B1383" s="1841" t="s">
        <v>2365</v>
      </c>
      <c r="C1383" s="1841" t="s">
        <v>4754</v>
      </c>
      <c r="E1383" s="1841"/>
      <c r="F1383" s="1841"/>
      <c r="G1383" s="1841"/>
      <c r="H1383" s="1841"/>
      <c r="I1383" s="1631"/>
      <c r="J1383" s="1937" t="s">
        <v>4753</v>
      </c>
      <c r="K1383" s="521" t="str">
        <f>'Part VIII-Threshold Criteria'!K225</f>
        <v>On-site laundry</v>
      </c>
      <c r="L1383" s="521">
        <f>'Part VIII-Threshold Criteria'!L225</f>
        <v>0</v>
      </c>
      <c r="M1383" s="521">
        <f>'Part VIII-Threshold Criteria'!M225</f>
        <v>0</v>
      </c>
      <c r="N1383" s="521">
        <f>'Part VIII-Threshold Criteria'!N225</f>
        <v>0</v>
      </c>
      <c r="Q1383" s="1895"/>
      <c r="R1383" s="1631"/>
    </row>
    <row r="1384" spans="1:22">
      <c r="A1384" s="1937" t="s">
        <v>1985</v>
      </c>
      <c r="B1384" s="521" t="s">
        <v>2509</v>
      </c>
      <c r="D1384" s="521"/>
      <c r="E1384" s="521"/>
      <c r="F1384" s="521"/>
      <c r="G1384" s="521"/>
      <c r="H1384" s="521"/>
      <c r="I1384" s="521"/>
      <c r="J1384" s="521"/>
      <c r="K1384" s="1631"/>
      <c r="L1384" s="1631"/>
      <c r="M1384" s="1631"/>
      <c r="N1384" s="1631"/>
      <c r="O1384" s="1937" t="s">
        <v>1985</v>
      </c>
      <c r="P1384" s="1895" t="str">
        <f>'Part VIII-Threshold Criteria'!P226</f>
        <v>Agree</v>
      </c>
      <c r="Q1384" s="1895"/>
    </row>
    <row r="1385" spans="1:22">
      <c r="A1385" s="1937"/>
      <c r="B1385" s="521" t="s">
        <v>5117</v>
      </c>
      <c r="D1385" s="521"/>
      <c r="E1385" s="521"/>
      <c r="F1385" s="521"/>
      <c r="G1385" s="521"/>
      <c r="H1385" s="521"/>
      <c r="I1385" s="521"/>
      <c r="J1385" s="521"/>
      <c r="K1385" s="1631"/>
      <c r="L1385" s="1631"/>
      <c r="M1385" s="1631"/>
      <c r="N1385" s="1937" t="s">
        <v>3606</v>
      </c>
      <c r="O1385" s="2801">
        <f>'Part VI-Revenues &amp; Expenses'!$O$67</f>
        <v>84</v>
      </c>
      <c r="P1385" s="1955" t="s">
        <v>4984</v>
      </c>
      <c r="Q1385" s="1955"/>
    </row>
    <row r="1386" spans="1:22">
      <c r="A1386" s="1937"/>
      <c r="B1386" s="1841" t="s">
        <v>1737</v>
      </c>
      <c r="C1386" s="521" t="s">
        <v>4985</v>
      </c>
      <c r="D1386" s="521"/>
      <c r="E1386" s="521"/>
      <c r="F1386" s="521"/>
      <c r="H1386" s="1937" t="s">
        <v>4986</v>
      </c>
      <c r="I1386" s="521" t="s">
        <v>5167</v>
      </c>
      <c r="M1386" s="1631"/>
      <c r="N1386" s="1631"/>
      <c r="O1386" s="1956"/>
      <c r="P1386" s="2098" t="s">
        <v>773</v>
      </c>
      <c r="Q1386" s="2098" t="s">
        <v>4983</v>
      </c>
    </row>
    <row r="1387" spans="1:22" ht="15" customHeight="1">
      <c r="A1387" s="1895"/>
      <c r="B1387" s="1937" t="s">
        <v>2116</v>
      </c>
      <c r="C1387" s="1900" t="str">
        <f>'Part VIII-Threshold Criteria'!C229</f>
        <v xml:space="preserve">Equipped Computer Center and WiFi </v>
      </c>
      <c r="D1387" s="1900">
        <f>'Part VIII-Threshold Criteria'!D229</f>
        <v>0</v>
      </c>
      <c r="E1387" s="1900">
        <f>'Part VIII-Threshold Criteria'!E229</f>
        <v>0</v>
      </c>
      <c r="F1387" s="1900">
        <f>'Part VIII-Threshold Criteria'!F229</f>
        <v>0</v>
      </c>
      <c r="G1387" s="1900">
        <f>'Part VIII-Threshold Criteria'!G229</f>
        <v>0</v>
      </c>
      <c r="H1387" s="1937" t="s">
        <v>2116</v>
      </c>
      <c r="I1387" s="1890" t="str">
        <f>'Part VIII-Threshold Criteria'!I229</f>
        <v xml:space="preserve">  </v>
      </c>
      <c r="J1387" s="1890">
        <f>'Part VIII-Threshold Criteria'!J229</f>
        <v>0</v>
      </c>
      <c r="K1387" s="1890">
        <f>'Part VIII-Threshold Criteria'!K229</f>
        <v>0</v>
      </c>
      <c r="L1387" s="1890">
        <f>'Part VIII-Threshold Criteria'!L229</f>
        <v>0</v>
      </c>
      <c r="M1387" s="1890">
        <f>'Part VIII-Threshold Criteria'!M229</f>
        <v>0</v>
      </c>
      <c r="N1387" s="1890">
        <f>'Part VIII-Threshold Criteria'!N229</f>
        <v>0</v>
      </c>
      <c r="O1387" s="1890">
        <f>'Part VIII-Threshold Criteria'!O229</f>
        <v>0</v>
      </c>
      <c r="P1387" s="1895"/>
      <c r="Q1387" s="1895"/>
      <c r="R1387" s="1976"/>
      <c r="S1387" s="1976"/>
      <c r="T1387" s="1976"/>
      <c r="U1387" s="1976"/>
      <c r="V1387" s="1976"/>
    </row>
    <row r="1388" spans="1:22" ht="15" customHeight="1">
      <c r="A1388" s="1895"/>
      <c r="B1388" s="1937" t="s">
        <v>2117</v>
      </c>
      <c r="C1388" s="1900" t="str">
        <f>'Part VIII-Threshold Criteria'!C230</f>
        <v>Furnished Exercise /Fitness Center</v>
      </c>
      <c r="D1388" s="1900">
        <f>'Part VIII-Threshold Criteria'!D230</f>
        <v>0</v>
      </c>
      <c r="E1388" s="1900">
        <f>'Part VIII-Threshold Criteria'!E230</f>
        <v>0</v>
      </c>
      <c r="F1388" s="1900">
        <f>'Part VIII-Threshold Criteria'!F230</f>
        <v>0</v>
      </c>
      <c r="G1388" s="1900">
        <f>'Part VIII-Threshold Criteria'!G230</f>
        <v>0</v>
      </c>
      <c r="H1388" s="1937" t="s">
        <v>2117</v>
      </c>
      <c r="I1388" s="1890">
        <f>'Part VIII-Threshold Criteria'!I230</f>
        <v>0</v>
      </c>
      <c r="J1388" s="1890">
        <f>'Part VIII-Threshold Criteria'!J230</f>
        <v>0</v>
      </c>
      <c r="K1388" s="1890">
        <f>'Part VIII-Threshold Criteria'!K230</f>
        <v>0</v>
      </c>
      <c r="L1388" s="1890">
        <f>'Part VIII-Threshold Criteria'!L230</f>
        <v>0</v>
      </c>
      <c r="M1388" s="1890">
        <f>'Part VIII-Threshold Criteria'!M230</f>
        <v>0</v>
      </c>
      <c r="N1388" s="1890">
        <f>'Part VIII-Threshold Criteria'!N230</f>
        <v>0</v>
      </c>
      <c r="O1388" s="1890">
        <f>'Part VIII-Threshold Criteria'!O230</f>
        <v>0</v>
      </c>
      <c r="P1388" s="1895"/>
      <c r="Q1388" s="1895"/>
      <c r="R1388" s="1976"/>
      <c r="S1388" s="1976"/>
      <c r="T1388" s="1976"/>
      <c r="U1388" s="1976"/>
      <c r="V1388" s="1976"/>
    </row>
    <row r="1389" spans="1:22" ht="15" customHeight="1">
      <c r="A1389" s="1895"/>
      <c r="B1389" s="1937" t="s">
        <v>1734</v>
      </c>
      <c r="C1389" s="1900">
        <f>'Part VIII-Threshold Criteria'!C231</f>
        <v>0</v>
      </c>
      <c r="D1389" s="1900">
        <f>'Part VIII-Threshold Criteria'!D231</f>
        <v>0</v>
      </c>
      <c r="E1389" s="1900">
        <f>'Part VIII-Threshold Criteria'!E231</f>
        <v>0</v>
      </c>
      <c r="F1389" s="1900">
        <f>'Part VIII-Threshold Criteria'!F231</f>
        <v>0</v>
      </c>
      <c r="G1389" s="1900">
        <f>'Part VIII-Threshold Criteria'!G231</f>
        <v>0</v>
      </c>
      <c r="H1389" s="1937" t="s">
        <v>1734</v>
      </c>
      <c r="I1389" s="1890">
        <f>'Part VIII-Threshold Criteria'!I231</f>
        <v>0</v>
      </c>
      <c r="J1389" s="1890">
        <f>'Part VIII-Threshold Criteria'!J231</f>
        <v>0</v>
      </c>
      <c r="K1389" s="1890">
        <f>'Part VIII-Threshold Criteria'!K231</f>
        <v>0</v>
      </c>
      <c r="L1389" s="1890">
        <f>'Part VIII-Threshold Criteria'!L231</f>
        <v>0</v>
      </c>
      <c r="M1389" s="1890">
        <f>'Part VIII-Threshold Criteria'!M231</f>
        <v>0</v>
      </c>
      <c r="N1389" s="1890">
        <f>'Part VIII-Threshold Criteria'!N231</f>
        <v>0</v>
      </c>
      <c r="O1389" s="1890">
        <f>'Part VIII-Threshold Criteria'!O231</f>
        <v>0</v>
      </c>
      <c r="P1389" s="1895"/>
      <c r="Q1389" s="1895"/>
      <c r="R1389" s="1976"/>
      <c r="S1389" s="1976"/>
      <c r="T1389" s="1976"/>
      <c r="U1389" s="1976"/>
      <c r="V1389" s="1976"/>
    </row>
    <row r="1390" spans="1:22" ht="15" customHeight="1">
      <c r="A1390" s="1895"/>
      <c r="B1390" s="1937" t="s">
        <v>4994</v>
      </c>
      <c r="C1390" s="1900">
        <f>'Part VIII-Threshold Criteria'!C232</f>
        <v>0</v>
      </c>
      <c r="D1390" s="1900">
        <f>'Part VIII-Threshold Criteria'!D232</f>
        <v>0</v>
      </c>
      <c r="E1390" s="1900">
        <f>'Part VIII-Threshold Criteria'!E232</f>
        <v>0</v>
      </c>
      <c r="F1390" s="1900">
        <f>'Part VIII-Threshold Criteria'!F232</f>
        <v>0</v>
      </c>
      <c r="G1390" s="1900">
        <f>'Part VIII-Threshold Criteria'!G232</f>
        <v>0</v>
      </c>
      <c r="H1390" s="1937" t="s">
        <v>4994</v>
      </c>
      <c r="I1390" s="1890">
        <f>'Part VIII-Threshold Criteria'!I232</f>
        <v>0</v>
      </c>
      <c r="J1390" s="1890">
        <f>'Part VIII-Threshold Criteria'!J232</f>
        <v>0</v>
      </c>
      <c r="K1390" s="1890">
        <f>'Part VIII-Threshold Criteria'!K232</f>
        <v>0</v>
      </c>
      <c r="L1390" s="1890">
        <f>'Part VIII-Threshold Criteria'!L232</f>
        <v>0</v>
      </c>
      <c r="M1390" s="1890">
        <f>'Part VIII-Threshold Criteria'!M232</f>
        <v>0</v>
      </c>
      <c r="N1390" s="1890">
        <f>'Part VIII-Threshold Criteria'!N232</f>
        <v>0</v>
      </c>
      <c r="O1390" s="1890">
        <f>'Part VIII-Threshold Criteria'!O232</f>
        <v>0</v>
      </c>
      <c r="P1390" s="1895"/>
      <c r="Q1390" s="1895"/>
      <c r="R1390" s="1976"/>
      <c r="S1390" s="1976"/>
      <c r="T1390" s="1976"/>
      <c r="U1390" s="1976"/>
      <c r="V1390" s="1976"/>
    </row>
    <row r="1391" spans="1:22">
      <c r="A1391" s="1937" t="s">
        <v>749</v>
      </c>
      <c r="B1391" s="521" t="s">
        <v>1381</v>
      </c>
      <c r="C1391" s="521"/>
      <c r="D1391" s="2111"/>
      <c r="E1391" s="521"/>
      <c r="F1391" s="521"/>
      <c r="G1391" s="521"/>
      <c r="H1391" s="521"/>
      <c r="I1391" s="521"/>
      <c r="J1391" s="521"/>
      <c r="K1391" s="1631"/>
      <c r="L1391" s="521"/>
      <c r="M1391" s="521"/>
      <c r="N1391" s="2111"/>
      <c r="O1391" s="521" t="s">
        <v>749</v>
      </c>
      <c r="P1391" s="1895" t="str">
        <f>'Part VIII-Threshold Criteria'!P233</f>
        <v>Agree</v>
      </c>
      <c r="Q1391" s="1895"/>
    </row>
    <row r="1392" spans="1:22">
      <c r="A1392" s="1937"/>
      <c r="B1392" s="1841" t="s">
        <v>1737</v>
      </c>
      <c r="C1392" s="521" t="s">
        <v>3465</v>
      </c>
      <c r="E1392" s="521"/>
      <c r="F1392" s="521"/>
      <c r="L1392" s="1631"/>
      <c r="M1392" s="1631"/>
      <c r="O1392" s="1937" t="s">
        <v>1737</v>
      </c>
      <c r="P1392" s="1895" t="str">
        <f>'Part VIII-Threshold Criteria'!P234</f>
        <v>Yes</v>
      </c>
      <c r="Q1392" s="1895"/>
    </row>
    <row r="1393" spans="1:22">
      <c r="B1393" s="1841" t="s">
        <v>1738</v>
      </c>
      <c r="C1393" s="1841" t="s">
        <v>2808</v>
      </c>
      <c r="E1393" s="1841"/>
      <c r="F1393" s="1841"/>
      <c r="L1393" s="1631"/>
      <c r="M1393" s="1631"/>
      <c r="O1393" s="1937" t="s">
        <v>1738</v>
      </c>
      <c r="P1393" s="1895" t="str">
        <f>'Part VIII-Threshold Criteria'!P235</f>
        <v>Yes</v>
      </c>
      <c r="Q1393" s="1895"/>
    </row>
    <row r="1394" spans="1:22">
      <c r="B1394" s="1841" t="s">
        <v>1739</v>
      </c>
      <c r="C1394" s="1841" t="s">
        <v>2809</v>
      </c>
      <c r="E1394" s="1841"/>
      <c r="F1394" s="1841"/>
      <c r="G1394" s="1841"/>
      <c r="H1394" s="1841"/>
      <c r="I1394" s="1631"/>
      <c r="J1394" s="1631"/>
      <c r="K1394" s="1631"/>
      <c r="L1394" s="1631"/>
      <c r="M1394" s="1631"/>
      <c r="O1394" s="1937" t="s">
        <v>1739</v>
      </c>
      <c r="P1394" s="1895" t="str">
        <f>'Part VIII-Threshold Criteria'!P236</f>
        <v>Yes</v>
      </c>
      <c r="Q1394" s="1895"/>
    </row>
    <row r="1395" spans="1:22">
      <c r="A1395" s="1937"/>
      <c r="B1395" s="1841" t="s">
        <v>2365</v>
      </c>
      <c r="C1395" s="1841" t="s">
        <v>2810</v>
      </c>
      <c r="E1395" s="1841"/>
      <c r="F1395" s="1841"/>
      <c r="G1395" s="1841"/>
      <c r="H1395" s="1841"/>
      <c r="I1395" s="1631"/>
      <c r="J1395" s="1631"/>
      <c r="K1395" s="1631"/>
      <c r="L1395" s="1631"/>
      <c r="M1395" s="1631"/>
      <c r="O1395" s="1937" t="s">
        <v>2365</v>
      </c>
      <c r="P1395" s="1895" t="str">
        <f>'Part VIII-Threshold Criteria'!P237</f>
        <v>Yes</v>
      </c>
      <c r="Q1395" s="1895"/>
    </row>
    <row r="1396" spans="1:22">
      <c r="A1396" s="1937"/>
      <c r="B1396" s="1841" t="s">
        <v>1549</v>
      </c>
      <c r="C1396" s="1841" t="s">
        <v>2811</v>
      </c>
      <c r="E1396" s="1841"/>
      <c r="F1396" s="1841"/>
      <c r="G1396" s="1841"/>
      <c r="H1396" s="1841"/>
      <c r="I1396" s="1631"/>
      <c r="J1396" s="1631"/>
      <c r="K1396" s="1631"/>
      <c r="L1396" s="1631"/>
      <c r="M1396" s="1631"/>
      <c r="O1396" s="1937" t="s">
        <v>1549</v>
      </c>
      <c r="P1396" s="1895" t="str">
        <f>'Part VIII-Threshold Criteria'!P238</f>
        <v>Yes</v>
      </c>
      <c r="Q1396" s="1895"/>
    </row>
    <row r="1397" spans="1:22">
      <c r="A1397" s="1937"/>
      <c r="B1397" s="1841" t="s">
        <v>1550</v>
      </c>
      <c r="C1397" s="521" t="s">
        <v>775</v>
      </c>
      <c r="E1397" s="521"/>
      <c r="F1397" s="521"/>
      <c r="G1397" s="521"/>
      <c r="H1397" s="521"/>
      <c r="I1397" s="1631"/>
      <c r="J1397" s="1631"/>
      <c r="K1397" s="1631"/>
      <c r="L1397" s="1631"/>
      <c r="M1397" s="1631"/>
      <c r="O1397" s="1937" t="s">
        <v>2799</v>
      </c>
      <c r="P1397" s="1895" t="str">
        <f>'Part VIII-Threshold Criteria'!P239</f>
        <v>Yes</v>
      </c>
      <c r="Q1397" s="1895"/>
    </row>
    <row r="1398" spans="1:22">
      <c r="A1398" s="1937"/>
      <c r="B1398" s="1937"/>
      <c r="C1398" s="521" t="s">
        <v>1489</v>
      </c>
      <c r="E1398" s="521"/>
      <c r="F1398" s="521"/>
      <c r="G1398" s="521"/>
      <c r="H1398" s="521"/>
      <c r="I1398" s="1631"/>
      <c r="J1398" s="1631"/>
      <c r="K1398" s="1631"/>
      <c r="L1398" s="1631"/>
      <c r="M1398" s="1631"/>
      <c r="O1398" s="1937" t="s">
        <v>2800</v>
      </c>
      <c r="P1398" s="1895" t="str">
        <f>'Part VIII-Threshold Criteria'!P240</f>
        <v>No</v>
      </c>
      <c r="Q1398" s="1895"/>
    </row>
    <row r="1399" spans="1:22">
      <c r="A1399" s="1937" t="s">
        <v>2115</v>
      </c>
      <c r="B1399" s="521" t="s">
        <v>3663</v>
      </c>
      <c r="C1399" s="521"/>
      <c r="E1399" s="521"/>
      <c r="F1399" s="521"/>
      <c r="G1399" s="521"/>
      <c r="H1399" s="521"/>
      <c r="I1399" s="521"/>
      <c r="J1399" s="521"/>
      <c r="K1399" s="1631"/>
      <c r="M1399" s="1937" t="s">
        <v>4838</v>
      </c>
      <c r="N1399" s="1841" t="str">
        <f>'Part I-Project Information'!$H$82</f>
        <v>Family</v>
      </c>
      <c r="O1399" s="1937" t="s">
        <v>2115</v>
      </c>
      <c r="P1399" s="1895" t="str">
        <f>'Part VIII-Threshold Criteria'!P241</f>
        <v>N/A</v>
      </c>
      <c r="Q1399" s="1895"/>
    </row>
    <row r="1400" spans="1:22">
      <c r="B1400" s="1937" t="s">
        <v>1737</v>
      </c>
      <c r="C1400" s="521" t="s">
        <v>1255</v>
      </c>
      <c r="E1400" s="1631"/>
      <c r="F1400" s="1631"/>
      <c r="G1400" s="521"/>
      <c r="H1400" s="1841"/>
      <c r="I1400" s="1631"/>
      <c r="J1400" s="1841"/>
      <c r="K1400" s="1631"/>
      <c r="L1400" s="1841"/>
      <c r="M1400" s="1841"/>
      <c r="O1400" s="1937" t="s">
        <v>1737</v>
      </c>
      <c r="P1400" s="1895">
        <f>'Part VIII-Threshold Criteria'!P242</f>
        <v>0</v>
      </c>
      <c r="Q1400" s="1895"/>
    </row>
    <row r="1401" spans="1:22">
      <c r="B1401" s="1937" t="s">
        <v>1738</v>
      </c>
      <c r="C1401" s="521" t="s">
        <v>4768</v>
      </c>
      <c r="E1401" s="1631"/>
      <c r="F1401" s="1631"/>
      <c r="G1401" s="1841"/>
      <c r="H1401" s="1841"/>
      <c r="I1401" s="1631"/>
      <c r="J1401" s="1841"/>
      <c r="K1401" s="1631"/>
      <c r="L1401" s="1841"/>
      <c r="M1401" s="1841"/>
      <c r="O1401" s="1937" t="s">
        <v>1738</v>
      </c>
      <c r="P1401" s="1895">
        <f>'Part VIII-Threshold Criteria'!P243</f>
        <v>0</v>
      </c>
      <c r="Q1401" s="1895"/>
    </row>
    <row r="1402" spans="1:22">
      <c r="B1402" s="1842" t="s">
        <v>3756</v>
      </c>
      <c r="D1402" s="1842"/>
      <c r="E1402" s="1842"/>
      <c r="F1402" s="1842"/>
      <c r="G1402" s="1842"/>
      <c r="H1402" s="1841"/>
      <c r="I1402" s="1895"/>
      <c r="J1402" s="1895"/>
      <c r="K1402" s="1895"/>
      <c r="L1402" s="1633"/>
      <c r="M1402" s="1633"/>
      <c r="N1402" s="1633"/>
      <c r="O1402" s="1633"/>
      <c r="P1402" s="1633"/>
      <c r="Q1402" s="1633"/>
    </row>
    <row r="1403" spans="1:22" ht="15">
      <c r="A1403" s="1900">
        <f>'Part VIII-Threshold Criteria'!A245</f>
        <v>0</v>
      </c>
      <c r="B1403" s="1900"/>
      <c r="C1403" s="1900"/>
      <c r="D1403" s="1900"/>
      <c r="E1403" s="1900"/>
      <c r="F1403" s="1900"/>
      <c r="G1403" s="1900"/>
      <c r="H1403" s="1900"/>
      <c r="I1403" s="1900"/>
      <c r="J1403" s="1900"/>
      <c r="K1403" s="1900"/>
      <c r="L1403" s="1900"/>
      <c r="M1403" s="1900"/>
      <c r="N1403" s="1900"/>
      <c r="O1403" s="1900"/>
      <c r="P1403" s="1900"/>
      <c r="Q1403" s="1900"/>
      <c r="R1403" s="2786" t="s">
        <v>1254</v>
      </c>
      <c r="S1403" s="2786"/>
      <c r="U1403" s="1634"/>
      <c r="V1403" s="1634"/>
    </row>
    <row r="1404" spans="1:22">
      <c r="A1404" s="2111"/>
      <c r="B1404" s="1897" t="s">
        <v>1866</v>
      </c>
      <c r="C1404" s="1898"/>
      <c r="D1404" s="1900"/>
      <c r="E1404" s="1900"/>
      <c r="F1404" s="1900"/>
      <c r="G1404" s="1900"/>
      <c r="H1404" s="1900"/>
      <c r="I1404" s="1900"/>
      <c r="J1404" s="1900"/>
      <c r="K1404" s="1900"/>
      <c r="L1404" s="1900"/>
      <c r="M1404" s="1900"/>
      <c r="N1404" s="1900"/>
      <c r="O1404" s="1900"/>
      <c r="P1404" s="1900"/>
      <c r="Q1404" s="1900"/>
    </row>
    <row r="1405" spans="1:22">
      <c r="A1405" s="1900">
        <f>'Part VIII-Threshold Criteria'!A247</f>
        <v>0</v>
      </c>
      <c r="B1405" s="1900"/>
      <c r="C1405" s="1900"/>
      <c r="D1405" s="1900"/>
      <c r="E1405" s="1900"/>
      <c r="F1405" s="1900"/>
      <c r="G1405" s="1900"/>
      <c r="H1405" s="1900"/>
      <c r="I1405" s="1900"/>
      <c r="J1405" s="1900"/>
      <c r="K1405" s="1900"/>
      <c r="L1405" s="1900"/>
      <c r="M1405" s="1900"/>
      <c r="N1405" s="1900"/>
      <c r="O1405" s="1900"/>
      <c r="P1405" s="1900"/>
      <c r="Q1405" s="1900"/>
    </row>
    <row r="1406" spans="1:22">
      <c r="A1406" s="1634"/>
      <c r="B1406" s="521"/>
      <c r="C1406" s="1900"/>
      <c r="D1406" s="1900"/>
      <c r="E1406" s="1900"/>
      <c r="F1406" s="1900"/>
      <c r="G1406" s="1900"/>
      <c r="H1406" s="1900"/>
      <c r="I1406" s="1900"/>
      <c r="J1406" s="1900"/>
      <c r="K1406" s="1900"/>
      <c r="L1406" s="1900"/>
      <c r="M1406" s="1900"/>
      <c r="N1406" s="2111"/>
      <c r="O1406" s="2111"/>
      <c r="P1406" s="2111"/>
      <c r="Q1406" s="1634"/>
    </row>
    <row r="1407" spans="1:22">
      <c r="A1407" s="1947" t="s">
        <v>2782</v>
      </c>
      <c r="B1407" s="1631" t="s">
        <v>2662</v>
      </c>
      <c r="C1407" s="1631"/>
      <c r="D1407" s="521"/>
      <c r="E1407" s="521"/>
      <c r="F1407" s="521"/>
      <c r="G1407" s="521"/>
      <c r="H1407" s="1899"/>
      <c r="I1407" s="1899"/>
      <c r="J1407" s="1899"/>
      <c r="K1407" s="1899"/>
      <c r="L1407" s="1872"/>
      <c r="M1407" s="2802"/>
      <c r="O1407" s="2784" t="s">
        <v>1867</v>
      </c>
      <c r="P1407" s="1634"/>
      <c r="Q1407" s="1634"/>
    </row>
    <row r="1408" spans="1:22">
      <c r="A1408" s="1937" t="s">
        <v>1983</v>
      </c>
      <c r="B1408" s="521" t="s">
        <v>1268</v>
      </c>
      <c r="D1408" s="1631"/>
      <c r="E1408" s="521"/>
      <c r="F1408" s="521"/>
      <c r="J1408" s="1937" t="s">
        <v>1983</v>
      </c>
      <c r="K1408" s="521" t="str">
        <f>'Part VIII-Threshold Criteria'!K250</f>
        <v>&lt;&lt;Select&gt;&gt;</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c r="A1409" s="1937" t="s">
        <v>1985</v>
      </c>
      <c r="B1409" s="521" t="s">
        <v>2812</v>
      </c>
      <c r="D1409" s="521"/>
      <c r="E1409" s="521"/>
      <c r="F1409" s="521"/>
      <c r="J1409" s="1937" t="s">
        <v>1985</v>
      </c>
      <c r="K1409" s="2803">
        <f>'Part VIII-Threshold Criteria'!K251</f>
        <v>0</v>
      </c>
      <c r="L1409" s="2803">
        <f>'Part VIII-Threshold Criteria'!L251</f>
        <v>0</v>
      </c>
      <c r="M1409" s="2803">
        <f>'Part VIII-Threshold Criteria'!M251</f>
        <v>0</v>
      </c>
      <c r="N1409" s="2803">
        <f>'Part VIII-Threshold Criteria'!N251</f>
        <v>0</v>
      </c>
      <c r="O1409" s="2803">
        <f>'Part VIII-Threshold Criteria'!O251</f>
        <v>0</v>
      </c>
      <c r="P1409" s="2803"/>
      <c r="Q1409" s="2803"/>
    </row>
    <row r="1410" spans="1:17">
      <c r="A1410" s="1937"/>
      <c r="B1410" s="521" t="s">
        <v>1945</v>
      </c>
      <c r="D1410" s="521"/>
      <c r="E1410" s="521"/>
      <c r="F1410" s="521"/>
      <c r="K1410" s="521">
        <f>'Part VIII-Threshold Criteria'!K252</f>
        <v>0</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7"/>
      <c r="B1411" s="521" t="s">
        <v>2543</v>
      </c>
      <c r="D1411" s="521"/>
      <c r="E1411" s="521"/>
      <c r="F1411" s="521"/>
      <c r="G1411" s="521"/>
      <c r="H1411" s="521"/>
      <c r="I1411" s="1631"/>
      <c r="J1411" s="1631"/>
      <c r="K1411" s="2111"/>
      <c r="L1411" s="2111"/>
      <c r="M1411" s="521"/>
      <c r="N1411" s="2804"/>
      <c r="O1411" s="521"/>
      <c r="P1411" s="521">
        <f>'Part VIII-Threshold Criteria'!P253</f>
        <v>0</v>
      </c>
      <c r="Q1411" s="521"/>
    </row>
    <row r="1412" spans="1:17">
      <c r="A1412" s="1937" t="s">
        <v>749</v>
      </c>
      <c r="B1412" s="521" t="s">
        <v>4914</v>
      </c>
      <c r="D1412" s="521"/>
      <c r="E1412" s="521"/>
      <c r="F1412" s="521"/>
      <c r="J1412" s="1937" t="s">
        <v>749</v>
      </c>
      <c r="K1412" s="2803">
        <f>'Part VIII-Threshold Criteria'!K254</f>
        <v>0</v>
      </c>
      <c r="L1412" s="2803">
        <f>'Part VIII-Threshold Criteria'!L254</f>
        <v>0</v>
      </c>
      <c r="M1412" s="2803">
        <f>'Part VIII-Threshold Criteria'!M254</f>
        <v>0</v>
      </c>
      <c r="N1412" s="2803">
        <f>'Part VIII-Threshold Criteria'!N254</f>
        <v>0</v>
      </c>
      <c r="O1412" s="2803">
        <f>'Part VIII-Threshold Criteria'!O254</f>
        <v>0</v>
      </c>
      <c r="P1412" s="2803"/>
      <c r="Q1412" s="2803"/>
    </row>
    <row r="1413" spans="1:17">
      <c r="A1413" s="1937"/>
      <c r="B1413" s="521" t="s">
        <v>4774</v>
      </c>
      <c r="D1413" s="521"/>
      <c r="E1413" s="521"/>
      <c r="F1413" s="521"/>
    </row>
    <row r="1414" spans="1:17">
      <c r="A1414" s="1937"/>
      <c r="C1414" s="521" t="s">
        <v>4771</v>
      </c>
      <c r="D1414" s="521"/>
      <c r="E1414" s="521"/>
      <c r="F1414" s="521"/>
      <c r="K1414" s="521" t="s">
        <v>4770</v>
      </c>
      <c r="L1414" s="2797">
        <f>'Part VIII-Threshold Criteria'!L256</f>
        <v>0</v>
      </c>
      <c r="M1414" s="521"/>
      <c r="N1414" s="2804"/>
      <c r="O1414" s="2804"/>
      <c r="P1414" s="521">
        <f>'Part VIII-Threshold Criteria'!P256</f>
        <v>0</v>
      </c>
      <c r="Q1414" s="521"/>
    </row>
    <row r="1415" spans="1:17">
      <c r="A1415" s="1937"/>
      <c r="B1415" s="521"/>
      <c r="C1415" s="1216" t="s">
        <v>4772</v>
      </c>
      <c r="D1415" s="521"/>
      <c r="E1415" s="521"/>
      <c r="F1415" s="521"/>
      <c r="K1415" s="1937" t="s">
        <v>4773</v>
      </c>
      <c r="L1415" s="2805">
        <f>'Part VIII-Threshold Criteria'!L257</f>
        <v>0</v>
      </c>
      <c r="M1415" s="521"/>
      <c r="N1415" s="1957"/>
      <c r="O1415" s="1957"/>
      <c r="P1415" s="1895">
        <f>'Part VIII-Threshold Criteria'!P257</f>
        <v>0</v>
      </c>
      <c r="Q1415" s="1895"/>
    </row>
    <row r="1416" spans="1:17">
      <c r="A1416" s="1937"/>
      <c r="B1416" s="521" t="s">
        <v>4769</v>
      </c>
      <c r="D1416" s="521"/>
      <c r="E1416" s="521"/>
      <c r="F1416" s="521"/>
      <c r="K1416" s="521">
        <f>'Part VIII-Threshold Criteria'!K258</f>
        <v>0</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7" t="s">
        <v>2115</v>
      </c>
      <c r="B1417" s="521" t="s">
        <v>3909</v>
      </c>
      <c r="D1417" s="521"/>
      <c r="E1417" s="521"/>
      <c r="F1417" s="521"/>
      <c r="G1417" s="521"/>
      <c r="H1417" s="521"/>
      <c r="I1417" s="1631"/>
      <c r="J1417" s="1631"/>
      <c r="K1417" s="1631"/>
      <c r="M1417" s="521"/>
      <c r="N1417" s="1957"/>
      <c r="O1417" s="1937" t="s">
        <v>2115</v>
      </c>
      <c r="P1417" s="1895">
        <f>'Part VIII-Threshold Criteria'!P259</f>
        <v>0</v>
      </c>
      <c r="Q1417" s="1895"/>
    </row>
    <row r="1418" spans="1:17" ht="12.75" customHeight="1">
      <c r="A1418" s="1937"/>
      <c r="B1418" s="1900" t="s">
        <v>3764</v>
      </c>
      <c r="C1418" s="1900"/>
      <c r="D1418" s="1900"/>
      <c r="E1418" s="1900"/>
      <c r="F1418" s="1900"/>
      <c r="G1418" s="1900"/>
      <c r="H1418" s="1216" t="s">
        <v>4118</v>
      </c>
      <c r="K1418" s="1631"/>
      <c r="L1418" s="2111"/>
      <c r="M1418" s="521"/>
      <c r="N1418" s="2804"/>
      <c r="O1418" s="521" t="s">
        <v>1737</v>
      </c>
      <c r="P1418" s="521">
        <f>'Part VIII-Threshold Criteria'!P260</f>
        <v>0</v>
      </c>
      <c r="Q1418" s="521"/>
    </row>
    <row r="1419" spans="1:17">
      <c r="A1419" s="1937"/>
      <c r="B1419" s="1900"/>
      <c r="C1419" s="1900"/>
      <c r="D1419" s="1900"/>
      <c r="E1419" s="1900"/>
      <c r="F1419" s="1900"/>
      <c r="G1419" s="1900"/>
      <c r="H1419" s="1216" t="s">
        <v>4119</v>
      </c>
      <c r="K1419" s="1631"/>
      <c r="M1419" s="521"/>
      <c r="N1419" s="1957"/>
      <c r="O1419" s="1937" t="s">
        <v>1738</v>
      </c>
      <c r="P1419" s="1895">
        <f>'Part VIII-Threshold Criteria'!P261</f>
        <v>0</v>
      </c>
      <c r="Q1419" s="1895"/>
    </row>
    <row r="1420" spans="1:17">
      <c r="A1420" s="1937"/>
      <c r="B1420" s="521"/>
      <c r="C1420" s="2111"/>
      <c r="D1420" s="521"/>
      <c r="E1420" s="521"/>
      <c r="F1420" s="521"/>
      <c r="G1420" s="521"/>
      <c r="H1420" s="1216" t="s">
        <v>4120</v>
      </c>
      <c r="K1420" s="1631"/>
      <c r="M1420" s="521"/>
      <c r="N1420" s="1957"/>
      <c r="O1420" s="1937" t="s">
        <v>1739</v>
      </c>
      <c r="P1420" s="1895">
        <f>'Part VIII-Threshold Criteria'!P262</f>
        <v>0</v>
      </c>
      <c r="Q1420" s="1895"/>
    </row>
    <row r="1421" spans="1:17">
      <c r="A1421" s="1937"/>
      <c r="B1421" s="521"/>
      <c r="C1421" s="2111"/>
      <c r="D1421" s="521"/>
      <c r="E1421" s="521"/>
      <c r="F1421" s="521"/>
      <c r="G1421" s="521"/>
      <c r="H1421" s="1216" t="s">
        <v>4121</v>
      </c>
      <c r="K1421" s="1631"/>
      <c r="M1421" s="521"/>
      <c r="N1421" s="1957"/>
      <c r="O1421" s="1937" t="s">
        <v>2365</v>
      </c>
      <c r="P1421" s="1895">
        <f>'Part VIII-Threshold Criteria'!P263</f>
        <v>0</v>
      </c>
      <c r="Q1421" s="1895"/>
    </row>
    <row r="1422" spans="1:17" ht="12.75" customHeight="1">
      <c r="B1422" s="1900" t="s">
        <v>5168</v>
      </c>
      <c r="C1422" s="1900"/>
      <c r="D1422" s="1900"/>
      <c r="E1422" s="1900"/>
      <c r="F1422" s="1900"/>
      <c r="G1422" s="1900"/>
      <c r="H1422" s="1900"/>
      <c r="I1422" s="1900"/>
      <c r="J1422" s="1900"/>
      <c r="K1422" s="1900"/>
      <c r="L1422" s="1900"/>
      <c r="M1422" s="1900"/>
      <c r="N1422" s="1900"/>
      <c r="O1422" s="1944"/>
      <c r="P1422" s="1948">
        <f>'Part VIII-Threshold Criteria'!P264</f>
        <v>0</v>
      </c>
      <c r="Q1422" s="1948"/>
    </row>
    <row r="1423" spans="1:17" ht="12.75" customHeight="1">
      <c r="A1423" s="1944" t="s">
        <v>1735</v>
      </c>
      <c r="B1423" s="1900" t="s">
        <v>5169</v>
      </c>
      <c r="C1423" s="1900"/>
      <c r="D1423" s="1900"/>
      <c r="E1423" s="1900"/>
      <c r="F1423" s="1900"/>
      <c r="G1423" s="1900"/>
      <c r="H1423" s="1900"/>
      <c r="I1423" s="1900"/>
      <c r="J1423" s="1900"/>
      <c r="K1423" s="1900"/>
      <c r="L1423" s="1900"/>
      <c r="M1423" s="1900"/>
      <c r="N1423" s="1900"/>
      <c r="O1423" s="1944" t="s">
        <v>1735</v>
      </c>
      <c r="P1423" s="1948">
        <f>'Part VIII-Threshold Criteria'!P265</f>
        <v>0</v>
      </c>
      <c r="Q1423" s="1948"/>
    </row>
    <row r="1424" spans="1:17" ht="12.75" customHeight="1">
      <c r="B1424" s="1900" t="s">
        <v>5118</v>
      </c>
      <c r="C1424" s="1900"/>
      <c r="D1424" s="1900"/>
      <c r="E1424" s="1900"/>
      <c r="F1424" s="1900"/>
      <c r="G1424" s="1900"/>
      <c r="H1424" s="1900"/>
      <c r="I1424" s="1900"/>
      <c r="J1424" s="1900"/>
      <c r="K1424" s="1900"/>
      <c r="L1424" s="1900"/>
      <c r="M1424" s="1900"/>
      <c r="N1424" s="1900"/>
      <c r="O1424" s="1944"/>
      <c r="P1424" s="1948">
        <f>'Part VIII-Threshold Criteria'!P266</f>
        <v>0</v>
      </c>
      <c r="Q1424" s="1948"/>
    </row>
    <row r="1425" spans="1:22">
      <c r="B1425" s="521" t="s">
        <v>1737</v>
      </c>
      <c r="C1425" s="521" t="s">
        <v>5085</v>
      </c>
      <c r="D1425" s="2111"/>
      <c r="E1425" s="521"/>
      <c r="F1425" s="521"/>
      <c r="G1425" s="2111"/>
      <c r="H1425" s="2111"/>
      <c r="I1425" s="2111"/>
      <c r="J1425" s="2111"/>
      <c r="K1425" s="2111"/>
      <c r="L1425" s="1631"/>
      <c r="M1425" s="1631"/>
      <c r="N1425" s="2111"/>
      <c r="O1425" s="1937" t="s">
        <v>1737</v>
      </c>
      <c r="P1425" s="1895">
        <f>'Part VIII-Threshold Criteria'!P267</f>
        <v>0</v>
      </c>
      <c r="Q1425" s="1895"/>
    </row>
    <row r="1426" spans="1:22">
      <c r="B1426" s="521"/>
      <c r="C1426" s="2111"/>
      <c r="D1426" s="1955" t="s">
        <v>3866</v>
      </c>
      <c r="E1426" s="521">
        <f>'Part VIII-Threshold Criteria'!E268</f>
        <v>0</v>
      </c>
      <c r="F1426" s="521">
        <f>'Part VIII-Threshold Criteria'!F268</f>
        <v>0</v>
      </c>
      <c r="G1426" s="521">
        <f>'Part VIII-Threshold Criteria'!G268</f>
        <v>0</v>
      </c>
      <c r="H1426" s="521" t="s">
        <v>4955</v>
      </c>
      <c r="I1426" s="521" t="str">
        <f>'Part VIII-Threshold Criteria'!I268</f>
        <v>&lt;&lt; Select Entity Type &gt;&gt;</v>
      </c>
      <c r="J1426" s="521">
        <f>'Part VIII-Threshold Criteria'!J268</f>
        <v>0</v>
      </c>
      <c r="K1426" s="521">
        <f>'Part VIII-Threshold Criteria'!K268</f>
        <v>0</v>
      </c>
      <c r="L1426" s="521" t="s">
        <v>4957</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21"/>
    </row>
    <row r="1427" spans="1:22">
      <c r="A1427" s="1937"/>
      <c r="B1427" s="1937" t="s">
        <v>1738</v>
      </c>
      <c r="C1427" s="1841" t="s">
        <v>5086</v>
      </c>
      <c r="E1427" s="1841"/>
      <c r="F1427" s="1841"/>
      <c r="G1427" s="1841"/>
      <c r="H1427" s="1841"/>
      <c r="I1427" s="1631"/>
      <c r="J1427" s="1631"/>
      <c r="K1427" s="1631"/>
      <c r="L1427" s="1631"/>
      <c r="M1427" s="1631"/>
      <c r="O1427" s="1937" t="s">
        <v>1738</v>
      </c>
      <c r="P1427" s="1895">
        <f>'Part VIII-Threshold Criteria'!P269</f>
        <v>0</v>
      </c>
      <c r="Q1427" s="1895"/>
      <c r="S1427" s="1937"/>
      <c r="U1427" s="1921"/>
    </row>
    <row r="1428" spans="1:22">
      <c r="A1428" s="1937"/>
      <c r="B1428" s="1937"/>
      <c r="D1428" s="1216" t="s">
        <v>2301</v>
      </c>
      <c r="E1428" s="521">
        <f>'Part VIII-Threshold Criteria'!E270</f>
        <v>0</v>
      </c>
      <c r="F1428" s="521">
        <f>'Part VIII-Threshold Criteria'!F270</f>
        <v>0</v>
      </c>
      <c r="G1428" s="521">
        <f>'Part VIII-Threshold Criteria'!G270</f>
        <v>0</v>
      </c>
      <c r="H1428" s="521" t="s">
        <v>1800</v>
      </c>
      <c r="I1428" s="521">
        <f>'Part VIII-Threshold Criteria'!I270</f>
        <v>0</v>
      </c>
      <c r="J1428" s="521">
        <f>'Part VIII-Threshold Criteria'!J270</f>
        <v>0</v>
      </c>
      <c r="K1428" s="521">
        <f>'Part VIII-Threshold Criteria'!K270</f>
        <v>0</v>
      </c>
      <c r="L1428" s="521">
        <f>'Part VIII-Threshold Criteria'!L270</f>
        <v>0</v>
      </c>
      <c r="M1428" s="521">
        <f>'Part VIII-Threshold Criteria'!M270</f>
        <v>0</v>
      </c>
      <c r="N1428" s="2111"/>
      <c r="O1428" s="2111"/>
      <c r="P1428" s="2111"/>
      <c r="Q1428" s="2111"/>
      <c r="S1428" s="1937"/>
      <c r="U1428" s="1921"/>
    </row>
    <row r="1429" spans="1:22">
      <c r="B1429" s="1842" t="s">
        <v>3756</v>
      </c>
      <c r="D1429" s="1842"/>
      <c r="E1429" s="1842"/>
      <c r="F1429" s="1842"/>
      <c r="G1429" s="1842"/>
      <c r="H1429" s="1841"/>
      <c r="I1429" s="1895"/>
      <c r="J1429" s="1895"/>
      <c r="K1429" s="1895"/>
      <c r="L1429" s="1633"/>
      <c r="M1429" s="1633"/>
      <c r="N1429" s="1633"/>
      <c r="O1429" s="1633"/>
      <c r="P1429" s="1633"/>
      <c r="Q1429" s="1633"/>
    </row>
    <row r="1430" spans="1:22" ht="15">
      <c r="A1430" s="1900">
        <f>'Part VIII-Threshold Criteria'!A272</f>
        <v>0</v>
      </c>
      <c r="B1430" s="1900"/>
      <c r="C1430" s="1900"/>
      <c r="D1430" s="1900"/>
      <c r="E1430" s="1900"/>
      <c r="F1430" s="1900"/>
      <c r="G1430" s="1900"/>
      <c r="H1430" s="1900"/>
      <c r="I1430" s="1900"/>
      <c r="J1430" s="1900"/>
      <c r="K1430" s="1900"/>
      <c r="L1430" s="1900"/>
      <c r="M1430" s="1900"/>
      <c r="N1430" s="1900"/>
      <c r="O1430" s="1900"/>
      <c r="P1430" s="1900"/>
      <c r="Q1430" s="1900"/>
      <c r="R1430" s="2786" t="s">
        <v>1254</v>
      </c>
      <c r="S1430" s="2786"/>
      <c r="U1430" s="1634"/>
      <c r="V1430" s="1634"/>
    </row>
    <row r="1431" spans="1:22">
      <c r="B1431" s="1897" t="s">
        <v>1866</v>
      </c>
      <c r="C1431" s="1898"/>
      <c r="D1431" s="1899"/>
      <c r="E1431" s="1899"/>
      <c r="F1431" s="1899"/>
      <c r="G1431" s="1899"/>
      <c r="H1431" s="1899"/>
      <c r="I1431" s="1899"/>
      <c r="J1431" s="1899"/>
      <c r="K1431" s="1899"/>
      <c r="L1431" s="1899"/>
      <c r="M1431" s="1899"/>
      <c r="N1431" s="1899"/>
      <c r="O1431" s="1899"/>
      <c r="P1431" s="1899"/>
      <c r="Q1431" s="1899"/>
    </row>
    <row r="1432" spans="1:22">
      <c r="A1432" s="1900">
        <f>'Part VIII-Threshold Criteria'!A274</f>
        <v>0</v>
      </c>
      <c r="B1432" s="1900"/>
      <c r="C1432" s="1900"/>
      <c r="D1432" s="1900"/>
      <c r="E1432" s="1900"/>
      <c r="F1432" s="1900"/>
      <c r="G1432" s="1900"/>
      <c r="H1432" s="1900"/>
      <c r="I1432" s="1900"/>
      <c r="J1432" s="1900"/>
      <c r="K1432" s="1900"/>
      <c r="L1432" s="1900"/>
      <c r="M1432" s="1900"/>
      <c r="N1432" s="1900"/>
      <c r="O1432" s="1900"/>
      <c r="P1432" s="1900"/>
      <c r="Q1432" s="1900"/>
    </row>
    <row r="1433" spans="1:22">
      <c r="A1433" s="1633"/>
      <c r="B1433" s="1895"/>
      <c r="C1433" s="1899"/>
      <c r="D1433" s="1899"/>
      <c r="E1433" s="1899"/>
      <c r="F1433" s="1899"/>
      <c r="G1433" s="1899"/>
      <c r="H1433" s="1899"/>
      <c r="I1433" s="1899"/>
      <c r="J1433" s="1899"/>
      <c r="K1433" s="1899"/>
      <c r="L1433" s="1899"/>
      <c r="M1433" s="1899"/>
      <c r="Q1433" s="1633"/>
    </row>
    <row r="1434" spans="1:22">
      <c r="A1434" s="1631" t="s">
        <v>2251</v>
      </c>
      <c r="B1434" s="1631" t="s">
        <v>2663</v>
      </c>
      <c r="C1434" s="1631"/>
      <c r="D1434" s="521"/>
      <c r="E1434" s="521"/>
      <c r="F1434" s="521"/>
      <c r="G1434" s="521"/>
      <c r="H1434" s="1900"/>
      <c r="I1434" s="1900"/>
      <c r="J1434" s="1900"/>
      <c r="K1434" s="1900"/>
      <c r="L1434" s="1900"/>
      <c r="M1434" s="1900"/>
      <c r="N1434" s="2111"/>
      <c r="O1434" s="1900" t="s">
        <v>1867</v>
      </c>
      <c r="P1434" s="1634"/>
      <c r="Q1434" s="1634"/>
    </row>
    <row r="1435" spans="1:22" ht="12.75" customHeight="1">
      <c r="A1435" s="1944" t="s">
        <v>1983</v>
      </c>
      <c r="B1435" s="1900" t="s">
        <v>4968</v>
      </c>
      <c r="C1435" s="1900"/>
      <c r="D1435" s="1900"/>
      <c r="E1435" s="1900"/>
      <c r="F1435" s="1900"/>
      <c r="G1435" s="1900"/>
      <c r="H1435" s="1900"/>
      <c r="I1435" s="1900"/>
      <c r="J1435" s="1900"/>
      <c r="K1435" s="1900"/>
      <c r="L1435" s="1900"/>
      <c r="M1435" s="1900"/>
      <c r="N1435" s="1900"/>
      <c r="O1435" s="1944" t="s">
        <v>1983</v>
      </c>
      <c r="P1435" s="1948" t="str">
        <f>'Part VIII-Threshold Criteria'!P277</f>
        <v>Yes</v>
      </c>
      <c r="Q1435" s="1948"/>
      <c r="R1435" s="1913"/>
      <c r="S1435" s="1913"/>
      <c r="T1435" s="1913"/>
      <c r="U1435" s="1913"/>
      <c r="V1435" s="1913"/>
    </row>
    <row r="1436" spans="1:22">
      <c r="A1436" s="1937"/>
      <c r="B1436" s="521" t="s">
        <v>3759</v>
      </c>
      <c r="D1436" s="521"/>
      <c r="E1436" s="521"/>
      <c r="F1436" s="521"/>
      <c r="G1436" s="521"/>
      <c r="H1436" s="521"/>
      <c r="I1436" s="521"/>
      <c r="J1436" s="521"/>
      <c r="K1436" s="521"/>
      <c r="L1436" s="521"/>
      <c r="M1436" s="521"/>
      <c r="O1436" s="1937"/>
      <c r="P1436" s="521" t="str">
        <f>'Part VIII-Threshold Criteria'!P278</f>
        <v>Yes</v>
      </c>
      <c r="Q1436" s="521"/>
    </row>
    <row r="1437" spans="1:22">
      <c r="A1437" s="1937" t="s">
        <v>1985</v>
      </c>
      <c r="B1437" s="521" t="s">
        <v>3760</v>
      </c>
      <c r="D1437" s="521"/>
      <c r="E1437" s="521"/>
      <c r="F1437" s="521"/>
      <c r="G1437" s="521"/>
      <c r="H1437" s="521"/>
      <c r="I1437" s="521"/>
      <c r="J1437" s="521"/>
      <c r="K1437" s="521"/>
      <c r="L1437" s="521"/>
      <c r="M1437" s="521"/>
      <c r="O1437" s="1937" t="s">
        <v>1985</v>
      </c>
      <c r="P1437" s="1895" t="str">
        <f>'Part VIII-Threshold Criteria'!P279</f>
        <v>Yes</v>
      </c>
      <c r="Q1437" s="1895"/>
    </row>
    <row r="1438" spans="1:22">
      <c r="A1438" s="1937" t="s">
        <v>749</v>
      </c>
      <c r="B1438" s="521" t="s">
        <v>4122</v>
      </c>
      <c r="C1438" s="2111"/>
      <c r="D1438" s="521"/>
      <c r="E1438" s="521"/>
      <c r="F1438" s="521"/>
      <c r="G1438" s="521"/>
      <c r="H1438" s="521"/>
      <c r="I1438" s="521"/>
      <c r="J1438" s="521"/>
      <c r="K1438" s="521"/>
      <c r="L1438" s="521"/>
      <c r="M1438" s="521"/>
      <c r="N1438" s="2111"/>
      <c r="O1438" s="1937" t="s">
        <v>749</v>
      </c>
      <c r="P1438" s="1895" t="str">
        <f>'Part VIII-Threshold Criteria'!P280</f>
        <v>Yes</v>
      </c>
      <c r="Q1438" s="1895"/>
    </row>
    <row r="1439" spans="1:22">
      <c r="A1439" s="1937"/>
      <c r="B1439" s="521" t="s">
        <v>3761</v>
      </c>
      <c r="D1439" s="521"/>
      <c r="E1439" s="521"/>
      <c r="F1439" s="521"/>
      <c r="G1439" s="521"/>
      <c r="H1439" s="521"/>
      <c r="I1439" s="521"/>
      <c r="J1439" s="521"/>
      <c r="K1439" s="521"/>
      <c r="L1439" s="521"/>
      <c r="M1439" s="521"/>
      <c r="O1439" s="1937"/>
      <c r="P1439" s="1895" t="str">
        <f>'Part VIII-Threshold Criteria'!P281</f>
        <v>Yes</v>
      </c>
      <c r="Q1439" s="1895"/>
    </row>
    <row r="1440" spans="1:22" ht="12.75" customHeight="1">
      <c r="A1440" s="1944" t="s">
        <v>2115</v>
      </c>
      <c r="B1440" s="1900" t="s">
        <v>4971</v>
      </c>
      <c r="C1440" s="1900"/>
      <c r="D1440" s="1900"/>
      <c r="E1440" s="1900"/>
      <c r="F1440" s="1900"/>
      <c r="G1440" s="1900"/>
      <c r="H1440" s="1900"/>
      <c r="I1440" s="1900"/>
      <c r="J1440" s="1900"/>
      <c r="K1440" s="1900"/>
      <c r="L1440" s="1900"/>
      <c r="M1440" s="1900"/>
      <c r="N1440" s="1900"/>
      <c r="O1440" s="1937" t="s">
        <v>2115</v>
      </c>
      <c r="P1440" s="1948" t="str">
        <f>'Part VIII-Threshold Criteria'!P282</f>
        <v>Yes</v>
      </c>
      <c r="Q1440" s="1948"/>
    </row>
    <row r="1441" spans="1:22">
      <c r="B1441" s="1842" t="s">
        <v>3756</v>
      </c>
      <c r="D1441" s="1842"/>
      <c r="E1441" s="1842"/>
      <c r="F1441" s="1842"/>
      <c r="G1441" s="1842"/>
      <c r="H1441" s="1841"/>
      <c r="I1441" s="1895"/>
      <c r="J1441" s="1895"/>
      <c r="K1441" s="1895"/>
      <c r="L1441" s="1633"/>
      <c r="M1441" s="1633"/>
      <c r="N1441" s="1633"/>
      <c r="O1441" s="1633"/>
      <c r="P1441" s="1633"/>
      <c r="Q1441" s="1633"/>
    </row>
    <row r="1442" spans="1:22" ht="15">
      <c r="A1442" s="1900">
        <f>'Part VIII-Threshold Criteria'!A284</f>
        <v>0</v>
      </c>
      <c r="B1442" s="1900"/>
      <c r="C1442" s="1900"/>
      <c r="D1442" s="1900"/>
      <c r="E1442" s="1900"/>
      <c r="F1442" s="1900"/>
      <c r="G1442" s="1900"/>
      <c r="H1442" s="1900"/>
      <c r="I1442" s="1900"/>
      <c r="J1442" s="1900"/>
      <c r="K1442" s="1900"/>
      <c r="L1442" s="1900"/>
      <c r="M1442" s="1900"/>
      <c r="N1442" s="1900"/>
      <c r="O1442" s="1900"/>
      <c r="P1442" s="1900"/>
      <c r="Q1442" s="1900"/>
      <c r="R1442" s="2786" t="s">
        <v>1254</v>
      </c>
      <c r="S1442" s="2786"/>
      <c r="U1442" s="1634"/>
      <c r="V1442" s="1634"/>
    </row>
    <row r="1443" spans="1:22">
      <c r="B1443" s="1897" t="s">
        <v>1866</v>
      </c>
      <c r="C1443" s="1898"/>
      <c r="D1443" s="1900"/>
      <c r="E1443" s="1900"/>
      <c r="F1443" s="1900"/>
      <c r="G1443" s="1900"/>
      <c r="H1443" s="1900"/>
      <c r="I1443" s="1900"/>
      <c r="J1443" s="1900"/>
      <c r="K1443" s="1900"/>
      <c r="L1443" s="1900"/>
      <c r="M1443" s="1900"/>
      <c r="N1443" s="1900"/>
      <c r="O1443" s="1899"/>
      <c r="P1443" s="1899"/>
      <c r="Q1443" s="1899"/>
    </row>
    <row r="1444" spans="1:22">
      <c r="A1444" s="1900">
        <f>'Part VIII-Threshold Criteria'!A286</f>
        <v>0</v>
      </c>
      <c r="B1444" s="1900"/>
      <c r="C1444" s="1900"/>
      <c r="D1444" s="1900"/>
      <c r="E1444" s="1900"/>
      <c r="F1444" s="1900"/>
      <c r="G1444" s="1900"/>
      <c r="H1444" s="1900"/>
      <c r="I1444" s="1900"/>
      <c r="J1444" s="1900"/>
      <c r="K1444" s="1900"/>
      <c r="L1444" s="1900"/>
      <c r="M1444" s="1900"/>
      <c r="N1444" s="1900"/>
      <c r="O1444" s="1900"/>
      <c r="P1444" s="1900"/>
      <c r="Q1444" s="1900"/>
    </row>
    <row r="1445" spans="1:22">
      <c r="A1445" s="2111"/>
      <c r="B1445" s="2111"/>
      <c r="C1445" s="2111"/>
      <c r="D1445" s="2111"/>
      <c r="E1445" s="2111"/>
      <c r="F1445" s="2111"/>
      <c r="G1445" s="2111"/>
      <c r="H1445" s="2111"/>
      <c r="I1445" s="2111"/>
      <c r="J1445" s="2111"/>
      <c r="K1445" s="2111"/>
      <c r="L1445" s="2111"/>
      <c r="M1445" s="2111"/>
      <c r="N1445" s="2111"/>
      <c r="O1445" s="2111"/>
      <c r="P1445" s="2111"/>
      <c r="Q1445" s="2111"/>
    </row>
    <row r="1446" spans="1:22">
      <c r="A1446" s="1947" t="s">
        <v>4104</v>
      </c>
      <c r="B1446" s="1947" t="s">
        <v>2664</v>
      </c>
      <c r="C1446" s="1947"/>
      <c r="D1446" s="1899"/>
      <c r="E1446" s="1899"/>
      <c r="F1446" s="1899"/>
      <c r="G1446" s="1899"/>
      <c r="H1446" s="1899"/>
      <c r="I1446" s="1899"/>
      <c r="J1446" s="1899"/>
      <c r="K1446" s="1899"/>
      <c r="L1446" s="1899"/>
      <c r="M1446" s="1899"/>
      <c r="O1446" s="2784" t="s">
        <v>1867</v>
      </c>
      <c r="P1446" s="1634"/>
      <c r="Q1446" s="1634"/>
    </row>
    <row r="1447" spans="1:22" ht="12.75" customHeight="1">
      <c r="A1447" s="1921" t="s">
        <v>1983</v>
      </c>
      <c r="B1447" s="1900" t="s">
        <v>4970</v>
      </c>
      <c r="C1447" s="1900"/>
      <c r="D1447" s="1900"/>
      <c r="E1447" s="1900"/>
      <c r="F1447" s="1900"/>
      <c r="G1447" s="1900"/>
      <c r="H1447" s="1900"/>
      <c r="I1447" s="1900"/>
      <c r="J1447" s="1900"/>
      <c r="K1447" s="1900"/>
      <c r="L1447" s="1900"/>
      <c r="M1447" s="1900"/>
      <c r="N1447" s="1900"/>
      <c r="O1447" s="1921" t="s">
        <v>1983</v>
      </c>
      <c r="P1447" s="1921" t="str">
        <f>'Part VIII-Threshold Criteria'!P289</f>
        <v>Agree</v>
      </c>
      <c r="Q1447" s="1921"/>
      <c r="R1447" s="1913"/>
      <c r="S1447" s="1913"/>
      <c r="T1447" s="1913"/>
      <c r="U1447" s="1913"/>
      <c r="V1447" s="1913"/>
    </row>
    <row r="1448" spans="1:22" ht="12.75" customHeight="1">
      <c r="A1448" s="1944"/>
      <c r="B1448" s="1900" t="s">
        <v>2814</v>
      </c>
      <c r="C1448" s="1900"/>
      <c r="D1448" s="1900"/>
      <c r="E1448" s="1900"/>
      <c r="F1448" s="1900"/>
      <c r="G1448" s="1900"/>
      <c r="H1448" s="1900"/>
      <c r="I1448" s="1900"/>
      <c r="J1448" s="1900"/>
      <c r="K1448" s="1900"/>
      <c r="L1448" s="1900"/>
      <c r="M1448" s="1900"/>
      <c r="N1448" s="1900"/>
      <c r="O1448" s="1944"/>
      <c r="P1448" s="1921" t="str">
        <f>'Part VIII-Threshold Criteria'!P290</f>
        <v>Agree</v>
      </c>
      <c r="Q1448" s="1921"/>
      <c r="R1448" s="1913"/>
      <c r="S1448" s="1913"/>
      <c r="T1448" s="1913"/>
      <c r="U1448" s="1913"/>
      <c r="V1448" s="1913"/>
    </row>
    <row r="1449" spans="1:22" ht="13.5">
      <c r="A1449" s="1828" t="s">
        <v>1985</v>
      </c>
      <c r="B1449" s="1634" t="s">
        <v>310</v>
      </c>
      <c r="D1449" s="1631"/>
      <c r="E1449" s="1631"/>
      <c r="J1449" s="1953" t="s">
        <v>4789</v>
      </c>
      <c r="K1449" s="1710" t="str">
        <f>'Part VIII-Threshold Criteria'!K291</f>
        <v>Earth Craft House Multifamily</v>
      </c>
      <c r="L1449" s="1710">
        <f>'Part VIII-Threshold Criteria'!L291</f>
        <v>0</v>
      </c>
      <c r="M1449" s="1710">
        <f>'Part VIII-Threshold Criteria'!M291</f>
        <v>0</v>
      </c>
      <c r="N1449" s="1710">
        <f>'Part VIII-Threshold Criteria'!N291</f>
        <v>0</v>
      </c>
      <c r="O1449" s="1937" t="s">
        <v>1985</v>
      </c>
      <c r="P1449" s="2806" t="str">
        <f>'Part VIII-Threshold Criteria'!P291</f>
        <v>Agree</v>
      </c>
      <c r="Q1449" s="2806"/>
      <c r="R1449" s="2807"/>
      <c r="S1449" s="1845"/>
    </row>
    <row r="1450" spans="1:22" ht="13.5">
      <c r="A1450" s="1828"/>
      <c r="B1450" s="1634"/>
      <c r="C1450" s="2111"/>
      <c r="D1450" s="1631"/>
      <c r="E1450" s="1631"/>
      <c r="F1450" s="2111"/>
      <c r="G1450" s="2111"/>
      <c r="H1450" s="2111"/>
      <c r="I1450" s="2111"/>
      <c r="J1450" s="1955" t="s">
        <v>4972</v>
      </c>
      <c r="K1450" s="1710">
        <f>'Part VIII-Threshold Criteria'!K292</f>
        <v>0</v>
      </c>
      <c r="L1450" s="1710">
        <f>'Part VIII-Threshold Criteria'!L292</f>
        <v>0</v>
      </c>
      <c r="M1450" s="1710">
        <f>'Part VIII-Threshold Criteria'!M292</f>
        <v>0</v>
      </c>
      <c r="N1450" s="1710">
        <f>'Part VIII-Threshold Criteria'!N292</f>
        <v>0</v>
      </c>
      <c r="O1450" s="1937"/>
      <c r="P1450" s="1937"/>
      <c r="Q1450" s="1937"/>
      <c r="R1450" s="1937"/>
      <c r="S1450" s="1845"/>
    </row>
    <row r="1451" spans="1:22" ht="15">
      <c r="A1451" s="1631"/>
      <c r="B1451" s="1866" t="s">
        <v>3756</v>
      </c>
      <c r="C1451" s="1631"/>
      <c r="D1451" s="1634"/>
      <c r="E1451" s="1634"/>
      <c r="F1451" s="1634"/>
      <c r="G1451" s="1634"/>
      <c r="H1451" s="1993"/>
      <c r="I1451" s="1993"/>
      <c r="J1451" s="1993"/>
      <c r="K1451" s="521"/>
      <c r="L1451" s="1993"/>
      <c r="M1451" s="1631"/>
      <c r="N1451" s="1631"/>
      <c r="O1451" s="1863"/>
      <c r="P1451" s="1630"/>
      <c r="Q1451" s="1993"/>
      <c r="R1451" s="1993"/>
      <c r="S1451" s="1993"/>
      <c r="T1451" s="1993"/>
      <c r="U1451" s="1993"/>
      <c r="V1451" s="1993"/>
    </row>
    <row r="1452" spans="1:22" ht="15">
      <c r="A1452" s="1900">
        <f>'Part VIII-Threshold Criteria'!A294</f>
        <v>0</v>
      </c>
      <c r="B1452" s="1900"/>
      <c r="C1452" s="1900"/>
      <c r="D1452" s="1900"/>
      <c r="E1452" s="1900"/>
      <c r="F1452" s="1900"/>
      <c r="G1452" s="1900"/>
      <c r="H1452" s="1900"/>
      <c r="I1452" s="1900"/>
      <c r="J1452" s="1900"/>
      <c r="K1452" s="1900"/>
      <c r="L1452" s="1900"/>
      <c r="M1452" s="1900"/>
      <c r="N1452" s="1900"/>
      <c r="O1452" s="1900"/>
      <c r="P1452" s="1900"/>
      <c r="Q1452" s="1900"/>
      <c r="R1452" s="2786" t="s">
        <v>1254</v>
      </c>
      <c r="S1452" s="1976"/>
      <c r="T1452" s="1976"/>
      <c r="U1452" s="1976"/>
      <c r="V1452" s="1976"/>
    </row>
    <row r="1453" spans="1:22" ht="15">
      <c r="B1453" s="1897" t="s">
        <v>1866</v>
      </c>
      <c r="C1453" s="1898"/>
      <c r="D1453" s="1899"/>
      <c r="E1453" s="1899"/>
      <c r="F1453" s="1899"/>
      <c r="G1453" s="1899"/>
      <c r="H1453" s="1899"/>
      <c r="I1453" s="1899"/>
      <c r="J1453" s="1899"/>
      <c r="K1453" s="1900"/>
      <c r="L1453" s="1900"/>
      <c r="M1453" s="1900"/>
      <c r="N1453" s="1900"/>
      <c r="O1453" s="1899"/>
      <c r="P1453" s="1899"/>
      <c r="Q1453" s="1899"/>
      <c r="S1453" s="1976"/>
      <c r="T1453" s="1976"/>
      <c r="U1453" s="1976"/>
      <c r="V1453" s="1976"/>
    </row>
    <row r="1454" spans="1:22" ht="15">
      <c r="A1454" s="1900">
        <f>'Part VIII-Threshold Criteria'!A296</f>
        <v>0</v>
      </c>
      <c r="B1454" s="1900"/>
      <c r="C1454" s="1900"/>
      <c r="D1454" s="1900"/>
      <c r="E1454" s="1900"/>
      <c r="F1454" s="1900"/>
      <c r="G1454" s="1900"/>
      <c r="H1454" s="1900"/>
      <c r="I1454" s="1900"/>
      <c r="J1454" s="1900"/>
      <c r="K1454" s="1900"/>
      <c r="L1454" s="1900"/>
      <c r="M1454" s="1900"/>
      <c r="N1454" s="1900"/>
      <c r="O1454" s="1900"/>
      <c r="P1454" s="1900"/>
      <c r="Q1454" s="1900"/>
      <c r="S1454" s="1976"/>
      <c r="T1454" s="1976"/>
      <c r="U1454" s="1976"/>
      <c r="V1454" s="1976"/>
    </row>
    <row r="1455" spans="1:22" ht="15">
      <c r="A1455" s="1631"/>
      <c r="B1455" s="2006"/>
      <c r="C1455" s="2006"/>
      <c r="D1455" s="521"/>
      <c r="E1455" s="521"/>
      <c r="F1455" s="1631"/>
      <c r="G1455" s="1631"/>
      <c r="H1455" s="1631"/>
      <c r="I1455" s="1631"/>
      <c r="J1455" s="521"/>
      <c r="K1455" s="521"/>
      <c r="L1455" s="521"/>
      <c r="M1455" s="521"/>
      <c r="N1455" s="1631"/>
      <c r="O1455" s="2111"/>
      <c r="P1455" s="1846"/>
      <c r="Q1455" s="2006"/>
      <c r="R1455" s="1976"/>
      <c r="S1455" s="1976"/>
      <c r="T1455" s="1976"/>
      <c r="U1455" s="1976"/>
      <c r="V1455" s="1976"/>
    </row>
    <row r="1456" spans="1:22">
      <c r="A1456" s="1947" t="s">
        <v>4105</v>
      </c>
      <c r="B1456" s="1947" t="s">
        <v>2665</v>
      </c>
      <c r="C1456" s="1954"/>
      <c r="D1456" s="1899"/>
      <c r="E1456" s="1899"/>
      <c r="F1456" s="1899"/>
      <c r="G1456" s="1899"/>
      <c r="H1456" s="1899"/>
      <c r="I1456" s="1899"/>
      <c r="J1456" s="1899"/>
      <c r="K1456" s="1899"/>
      <c r="L1456" s="1899"/>
      <c r="M1456" s="1899"/>
      <c r="O1456" s="2784" t="s">
        <v>1867</v>
      </c>
      <c r="P1456" s="1634"/>
      <c r="Q1456" s="1634"/>
    </row>
    <row r="1457" spans="1:22">
      <c r="A1457" s="1631" t="s">
        <v>1983</v>
      </c>
      <c r="B1457" s="1631" t="s">
        <v>4549</v>
      </c>
      <c r="C1457" s="2111"/>
      <c r="D1457" s="2111"/>
      <c r="E1457" s="2111"/>
      <c r="F1457" s="2111"/>
      <c r="G1457" s="2111"/>
      <c r="H1457" s="2111"/>
      <c r="I1457" s="2111"/>
      <c r="J1457" s="2111"/>
      <c r="K1457" s="2111"/>
      <c r="L1457" s="2111"/>
      <c r="M1457" s="2111"/>
      <c r="N1457" s="2111"/>
      <c r="O1457" s="2111"/>
      <c r="P1457" s="2111"/>
      <c r="Q1457" s="2111"/>
    </row>
    <row r="1458" spans="1:22" ht="12.75" customHeight="1">
      <c r="A1458" s="1944"/>
      <c r="B1458" s="1952" t="s">
        <v>1737</v>
      </c>
      <c r="C1458" s="1900" t="s">
        <v>3913</v>
      </c>
      <c r="D1458" s="1900"/>
      <c r="E1458" s="1900"/>
      <c r="F1458" s="1900"/>
      <c r="G1458" s="1900"/>
      <c r="H1458" s="1900"/>
      <c r="I1458" s="1900"/>
      <c r="J1458" s="1900"/>
      <c r="K1458" s="1900"/>
      <c r="L1458" s="1900"/>
      <c r="M1458" s="1900"/>
      <c r="N1458" s="1900"/>
      <c r="O1458" s="1944" t="s">
        <v>2726</v>
      </c>
      <c r="P1458" s="1948" t="str">
        <f>'Part VIII-Threshold Criteria'!P300</f>
        <v>Yes</v>
      </c>
      <c r="Q1458" s="1948"/>
    </row>
    <row r="1459" spans="1:22" ht="12.75" customHeight="1">
      <c r="A1459" s="1944"/>
      <c r="B1459" s="1952" t="s">
        <v>1738</v>
      </c>
      <c r="C1459" s="1900" t="s">
        <v>3914</v>
      </c>
      <c r="D1459" s="1900"/>
      <c r="E1459" s="1900"/>
      <c r="F1459" s="1900"/>
      <c r="G1459" s="1900"/>
      <c r="H1459" s="1900"/>
      <c r="I1459" s="1900"/>
      <c r="J1459" s="1900"/>
      <c r="K1459" s="1900"/>
      <c r="L1459" s="1900"/>
      <c r="M1459" s="1900"/>
      <c r="N1459" s="1900"/>
      <c r="O1459" s="1944" t="s">
        <v>1738</v>
      </c>
      <c r="P1459" s="1921" t="str">
        <f>'Part VIII-Threshold Criteria'!P301</f>
        <v>Yes</v>
      </c>
      <c r="Q1459" s="1921"/>
      <c r="R1459" s="1913"/>
      <c r="S1459" s="1913"/>
      <c r="T1459" s="1913"/>
      <c r="U1459" s="1913"/>
      <c r="V1459" s="1913"/>
    </row>
    <row r="1460" spans="1:22" ht="12.75" customHeight="1">
      <c r="A1460" s="1944"/>
      <c r="B1460" s="1952" t="s">
        <v>1739</v>
      </c>
      <c r="C1460" s="1900" t="s">
        <v>3912</v>
      </c>
      <c r="D1460" s="1900"/>
      <c r="E1460" s="1900"/>
      <c r="F1460" s="1900"/>
      <c r="G1460" s="1900"/>
      <c r="H1460" s="1900"/>
      <c r="I1460" s="1900"/>
      <c r="J1460" s="1900"/>
      <c r="K1460" s="1900"/>
      <c r="L1460" s="1900"/>
      <c r="M1460" s="1900"/>
      <c r="N1460" s="1900"/>
      <c r="O1460" s="1944" t="s">
        <v>1739</v>
      </c>
      <c r="P1460" s="1948">
        <f>'Part VIII-Threshold Criteria'!P302</f>
        <v>0</v>
      </c>
      <c r="Q1460" s="1948"/>
      <c r="R1460" s="1913"/>
      <c r="S1460" s="1913"/>
      <c r="T1460" s="1913"/>
      <c r="U1460" s="1913"/>
      <c r="V1460" s="1913"/>
    </row>
    <row r="1461" spans="1:22">
      <c r="A1461" s="1941" t="s">
        <v>1985</v>
      </c>
      <c r="B1461" s="1947" t="s">
        <v>3879</v>
      </c>
      <c r="C1461" s="1631"/>
      <c r="D1461" s="1867"/>
      <c r="E1461" s="1867"/>
      <c r="F1461" s="1867"/>
      <c r="G1461" s="1867"/>
      <c r="H1461" s="1867"/>
      <c r="I1461" s="1867"/>
      <c r="J1461" s="1867"/>
      <c r="K1461" s="1867"/>
      <c r="L1461" s="1867"/>
      <c r="M1461" s="1867"/>
      <c r="N1461" s="1867"/>
      <c r="O1461" s="1937"/>
      <c r="P1461" s="1937"/>
      <c r="Q1461" s="1937"/>
      <c r="R1461" s="1631"/>
      <c r="S1461" s="1631"/>
      <c r="T1461" s="1631"/>
      <c r="U1461" s="1631"/>
      <c r="V1461" s="1631"/>
    </row>
    <row r="1462" spans="1:22" ht="12.75" customHeight="1">
      <c r="A1462" s="1941"/>
      <c r="B1462" s="1952" t="s">
        <v>1737</v>
      </c>
      <c r="C1462" s="1900" t="s">
        <v>5119</v>
      </c>
      <c r="D1462" s="1900"/>
      <c r="E1462" s="1900"/>
      <c r="F1462" s="1900"/>
      <c r="G1462" s="1900"/>
      <c r="H1462" s="1900"/>
      <c r="I1462" s="1921"/>
      <c r="J1462" s="1904" t="s">
        <v>3796</v>
      </c>
      <c r="K1462" s="1955"/>
      <c r="L1462" s="1955"/>
      <c r="M1462" s="1961" t="s">
        <v>3766</v>
      </c>
      <c r="N1462" s="1961"/>
      <c r="O1462" s="1631"/>
      <c r="P1462" s="1631"/>
      <c r="Q1462" s="1631"/>
      <c r="R1462" s="1631"/>
      <c r="S1462" s="1631"/>
      <c r="T1462" s="1631"/>
      <c r="U1462" s="1631"/>
      <c r="V1462" s="1631"/>
    </row>
    <row r="1463" spans="1:22">
      <c r="A1463" s="1657"/>
      <c r="B1463" s="1654"/>
      <c r="C1463" s="1900"/>
      <c r="D1463" s="1900"/>
      <c r="E1463" s="1900"/>
      <c r="F1463" s="1900"/>
      <c r="G1463" s="1900"/>
      <c r="H1463" s="1900"/>
      <c r="I1463" s="1647"/>
      <c r="J1463" s="1955"/>
      <c r="K1463" s="1955"/>
      <c r="L1463" s="1955"/>
      <c r="M1463" s="521" t="s">
        <v>3767</v>
      </c>
      <c r="N1463" s="521" t="s">
        <v>3795</v>
      </c>
      <c r="O1463" s="1647"/>
      <c r="P1463" s="1660"/>
      <c r="Q1463" s="1647"/>
      <c r="R1463" s="1647"/>
      <c r="S1463" s="1647"/>
      <c r="T1463" s="1647"/>
      <c r="U1463" s="1647"/>
      <c r="V1463" s="1647"/>
    </row>
    <row r="1464" spans="1:22">
      <c r="A1464" s="1657"/>
      <c r="B1464" s="1654"/>
      <c r="C1464" s="1900"/>
      <c r="D1464" s="1900"/>
      <c r="E1464" s="1900"/>
      <c r="F1464" s="1900"/>
      <c r="G1464" s="1900"/>
      <c r="H1464" s="1900"/>
      <c r="I1464" s="521" t="s">
        <v>4125</v>
      </c>
      <c r="J1464" s="1647"/>
      <c r="K1464" s="2163">
        <f>'Part VIII-Threshold Criteria'!K306</f>
        <v>12</v>
      </c>
      <c r="L1464" s="1654" t="str">
        <f>IF(K1464&lt;M1464,"Check!!!","")</f>
        <v/>
      </c>
      <c r="M1464" s="2009">
        <f>ROUNDUP('Part VI-Revenues &amp; Expenses'!$O$67*'Part VIII-Threshold Criteria'!N1464,0)</f>
        <v>0</v>
      </c>
      <c r="N1464" s="2808">
        <f>'DCA Underwriting Assumptions'!$Q$139</f>
        <v>0.05</v>
      </c>
      <c r="O1464" s="1937" t="s">
        <v>3639</v>
      </c>
      <c r="P1464" s="1895" t="str">
        <f>'Part VIII-Threshold Criteria'!P306</f>
        <v>Yes</v>
      </c>
      <c r="Q1464" s="1895"/>
      <c r="R1464" s="1647"/>
      <c r="S1464" s="1647"/>
      <c r="T1464" s="1647"/>
      <c r="U1464" s="1647"/>
      <c r="V1464" s="521"/>
    </row>
    <row r="1465" spans="1:22" ht="12.75" customHeight="1">
      <c r="A1465" s="1944"/>
      <c r="B1465" s="1952"/>
      <c r="C1465" s="1900" t="s">
        <v>5120</v>
      </c>
      <c r="D1465" s="1900"/>
      <c r="E1465" s="1900"/>
      <c r="F1465" s="1900"/>
      <c r="G1465" s="1900"/>
      <c r="H1465" s="1900"/>
      <c r="I1465" s="1964" t="s">
        <v>4126</v>
      </c>
      <c r="J1465" s="1647"/>
      <c r="K1465" s="2809">
        <f>'Part VIII-Threshold Criteria'!K307</f>
        <v>5</v>
      </c>
      <c r="L1465" s="1647" t="str">
        <f>IF(K1465&lt;M1465,"Check!!!","")</f>
        <v/>
      </c>
      <c r="M1465" s="2810">
        <f>ROUNDUP(K1464*'Part VIII-Threshold Criteria'!N1465,0)</f>
        <v>0</v>
      </c>
      <c r="N1465" s="2811">
        <f>'DCA Underwriting Assumptions'!$Q$140</f>
        <v>0.4</v>
      </c>
      <c r="O1465" s="1937" t="s">
        <v>2117</v>
      </c>
      <c r="P1465" s="1921" t="str">
        <f>'Part VIII-Threshold Criteria'!P307</f>
        <v>Yes</v>
      </c>
      <c r="Q1465" s="1921"/>
      <c r="R1465" s="1631"/>
      <c r="S1465" s="1631"/>
      <c r="T1465" s="1921"/>
      <c r="U1465" s="1921"/>
      <c r="V1465" s="1921"/>
    </row>
    <row r="1466" spans="1:22">
      <c r="A1466" s="1657"/>
      <c r="B1466" s="1654"/>
      <c r="C1466" s="1900"/>
      <c r="D1466" s="1900"/>
      <c r="E1466" s="1900"/>
      <c r="F1466" s="1900"/>
      <c r="G1466" s="1900"/>
      <c r="H1466" s="1900"/>
      <c r="I1466" s="1647"/>
      <c r="J1466" s="1647"/>
      <c r="K1466" s="1647"/>
      <c r="L1466" s="1647"/>
      <c r="M1466" s="1647"/>
      <c r="N1466" s="1647"/>
      <c r="O1466" s="1841"/>
      <c r="P1466" s="1921">
        <f>'Part VIII-Threshold Criteria'!P308</f>
        <v>0</v>
      </c>
      <c r="Q1466" s="1921"/>
      <c r="R1466" s="1647"/>
      <c r="S1466" s="1647"/>
      <c r="T1466" s="1647"/>
      <c r="U1466" s="1647"/>
      <c r="V1466" s="521"/>
    </row>
    <row r="1467" spans="1:22" ht="12.75" customHeight="1">
      <c r="A1467" s="1944"/>
      <c r="B1467" s="1952" t="s">
        <v>1738</v>
      </c>
      <c r="C1467" s="1900" t="s">
        <v>5121</v>
      </c>
      <c r="D1467" s="1900"/>
      <c r="E1467" s="1900"/>
      <c r="F1467" s="1900"/>
      <c r="G1467" s="1900"/>
      <c r="H1467" s="1900"/>
      <c r="I1467" s="521" t="s">
        <v>4127</v>
      </c>
      <c r="J1467" s="1647"/>
      <c r="K1467" s="2163">
        <f>'Part VIII-Threshold Criteria'!K309</f>
        <v>5</v>
      </c>
      <c r="L1467" s="1654" t="str">
        <f>IF(K1467&lt;M1467,"Check!!!","")</f>
        <v/>
      </c>
      <c r="M1467" s="2009">
        <f>ROUNDUP('Part VI-Revenues &amp; Expenses'!$O$67*'Part VIII-Threshold Criteria'!N1467,0)</f>
        <v>0</v>
      </c>
      <c r="N1467" s="2808">
        <f>'DCA Underwriting Assumptions'!$Q$141</f>
        <v>0.02</v>
      </c>
      <c r="O1467" s="1937" t="s">
        <v>1738</v>
      </c>
      <c r="P1467" s="1895" t="str">
        <f>'Part VIII-Threshold Criteria'!P309</f>
        <v>Yes</v>
      </c>
      <c r="Q1467" s="1895"/>
      <c r="R1467" s="1631"/>
      <c r="S1467" s="1631"/>
      <c r="T1467" s="1921"/>
      <c r="U1467" s="1921"/>
      <c r="V1467" s="1921"/>
    </row>
    <row r="1468" spans="1:22">
      <c r="A1468" s="1657"/>
      <c r="B1468" s="1647"/>
      <c r="C1468" s="1900"/>
      <c r="D1468" s="1900"/>
      <c r="E1468" s="1900"/>
      <c r="F1468" s="1900"/>
      <c r="G1468" s="1900"/>
      <c r="H1468" s="1900"/>
      <c r="I1468" s="1647"/>
      <c r="J1468" s="521"/>
      <c r="K1468" s="521"/>
      <c r="L1468" s="1841"/>
      <c r="M1468" s="1895"/>
      <c r="N1468" s="1647"/>
      <c r="O1468" s="521"/>
      <c r="P1468" s="521"/>
      <c r="Q1468" s="521"/>
      <c r="R1468" s="1647"/>
      <c r="S1468" s="1647"/>
      <c r="T1468" s="521"/>
      <c r="U1468" s="1964"/>
      <c r="V1468" s="521"/>
    </row>
    <row r="1469" spans="1:22">
      <c r="A1469" s="1657"/>
      <c r="B1469" s="1647"/>
      <c r="C1469" s="1900"/>
      <c r="D1469" s="1900"/>
      <c r="E1469" s="1900"/>
      <c r="F1469" s="1900"/>
      <c r="G1469" s="1900"/>
      <c r="H1469" s="1900"/>
      <c r="I1469" s="1647"/>
      <c r="J1469" s="1647"/>
      <c r="K1469" s="1647"/>
      <c r="L1469" s="1647"/>
      <c r="M1469" s="1647"/>
      <c r="N1469" s="1647"/>
      <c r="O1469" s="1841"/>
      <c r="P1469" s="521"/>
      <c r="Q1469" s="1647"/>
      <c r="R1469" s="1647"/>
      <c r="S1469" s="1647"/>
      <c r="T1469" s="1647"/>
      <c r="U1469" s="1647"/>
      <c r="V1469" s="521"/>
    </row>
    <row r="1470" spans="1:22">
      <c r="A1470" s="1941" t="s">
        <v>749</v>
      </c>
      <c r="B1470" s="1947" t="s">
        <v>3880</v>
      </c>
      <c r="C1470" s="1647"/>
      <c r="D1470" s="1900"/>
      <c r="E1470" s="1900"/>
      <c r="F1470" s="1900"/>
      <c r="G1470" s="1900"/>
      <c r="H1470" s="1900"/>
      <c r="I1470" s="1647"/>
      <c r="J1470" s="1647"/>
      <c r="K1470" s="1647"/>
      <c r="L1470" s="1647"/>
      <c r="M1470" s="1647"/>
      <c r="N1470" s="1647"/>
      <c r="O1470" s="1841"/>
      <c r="P1470" s="1937"/>
      <c r="Q1470" s="1647"/>
      <c r="R1470" s="1647"/>
      <c r="S1470" s="1647"/>
      <c r="T1470" s="1647"/>
      <c r="U1470" s="1647"/>
      <c r="V1470" s="521"/>
    </row>
    <row r="1471" spans="1:22" ht="12.75" customHeight="1">
      <c r="A1471" s="1631"/>
      <c r="B1471" s="1900" t="s">
        <v>3641</v>
      </c>
      <c r="C1471" s="1900"/>
      <c r="D1471" s="1900"/>
      <c r="E1471" s="1900"/>
      <c r="F1471" s="1900"/>
      <c r="G1471" s="1900"/>
      <c r="H1471" s="1900"/>
      <c r="I1471" s="1900"/>
      <c r="J1471" s="1900"/>
      <c r="K1471" s="1900"/>
      <c r="L1471" s="1900"/>
      <c r="M1471" s="1900"/>
      <c r="N1471" s="1900"/>
      <c r="O1471" s="1944" t="s">
        <v>749</v>
      </c>
      <c r="P1471" s="1948" t="str">
        <f>'Part VIII-Threshold Criteria'!P313</f>
        <v>Yes</v>
      </c>
      <c r="Q1471" s="1948"/>
      <c r="R1471" s="1631"/>
      <c r="S1471" s="1631"/>
      <c r="T1471" s="1631"/>
      <c r="U1471" s="1631"/>
      <c r="V1471" s="1631"/>
    </row>
    <row r="1472" spans="1:22">
      <c r="A1472" s="1631"/>
      <c r="B1472" s="1921" t="s">
        <v>3642</v>
      </c>
      <c r="C1472" s="1631"/>
      <c r="D1472" s="1921"/>
      <c r="E1472" s="1921"/>
      <c r="F1472" s="1921"/>
      <c r="G1472" s="1921"/>
      <c r="H1472" s="1921"/>
      <c r="I1472" s="1921" t="s">
        <v>3765</v>
      </c>
      <c r="J1472" s="1921"/>
      <c r="K1472" s="1921"/>
      <c r="L1472" s="1921">
        <f>'Part VIII-Threshold Criteria'!L314</f>
        <v>0</v>
      </c>
      <c r="M1472" s="1921">
        <f>'Part VIII-Threshold Criteria'!M314</f>
        <v>0</v>
      </c>
      <c r="N1472" s="1921">
        <f>'Part VIII-Threshold Criteria'!N314</f>
        <v>0</v>
      </c>
      <c r="O1472" s="1921">
        <f>'Part VIII-Threshold Criteria'!O314</f>
        <v>0</v>
      </c>
      <c r="P1472" s="1921"/>
      <c r="Q1472" s="1921"/>
      <c r="R1472" s="1921"/>
      <c r="S1472" s="1631"/>
      <c r="T1472" s="1631"/>
      <c r="U1472" s="1631"/>
      <c r="V1472" s="1631"/>
    </row>
    <row r="1473" spans="1:22" ht="12.75" customHeight="1">
      <c r="A1473" s="1913"/>
      <c r="B1473" s="1952" t="s">
        <v>1737</v>
      </c>
      <c r="C1473" s="1900" t="s">
        <v>3640</v>
      </c>
      <c r="D1473" s="1900"/>
      <c r="E1473" s="1900"/>
      <c r="F1473" s="1900"/>
      <c r="G1473" s="1900"/>
      <c r="H1473" s="1900"/>
      <c r="I1473" s="1900"/>
      <c r="J1473" s="1900"/>
      <c r="K1473" s="1900"/>
      <c r="L1473" s="1900"/>
      <c r="M1473" s="1900"/>
      <c r="N1473" s="1900"/>
      <c r="O1473" s="1944" t="s">
        <v>3645</v>
      </c>
      <c r="P1473" s="1948" t="str">
        <f>'Part VIII-Threshold Criteria'!P315</f>
        <v>Yes</v>
      </c>
      <c r="Q1473" s="1948"/>
      <c r="R1473" s="1913"/>
      <c r="S1473" s="1913"/>
      <c r="T1473" s="1913"/>
      <c r="U1473" s="1913"/>
      <c r="V1473" s="1913"/>
    </row>
    <row r="1474" spans="1:22" ht="12.75" customHeight="1">
      <c r="A1474" s="1913"/>
      <c r="B1474" s="1921" t="s">
        <v>1738</v>
      </c>
      <c r="C1474" s="1900" t="s">
        <v>4915</v>
      </c>
      <c r="D1474" s="1900"/>
      <c r="E1474" s="1900"/>
      <c r="F1474" s="1900"/>
      <c r="G1474" s="1900"/>
      <c r="H1474" s="1900"/>
      <c r="I1474" s="1900"/>
      <c r="J1474" s="1900"/>
      <c r="K1474" s="1900"/>
      <c r="L1474" s="1900"/>
      <c r="M1474" s="1900"/>
      <c r="N1474" s="1900"/>
      <c r="O1474" s="1944" t="s">
        <v>3646</v>
      </c>
      <c r="P1474" s="1948" t="str">
        <f>'Part VIII-Threshold Criteria'!P316</f>
        <v>Yes</v>
      </c>
      <c r="Q1474" s="1948"/>
      <c r="R1474" s="1913"/>
      <c r="S1474" s="1913"/>
      <c r="T1474" s="1913"/>
      <c r="U1474" s="1913"/>
      <c r="V1474" s="1913"/>
    </row>
    <row r="1475" spans="1:22" ht="12.75" customHeight="1">
      <c r="A1475" s="1913"/>
      <c r="B1475" s="1952" t="s">
        <v>1739</v>
      </c>
      <c r="C1475" s="1900" t="s">
        <v>3643</v>
      </c>
      <c r="D1475" s="1900"/>
      <c r="E1475" s="1900"/>
      <c r="F1475" s="1900"/>
      <c r="G1475" s="1900"/>
      <c r="H1475" s="1900"/>
      <c r="I1475" s="1900"/>
      <c r="J1475" s="1900"/>
      <c r="K1475" s="1900"/>
      <c r="L1475" s="1900"/>
      <c r="M1475" s="1900"/>
      <c r="N1475" s="1900"/>
      <c r="O1475" s="1921" t="s">
        <v>3647</v>
      </c>
      <c r="P1475" s="1948" t="str">
        <f>'Part VIII-Threshold Criteria'!P317</f>
        <v>Yes</v>
      </c>
      <c r="Q1475" s="1948"/>
      <c r="R1475" s="1913"/>
      <c r="S1475" s="1913"/>
      <c r="T1475" s="1913"/>
      <c r="U1475" s="1913"/>
      <c r="V1475" s="1913"/>
    </row>
    <row r="1476" spans="1:22" ht="12.75" customHeight="1">
      <c r="A1476" s="1913"/>
      <c r="B1476" s="1952" t="s">
        <v>2365</v>
      </c>
      <c r="C1476" s="1900" t="s">
        <v>3644</v>
      </c>
      <c r="D1476" s="1900"/>
      <c r="E1476" s="1900"/>
      <c r="F1476" s="1900"/>
      <c r="G1476" s="1900"/>
      <c r="H1476" s="1900"/>
      <c r="I1476" s="1900"/>
      <c r="J1476" s="1900"/>
      <c r="K1476" s="1900"/>
      <c r="L1476" s="1900"/>
      <c r="M1476" s="1900"/>
      <c r="N1476" s="1900"/>
      <c r="O1476" s="1944" t="s">
        <v>3648</v>
      </c>
      <c r="P1476" s="1948" t="str">
        <f>'Part VIII-Threshold Criteria'!P318</f>
        <v>Yes</v>
      </c>
      <c r="Q1476" s="1948"/>
      <c r="R1476" s="1913"/>
      <c r="S1476" s="1913"/>
      <c r="T1476" s="1913"/>
      <c r="U1476" s="1913"/>
      <c r="V1476" s="1913"/>
    </row>
    <row r="1477" spans="1:22">
      <c r="B1477" s="1842" t="s">
        <v>3756</v>
      </c>
      <c r="C1477" s="2111"/>
      <c r="D1477" s="1866"/>
      <c r="E1477" s="1866"/>
      <c r="F1477" s="1866"/>
      <c r="G1477" s="1866"/>
      <c r="H1477" s="521"/>
      <c r="I1477" s="521"/>
      <c r="J1477" s="521"/>
      <c r="K1477" s="521"/>
      <c r="L1477" s="1634"/>
      <c r="M1477" s="1634"/>
      <c r="N1477" s="1634"/>
      <c r="O1477" s="1633"/>
      <c r="P1477" s="1633"/>
      <c r="Q1477" s="1633"/>
    </row>
    <row r="1478" spans="1:22" ht="15">
      <c r="A1478" s="1900">
        <f>'Part VIII-Threshold Criteria'!A320</f>
        <v>0</v>
      </c>
      <c r="B1478" s="1900"/>
      <c r="C1478" s="1900"/>
      <c r="D1478" s="1900"/>
      <c r="E1478" s="1900"/>
      <c r="F1478" s="1900"/>
      <c r="G1478" s="1900"/>
      <c r="H1478" s="1900"/>
      <c r="I1478" s="1900"/>
      <c r="J1478" s="1900"/>
      <c r="K1478" s="1900"/>
      <c r="L1478" s="1900"/>
      <c r="M1478" s="1900"/>
      <c r="N1478" s="1900"/>
      <c r="O1478" s="1900"/>
      <c r="P1478" s="1900"/>
      <c r="Q1478" s="1900"/>
      <c r="R1478" s="2786" t="s">
        <v>1254</v>
      </c>
      <c r="S1478" s="2786"/>
      <c r="U1478" s="1634"/>
      <c r="V1478" s="1634"/>
    </row>
    <row r="1479" spans="1:22">
      <c r="B1479" s="1897" t="s">
        <v>1866</v>
      </c>
      <c r="C1479" s="1898"/>
      <c r="D1479" s="1900"/>
      <c r="E1479" s="1900"/>
      <c r="F1479" s="1900"/>
      <c r="G1479" s="1900"/>
      <c r="H1479" s="1900"/>
      <c r="I1479" s="1900"/>
      <c r="J1479" s="1900"/>
      <c r="K1479" s="1900"/>
      <c r="L1479" s="1900"/>
      <c r="M1479" s="1900"/>
      <c r="N1479" s="1900"/>
      <c r="O1479" s="1899"/>
      <c r="P1479" s="1899"/>
      <c r="Q1479" s="1899"/>
    </row>
    <row r="1480" spans="1:22">
      <c r="A1480" s="1900">
        <f>'Part VIII-Threshold Criteria'!A322</f>
        <v>0</v>
      </c>
      <c r="B1480" s="1900"/>
      <c r="C1480" s="1900"/>
      <c r="D1480" s="1900"/>
      <c r="E1480" s="1900"/>
      <c r="F1480" s="1900"/>
      <c r="G1480" s="1900"/>
      <c r="H1480" s="1900"/>
      <c r="I1480" s="1900"/>
      <c r="J1480" s="1900"/>
      <c r="K1480" s="1900"/>
      <c r="L1480" s="1900"/>
      <c r="M1480" s="1900"/>
      <c r="N1480" s="1900"/>
      <c r="O1480" s="1900"/>
      <c r="P1480" s="1900"/>
      <c r="Q1480" s="1900"/>
    </row>
    <row r="1481" spans="1:22">
      <c r="A1481" s="1631" t="s">
        <v>4103</v>
      </c>
      <c r="B1481" s="1631" t="s">
        <v>2666</v>
      </c>
      <c r="C1481" s="1631"/>
      <c r="D1481" s="1631"/>
      <c r="E1481" s="1631"/>
      <c r="F1481" s="1631"/>
      <c r="G1481" s="1631"/>
      <c r="H1481" s="1900"/>
      <c r="I1481" s="1900"/>
      <c r="J1481" s="1900"/>
      <c r="K1481" s="1900"/>
      <c r="L1481" s="1900"/>
      <c r="M1481" s="1900"/>
      <c r="N1481" s="2111"/>
      <c r="O1481" s="1900" t="s">
        <v>1867</v>
      </c>
      <c r="P1481" s="1634"/>
      <c r="Q1481" s="1634"/>
    </row>
    <row r="1482" spans="1:22">
      <c r="B1482" s="1216" t="s">
        <v>2252</v>
      </c>
      <c r="P1482" s="1895" t="str">
        <f>'Part VIII-Threshold Criteria'!P324</f>
        <v>No</v>
      </c>
      <c r="Q1482" s="1895"/>
    </row>
    <row r="1483" spans="1:22">
      <c r="A1483" s="2111"/>
      <c r="B1483" s="1921" t="s">
        <v>2211</v>
      </c>
      <c r="C1483" s="1921"/>
      <c r="D1483" s="1921"/>
      <c r="E1483" s="1921"/>
      <c r="F1483" s="1921"/>
      <c r="G1483" s="1921"/>
      <c r="H1483" s="1921"/>
      <c r="I1483" s="1921"/>
      <c r="J1483" s="1921"/>
      <c r="K1483" s="1921"/>
      <c r="L1483" s="1921"/>
      <c r="M1483" s="2111"/>
      <c r="N1483" s="2111"/>
      <c r="O1483" s="2111"/>
      <c r="P1483" s="521" t="str">
        <f>'Part VIII-Threshold Criteria'!P325</f>
        <v>Yes</v>
      </c>
      <c r="Q1483" s="521"/>
    </row>
    <row r="1484" spans="1:22">
      <c r="A1484" s="1944" t="s">
        <v>1983</v>
      </c>
      <c r="B1484" s="1841" t="s">
        <v>5122</v>
      </c>
      <c r="D1484" s="1841"/>
      <c r="E1484" s="1841"/>
      <c r="F1484" s="1841"/>
      <c r="G1484" s="1841"/>
      <c r="H1484" s="1841"/>
      <c r="I1484" s="1841"/>
      <c r="J1484" s="1841"/>
      <c r="K1484" s="1841"/>
      <c r="L1484" s="1841"/>
      <c r="M1484" s="1841"/>
      <c r="N1484" s="1944"/>
      <c r="P1484" s="2111"/>
      <c r="Q1484" s="2111"/>
    </row>
    <row r="1485" spans="1:22" ht="12.75" customHeight="1">
      <c r="B1485" s="1900" t="s">
        <v>2881</v>
      </c>
      <c r="C1485" s="1900"/>
      <c r="D1485" s="1900"/>
      <c r="E1485" s="1900"/>
      <c r="F1485" s="1900"/>
      <c r="G1485" s="1900"/>
      <c r="H1485" s="1900"/>
      <c r="I1485" s="1900"/>
      <c r="J1485" s="1900"/>
      <c r="K1485" s="1900"/>
      <c r="L1485" s="1900"/>
      <c r="M1485" s="1900"/>
      <c r="N1485" s="1900"/>
      <c r="O1485" s="1944" t="s">
        <v>1983</v>
      </c>
      <c r="P1485" s="1948" t="str">
        <f>'Part VIII-Threshold Criteria'!P327</f>
        <v>Yes</v>
      </c>
      <c r="Q1485" s="1948"/>
    </row>
    <row r="1486" spans="1:22">
      <c r="A1486" s="1944" t="s">
        <v>1985</v>
      </c>
      <c r="B1486" s="521" t="s">
        <v>460</v>
      </c>
      <c r="D1486" s="521"/>
      <c r="E1486" s="521"/>
      <c r="F1486" s="521"/>
      <c r="G1486" s="521"/>
      <c r="H1486" s="521"/>
      <c r="I1486" s="521"/>
      <c r="J1486" s="521"/>
      <c r="K1486" s="521"/>
      <c r="L1486" s="521"/>
      <c r="M1486" s="521"/>
      <c r="O1486" s="1944" t="s">
        <v>1985</v>
      </c>
      <c r="P1486" s="1633"/>
      <c r="Q1486" s="1633"/>
    </row>
    <row r="1487" spans="1:22" ht="12.75" customHeight="1">
      <c r="B1487" s="1952" t="s">
        <v>1737</v>
      </c>
      <c r="C1487" s="1921" t="s">
        <v>1131</v>
      </c>
      <c r="E1487" s="1913"/>
      <c r="F1487" s="1913"/>
      <c r="G1487" s="189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82">
        <f>'Part VIII-Threshold Criteria'!H329</f>
        <v>0</v>
      </c>
      <c r="I1487" s="1682">
        <f>'Part VIII-Threshold Criteria'!I329</f>
        <v>0</v>
      </c>
      <c r="J1487" s="1682">
        <f>'Part VIII-Threshold Criteria'!J329</f>
        <v>0</v>
      </c>
      <c r="K1487" s="1682">
        <f>'Part VIII-Threshold Criteria'!K329</f>
        <v>0</v>
      </c>
      <c r="L1487" s="1682">
        <f>'Part VIII-Threshold Criteria'!L329</f>
        <v>0</v>
      </c>
      <c r="M1487" s="1682">
        <f>'Part VIII-Threshold Criteria'!M329</f>
        <v>0</v>
      </c>
      <c r="N1487" s="1682">
        <f>'Part VIII-Threshold Criteria'!N329</f>
        <v>0</v>
      </c>
      <c r="O1487" s="1944" t="s">
        <v>1737</v>
      </c>
      <c r="P1487" s="1948" t="str">
        <f>'Part VIII-Threshold Criteria'!P329</f>
        <v>Yes</v>
      </c>
      <c r="Q1487" s="1948"/>
    </row>
    <row r="1488" spans="1:22" ht="12.75" customHeight="1">
      <c r="B1488" s="1921" t="s">
        <v>1738</v>
      </c>
      <c r="C1488" s="1900" t="s">
        <v>1132</v>
      </c>
      <c r="D1488" s="1900"/>
      <c r="E1488" s="1900"/>
      <c r="F1488" s="1900"/>
      <c r="G1488" s="1890" t="str">
        <f>'Part VIII-Threshold Criteria'!G330</f>
        <v xml:space="preserve">Fiber cement siding or other 30 year warranty product installed on all exterior wall surfaces not already required to be brick </v>
      </c>
      <c r="H1488" s="1682">
        <f>'Part VIII-Threshold Criteria'!H330</f>
        <v>0</v>
      </c>
      <c r="I1488" s="1682">
        <f>'Part VIII-Threshold Criteria'!I330</f>
        <v>0</v>
      </c>
      <c r="J1488" s="1682">
        <f>'Part VIII-Threshold Criteria'!J330</f>
        <v>0</v>
      </c>
      <c r="K1488" s="1682">
        <f>'Part VIII-Threshold Criteria'!K330</f>
        <v>0</v>
      </c>
      <c r="L1488" s="1682">
        <f>'Part VIII-Threshold Criteria'!L330</f>
        <v>0</v>
      </c>
      <c r="M1488" s="1682">
        <f>'Part VIII-Threshold Criteria'!M330</f>
        <v>0</v>
      </c>
      <c r="N1488" s="1682">
        <f>'Part VIII-Threshold Criteria'!N330</f>
        <v>0</v>
      </c>
      <c r="O1488" s="1944" t="s">
        <v>1738</v>
      </c>
      <c r="P1488" s="1948" t="str">
        <f>'Part VIII-Threshold Criteria'!P330</f>
        <v>Yes</v>
      </c>
      <c r="Q1488" s="1948"/>
    </row>
    <row r="1489" spans="1:22">
      <c r="A1489" s="1633"/>
      <c r="B1489" s="1843"/>
      <c r="C1489" s="1633"/>
      <c r="D1489" s="1633"/>
      <c r="E1489" s="1633"/>
      <c r="F1489" s="1633"/>
      <c r="G1489" s="1633"/>
      <c r="H1489" s="1633"/>
      <c r="I1489" s="1633"/>
      <c r="J1489" s="1633"/>
      <c r="K1489" s="1633"/>
      <c r="L1489" s="1633"/>
      <c r="M1489" s="1633"/>
      <c r="N1489" s="1633"/>
      <c r="O1489" s="1633"/>
      <c r="P1489" s="1633"/>
      <c r="Q1489" s="1633"/>
      <c r="R1489" s="1633"/>
      <c r="S1489" s="1633"/>
      <c r="T1489" s="1633"/>
      <c r="U1489" s="1633"/>
      <c r="V1489" s="1633"/>
    </row>
    <row r="1490" spans="1:22" ht="12.75" customHeight="1">
      <c r="A1490" s="1944" t="s">
        <v>749</v>
      </c>
      <c r="B1490" s="1900" t="s">
        <v>5123</v>
      </c>
      <c r="C1490" s="1900"/>
      <c r="D1490" s="1900"/>
      <c r="E1490" s="1900"/>
      <c r="F1490" s="1900"/>
      <c r="G1490" s="1900"/>
      <c r="H1490" s="1900"/>
      <c r="I1490" s="1900"/>
      <c r="J1490" s="1900"/>
      <c r="K1490" s="1900"/>
      <c r="L1490" s="1900"/>
      <c r="M1490" s="1900"/>
      <c r="N1490" s="1900"/>
      <c r="O1490" s="1953" t="s">
        <v>749</v>
      </c>
      <c r="P1490" s="1633"/>
      <c r="Q1490" s="1633"/>
      <c r="R1490" s="1913"/>
      <c r="S1490" s="1913"/>
      <c r="T1490" s="1913"/>
      <c r="U1490" s="1913"/>
      <c r="V1490" s="1913"/>
    </row>
    <row r="1491" spans="1:22">
      <c r="A1491" s="2079"/>
      <c r="B1491" s="1952" t="s">
        <v>1737</v>
      </c>
      <c r="C1491" s="1900">
        <f>'Part VIII-Threshold Criteria'!C333</f>
        <v>0</v>
      </c>
      <c r="D1491" s="1900">
        <f>'Part VIII-Threshold Criteria'!D333</f>
        <v>0</v>
      </c>
      <c r="E1491" s="1900">
        <f>'Part VIII-Threshold Criteria'!E333</f>
        <v>0</v>
      </c>
      <c r="F1491" s="1900">
        <f>'Part VIII-Threshold Criteria'!F333</f>
        <v>0</v>
      </c>
      <c r="G1491" s="1900">
        <f>'Part VIII-Threshold Criteria'!G333</f>
        <v>0</v>
      </c>
      <c r="H1491" s="1900">
        <f>'Part VIII-Threshold Criteria'!H333</f>
        <v>0</v>
      </c>
      <c r="I1491" s="1900">
        <f>'Part VIII-Threshold Criteria'!I333</f>
        <v>0</v>
      </c>
      <c r="J1491" s="1900">
        <f>'Part VIII-Threshold Criteria'!J333</f>
        <v>0</v>
      </c>
      <c r="K1491" s="1900">
        <f>'Part VIII-Threshold Criteria'!K333</f>
        <v>0</v>
      </c>
      <c r="L1491" s="1900">
        <f>'Part VIII-Threshold Criteria'!L333</f>
        <v>0</v>
      </c>
      <c r="M1491" s="1900">
        <f>'Part VIII-Threshold Criteria'!M333</f>
        <v>0</v>
      </c>
      <c r="N1491" s="1900">
        <f>'Part VIII-Threshold Criteria'!N333</f>
        <v>0</v>
      </c>
      <c r="O1491" s="1944" t="s">
        <v>1737</v>
      </c>
      <c r="P1491" s="1948">
        <f>'Part VIII-Threshold Criteria'!P333</f>
        <v>0</v>
      </c>
      <c r="Q1491" s="1948"/>
      <c r="R1491" s="1913"/>
      <c r="S1491" s="1913"/>
      <c r="T1491" s="1913"/>
      <c r="U1491" s="1913"/>
      <c r="V1491" s="1913"/>
    </row>
    <row r="1492" spans="1:22">
      <c r="A1492" s="2079"/>
      <c r="B1492" s="1952" t="s">
        <v>1738</v>
      </c>
      <c r="C1492" s="1900">
        <f>'Part VIII-Threshold Criteria'!C334</f>
        <v>0</v>
      </c>
      <c r="D1492" s="1900">
        <f>'Part VIII-Threshold Criteria'!D334</f>
        <v>0</v>
      </c>
      <c r="E1492" s="1900">
        <f>'Part VIII-Threshold Criteria'!E334</f>
        <v>0</v>
      </c>
      <c r="F1492" s="1900">
        <f>'Part VIII-Threshold Criteria'!F334</f>
        <v>0</v>
      </c>
      <c r="G1492" s="1900">
        <f>'Part VIII-Threshold Criteria'!G334</f>
        <v>0</v>
      </c>
      <c r="H1492" s="1900">
        <f>'Part VIII-Threshold Criteria'!H334</f>
        <v>0</v>
      </c>
      <c r="I1492" s="1900">
        <f>'Part VIII-Threshold Criteria'!I334</f>
        <v>0</v>
      </c>
      <c r="J1492" s="1900">
        <f>'Part VIII-Threshold Criteria'!J334</f>
        <v>0</v>
      </c>
      <c r="K1492" s="1900">
        <f>'Part VIII-Threshold Criteria'!K334</f>
        <v>0</v>
      </c>
      <c r="L1492" s="1900">
        <f>'Part VIII-Threshold Criteria'!L334</f>
        <v>0</v>
      </c>
      <c r="M1492" s="1900">
        <f>'Part VIII-Threshold Criteria'!M334</f>
        <v>0</v>
      </c>
      <c r="N1492" s="1900">
        <f>'Part VIII-Threshold Criteria'!N334</f>
        <v>0</v>
      </c>
      <c r="O1492" s="1944" t="s">
        <v>1738</v>
      </c>
      <c r="P1492" s="1948">
        <f>'Part VIII-Threshold Criteria'!P334</f>
        <v>0</v>
      </c>
      <c r="Q1492" s="1948"/>
      <c r="R1492" s="1913"/>
      <c r="S1492" s="1913"/>
      <c r="T1492" s="1913"/>
      <c r="U1492" s="1913"/>
      <c r="V1492" s="1913"/>
    </row>
    <row r="1493" spans="1:22">
      <c r="A1493" s="1633"/>
      <c r="B1493" s="1634"/>
      <c r="C1493" s="1634"/>
      <c r="D1493" s="1634"/>
      <c r="E1493" s="1634"/>
      <c r="F1493" s="1634"/>
      <c r="G1493" s="1634"/>
      <c r="H1493" s="1634"/>
      <c r="I1493" s="1634"/>
      <c r="J1493" s="1634"/>
      <c r="K1493" s="1634"/>
      <c r="L1493" s="1634"/>
      <c r="M1493" s="1634"/>
      <c r="N1493" s="1634"/>
      <c r="O1493" s="1633"/>
      <c r="P1493" s="1633"/>
      <c r="Q1493" s="1633"/>
      <c r="R1493" s="1633"/>
      <c r="S1493" s="1633"/>
      <c r="T1493" s="1633"/>
      <c r="U1493" s="1633"/>
      <c r="V1493" s="1633"/>
    </row>
    <row r="1494" spans="1:22">
      <c r="B1494" s="1842" t="s">
        <v>3756</v>
      </c>
      <c r="C1494" s="2111"/>
      <c r="D1494" s="1866"/>
      <c r="E1494" s="1866"/>
      <c r="F1494" s="1866"/>
      <c r="G1494" s="1866"/>
      <c r="H1494" s="521"/>
      <c r="I1494" s="521"/>
      <c r="J1494" s="521"/>
      <c r="K1494" s="521"/>
      <c r="L1494" s="1634"/>
      <c r="M1494" s="1634"/>
      <c r="N1494" s="1634"/>
      <c r="O1494" s="1633"/>
      <c r="P1494" s="1633"/>
      <c r="Q1494" s="1633"/>
    </row>
    <row r="1495" spans="1:22" ht="14.25">
      <c r="A1495" s="1900">
        <f>'Part VIII-Threshold Criteria'!A337</f>
        <v>0</v>
      </c>
      <c r="B1495" s="1900"/>
      <c r="C1495" s="1900"/>
      <c r="D1495" s="1900"/>
      <c r="E1495" s="1900"/>
      <c r="F1495" s="1900"/>
      <c r="G1495" s="1900"/>
      <c r="H1495" s="1900"/>
      <c r="I1495" s="1900"/>
      <c r="J1495" s="1900"/>
      <c r="K1495" s="1900"/>
      <c r="L1495" s="1900"/>
      <c r="M1495" s="1900"/>
      <c r="N1495" s="1900"/>
      <c r="O1495" s="1900"/>
      <c r="P1495" s="1900"/>
      <c r="Q1495" s="1900"/>
      <c r="R1495" s="1972" t="s">
        <v>1254</v>
      </c>
      <c r="S1495" s="1631"/>
      <c r="U1495" s="1634"/>
      <c r="V1495" s="1634"/>
    </row>
    <row r="1496" spans="1:22">
      <c r="B1496" s="1897" t="s">
        <v>1866</v>
      </c>
      <c r="C1496" s="1898"/>
      <c r="D1496" s="1899"/>
      <c r="E1496" s="1899"/>
      <c r="F1496" s="1899"/>
      <c r="G1496" s="1899"/>
      <c r="H1496" s="1899"/>
      <c r="I1496" s="1899"/>
      <c r="J1496" s="1899"/>
      <c r="K1496" s="1899"/>
      <c r="L1496" s="1899"/>
      <c r="M1496" s="1899"/>
      <c r="N1496" s="1899"/>
      <c r="O1496" s="1899"/>
      <c r="P1496" s="1899"/>
      <c r="Q1496" s="1899"/>
    </row>
    <row r="1497" spans="1:22">
      <c r="A1497" s="1900">
        <f>'Part VIII-Threshold Criteria'!A339</f>
        <v>0</v>
      </c>
      <c r="B1497" s="1900"/>
      <c r="C1497" s="1900"/>
      <c r="D1497" s="1900"/>
      <c r="E1497" s="1900"/>
      <c r="F1497" s="1900"/>
      <c r="G1497" s="1900"/>
      <c r="H1497" s="1900"/>
      <c r="I1497" s="1900"/>
      <c r="J1497" s="1900"/>
      <c r="K1497" s="1900"/>
      <c r="L1497" s="1900"/>
      <c r="M1497" s="1900"/>
      <c r="N1497" s="1900"/>
      <c r="O1497" s="1900"/>
      <c r="P1497" s="1900"/>
      <c r="Q1497" s="1900"/>
    </row>
    <row r="1498" spans="1:22">
      <c r="A1498" s="1631" t="s">
        <v>4106</v>
      </c>
      <c r="B1498" s="1631" t="s">
        <v>4144</v>
      </c>
      <c r="C1498" s="1631"/>
      <c r="D1498" s="1900"/>
      <c r="E1498" s="1900"/>
      <c r="F1498" s="1900"/>
      <c r="G1498" s="1900"/>
      <c r="H1498" s="1900"/>
      <c r="I1498" s="2111"/>
      <c r="J1498" s="2111"/>
      <c r="K1498" s="2111"/>
      <c r="L1498" s="2111"/>
      <c r="M1498" s="2111"/>
      <c r="N1498" s="2111"/>
      <c r="O1498" s="1900" t="s">
        <v>1867</v>
      </c>
      <c r="P1498" s="1634"/>
      <c r="Q1498" s="1634"/>
    </row>
    <row r="1499" spans="1:22">
      <c r="A1499" s="1937" t="s">
        <v>1983</v>
      </c>
      <c r="B1499" s="1216" t="s">
        <v>5002</v>
      </c>
      <c r="O1499" s="1944" t="s">
        <v>1983</v>
      </c>
      <c r="P1499" s="1895" t="str">
        <f>'Part VIII-Threshold Criteria'!P341</f>
        <v>No</v>
      </c>
      <c r="Q1499" s="1895"/>
    </row>
    <row r="1500" spans="1:22">
      <c r="A1500" s="1921" t="s">
        <v>1985</v>
      </c>
      <c r="B1500" s="1955" t="s">
        <v>4092</v>
      </c>
      <c r="C1500" s="2111"/>
      <c r="D1500" s="2111"/>
      <c r="E1500" s="2111"/>
      <c r="F1500" s="2111"/>
      <c r="G1500" s="2111"/>
      <c r="H1500" s="2111"/>
      <c r="I1500" s="2111"/>
      <c r="J1500" s="2111"/>
      <c r="K1500" s="2111"/>
      <c r="L1500" s="2111"/>
      <c r="M1500" s="2111"/>
      <c r="N1500" s="2111"/>
      <c r="O1500" s="1921" t="s">
        <v>1985</v>
      </c>
      <c r="P1500" s="521" t="str">
        <f>'Part VIII-Threshold Criteria'!P342</f>
        <v>Yes</v>
      </c>
      <c r="Q1500" s="521"/>
    </row>
    <row r="1501" spans="1:22">
      <c r="A1501" s="1944" t="s">
        <v>749</v>
      </c>
      <c r="B1501" s="1216" t="s">
        <v>2350</v>
      </c>
      <c r="O1501" s="1944" t="s">
        <v>749</v>
      </c>
      <c r="P1501" s="521" t="str">
        <f>'Part VIII-Threshold Criteria'!P343</f>
        <v>No</v>
      </c>
      <c r="Q1501" s="521"/>
    </row>
    <row r="1502" spans="1:22">
      <c r="A1502" s="1937" t="s">
        <v>2115</v>
      </c>
      <c r="B1502" s="1216" t="s">
        <v>3844</v>
      </c>
      <c r="O1502" s="1937" t="s">
        <v>2115</v>
      </c>
      <c r="P1502" s="1895" t="str">
        <f>'Part VIII-Threshold Criteria'!P344</f>
        <v>No</v>
      </c>
      <c r="Q1502" s="1895"/>
    </row>
    <row r="1503" spans="1:22">
      <c r="A1503" s="1944" t="s">
        <v>1735</v>
      </c>
      <c r="B1503" s="1216" t="s">
        <v>2884</v>
      </c>
      <c r="N1503" s="1944" t="s">
        <v>1735</v>
      </c>
      <c r="O1503" s="1851" t="str">
        <f>'Part VIII-Threshold Criteria'!O345</f>
        <v>Certifying GP/Developer</v>
      </c>
      <c r="P1503" s="1851">
        <f>'Part VIII-Threshold Criteria'!P345</f>
        <v>0</v>
      </c>
      <c r="Q1503" s="1851">
        <f>'Part VIII-Threshold Criteria'!Q345</f>
        <v>0</v>
      </c>
    </row>
    <row r="1504" spans="1:22">
      <c r="A1504" s="1944" t="s">
        <v>1736</v>
      </c>
      <c r="B1504" s="1216" t="s">
        <v>2351</v>
      </c>
      <c r="N1504" s="1944" t="s">
        <v>1736</v>
      </c>
      <c r="O1504" s="1851" t="s">
        <v>2885</v>
      </c>
      <c r="P1504" s="1851"/>
      <c r="Q1504" s="1851"/>
    </row>
    <row r="1505" spans="1:22">
      <c r="B1505" s="1842" t="s">
        <v>3756</v>
      </c>
      <c r="D1505" s="1842"/>
      <c r="E1505" s="1842"/>
      <c r="F1505" s="1842"/>
      <c r="G1505" s="1842"/>
      <c r="H1505" s="1841"/>
      <c r="I1505" s="1895"/>
      <c r="J1505" s="1895"/>
      <c r="K1505" s="1895"/>
      <c r="L1505" s="1633"/>
      <c r="M1505" s="1633"/>
      <c r="N1505" s="1633"/>
      <c r="O1505" s="1633"/>
      <c r="P1505" s="1633"/>
      <c r="Q1505" s="1633"/>
    </row>
    <row r="1506" spans="1:22" ht="15">
      <c r="A1506" s="1900">
        <f>'Part VIII-Threshold Criteria'!A348</f>
        <v>0</v>
      </c>
      <c r="B1506" s="1900"/>
      <c r="C1506" s="1900"/>
      <c r="D1506" s="1900"/>
      <c r="E1506" s="1900"/>
      <c r="F1506" s="1900"/>
      <c r="G1506" s="1900"/>
      <c r="H1506" s="1900"/>
      <c r="I1506" s="1900"/>
      <c r="J1506" s="1900"/>
      <c r="K1506" s="1900"/>
      <c r="L1506" s="1900"/>
      <c r="M1506" s="1900"/>
      <c r="N1506" s="1900"/>
      <c r="O1506" s="1900"/>
      <c r="P1506" s="1900"/>
      <c r="Q1506" s="1900"/>
      <c r="R1506" s="2786" t="s">
        <v>1254</v>
      </c>
      <c r="S1506" s="2786"/>
      <c r="U1506" s="1634"/>
      <c r="V1506" s="1634"/>
    </row>
    <row r="1507" spans="1:22">
      <c r="B1507" s="1897" t="s">
        <v>1866</v>
      </c>
      <c r="C1507" s="1898"/>
      <c r="D1507" s="1899"/>
      <c r="E1507" s="1899"/>
      <c r="F1507" s="1899"/>
      <c r="G1507" s="1899"/>
      <c r="H1507" s="1899"/>
      <c r="I1507" s="1899"/>
      <c r="J1507" s="1899"/>
      <c r="K1507" s="1899"/>
      <c r="L1507" s="1899"/>
      <c r="M1507" s="1899"/>
      <c r="N1507" s="1899"/>
      <c r="O1507" s="1900"/>
      <c r="P1507" s="1900"/>
      <c r="Q1507" s="1900"/>
    </row>
    <row r="1508" spans="1:22">
      <c r="A1508" s="1900">
        <f>'Part VIII-Threshold Criteria'!A350</f>
        <v>0</v>
      </c>
      <c r="B1508" s="1900"/>
      <c r="C1508" s="1900"/>
      <c r="D1508" s="1900"/>
      <c r="E1508" s="1900"/>
      <c r="F1508" s="1900"/>
      <c r="G1508" s="1900"/>
      <c r="H1508" s="1900"/>
      <c r="I1508" s="1900"/>
      <c r="J1508" s="1900"/>
      <c r="K1508" s="1900"/>
      <c r="L1508" s="1900"/>
      <c r="M1508" s="1900"/>
      <c r="N1508" s="1900"/>
      <c r="O1508" s="1900"/>
      <c r="P1508" s="1900"/>
      <c r="Q1508" s="1900"/>
    </row>
    <row r="1509" spans="1:22">
      <c r="A1509" s="1631" t="s">
        <v>4107</v>
      </c>
      <c r="B1509" s="1631" t="s">
        <v>2667</v>
      </c>
      <c r="C1509" s="1631"/>
      <c r="D1509" s="521"/>
      <c r="E1509" s="1900"/>
      <c r="F1509" s="1900"/>
      <c r="G1509" s="1900"/>
      <c r="H1509" s="1900"/>
      <c r="I1509" s="1900"/>
      <c r="J1509" s="1900"/>
      <c r="K1509" s="1900"/>
      <c r="L1509" s="1900"/>
      <c r="M1509" s="1900"/>
      <c r="N1509" s="2111"/>
      <c r="O1509" s="1900" t="s">
        <v>1867</v>
      </c>
      <c r="P1509" s="1634"/>
      <c r="Q1509" s="1634"/>
    </row>
    <row r="1510" spans="1:22">
      <c r="A1510" s="1944" t="s">
        <v>1983</v>
      </c>
      <c r="B1510" s="1921" t="s">
        <v>3657</v>
      </c>
      <c r="D1510" s="1921"/>
      <c r="E1510" s="1921"/>
      <c r="F1510" s="1921"/>
      <c r="G1510" s="1921"/>
      <c r="H1510" s="1921"/>
      <c r="I1510" s="1921"/>
      <c r="J1510" s="1921"/>
      <c r="K1510" s="1921"/>
      <c r="L1510" s="1921"/>
      <c r="M1510" s="1921"/>
      <c r="N1510" s="1921"/>
      <c r="O1510" s="1944" t="s">
        <v>1983</v>
      </c>
      <c r="P1510" s="1895" t="str">
        <f>'Part VIII-Threshold Criteria'!P352</f>
        <v>Yes</v>
      </c>
      <c r="Q1510" s="1895"/>
    </row>
    <row r="1511" spans="1:22">
      <c r="A1511" s="1921" t="s">
        <v>1985</v>
      </c>
      <c r="B1511" s="1921" t="s">
        <v>3853</v>
      </c>
      <c r="C1511" s="2111"/>
      <c r="D1511" s="1921"/>
      <c r="E1511" s="1921"/>
      <c r="F1511" s="1921"/>
      <c r="G1511" s="1921"/>
      <c r="H1511" s="1921"/>
      <c r="I1511" s="1921"/>
      <c r="J1511" s="1921"/>
      <c r="K1511" s="1921"/>
      <c r="L1511" s="1921"/>
      <c r="M1511" s="1921"/>
      <c r="N1511" s="1921"/>
      <c r="O1511" s="1921" t="s">
        <v>1985</v>
      </c>
      <c r="P1511" s="521" t="str">
        <f>'Part VIII-Threshold Criteria'!P353</f>
        <v>No</v>
      </c>
      <c r="Q1511" s="521"/>
    </row>
    <row r="1512" spans="1:22" ht="12.75" customHeight="1">
      <c r="A1512" s="1944" t="s">
        <v>749</v>
      </c>
      <c r="B1512" s="1900" t="s">
        <v>4093</v>
      </c>
      <c r="C1512" s="1900"/>
      <c r="D1512" s="1900"/>
      <c r="E1512" s="1900"/>
      <c r="F1512" s="1900"/>
      <c r="G1512" s="1900"/>
      <c r="H1512" s="1900"/>
      <c r="I1512" s="1900"/>
      <c r="J1512" s="1900"/>
      <c r="K1512" s="1900"/>
      <c r="L1512" s="1900"/>
      <c r="M1512" s="1900"/>
      <c r="N1512" s="1900"/>
      <c r="O1512" s="1944" t="s">
        <v>749</v>
      </c>
      <c r="P1512" s="521" t="str">
        <f>'Part VIII-Threshold Criteria'!P354</f>
        <v>Yes</v>
      </c>
      <c r="Q1512" s="521"/>
    </row>
    <row r="1513" spans="1:22">
      <c r="B1513" s="1842" t="s">
        <v>3756</v>
      </c>
      <c r="D1513" s="1842"/>
      <c r="E1513" s="1842"/>
      <c r="F1513" s="1842"/>
      <c r="G1513" s="1842"/>
      <c r="H1513" s="1841"/>
      <c r="I1513" s="1895"/>
      <c r="J1513" s="1895"/>
      <c r="K1513" s="1895"/>
      <c r="L1513" s="1633"/>
      <c r="M1513" s="1633"/>
      <c r="N1513" s="1633"/>
      <c r="O1513" s="1633"/>
      <c r="P1513" s="1633"/>
      <c r="Q1513" s="1633"/>
    </row>
    <row r="1514" spans="1:22">
      <c r="A1514" s="1900">
        <f>'Part VIII-Threshold Criteria'!A356</f>
        <v>0</v>
      </c>
      <c r="B1514" s="1900"/>
      <c r="C1514" s="1900"/>
      <c r="D1514" s="1900"/>
      <c r="E1514" s="1900"/>
      <c r="F1514" s="1900"/>
      <c r="G1514" s="1900"/>
      <c r="H1514" s="1900"/>
      <c r="I1514" s="1900"/>
      <c r="J1514" s="1900"/>
      <c r="K1514" s="1900"/>
      <c r="L1514" s="1900"/>
      <c r="M1514" s="1900"/>
      <c r="N1514" s="1900"/>
      <c r="O1514" s="1900"/>
      <c r="P1514" s="1900"/>
      <c r="Q1514" s="1900"/>
      <c r="U1514" s="1634"/>
      <c r="V1514" s="1634"/>
    </row>
    <row r="1515" spans="1:22">
      <c r="B1515" s="1897" t="s">
        <v>1866</v>
      </c>
      <c r="C1515" s="1898"/>
      <c r="D1515" s="1900"/>
      <c r="E1515" s="1900"/>
      <c r="F1515" s="1900"/>
      <c r="G1515" s="1900"/>
      <c r="H1515" s="1900"/>
      <c r="I1515" s="1900"/>
      <c r="J1515" s="1900"/>
      <c r="K1515" s="1900"/>
      <c r="L1515" s="1900"/>
      <c r="M1515" s="1900"/>
      <c r="N1515" s="1900"/>
      <c r="O1515" s="1899"/>
      <c r="P1515" s="1899"/>
      <c r="Q1515" s="1899"/>
    </row>
    <row r="1516" spans="1:22">
      <c r="A1516" s="1900">
        <f>'Part VIII-Threshold Criteria'!A358</f>
        <v>0</v>
      </c>
      <c r="B1516" s="1900"/>
      <c r="C1516" s="1900"/>
      <c r="D1516" s="1900"/>
      <c r="E1516" s="1900"/>
      <c r="F1516" s="1900"/>
      <c r="G1516" s="1900"/>
      <c r="H1516" s="1900"/>
      <c r="I1516" s="1900"/>
      <c r="J1516" s="1900"/>
      <c r="K1516" s="1900"/>
      <c r="L1516" s="1900"/>
      <c r="M1516" s="1900"/>
      <c r="N1516" s="1900"/>
      <c r="O1516" s="1900"/>
      <c r="P1516" s="1900"/>
      <c r="Q1516" s="1900"/>
    </row>
    <row r="1517" spans="1:22">
      <c r="A1517" s="1634"/>
      <c r="B1517" s="521"/>
      <c r="C1517" s="1900"/>
      <c r="D1517" s="1900"/>
      <c r="E1517" s="1900"/>
      <c r="F1517" s="1900"/>
      <c r="G1517" s="1900"/>
      <c r="H1517" s="1900"/>
      <c r="I1517" s="1900"/>
      <c r="J1517" s="1900"/>
      <c r="K1517" s="1900"/>
      <c r="L1517" s="1900"/>
      <c r="M1517" s="1900"/>
      <c r="N1517" s="1900"/>
      <c r="O1517" s="1900"/>
      <c r="P1517" s="1900"/>
      <c r="Q1517" s="1634"/>
    </row>
    <row r="1518" spans="1:22">
      <c r="A1518" s="1947" t="s">
        <v>4110</v>
      </c>
      <c r="B1518" s="1631" t="s">
        <v>4083</v>
      </c>
      <c r="C1518" s="1631"/>
      <c r="D1518" s="1631"/>
      <c r="E1518" s="1631"/>
      <c r="F1518" s="1631"/>
      <c r="G1518" s="1631"/>
      <c r="H1518" s="1899"/>
      <c r="I1518" s="1899"/>
      <c r="J1518" s="1899"/>
      <c r="K1518" s="1899"/>
      <c r="L1518" s="1899"/>
      <c r="M1518" s="1899"/>
      <c r="O1518" s="2784" t="s">
        <v>1867</v>
      </c>
      <c r="P1518" s="1634"/>
      <c r="Q1518" s="1634"/>
    </row>
    <row r="1519" spans="1:22">
      <c r="A1519" s="521" t="s">
        <v>1983</v>
      </c>
      <c r="B1519" s="521" t="s">
        <v>4084</v>
      </c>
      <c r="C1519" s="2111"/>
      <c r="D1519" s="1636"/>
      <c r="E1519" s="1636"/>
      <c r="F1519" s="1636"/>
      <c r="G1519" s="1636"/>
      <c r="H1519" s="521" t="s">
        <v>1983</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44" t="s">
        <v>1985</v>
      </c>
      <c r="B1520" s="521" t="s">
        <v>4085</v>
      </c>
      <c r="D1520" s="1636"/>
      <c r="E1520" s="1636"/>
      <c r="F1520" s="1636"/>
      <c r="G1520" s="1636"/>
      <c r="H1520" s="1944" t="s">
        <v>1985</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5"/>
    </row>
    <row r="1521" spans="1:22" ht="12.75" customHeight="1">
      <c r="A1521" s="1944" t="s">
        <v>749</v>
      </c>
      <c r="B1521" s="1867" t="s">
        <v>4075</v>
      </c>
      <c r="C1521" s="1867"/>
      <c r="D1521" s="1867"/>
      <c r="E1521" s="1867"/>
      <c r="F1521" s="1867"/>
      <c r="G1521" s="1867"/>
      <c r="H1521" s="1867"/>
      <c r="I1521" s="1867"/>
      <c r="J1521" s="1867"/>
      <c r="K1521" s="1867"/>
      <c r="L1521" s="1867"/>
      <c r="M1521" s="1867"/>
      <c r="N1521" s="1867"/>
      <c r="O1521" s="1944" t="s">
        <v>749</v>
      </c>
      <c r="P1521" s="1921">
        <f>'Part VIII-Threshold Criteria'!P363</f>
        <v>0</v>
      </c>
      <c r="Q1521" s="1921"/>
    </row>
    <row r="1522" spans="1:22" ht="12.75" customHeight="1">
      <c r="A1522" s="1944" t="s">
        <v>2115</v>
      </c>
      <c r="B1522" s="1900" t="s">
        <v>4076</v>
      </c>
      <c r="C1522" s="1900"/>
      <c r="D1522" s="1900"/>
      <c r="E1522" s="1900"/>
      <c r="F1522" s="1900"/>
      <c r="G1522" s="1900"/>
      <c r="H1522" s="1900"/>
      <c r="I1522" s="1900"/>
      <c r="J1522" s="1900"/>
      <c r="K1522" s="1900"/>
      <c r="L1522" s="1900"/>
      <c r="M1522" s="1900"/>
      <c r="N1522" s="1900"/>
      <c r="O1522" s="521" t="s">
        <v>2115</v>
      </c>
      <c r="P1522" s="1921">
        <f>'Part VIII-Threshold Criteria'!P364</f>
        <v>0</v>
      </c>
      <c r="Q1522" s="1948"/>
    </row>
    <row r="1523" spans="1:22">
      <c r="A1523" s="1944" t="s">
        <v>1735</v>
      </c>
      <c r="B1523" s="521" t="s">
        <v>4077</v>
      </c>
      <c r="D1523" s="521"/>
      <c r="E1523" s="521"/>
      <c r="F1523" s="521"/>
      <c r="G1523" s="521"/>
      <c r="H1523" s="521"/>
      <c r="I1523" s="521"/>
      <c r="J1523" s="521"/>
      <c r="K1523" s="521"/>
      <c r="L1523" s="521"/>
      <c r="M1523" s="521"/>
      <c r="N1523" s="2111"/>
      <c r="O1523" s="1921" t="s">
        <v>1735</v>
      </c>
      <c r="P1523" s="521">
        <f>'Part VIII-Threshold Criteria'!P365</f>
        <v>0</v>
      </c>
      <c r="Q1523" s="1895"/>
    </row>
    <row r="1524" spans="1:22" ht="12.75" customHeight="1">
      <c r="A1524" s="1944" t="s">
        <v>1736</v>
      </c>
      <c r="B1524" s="1900" t="s">
        <v>4078</v>
      </c>
      <c r="C1524" s="1900"/>
      <c r="D1524" s="1900"/>
      <c r="E1524" s="1900"/>
      <c r="F1524" s="1900"/>
      <c r="G1524" s="1900"/>
      <c r="H1524" s="1900"/>
      <c r="I1524" s="1900"/>
      <c r="J1524" s="1900"/>
      <c r="K1524" s="1900"/>
      <c r="L1524" s="1900"/>
      <c r="M1524" s="1900"/>
      <c r="N1524" s="1900"/>
      <c r="O1524" s="1944" t="s">
        <v>1736</v>
      </c>
      <c r="P1524" s="1948">
        <f>'Part VIII-Threshold Criteria'!P366</f>
        <v>0</v>
      </c>
      <c r="Q1524" s="1948"/>
      <c r="R1524" s="1913"/>
      <c r="S1524" s="1913"/>
      <c r="T1524" s="1913"/>
      <c r="U1524" s="1913"/>
      <c r="V1524" s="1913"/>
    </row>
    <row r="1525" spans="1:22">
      <c r="A1525" s="1944" t="s">
        <v>1947</v>
      </c>
      <c r="B1525" s="1921" t="s">
        <v>4079</v>
      </c>
      <c r="C1525" s="1913"/>
      <c r="D1525" s="1900"/>
      <c r="E1525" s="1900"/>
      <c r="F1525" s="1900"/>
      <c r="G1525" s="1900"/>
      <c r="H1525" s="1900"/>
      <c r="I1525" s="1900"/>
      <c r="J1525" s="1900"/>
      <c r="K1525" s="1900"/>
      <c r="L1525" s="1900"/>
      <c r="M1525" s="1900"/>
      <c r="N1525" s="1900"/>
      <c r="O1525" s="1944" t="s">
        <v>1947</v>
      </c>
      <c r="P1525" s="1948">
        <f>'Part VIII-Threshold Criteria'!P367</f>
        <v>0</v>
      </c>
      <c r="Q1525" s="1948"/>
      <c r="R1525" s="1913"/>
      <c r="S1525" s="1913"/>
      <c r="T1525" s="1913"/>
      <c r="U1525" s="1913"/>
      <c r="V1525" s="1913"/>
    </row>
    <row r="1526" spans="1:22">
      <c r="A1526" s="1913"/>
      <c r="B1526" s="1913"/>
      <c r="C1526" s="1952" t="s">
        <v>4555</v>
      </c>
      <c r="D1526" s="1913"/>
      <c r="E1526" s="1899"/>
      <c r="F1526" s="1899"/>
      <c r="G1526" s="1899"/>
      <c r="H1526" s="1899"/>
      <c r="I1526" s="1899"/>
      <c r="J1526" s="1899"/>
      <c r="K1526" s="1899"/>
      <c r="L1526" s="1899"/>
      <c r="M1526" s="1899"/>
      <c r="N1526" s="1899"/>
      <c r="O1526" s="1913"/>
      <c r="P1526" s="1948">
        <f>'Part VIII-Threshold Criteria'!P368</f>
        <v>0</v>
      </c>
      <c r="Q1526" s="1948"/>
      <c r="R1526" s="1913"/>
      <c r="S1526" s="1913"/>
      <c r="T1526" s="1913"/>
      <c r="U1526" s="1913"/>
      <c r="V1526" s="1913"/>
    </row>
    <row r="1527" spans="1:22" ht="12.75" customHeight="1">
      <c r="A1527" s="1944" t="s">
        <v>3370</v>
      </c>
      <c r="B1527" s="1900" t="s">
        <v>4080</v>
      </c>
      <c r="C1527" s="1900"/>
      <c r="D1527" s="1900"/>
      <c r="E1527" s="1900"/>
      <c r="F1527" s="1900"/>
      <c r="G1527" s="1900"/>
      <c r="H1527" s="1900"/>
      <c r="I1527" s="1900"/>
      <c r="J1527" s="1900"/>
      <c r="K1527" s="1900"/>
      <c r="L1527" s="1900"/>
      <c r="M1527" s="1900"/>
      <c r="N1527" s="1900"/>
      <c r="O1527" s="1944" t="s">
        <v>3370</v>
      </c>
      <c r="P1527" s="1948">
        <f>'Part VIII-Threshold Criteria'!P369</f>
        <v>0</v>
      </c>
      <c r="Q1527" s="1948"/>
    </row>
    <row r="1528" spans="1:22" ht="12.75" customHeight="1">
      <c r="A1528" s="1944" t="s">
        <v>616</v>
      </c>
      <c r="B1528" s="1900" t="s">
        <v>4081</v>
      </c>
      <c r="C1528" s="1900"/>
      <c r="D1528" s="1900"/>
      <c r="E1528" s="1900"/>
      <c r="F1528" s="1900"/>
      <c r="G1528" s="1900"/>
      <c r="H1528" s="1900"/>
      <c r="I1528" s="1900"/>
      <c r="J1528" s="1900"/>
      <c r="K1528" s="1900"/>
      <c r="L1528" s="1900"/>
      <c r="M1528" s="1900"/>
      <c r="N1528" s="1900"/>
      <c r="O1528" s="1944" t="s">
        <v>616</v>
      </c>
      <c r="P1528" s="1948">
        <f>'Part VIII-Threshold Criteria'!P370</f>
        <v>0</v>
      </c>
      <c r="Q1528" s="1948"/>
    </row>
    <row r="1529" spans="1:22">
      <c r="B1529" s="1842" t="s">
        <v>3756</v>
      </c>
      <c r="D1529" s="1842"/>
      <c r="E1529" s="1842"/>
      <c r="F1529" s="1842"/>
      <c r="G1529" s="1842"/>
      <c r="H1529" s="1841"/>
      <c r="I1529" s="1895"/>
      <c r="J1529" s="1895"/>
      <c r="K1529" s="1895"/>
      <c r="L1529" s="1633"/>
      <c r="M1529" s="1633"/>
      <c r="N1529" s="1633"/>
      <c r="O1529" s="1633"/>
      <c r="P1529" s="1633"/>
      <c r="Q1529" s="1633"/>
    </row>
    <row r="1530" spans="1:22">
      <c r="A1530" s="1900">
        <f>'Part VIII-Threshold Criteria'!A372</f>
        <v>0</v>
      </c>
      <c r="B1530" s="1900"/>
      <c r="C1530" s="1900"/>
      <c r="D1530" s="1900"/>
      <c r="E1530" s="1900"/>
      <c r="F1530" s="1900"/>
      <c r="G1530" s="1900"/>
      <c r="H1530" s="1900"/>
      <c r="I1530" s="1900"/>
      <c r="J1530" s="1900"/>
      <c r="K1530" s="1900"/>
      <c r="L1530" s="1900"/>
      <c r="M1530" s="1900"/>
      <c r="N1530" s="1900"/>
      <c r="O1530" s="1900"/>
      <c r="P1530" s="1900"/>
      <c r="Q1530" s="1900"/>
      <c r="U1530" s="1634"/>
      <c r="V1530" s="1634"/>
    </row>
    <row r="1531" spans="1:22">
      <c r="B1531" s="1897" t="s">
        <v>1866</v>
      </c>
      <c r="C1531" s="1898"/>
      <c r="D1531" s="1900"/>
      <c r="E1531" s="1900"/>
      <c r="F1531" s="1900"/>
      <c r="G1531" s="1900"/>
      <c r="H1531" s="1900"/>
      <c r="I1531" s="1900"/>
      <c r="J1531" s="1900"/>
      <c r="K1531" s="1900"/>
      <c r="L1531" s="1900"/>
      <c r="M1531" s="1900"/>
      <c r="N1531" s="1900"/>
      <c r="O1531" s="1899"/>
      <c r="P1531" s="1899"/>
      <c r="Q1531" s="1899"/>
    </row>
    <row r="1532" spans="1:22">
      <c r="A1532" s="1900">
        <f>'Part VIII-Threshold Criteria'!A374</f>
        <v>0</v>
      </c>
      <c r="B1532" s="1900"/>
      <c r="C1532" s="1900"/>
      <c r="D1532" s="1900"/>
      <c r="E1532" s="1900"/>
      <c r="F1532" s="1900"/>
      <c r="G1532" s="1900"/>
      <c r="H1532" s="1900"/>
      <c r="I1532" s="1900"/>
      <c r="J1532" s="1900"/>
      <c r="K1532" s="1900"/>
      <c r="L1532" s="1900"/>
      <c r="M1532" s="1900"/>
      <c r="N1532" s="1900"/>
      <c r="O1532" s="1900"/>
      <c r="P1532" s="1900"/>
      <c r="Q1532" s="1900"/>
    </row>
    <row r="1533" spans="1:22">
      <c r="A1533" s="1634"/>
      <c r="B1533" s="521"/>
      <c r="C1533" s="1900"/>
      <c r="D1533" s="1900"/>
      <c r="E1533" s="1900"/>
      <c r="F1533" s="1900"/>
      <c r="G1533" s="1900"/>
      <c r="H1533" s="1900"/>
      <c r="I1533" s="1900"/>
      <c r="J1533" s="1900"/>
      <c r="K1533" s="1900"/>
      <c r="L1533" s="1900"/>
      <c r="M1533" s="1900"/>
      <c r="N1533" s="2111"/>
      <c r="O1533" s="2111"/>
      <c r="P1533" s="2111"/>
      <c r="Q1533" s="1634"/>
    </row>
    <row r="1534" spans="1:22">
      <c r="A1534" s="1947" t="s">
        <v>4111</v>
      </c>
      <c r="B1534" s="1631" t="s">
        <v>3917</v>
      </c>
      <c r="C1534" s="1631"/>
      <c r="D1534" s="1631"/>
      <c r="E1534" s="1631"/>
      <c r="F1534" s="1631"/>
      <c r="G1534" s="1631"/>
      <c r="H1534" s="1899"/>
      <c r="I1534" s="1899"/>
      <c r="J1534" s="1899"/>
      <c r="O1534" s="2784" t="s">
        <v>1867</v>
      </c>
      <c r="P1534" s="1634"/>
      <c r="Q1534" s="1634"/>
    </row>
    <row r="1535" spans="1:22">
      <c r="A1535" s="521" t="s">
        <v>1983</v>
      </c>
      <c r="B1535" s="521" t="s">
        <v>3919</v>
      </c>
      <c r="C1535" s="1631"/>
      <c r="D1535" s="521"/>
      <c r="E1535" s="521"/>
      <c r="F1535" s="521"/>
      <c r="G1535" s="521"/>
      <c r="H1535" s="521"/>
      <c r="I1535" s="521"/>
      <c r="J1535" s="521"/>
      <c r="K1535" s="521"/>
      <c r="L1535" s="521"/>
      <c r="M1535" s="521"/>
      <c r="N1535" s="521"/>
      <c r="O1535" s="521"/>
      <c r="P1535" s="521"/>
      <c r="Q1535" s="521"/>
      <c r="R1535" s="521"/>
      <c r="S1535" s="1631"/>
      <c r="T1535" s="1631"/>
      <c r="U1535" s="1631"/>
      <c r="V1535" s="1631"/>
    </row>
    <row r="1536" spans="1:22">
      <c r="A1536" s="1937"/>
      <c r="B1536" s="1841" t="s">
        <v>1737</v>
      </c>
      <c r="C1536" s="521" t="s">
        <v>4927</v>
      </c>
      <c r="D1536" s="521"/>
      <c r="E1536" s="521"/>
      <c r="F1536" s="521"/>
      <c r="G1536" s="1631"/>
      <c r="H1536" s="521" t="s">
        <v>617</v>
      </c>
      <c r="I1536" s="1631"/>
      <c r="J1536" s="521">
        <f>'Part VIII-Threshold Criteria'!J378</f>
        <v>0</v>
      </c>
      <c r="K1536" s="521">
        <f>'Part VIII-Threshold Criteria'!K378</f>
        <v>0</v>
      </c>
      <c r="L1536" s="521">
        <f>'Part VIII-Threshold Criteria'!L378</f>
        <v>0</v>
      </c>
      <c r="M1536" s="521">
        <f>'Part VIII-Threshold Criteria'!M378</f>
        <v>0</v>
      </c>
      <c r="N1536" s="521" t="s">
        <v>3918</v>
      </c>
      <c r="O1536" s="521"/>
      <c r="P1536" s="521">
        <f>'Part VIII-Threshold Criteria'!P378</f>
        <v>0</v>
      </c>
      <c r="Q1536" s="521">
        <f>'Part VIII-Threshold Criteria'!Q378</f>
        <v>0</v>
      </c>
      <c r="R1536" s="1631"/>
      <c r="S1536" s="1631"/>
      <c r="T1536" s="1631"/>
      <c r="U1536" s="1631"/>
      <c r="V1536" s="1631"/>
    </row>
    <row r="1537" spans="1:22">
      <c r="A1537" s="1937"/>
      <c r="B1537" s="1841"/>
      <c r="C1537" s="1841"/>
      <c r="D1537" s="1841"/>
      <c r="E1537" s="1841"/>
      <c r="F1537" s="1841"/>
      <c r="G1537" s="1841"/>
      <c r="H1537" s="1841" t="s">
        <v>4920</v>
      </c>
      <c r="I1537" s="1841"/>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31"/>
      <c r="S1537" s="1631"/>
      <c r="T1537" s="1631"/>
      <c r="U1537" s="1631"/>
      <c r="V1537" s="1631"/>
    </row>
    <row r="1538" spans="1:22">
      <c r="A1538" s="1631"/>
      <c r="B1538" s="1841" t="s">
        <v>1738</v>
      </c>
      <c r="C1538" s="521" t="s">
        <v>3920</v>
      </c>
      <c r="D1538" s="1631"/>
      <c r="E1538" s="1631"/>
      <c r="F1538" s="1631"/>
      <c r="G1538" s="1631"/>
      <c r="H1538" s="1631"/>
      <c r="I1538" s="1631"/>
      <c r="J1538" s="2812">
        <f>'Part VIII-Threshold Criteria'!J380</f>
        <v>0</v>
      </c>
      <c r="K1538" s="2812">
        <f>'Part VIII-Threshold Criteria'!K380</f>
        <v>0</v>
      </c>
      <c r="L1538" s="1631"/>
      <c r="M1538" s="1631"/>
      <c r="N1538" s="1631"/>
      <c r="O1538" s="1937"/>
      <c r="P1538" s="1631"/>
      <c r="Q1538" s="1631"/>
      <c r="R1538" s="1631"/>
      <c r="S1538" s="1631"/>
      <c r="T1538" s="1631"/>
      <c r="U1538" s="1631"/>
      <c r="V1538" s="1631"/>
    </row>
    <row r="1539" spans="1:22">
      <c r="A1539" s="1937"/>
      <c r="B1539" s="1841" t="s">
        <v>1739</v>
      </c>
      <c r="C1539" s="521" t="s">
        <v>3921</v>
      </c>
      <c r="D1539" s="1631"/>
      <c r="E1539" s="1867"/>
      <c r="F1539" s="1631"/>
      <c r="G1539" s="1631"/>
      <c r="H1539" s="1631"/>
      <c r="I1539" s="1867"/>
      <c r="J1539" s="1867">
        <f>'Part I-Project Information'!K1198</f>
        <v>0</v>
      </c>
      <c r="K1539" s="1867"/>
      <c r="L1539" s="1867" t="s">
        <v>3922</v>
      </c>
      <c r="M1539" s="1867"/>
      <c r="N1539" s="1867"/>
      <c r="O1539" s="521" t="s">
        <v>1739</v>
      </c>
      <c r="P1539" s="521">
        <f>'Part VIII-Threshold Criteria'!P381</f>
        <v>0</v>
      </c>
      <c r="Q1539" s="521"/>
      <c r="R1539" s="1631"/>
      <c r="S1539" s="1631"/>
      <c r="T1539" s="1631"/>
      <c r="U1539" s="1631"/>
      <c r="V1539" s="1631"/>
    </row>
    <row r="1540" spans="1:22">
      <c r="A1540" s="1937"/>
      <c r="B1540" s="1841" t="s">
        <v>2365</v>
      </c>
      <c r="C1540" s="521" t="s">
        <v>4916</v>
      </c>
      <c r="D1540" s="1631"/>
      <c r="E1540" s="1867"/>
      <c r="F1540" s="1867"/>
      <c r="G1540" s="1867"/>
      <c r="H1540" s="521" t="s">
        <v>4917</v>
      </c>
      <c r="I1540" s="1867"/>
      <c r="J1540" s="2074">
        <f>'Part VIII-Threshold Criteria'!J382</f>
        <v>0</v>
      </c>
      <c r="K1540" s="2074">
        <f>'Part VIII-Threshold Criteria'!K382</f>
        <v>0</v>
      </c>
      <c r="L1540" s="2074"/>
      <c r="M1540" s="2074"/>
      <c r="N1540" s="1631"/>
      <c r="O1540" s="521"/>
      <c r="P1540" s="1631"/>
      <c r="Q1540" s="1631"/>
      <c r="R1540" s="1631"/>
      <c r="S1540" s="1631"/>
      <c r="T1540" s="1631"/>
      <c r="U1540" s="1631"/>
      <c r="V1540" s="1631"/>
    </row>
    <row r="1541" spans="1:22">
      <c r="A1541" s="1937"/>
      <c r="B1541" s="1841"/>
      <c r="C1541" s="521"/>
      <c r="D1541" s="1631"/>
      <c r="E1541" s="1867"/>
      <c r="F1541" s="1867"/>
      <c r="G1541" s="1867"/>
      <c r="H1541" s="521" t="s">
        <v>4918</v>
      </c>
      <c r="I1541" s="1867"/>
      <c r="J1541" s="521">
        <f>'Part VIII-Threshold Criteria'!J383</f>
        <v>0</v>
      </c>
      <c r="K1541" s="521">
        <f>'Part VIII-Threshold Criteria'!K383</f>
        <v>0</v>
      </c>
      <c r="L1541" s="521"/>
      <c r="M1541" s="521"/>
      <c r="N1541" s="521"/>
      <c r="O1541" s="1937"/>
      <c r="P1541" s="1631"/>
      <c r="Q1541" s="1631"/>
      <c r="R1541" s="1631"/>
      <c r="S1541" s="1631"/>
      <c r="T1541" s="1631"/>
      <c r="U1541" s="1631"/>
      <c r="V1541" s="1631"/>
    </row>
    <row r="1542" spans="1:22">
      <c r="A1542" s="1937"/>
      <c r="B1542" s="1841" t="s">
        <v>1549</v>
      </c>
      <c r="C1542" s="521" t="s">
        <v>3924</v>
      </c>
      <c r="D1542" s="1631"/>
      <c r="E1542" s="521"/>
      <c r="F1542" s="2074">
        <f>'Part IV-A-Uses of Funds'!J1331</f>
        <v>0</v>
      </c>
      <c r="G1542" s="2074"/>
      <c r="H1542" s="521" t="s">
        <v>3925</v>
      </c>
      <c r="I1542" s="521"/>
      <c r="J1542" s="521" t="str">
        <f>IF(F1542&gt;'DCA Underwriting Assumptions'!$Q$131, "Request exceeds DCA per project maximum for set aside!!!","")</f>
        <v/>
      </c>
      <c r="K1542" s="521"/>
      <c r="L1542" s="521"/>
      <c r="M1542" s="1631"/>
      <c r="N1542" s="1631"/>
      <c r="O1542" s="1937" t="s">
        <v>1549</v>
      </c>
      <c r="P1542" s="1895">
        <f>'Part VIII-Threshold Criteria'!P384</f>
        <v>0</v>
      </c>
      <c r="Q1542" s="1895"/>
      <c r="R1542" s="1631"/>
      <c r="S1542" s="1631"/>
      <c r="T1542" s="1631"/>
      <c r="U1542" s="1631"/>
      <c r="V1542" s="1631"/>
    </row>
    <row r="1543" spans="1:22">
      <c r="A1543" s="1937"/>
      <c r="B1543" s="1841" t="s">
        <v>1550</v>
      </c>
      <c r="C1543" s="521" t="s">
        <v>3927</v>
      </c>
      <c r="D1543" s="1631"/>
      <c r="E1543" s="521"/>
      <c r="F1543" s="521"/>
      <c r="G1543" s="521"/>
      <c r="H1543" s="521" t="s">
        <v>4919</v>
      </c>
      <c r="I1543" s="521"/>
      <c r="J1543" s="2074">
        <f>'Part VIII-Threshold Criteria'!J385</f>
        <v>0</v>
      </c>
      <c r="K1543" s="2074">
        <f>'Part VIII-Threshold Criteria'!K385</f>
        <v>0</v>
      </c>
      <c r="L1543" s="2074"/>
      <c r="M1543" s="2074"/>
      <c r="N1543" s="1631"/>
      <c r="O1543" s="1631"/>
      <c r="P1543" s="1631"/>
      <c r="Q1543" s="1631"/>
      <c r="R1543" s="1631"/>
      <c r="S1543" s="1631"/>
      <c r="T1543" s="1631"/>
      <c r="U1543" s="1631"/>
      <c r="V1543" s="1631"/>
    </row>
    <row r="1544" spans="1:22">
      <c r="A1544" s="1631"/>
      <c r="B1544" s="1841" t="s">
        <v>98</v>
      </c>
      <c r="C1544" s="521" t="s">
        <v>3929</v>
      </c>
      <c r="D1544" s="1631"/>
      <c r="E1544" s="1867"/>
      <c r="F1544" s="1867"/>
      <c r="G1544" s="1867"/>
      <c r="H1544" s="1867"/>
      <c r="I1544" s="1867"/>
      <c r="J1544" s="1867"/>
      <c r="K1544" s="1867"/>
      <c r="L1544" s="1867"/>
      <c r="M1544" s="1631"/>
      <c r="N1544" s="1631"/>
      <c r="O1544" s="1937" t="s">
        <v>98</v>
      </c>
      <c r="P1544" s="1895">
        <f>'Part VIII-Threshold Criteria'!P386</f>
        <v>0</v>
      </c>
      <c r="Q1544" s="1895"/>
      <c r="R1544" s="1631"/>
      <c r="S1544" s="1631"/>
      <c r="T1544" s="1631"/>
      <c r="U1544" s="1631"/>
      <c r="V1544" s="1631"/>
    </row>
    <row r="1545" spans="1:22">
      <c r="A1545" s="1937" t="s">
        <v>1985</v>
      </c>
      <c r="B1545" s="521" t="s">
        <v>3930</v>
      </c>
      <c r="C1545" s="1631"/>
      <c r="D1545" s="1867"/>
      <c r="E1545" s="1867"/>
      <c r="F1545" s="1867"/>
      <c r="G1545" s="1867"/>
      <c r="H1545" s="1867"/>
      <c r="I1545" s="1631"/>
      <c r="J1545" s="1631"/>
      <c r="K1545" s="1631"/>
      <c r="L1545" s="1631"/>
      <c r="M1545" s="1631"/>
      <c r="N1545" s="1631"/>
      <c r="O1545" s="1631"/>
      <c r="P1545" s="1867"/>
      <c r="Q1545" s="1867"/>
      <c r="R1545" s="1867"/>
      <c r="S1545" s="1631"/>
      <c r="T1545" s="1631"/>
      <c r="U1545" s="1631"/>
      <c r="V1545" s="1631"/>
    </row>
    <row r="1546" spans="1:22">
      <c r="A1546" s="1631"/>
      <c r="B1546" s="1841" t="s">
        <v>1737</v>
      </c>
      <c r="C1546" s="1841" t="s">
        <v>4973</v>
      </c>
      <c r="D1546" s="1631"/>
      <c r="E1546" s="1834"/>
      <c r="F1546" s="1834"/>
      <c r="G1546" s="1834"/>
      <c r="H1546" s="1834"/>
      <c r="I1546" s="1631"/>
      <c r="J1546" s="1631"/>
      <c r="K1546" s="1631"/>
      <c r="L1546" s="1631"/>
      <c r="M1546" s="1631"/>
      <c r="N1546" s="1631"/>
      <c r="O1546" s="1631"/>
      <c r="P1546" s="1895">
        <f>'Part VIII-Threshold Criteria'!P388</f>
        <v>0</v>
      </c>
      <c r="Q1546" s="1895"/>
      <c r="R1546" s="1631"/>
      <c r="S1546" s="1631"/>
      <c r="T1546" s="1631"/>
      <c r="U1546" s="1631"/>
      <c r="V1546" s="1631"/>
    </row>
    <row r="1547" spans="1:22" ht="12.75" customHeight="1">
      <c r="A1547" s="1631"/>
      <c r="B1547" s="1841"/>
      <c r="C1547" s="1841"/>
      <c r="D1547" s="1631"/>
      <c r="E1547" s="1834"/>
      <c r="F1547" s="1834"/>
      <c r="G1547" s="1834"/>
      <c r="H1547" s="1834"/>
      <c r="I1547" s="1631"/>
      <c r="J1547" s="521" t="s">
        <v>3935</v>
      </c>
      <c r="K1547" s="521"/>
      <c r="L1547" s="521"/>
      <c r="M1547" s="521"/>
      <c r="N1547" s="1867" t="s">
        <v>3932</v>
      </c>
      <c r="O1547" s="1867"/>
      <c r="P1547" s="1631"/>
      <c r="Q1547" s="1631"/>
      <c r="R1547" s="1631"/>
      <c r="S1547" s="1631"/>
      <c r="T1547" s="1631"/>
      <c r="U1547" s="1631"/>
      <c r="V1547" s="1631"/>
    </row>
    <row r="1548" spans="1:22">
      <c r="A1548" s="1636"/>
      <c r="B1548" s="1841" t="s">
        <v>1738</v>
      </c>
      <c r="C1548" s="1841" t="s">
        <v>3931</v>
      </c>
      <c r="D1548" s="1631"/>
      <c r="E1548" s="1867"/>
      <c r="F1548" s="1867"/>
      <c r="G1548" s="1867"/>
      <c r="H1548" s="1867"/>
      <c r="I1548" s="1937" t="s">
        <v>1738</v>
      </c>
      <c r="J1548" s="2074">
        <f>'Part VIII-Threshold Criteria'!J390</f>
        <v>0</v>
      </c>
      <c r="K1548" s="2074">
        <f>'Part VIII-Threshold Criteria'!K390</f>
        <v>0</v>
      </c>
      <c r="L1548" s="2074"/>
      <c r="M1548" s="2074"/>
      <c r="N1548" s="1968" t="e">
        <f>IF(J1548="","",J1540/J1548)</f>
        <v>#DIV/0!</v>
      </c>
      <c r="O1548" s="1968" t="str">
        <f>IF(L1548="","",L1540/L1548)</f>
        <v/>
      </c>
      <c r="P1548" s="1874">
        <f>'Part VIII-Threshold Criteria'!P390</f>
        <v>0</v>
      </c>
      <c r="Q1548" s="1874"/>
      <c r="R1548" s="1631"/>
      <c r="S1548" s="1631"/>
      <c r="T1548" s="1631"/>
      <c r="U1548" s="1631"/>
      <c r="V1548" s="1631"/>
    </row>
    <row r="1549" spans="1:22">
      <c r="A1549" s="1636"/>
      <c r="B1549" s="1841" t="s">
        <v>1739</v>
      </c>
      <c r="C1549" s="521" t="s">
        <v>3934</v>
      </c>
      <c r="D1549" s="1631"/>
      <c r="E1549" s="1867"/>
      <c r="F1549" s="1867"/>
      <c r="G1549" s="1867"/>
      <c r="H1549" s="1867"/>
      <c r="I1549" s="1631"/>
      <c r="J1549" s="1631"/>
      <c r="K1549" s="1631"/>
      <c r="L1549" s="1631"/>
      <c r="M1549" s="1631"/>
      <c r="N1549" s="1867"/>
      <c r="O1549" s="1937" t="s">
        <v>1739</v>
      </c>
      <c r="P1549" s="1874">
        <f>'Part VIII-Threshold Criteria'!P391</f>
        <v>0</v>
      </c>
      <c r="Q1549" s="1874"/>
      <c r="R1549" s="1631"/>
      <c r="S1549" s="1631"/>
      <c r="T1549" s="1631"/>
      <c r="U1549" s="1631"/>
      <c r="V1549" s="1631"/>
    </row>
    <row r="1550" spans="1:22">
      <c r="A1550" s="1631"/>
      <c r="B1550" s="1841" t="s">
        <v>2365</v>
      </c>
      <c r="C1550" s="521" t="s">
        <v>3936</v>
      </c>
      <c r="D1550" s="1631"/>
      <c r="E1550" s="1867"/>
      <c r="F1550" s="1867"/>
      <c r="G1550" s="1867"/>
      <c r="H1550" s="1867"/>
      <c r="I1550" s="1631"/>
      <c r="J1550" s="1631"/>
      <c r="K1550" s="1631"/>
      <c r="L1550" s="1631"/>
      <c r="M1550" s="1867"/>
      <c r="N1550" s="1867"/>
      <c r="O1550" s="1937" t="s">
        <v>2365</v>
      </c>
      <c r="P1550" s="1895">
        <f>'Part VIII-Threshold Criteria'!P392</f>
        <v>0</v>
      </c>
      <c r="Q1550" s="1895"/>
      <c r="R1550" s="1631"/>
      <c r="S1550" s="1631"/>
      <c r="T1550" s="1631"/>
      <c r="U1550" s="1631"/>
      <c r="V1550" s="1631"/>
    </row>
    <row r="1551" spans="1:22">
      <c r="B1551" s="1842" t="s">
        <v>3756</v>
      </c>
      <c r="D1551" s="1842"/>
      <c r="E1551" s="1842"/>
      <c r="F1551" s="1842"/>
      <c r="G1551" s="1842"/>
      <c r="H1551" s="1841"/>
      <c r="I1551" s="1895"/>
      <c r="J1551" s="521"/>
      <c r="K1551" s="521"/>
      <c r="L1551" s="1634"/>
      <c r="M1551" s="1634"/>
      <c r="N1551" s="1634"/>
      <c r="O1551" s="1634"/>
      <c r="P1551" s="1633"/>
      <c r="Q1551" s="1633"/>
    </row>
    <row r="1552" spans="1:22">
      <c r="A1552" s="1900">
        <f>'Part VIII-Threshold Criteria'!A394</f>
        <v>0</v>
      </c>
      <c r="B1552" s="1900"/>
      <c r="C1552" s="1900"/>
      <c r="D1552" s="1900"/>
      <c r="E1552" s="1900"/>
      <c r="F1552" s="1900"/>
      <c r="G1552" s="1900"/>
      <c r="H1552" s="1900"/>
      <c r="I1552" s="1900"/>
      <c r="J1552" s="1900"/>
      <c r="K1552" s="1900"/>
      <c r="L1552" s="1900"/>
      <c r="M1552" s="1900"/>
      <c r="N1552" s="1900"/>
      <c r="O1552" s="1900"/>
      <c r="P1552" s="1900"/>
      <c r="Q1552" s="1900"/>
      <c r="U1552" s="1634"/>
      <c r="V1552" s="1634"/>
    </row>
    <row r="1553" spans="1:22">
      <c r="B1553" s="1897" t="s">
        <v>1866</v>
      </c>
      <c r="C1553" s="1898"/>
      <c r="D1553" s="1899"/>
      <c r="E1553" s="1899"/>
      <c r="F1553" s="1899"/>
      <c r="G1553" s="1899"/>
      <c r="H1553" s="1899"/>
      <c r="I1553" s="1899"/>
      <c r="J1553" s="1899"/>
      <c r="K1553" s="1899"/>
      <c r="L1553" s="1899"/>
      <c r="M1553" s="1899"/>
      <c r="N1553" s="1899"/>
      <c r="O1553" s="1899"/>
      <c r="P1553" s="1899"/>
      <c r="Q1553" s="1899"/>
    </row>
    <row r="1554" spans="1:22">
      <c r="A1554" s="1900">
        <f>'Part VIII-Threshold Criteria'!A396</f>
        <v>0</v>
      </c>
      <c r="B1554" s="1900"/>
      <c r="C1554" s="1900"/>
      <c r="D1554" s="1900"/>
      <c r="E1554" s="1900"/>
      <c r="F1554" s="1900"/>
      <c r="G1554" s="1900"/>
      <c r="H1554" s="1900"/>
      <c r="I1554" s="1900"/>
      <c r="J1554" s="1900"/>
      <c r="K1554" s="1900"/>
      <c r="L1554" s="1900"/>
      <c r="M1554" s="1900"/>
      <c r="N1554" s="1900"/>
      <c r="O1554" s="1900"/>
      <c r="P1554" s="1900"/>
      <c r="Q1554" s="1900"/>
    </row>
    <row r="1555" spans="1:22">
      <c r="A1555" s="1633"/>
      <c r="B1555" s="1895"/>
      <c r="C1555" s="1899"/>
      <c r="D1555" s="1899"/>
      <c r="E1555" s="1899"/>
      <c r="F1555" s="1899"/>
      <c r="G1555" s="1899"/>
      <c r="H1555" s="1899"/>
      <c r="I1555" s="1899"/>
      <c r="J1555" s="1899"/>
      <c r="K1555" s="1899"/>
      <c r="L1555" s="1899"/>
      <c r="M1555" s="1899"/>
      <c r="Q1555" s="1633"/>
    </row>
    <row r="1556" spans="1:22">
      <c r="A1556" s="1634"/>
      <c r="B1556" s="521"/>
      <c r="C1556" s="1900"/>
      <c r="D1556" s="1900"/>
      <c r="E1556" s="1900"/>
      <c r="F1556" s="1900"/>
      <c r="G1556" s="1900"/>
      <c r="H1556" s="1900"/>
      <c r="I1556" s="1900"/>
      <c r="J1556" s="1900"/>
      <c r="K1556" s="1900"/>
      <c r="L1556" s="1900"/>
      <c r="M1556" s="1900"/>
      <c r="N1556" s="2111"/>
      <c r="O1556" s="2111"/>
      <c r="P1556" s="2111"/>
      <c r="Q1556" s="1634"/>
    </row>
    <row r="1557" spans="1:22">
      <c r="A1557" s="1947" t="s">
        <v>4112</v>
      </c>
      <c r="B1557" s="1631" t="s">
        <v>2684</v>
      </c>
      <c r="C1557" s="1631"/>
      <c r="D1557" s="1631"/>
      <c r="E1557" s="1631"/>
      <c r="F1557" s="1631"/>
      <c r="G1557" s="1631"/>
      <c r="H1557" s="1899"/>
      <c r="I1557" s="1899"/>
      <c r="J1557" s="1899"/>
      <c r="O1557" s="2784" t="s">
        <v>1867</v>
      </c>
      <c r="P1557" s="1634"/>
      <c r="Q1557" s="1634"/>
    </row>
    <row r="1558" spans="1:22">
      <c r="A1558" s="521" t="s">
        <v>1983</v>
      </c>
      <c r="B1558" s="521" t="s">
        <v>1034</v>
      </c>
      <c r="C1558" s="2111"/>
      <c r="D1558" s="2111"/>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2671</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7" t="s">
        <v>1985</v>
      </c>
      <c r="B1559" s="521" t="s">
        <v>3464</v>
      </c>
      <c r="D1559" s="521"/>
      <c r="E1559" s="521"/>
      <c r="F1559" s="521"/>
      <c r="G1559" s="521"/>
      <c r="H1559" s="521"/>
      <c r="I1559" s="521"/>
      <c r="J1559" s="521"/>
      <c r="K1559" s="521"/>
      <c r="L1559" s="1841"/>
      <c r="M1559" s="1841"/>
      <c r="O1559" s="1937" t="s">
        <v>1985</v>
      </c>
      <c r="P1559" s="1895">
        <f>'Part VIII-Threshold Criteria'!P401</f>
        <v>0</v>
      </c>
      <c r="Q1559" s="1895"/>
    </row>
    <row r="1560" spans="1:22" ht="12.75" customHeight="1">
      <c r="A1560" s="1944" t="s">
        <v>749</v>
      </c>
      <c r="B1560" s="1900" t="s">
        <v>3474</v>
      </c>
      <c r="C1560" s="1900"/>
      <c r="D1560" s="1900"/>
      <c r="E1560" s="1900"/>
      <c r="F1560" s="1900"/>
      <c r="G1560" s="1900"/>
      <c r="H1560" s="1900"/>
      <c r="I1560" s="1900"/>
      <c r="J1560" s="1900"/>
      <c r="K1560" s="1900"/>
      <c r="L1560" s="1900"/>
      <c r="M1560" s="1900"/>
      <c r="N1560" s="1900"/>
      <c r="O1560" s="1944" t="s">
        <v>749</v>
      </c>
      <c r="P1560" s="1948">
        <f>'Part VIII-Threshold Criteria'!P402</f>
        <v>0</v>
      </c>
      <c r="Q1560" s="1948"/>
    </row>
    <row r="1561" spans="1:22">
      <c r="A1561" s="1937" t="s">
        <v>2115</v>
      </c>
      <c r="B1561" s="1216" t="s">
        <v>3698</v>
      </c>
      <c r="G1561" s="1834"/>
      <c r="H1561" s="1834"/>
      <c r="I1561" s="1834"/>
      <c r="J1561" s="1841" t="s">
        <v>3699</v>
      </c>
      <c r="L1561" s="1834"/>
      <c r="M1561" s="2813">
        <f>'Part III-Sources of Funds'!H1163</f>
        <v>0</v>
      </c>
      <c r="N1561" s="2813"/>
      <c r="O1561" s="1937" t="s">
        <v>2115</v>
      </c>
      <c r="P1561" s="521">
        <f>'Part VIII-Threshold Criteria'!P403</f>
        <v>0</v>
      </c>
      <c r="Q1561" s="521"/>
    </row>
    <row r="1562" spans="1:22">
      <c r="B1562" s="1842" t="s">
        <v>3756</v>
      </c>
      <c r="D1562" s="1842"/>
      <c r="E1562" s="1866"/>
      <c r="F1562" s="1866"/>
      <c r="G1562" s="1866"/>
      <c r="H1562" s="521"/>
      <c r="I1562" s="521"/>
      <c r="J1562" s="521"/>
      <c r="K1562" s="521"/>
      <c r="L1562" s="1634"/>
      <c r="M1562" s="1634"/>
      <c r="N1562" s="1634"/>
      <c r="O1562" s="1634"/>
      <c r="P1562" s="1634"/>
      <c r="Q1562" s="1634"/>
    </row>
    <row r="1563" spans="1:22">
      <c r="A1563" s="1900">
        <f>'Part VIII-Threshold Criteria'!A405</f>
        <v>0</v>
      </c>
      <c r="B1563" s="1900"/>
      <c r="C1563" s="1900"/>
      <c r="D1563" s="1900"/>
      <c r="E1563" s="1900"/>
      <c r="F1563" s="1900"/>
      <c r="G1563" s="1900"/>
      <c r="H1563" s="1900"/>
      <c r="I1563" s="1900"/>
      <c r="J1563" s="1900"/>
      <c r="K1563" s="1900"/>
      <c r="L1563" s="1900"/>
      <c r="M1563" s="1900"/>
      <c r="N1563" s="1900"/>
      <c r="O1563" s="1900"/>
      <c r="P1563" s="1900"/>
      <c r="Q1563" s="1900"/>
      <c r="U1563" s="1634"/>
      <c r="V1563" s="1634"/>
    </row>
    <row r="1564" spans="1:22">
      <c r="B1564" s="1897" t="s">
        <v>1866</v>
      </c>
      <c r="C1564" s="1898"/>
      <c r="D1564" s="1900"/>
      <c r="E1564" s="1900"/>
      <c r="F1564" s="1900"/>
      <c r="G1564" s="1900"/>
      <c r="H1564" s="1900"/>
      <c r="I1564" s="1900"/>
      <c r="J1564" s="1900"/>
      <c r="K1564" s="1900"/>
      <c r="L1564" s="1900"/>
      <c r="M1564" s="1900"/>
      <c r="N1564" s="1900"/>
      <c r="O1564" s="1899"/>
      <c r="P1564" s="1899"/>
      <c r="Q1564" s="1899"/>
    </row>
    <row r="1565" spans="1:22">
      <c r="A1565" s="1900">
        <f>'Part VIII-Threshold Criteria'!A407</f>
        <v>0</v>
      </c>
      <c r="B1565" s="1900"/>
      <c r="C1565" s="1900"/>
      <c r="D1565" s="1900"/>
      <c r="E1565" s="1900"/>
      <c r="F1565" s="1900"/>
      <c r="G1565" s="1900"/>
      <c r="H1565" s="1900"/>
      <c r="I1565" s="1900"/>
      <c r="J1565" s="1900"/>
      <c r="K1565" s="1900"/>
      <c r="L1565" s="1900"/>
      <c r="M1565" s="1900"/>
      <c r="N1565" s="1900"/>
      <c r="O1565" s="1900"/>
      <c r="P1565" s="1900"/>
      <c r="Q1565" s="1900"/>
    </row>
    <row r="1566" spans="1:22">
      <c r="A1566" s="1633"/>
      <c r="B1566" s="1895"/>
      <c r="C1566" s="1899"/>
      <c r="D1566" s="1899"/>
      <c r="E1566" s="1899"/>
      <c r="F1566" s="1899"/>
      <c r="G1566" s="1899"/>
      <c r="H1566" s="1899"/>
      <c r="I1566" s="1899"/>
      <c r="J1566" s="1899"/>
      <c r="K1566" s="1899"/>
      <c r="L1566" s="1899"/>
      <c r="M1566" s="1899"/>
      <c r="Q1566" s="1633"/>
    </row>
    <row r="1567" spans="1:22">
      <c r="A1567" s="1631" t="s">
        <v>4113</v>
      </c>
      <c r="B1567" s="1631" t="s">
        <v>2668</v>
      </c>
      <c r="C1567" s="1631"/>
      <c r="D1567" s="1631"/>
      <c r="E1567" s="1900"/>
      <c r="F1567" s="2111"/>
      <c r="G1567" s="1921" t="s">
        <v>701</v>
      </c>
      <c r="H1567" s="1900"/>
      <c r="I1567" s="1900"/>
      <c r="J1567" s="1900"/>
      <c r="K1567" s="1900"/>
      <c r="L1567" s="1900"/>
      <c r="M1567" s="1900"/>
      <c r="N1567" s="2111"/>
      <c r="O1567" s="1900" t="s">
        <v>1867</v>
      </c>
      <c r="P1567" s="1634"/>
      <c r="Q1567" s="1634"/>
    </row>
    <row r="1568" spans="1:22">
      <c r="A1568" s="1937" t="s">
        <v>1983</v>
      </c>
      <c r="B1568" s="521" t="s">
        <v>2673</v>
      </c>
      <c r="D1568" s="1900"/>
      <c r="E1568" s="1900"/>
      <c r="H1568" s="1921"/>
      <c r="O1568" s="1937" t="s">
        <v>1983</v>
      </c>
      <c r="P1568" s="1895">
        <f>'Part VIII-Threshold Criteria'!P410</f>
        <v>0</v>
      </c>
      <c r="Q1568" s="1895"/>
    </row>
    <row r="1569" spans="1:22">
      <c r="A1569" s="521" t="s">
        <v>1985</v>
      </c>
      <c r="B1569" s="521" t="s">
        <v>3583</v>
      </c>
      <c r="C1569" s="2111"/>
      <c r="D1569" s="1900"/>
      <c r="E1569" s="1900"/>
      <c r="F1569" s="2111"/>
      <c r="G1569" s="2111"/>
      <c r="H1569" s="2111"/>
      <c r="I1569" s="2111"/>
      <c r="J1569" s="2111"/>
      <c r="K1569" s="2111"/>
      <c r="L1569" s="2111"/>
      <c r="M1569" s="2111"/>
      <c r="N1569" s="2111"/>
      <c r="O1569" s="521" t="s">
        <v>1985</v>
      </c>
      <c r="P1569" s="521">
        <f>'Part VIII-Threshold Criteria'!P411</f>
        <v>0</v>
      </c>
      <c r="Q1569" s="521"/>
    </row>
    <row r="1570" spans="1:22">
      <c r="A1570" s="1937" t="s">
        <v>749</v>
      </c>
      <c r="B1570" s="521" t="s">
        <v>4082</v>
      </c>
      <c r="D1570" s="1900"/>
      <c r="E1570" s="1900"/>
      <c r="O1570" s="1937" t="s">
        <v>749</v>
      </c>
      <c r="P1570" s="1895">
        <f>'Part VIII-Threshold Criteria'!P412</f>
        <v>0</v>
      </c>
      <c r="Q1570" s="1895"/>
    </row>
    <row r="1571" spans="1:22">
      <c r="A1571" s="1937" t="s">
        <v>2115</v>
      </c>
      <c r="B1571" s="521" t="s">
        <v>3584</v>
      </c>
      <c r="E1571" s="1921"/>
      <c r="O1571" s="1937" t="s">
        <v>2115</v>
      </c>
      <c r="P1571" s="521">
        <f>'Part VIII-Threshold Criteria'!P413</f>
        <v>0</v>
      </c>
      <c r="Q1571" s="521"/>
    </row>
    <row r="1572" spans="1:22">
      <c r="A1572" s="1937" t="s">
        <v>1735</v>
      </c>
      <c r="B1572" s="521" t="s">
        <v>2079</v>
      </c>
      <c r="E1572" s="1921"/>
      <c r="G1572" s="1937" t="s">
        <v>1735</v>
      </c>
      <c r="H1572" s="1867">
        <f>'Part VIII-Threshold Criteria'!H414</f>
        <v>0</v>
      </c>
      <c r="I1572" s="1867">
        <f>'Part VIII-Threshold Criteria'!I414</f>
        <v>0</v>
      </c>
      <c r="J1572" s="1867">
        <f>'Part VIII-Threshold Criteria'!J414</f>
        <v>0</v>
      </c>
      <c r="K1572" s="1867">
        <f>'Part VIII-Threshold Criteria'!K414</f>
        <v>0</v>
      </c>
      <c r="L1572" s="1867">
        <f>'Part VIII-Threshold Criteria'!L414</f>
        <v>0</v>
      </c>
      <c r="M1572" s="1867">
        <f>'Part VIII-Threshold Criteria'!M414</f>
        <v>0</v>
      </c>
      <c r="N1572" s="1867">
        <f>'Part VIII-Threshold Criteria'!N414</f>
        <v>0</v>
      </c>
      <c r="O1572" s="1867">
        <f>'Part VIII-Threshold Criteria'!O414</f>
        <v>0</v>
      </c>
      <c r="P1572" s="1895">
        <f>'Part VIII-Threshold Criteria'!P414</f>
        <v>0</v>
      </c>
      <c r="Q1572" s="1895"/>
    </row>
    <row r="1573" spans="1:22">
      <c r="B1573" s="1842" t="s">
        <v>3756</v>
      </c>
      <c r="D1573" s="1842"/>
      <c r="E1573" s="1842"/>
      <c r="F1573" s="1842"/>
      <c r="G1573" s="1842"/>
      <c r="H1573" s="1841"/>
      <c r="I1573" s="1895"/>
      <c r="J1573" s="1895"/>
      <c r="K1573" s="1895"/>
      <c r="L1573" s="1633"/>
      <c r="M1573" s="1633"/>
      <c r="N1573" s="1633"/>
      <c r="O1573" s="1633"/>
      <c r="P1573" s="1633"/>
      <c r="Q1573" s="1633"/>
    </row>
    <row r="1574" spans="1:22">
      <c r="A1574" s="1900">
        <f>'Part VIII-Threshold Criteria'!A416</f>
        <v>0</v>
      </c>
      <c r="B1574" s="1900"/>
      <c r="C1574" s="1900"/>
      <c r="D1574" s="1900"/>
      <c r="E1574" s="1900"/>
      <c r="F1574" s="1900"/>
      <c r="G1574" s="1900"/>
      <c r="H1574" s="1900"/>
      <c r="I1574" s="1900"/>
      <c r="J1574" s="1900"/>
      <c r="K1574" s="1900"/>
      <c r="L1574" s="1900"/>
      <c r="M1574" s="1900"/>
      <c r="N1574" s="1900"/>
      <c r="O1574" s="1900"/>
      <c r="P1574" s="1900"/>
      <c r="Q1574" s="1900"/>
      <c r="U1574" s="1634"/>
      <c r="V1574" s="1634"/>
    </row>
    <row r="1575" spans="1:22">
      <c r="B1575" s="1897" t="s">
        <v>1866</v>
      </c>
      <c r="C1575" s="1898"/>
      <c r="D1575" s="1899"/>
      <c r="E1575" s="1899"/>
      <c r="F1575" s="1899"/>
      <c r="G1575" s="1899"/>
      <c r="H1575" s="1899"/>
      <c r="I1575" s="1899"/>
      <c r="J1575" s="1899"/>
      <c r="K1575" s="1899"/>
      <c r="L1575" s="1899"/>
      <c r="M1575" s="1899"/>
      <c r="N1575" s="1899"/>
      <c r="O1575" s="1899"/>
      <c r="P1575" s="1899"/>
      <c r="Q1575" s="1899"/>
    </row>
    <row r="1576" spans="1:22">
      <c r="A1576" s="1900">
        <f>'Part VIII-Threshold Criteria'!A418</f>
        <v>0</v>
      </c>
      <c r="B1576" s="1900"/>
      <c r="C1576" s="1900"/>
      <c r="D1576" s="1900"/>
      <c r="E1576" s="1900"/>
      <c r="F1576" s="1900"/>
      <c r="G1576" s="1900"/>
      <c r="H1576" s="1900"/>
      <c r="I1576" s="1900"/>
      <c r="J1576" s="1900"/>
      <c r="K1576" s="1900"/>
      <c r="L1576" s="1900"/>
      <c r="M1576" s="1900"/>
      <c r="N1576" s="1900"/>
      <c r="O1576" s="1900"/>
      <c r="P1576" s="1900"/>
      <c r="Q1576" s="1900"/>
    </row>
    <row r="1577" spans="1:22">
      <c r="A1577" s="1633"/>
      <c r="B1577" s="1895"/>
      <c r="C1577" s="1899"/>
      <c r="D1577" s="1899"/>
      <c r="E1577" s="1899"/>
      <c r="F1577" s="1899"/>
      <c r="G1577" s="1899"/>
      <c r="H1577" s="1899"/>
      <c r="I1577" s="1899"/>
      <c r="J1577" s="1899"/>
      <c r="K1577" s="1899"/>
      <c r="L1577" s="1899"/>
      <c r="M1577" s="1899"/>
      <c r="N1577" s="1899"/>
      <c r="O1577" s="1899"/>
      <c r="P1577" s="1899"/>
      <c r="Q1577" s="1633"/>
    </row>
    <row r="1578" spans="1:22">
      <c r="A1578" s="1631" t="s">
        <v>4114</v>
      </c>
      <c r="B1578" s="1631" t="s">
        <v>2669</v>
      </c>
      <c r="C1578" s="1631"/>
      <c r="D1578" s="1631"/>
      <c r="E1578" s="1631"/>
      <c r="F1578" s="1631"/>
      <c r="G1578" s="1631"/>
      <c r="H1578" s="1900"/>
      <c r="I1578" s="1900"/>
      <c r="J1578" s="1900"/>
      <c r="K1578" s="1900"/>
      <c r="L1578" s="1900"/>
      <c r="M1578" s="1900"/>
      <c r="N1578" s="2111"/>
      <c r="O1578" s="1900" t="s">
        <v>1867</v>
      </c>
      <c r="P1578" s="1634"/>
      <c r="Q1578" s="1634"/>
    </row>
    <row r="1579" spans="1:22">
      <c r="A1579" s="1937" t="s">
        <v>1983</v>
      </c>
      <c r="B1579" s="521" t="s">
        <v>752</v>
      </c>
      <c r="D1579" s="1631"/>
      <c r="E1579" s="1631"/>
      <c r="F1579" s="1631"/>
      <c r="G1579" s="1631"/>
      <c r="H1579" s="1631"/>
      <c r="I1579" s="1631"/>
      <c r="J1579" s="1631"/>
      <c r="K1579" s="1631"/>
      <c r="L1579" s="1631"/>
      <c r="M1579" s="1631"/>
      <c r="N1579" s="1631"/>
      <c r="O1579" s="1937" t="s">
        <v>1983</v>
      </c>
      <c r="P1579" s="1895" t="str">
        <f>'Part VIII-Threshold Criteria'!P421</f>
        <v>No</v>
      </c>
      <c r="Q1579" s="1895"/>
    </row>
    <row r="1580" spans="1:22">
      <c r="A1580" s="521" t="s">
        <v>1985</v>
      </c>
      <c r="B1580" s="521" t="s">
        <v>3476</v>
      </c>
      <c r="C1580" s="2111"/>
      <c r="D1580" s="1631"/>
      <c r="E1580" s="1631"/>
      <c r="F1580" s="1631"/>
      <c r="G1580" s="1631"/>
      <c r="H1580" s="1631"/>
      <c r="I1580" s="1631"/>
      <c r="J1580" s="1631"/>
      <c r="K1580" s="1631"/>
      <c r="L1580" s="1631"/>
      <c r="M1580" s="1631"/>
      <c r="N1580" s="1631"/>
      <c r="O1580" s="521" t="s">
        <v>1446</v>
      </c>
      <c r="P1580" s="521">
        <f>'Part VIII-Threshold Criteria'!P422</f>
        <v>0</v>
      </c>
      <c r="Q1580" s="521"/>
    </row>
    <row r="1581" spans="1:22">
      <c r="A1581" s="1937"/>
      <c r="C1581" s="521" t="s">
        <v>1483</v>
      </c>
      <c r="D1581" s="521"/>
      <c r="E1581" s="521"/>
      <c r="F1581" s="521"/>
      <c r="G1581" s="521"/>
      <c r="H1581" s="521"/>
      <c r="I1581" s="521"/>
      <c r="J1581" s="521"/>
      <c r="K1581" s="521"/>
      <c r="L1581" s="521"/>
      <c r="M1581" s="521"/>
      <c r="N1581" s="1631"/>
    </row>
    <row r="1582" spans="1:22">
      <c r="A1582" s="1937"/>
      <c r="B1582" s="521" t="s">
        <v>1738</v>
      </c>
      <c r="C1582" s="521" t="s">
        <v>3475</v>
      </c>
      <c r="E1582" s="521"/>
      <c r="F1582" s="521"/>
      <c r="G1582" s="521"/>
      <c r="H1582" s="521"/>
      <c r="I1582" s="521"/>
      <c r="J1582" s="521"/>
      <c r="K1582" s="521"/>
      <c r="L1582" s="521"/>
      <c r="M1582" s="521"/>
      <c r="N1582" s="1631"/>
      <c r="O1582" s="1937" t="s">
        <v>1738</v>
      </c>
      <c r="P1582" s="521">
        <f>'Part VIII-Threshold Criteria'!P424</f>
        <v>0</v>
      </c>
      <c r="Q1582" s="521"/>
    </row>
    <row r="1583" spans="1:22">
      <c r="A1583" s="1937"/>
      <c r="B1583" s="521" t="s">
        <v>3572</v>
      </c>
      <c r="C1583" s="521" t="s">
        <v>3573</v>
      </c>
      <c r="E1583" s="521"/>
      <c r="F1583" s="521"/>
      <c r="G1583" s="521"/>
      <c r="H1583" s="521"/>
      <c r="I1583" s="521"/>
      <c r="J1583" s="521"/>
      <c r="K1583" s="521"/>
      <c r="L1583" s="521"/>
      <c r="M1583" s="521"/>
      <c r="N1583" s="1631"/>
      <c r="O1583" s="1937" t="s">
        <v>1739</v>
      </c>
      <c r="P1583" s="1895">
        <f>'Part VIII-Threshold Criteria'!P425</f>
        <v>0</v>
      </c>
      <c r="Q1583" s="1895"/>
    </row>
    <row r="1584" spans="1:22">
      <c r="A1584" s="1937" t="s">
        <v>749</v>
      </c>
      <c r="B1584" s="521" t="s">
        <v>2201</v>
      </c>
      <c r="C1584" s="521"/>
      <c r="E1584" s="521"/>
      <c r="F1584" s="521"/>
      <c r="G1584" s="521"/>
      <c r="H1584" s="521"/>
      <c r="I1584" s="521"/>
      <c r="J1584" s="521"/>
      <c r="K1584" s="521"/>
      <c r="L1584" s="521"/>
      <c r="M1584" s="521"/>
      <c r="N1584" s="521"/>
      <c r="O1584" s="1937" t="s">
        <v>749</v>
      </c>
      <c r="P1584" s="1895">
        <f>'Part VIII-Threshold Criteria'!P426</f>
        <v>0</v>
      </c>
      <c r="Q1584" s="1895"/>
    </row>
    <row r="1585" spans="1:22" ht="12.75" customHeight="1">
      <c r="A1585" s="1937" t="s">
        <v>2115</v>
      </c>
      <c r="B1585" s="1900" t="s">
        <v>2815</v>
      </c>
      <c r="C1585" s="1900"/>
      <c r="D1585" s="1900"/>
      <c r="E1585" s="1900"/>
      <c r="F1585" s="1841"/>
      <c r="G1585" s="521" t="s">
        <v>2202</v>
      </c>
      <c r="J1585" s="1633">
        <f>'Part VIII-Threshold Criteria'!J427</f>
        <v>0</v>
      </c>
      <c r="K1585" s="1633"/>
      <c r="M1585" s="521" t="s">
        <v>2205</v>
      </c>
      <c r="P1585" s="1633">
        <f>'Part VIII-Threshold Criteria'!P427</f>
        <v>0</v>
      </c>
      <c r="Q1585" s="1633"/>
    </row>
    <row r="1586" spans="1:22">
      <c r="A1586" s="1937"/>
      <c r="B1586" s="1900"/>
      <c r="C1586" s="1900"/>
      <c r="D1586" s="1900"/>
      <c r="E1586" s="1900"/>
      <c r="F1586" s="1841"/>
      <c r="G1586" s="521" t="s">
        <v>2203</v>
      </c>
      <c r="J1586" s="1633">
        <f>'Part VIII-Threshold Criteria'!J428</f>
        <v>0</v>
      </c>
      <c r="K1586" s="1633"/>
      <c r="M1586" s="521" t="s">
        <v>2206</v>
      </c>
      <c r="P1586" s="1633">
        <f>'Part VIII-Threshold Criteria'!P428</f>
        <v>0</v>
      </c>
      <c r="Q1586" s="1633"/>
    </row>
    <row r="1587" spans="1:22">
      <c r="A1587" s="1937"/>
      <c r="B1587" s="1900"/>
      <c r="C1587" s="1900"/>
      <c r="D1587" s="1900"/>
      <c r="E1587" s="1900"/>
      <c r="F1587" s="1841"/>
      <c r="G1587" s="521" t="s">
        <v>2204</v>
      </c>
      <c r="J1587" s="1633">
        <f>'Part VIII-Threshold Criteria'!J429</f>
        <v>0</v>
      </c>
      <c r="K1587" s="1633"/>
      <c r="L1587" s="1841"/>
      <c r="M1587" s="1631"/>
      <c r="N1587" s="1937"/>
    </row>
    <row r="1588" spans="1:22">
      <c r="A1588" s="1937" t="s">
        <v>1735</v>
      </c>
      <c r="B1588" s="1841" t="s">
        <v>4934</v>
      </c>
      <c r="C1588" s="1841"/>
      <c r="E1588" s="1841"/>
      <c r="F1588" s="1841"/>
      <c r="G1588" s="1841"/>
      <c r="J1588" s="1631"/>
      <c r="K1588" s="1841"/>
      <c r="L1588" s="1841"/>
      <c r="M1588" s="1631"/>
      <c r="N1588" s="1937"/>
      <c r="P1588" s="1937"/>
      <c r="Q1588" s="1937"/>
    </row>
    <row r="1589" spans="1:22">
      <c r="A1589" s="1937"/>
      <c r="B1589" s="1955" t="s">
        <v>1737</v>
      </c>
      <c r="C1589" s="521" t="s">
        <v>4783</v>
      </c>
      <c r="D1589" s="2111"/>
      <c r="E1589" s="521"/>
      <c r="G1589" s="1216" t="s">
        <v>4778</v>
      </c>
      <c r="H1589" s="1841"/>
      <c r="I1589" s="1841"/>
      <c r="J1589" s="1895">
        <f>'Part VIII-Threshold Criteria'!J431</f>
        <v>0</v>
      </c>
      <c r="K1589" s="1895"/>
      <c r="L1589" s="1841"/>
      <c r="M1589" s="1216" t="s">
        <v>4781</v>
      </c>
    </row>
    <row r="1590" spans="1:22">
      <c r="A1590" s="1631"/>
      <c r="B1590" s="2111"/>
      <c r="C1590" s="2111"/>
      <c r="D1590" s="2111"/>
      <c r="E1590" s="2111"/>
      <c r="G1590" s="1216" t="s">
        <v>4779</v>
      </c>
      <c r="H1590" s="1841"/>
      <c r="I1590" s="1841"/>
      <c r="J1590" s="1895">
        <f>'Part VIII-Threshold Criteria'!J432</f>
        <v>0</v>
      </c>
      <c r="K1590" s="1895"/>
      <c r="M1590" s="1890">
        <f>'Part VIII-Threshold Criteria'!M432</f>
        <v>0</v>
      </c>
      <c r="N1590" s="1890">
        <f>'Part VIII-Threshold Criteria'!N432</f>
        <v>0</v>
      </c>
      <c r="O1590" s="1890">
        <f>'Part VIII-Threshold Criteria'!O432</f>
        <v>0</v>
      </c>
      <c r="P1590" s="1890">
        <f>'Part VIII-Threshold Criteria'!P432</f>
        <v>0</v>
      </c>
      <c r="Q1590" s="1890">
        <f>'Part VIII-Threshold Criteria'!Q432</f>
        <v>0</v>
      </c>
    </row>
    <row r="1591" spans="1:22">
      <c r="A1591" s="1631"/>
      <c r="B1591" s="2111"/>
      <c r="C1591" s="2111"/>
      <c r="D1591" s="2111"/>
      <c r="E1591" s="2111"/>
      <c r="G1591" s="1216" t="s">
        <v>4780</v>
      </c>
      <c r="H1591" s="1841"/>
      <c r="J1591" s="1895">
        <f>'Part VIII-Threshold Criteria'!J433</f>
        <v>0</v>
      </c>
      <c r="K1591" s="1895"/>
      <c r="M1591" s="1890">
        <f>'Part VIII-Threshold Criteria'!M433</f>
        <v>0</v>
      </c>
      <c r="N1591" s="1890">
        <f>'Part VIII-Threshold Criteria'!N433</f>
        <v>0</v>
      </c>
      <c r="O1591" s="1890">
        <f>'Part VIII-Threshold Criteria'!O433</f>
        <v>0</v>
      </c>
      <c r="P1591" s="1890">
        <f>'Part VIII-Threshold Criteria'!P433</f>
        <v>0</v>
      </c>
      <c r="Q1591" s="1890">
        <f>'Part VIII-Threshold Criteria'!Q433</f>
        <v>0</v>
      </c>
    </row>
    <row r="1592" spans="1:22">
      <c r="A1592" s="1937"/>
      <c r="B1592" s="1216" t="s">
        <v>1738</v>
      </c>
      <c r="C1592" s="1841" t="s">
        <v>4782</v>
      </c>
      <c r="E1592" s="1841"/>
      <c r="F1592" s="1841"/>
      <c r="L1592" s="1841"/>
      <c r="M1592" s="1841"/>
      <c r="O1592" s="1937" t="s">
        <v>1738</v>
      </c>
      <c r="P1592" s="1895" t="str">
        <f>'Part VIII-Threshold Criteria'!P434</f>
        <v>&lt;&lt;Select&gt;&gt;</v>
      </c>
      <c r="Q1592" s="1895" t="s">
        <v>1771</v>
      </c>
    </row>
    <row r="1593" spans="1:22">
      <c r="A1593" s="1631"/>
      <c r="C1593" s="1216" t="s">
        <v>2435</v>
      </c>
      <c r="D1593" s="1216" t="s">
        <v>4790</v>
      </c>
      <c r="E1593" s="1841"/>
      <c r="F1593" s="1841"/>
      <c r="G1593" s="521">
        <f>'Part VIII-Threshold Criteria'!G435</f>
        <v>0</v>
      </c>
      <c r="H1593" s="521">
        <f>'Part VIII-Threshold Criteria'!H435</f>
        <v>0</v>
      </c>
      <c r="I1593" s="521">
        <f>'Part VIII-Threshold Criteria'!I435</f>
        <v>0</v>
      </c>
      <c r="J1593" s="521">
        <f>'Part VIII-Threshold Criteria'!J435</f>
        <v>0</v>
      </c>
      <c r="K1593" s="521">
        <f>'Part VIII-Threshold Criteria'!K435</f>
        <v>0</v>
      </c>
      <c r="L1593" s="1953"/>
    </row>
    <row r="1594" spans="1:22">
      <c r="A1594" s="1631"/>
      <c r="C1594" s="1216" t="s">
        <v>2436</v>
      </c>
      <c r="D1594" s="1216" t="s">
        <v>4791</v>
      </c>
      <c r="E1594" s="1841"/>
      <c r="F1594" s="1953"/>
      <c r="G1594" s="521" t="str">
        <f>'Part VIII-Threshold Criteria'!G436</f>
        <v>&lt;&lt; Select &gt;&gt;</v>
      </c>
      <c r="H1594" s="521">
        <f>'Part VIII-Threshold Criteria'!H436</f>
        <v>0</v>
      </c>
      <c r="I1594" s="521">
        <f>'Part VIII-Threshold Criteria'!I436</f>
        <v>0</v>
      </c>
      <c r="J1594" s="1216" t="s">
        <v>4792</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31"/>
      <c r="C1595" s="1216" t="s">
        <v>4996</v>
      </c>
      <c r="E1595" s="1841"/>
      <c r="F1595" s="1841"/>
      <c r="G1595" s="1841"/>
      <c r="H1595" s="1841"/>
      <c r="I1595" s="1841"/>
      <c r="J1595" s="1841"/>
      <c r="K1595" s="1841"/>
      <c r="L1595" s="1841"/>
      <c r="M1595" s="521"/>
      <c r="N1595" s="521"/>
      <c r="O1595" s="521"/>
      <c r="P1595" s="521"/>
      <c r="Q1595" s="521"/>
    </row>
    <row r="1596" spans="1:22" ht="15">
      <c r="B1596" s="1890">
        <f>'Part VIII-Threshold Criteria'!B438</f>
        <v>0</v>
      </c>
      <c r="C1596" s="1890">
        <f>'Part VIII-Threshold Criteria'!C438</f>
        <v>0</v>
      </c>
      <c r="D1596" s="1890">
        <f>'Part VIII-Threshold Criteria'!D438</f>
        <v>0</v>
      </c>
      <c r="E1596" s="1890">
        <f>'Part VIII-Threshold Criteria'!E438</f>
        <v>0</v>
      </c>
      <c r="F1596" s="1890">
        <f>'Part VIII-Threshold Criteria'!F438</f>
        <v>0</v>
      </c>
      <c r="G1596" s="1890">
        <f>'Part VIII-Threshold Criteria'!G438</f>
        <v>0</v>
      </c>
      <c r="H1596" s="1890">
        <f>'Part VIII-Threshold Criteria'!H438</f>
        <v>0</v>
      </c>
      <c r="I1596" s="1890">
        <f>'Part VIII-Threshold Criteria'!I438</f>
        <v>0</v>
      </c>
      <c r="J1596" s="1890">
        <f>'Part VIII-Threshold Criteria'!J438</f>
        <v>0</v>
      </c>
      <c r="K1596" s="1890">
        <f>'Part VIII-Threshold Criteria'!K438</f>
        <v>0</v>
      </c>
      <c r="L1596" s="1890">
        <f>'Part VIII-Threshold Criteria'!L438</f>
        <v>0</v>
      </c>
      <c r="M1596" s="1890">
        <f>'Part VIII-Threshold Criteria'!M438</f>
        <v>0</v>
      </c>
      <c r="N1596" s="1890">
        <f>'Part VIII-Threshold Criteria'!N438</f>
        <v>0</v>
      </c>
      <c r="O1596" s="1890">
        <f>'Part VIII-Threshold Criteria'!O438</f>
        <v>0</v>
      </c>
      <c r="P1596" s="1890">
        <f>'Part VIII-Threshold Criteria'!P438</f>
        <v>0</v>
      </c>
      <c r="Q1596" s="1890">
        <f>'Part VIII-Threshold Criteria'!Q438</f>
        <v>0</v>
      </c>
      <c r="R1596" s="2786" t="s">
        <v>4784</v>
      </c>
      <c r="U1596" s="1634"/>
      <c r="V1596" s="1634"/>
    </row>
    <row r="1597" spans="1:22">
      <c r="B1597" s="1842" t="s">
        <v>3756</v>
      </c>
      <c r="D1597" s="1842"/>
      <c r="E1597" s="1842"/>
      <c r="F1597" s="1842"/>
      <c r="G1597" s="1866"/>
      <c r="H1597" s="521"/>
      <c r="I1597" s="521"/>
      <c r="J1597" s="521"/>
      <c r="K1597" s="521"/>
    </row>
    <row r="1598" spans="1:22">
      <c r="A1598" s="1900">
        <f>'Part VIII-Threshold Criteria'!A440</f>
        <v>0</v>
      </c>
      <c r="B1598" s="1900"/>
      <c r="C1598" s="1900"/>
      <c r="D1598" s="1900"/>
      <c r="E1598" s="1900"/>
      <c r="F1598" s="1900"/>
      <c r="G1598" s="1900"/>
      <c r="H1598" s="1900"/>
      <c r="I1598" s="1900"/>
      <c r="J1598" s="1900"/>
      <c r="K1598" s="1900"/>
      <c r="L1598" s="1900"/>
      <c r="M1598" s="1900"/>
      <c r="N1598" s="1900"/>
      <c r="O1598" s="1900"/>
      <c r="P1598" s="1900"/>
      <c r="Q1598" s="1900"/>
      <c r="U1598" s="1634"/>
      <c r="V1598" s="1634"/>
    </row>
    <row r="1599" spans="1:22">
      <c r="B1599" s="1897" t="s">
        <v>1866</v>
      </c>
      <c r="C1599" s="1898"/>
      <c r="D1599" s="1899"/>
      <c r="E1599" s="1899"/>
      <c r="F1599" s="1899"/>
      <c r="G1599" s="1899"/>
      <c r="H1599" s="1899"/>
      <c r="I1599" s="1899"/>
      <c r="J1599" s="1899"/>
      <c r="K1599" s="1899"/>
      <c r="L1599" s="1899"/>
      <c r="M1599" s="1899"/>
      <c r="N1599" s="1899"/>
      <c r="O1599" s="1899"/>
      <c r="P1599" s="1899"/>
      <c r="Q1599" s="1899"/>
    </row>
    <row r="1600" spans="1:22">
      <c r="A1600" s="1900">
        <f>'Part VIII-Threshold Criteria'!A442</f>
        <v>0</v>
      </c>
      <c r="B1600" s="1900"/>
      <c r="C1600" s="1900"/>
      <c r="D1600" s="1900"/>
      <c r="E1600" s="1900"/>
      <c r="F1600" s="1900"/>
      <c r="G1600" s="1900"/>
      <c r="H1600" s="1900"/>
      <c r="I1600" s="1900"/>
      <c r="J1600" s="1900"/>
      <c r="K1600" s="1900"/>
      <c r="L1600" s="1900"/>
      <c r="M1600" s="1900"/>
      <c r="N1600" s="1900"/>
      <c r="O1600" s="1900"/>
      <c r="P1600" s="1900"/>
      <c r="Q1600" s="1900"/>
    </row>
    <row r="1601" spans="1:22">
      <c r="A1601" s="1633"/>
      <c r="B1601" s="1895"/>
      <c r="C1601" s="1899"/>
      <c r="D1601" s="1899"/>
      <c r="E1601" s="1899"/>
      <c r="F1601" s="1899"/>
      <c r="G1601" s="1899"/>
      <c r="H1601" s="1899"/>
      <c r="I1601" s="1899"/>
      <c r="J1601" s="1899"/>
      <c r="K1601" s="1899"/>
      <c r="L1601" s="1899"/>
      <c r="M1601" s="1899"/>
      <c r="Q1601" s="1633"/>
    </row>
    <row r="1602" spans="1:22">
      <c r="A1602" s="1631" t="s">
        <v>4115</v>
      </c>
      <c r="B1602" s="1631" t="s">
        <v>2816</v>
      </c>
      <c r="C1602" s="1631"/>
      <c r="D1602" s="521"/>
      <c r="E1602" s="1900"/>
      <c r="F1602" s="1900"/>
      <c r="G1602" s="1900"/>
      <c r="H1602" s="1900"/>
      <c r="I1602" s="2111"/>
      <c r="J1602" s="2111"/>
      <c r="K1602" s="2111"/>
      <c r="L1602" s="2111"/>
      <c r="M1602" s="2111"/>
      <c r="N1602" s="2111"/>
      <c r="O1602" s="1900" t="s">
        <v>1867</v>
      </c>
      <c r="P1602" s="1634"/>
      <c r="Q1602" s="1634"/>
    </row>
    <row r="1603" spans="1:22">
      <c r="B1603" s="521" t="s">
        <v>5053</v>
      </c>
      <c r="C1603" s="1631"/>
      <c r="D1603" s="521"/>
      <c r="E1603" s="1899"/>
      <c r="F1603" s="1899"/>
      <c r="G1603" s="1899"/>
      <c r="H1603" s="1899"/>
    </row>
    <row r="1604" spans="1:22" ht="12.75" customHeight="1">
      <c r="A1604" s="1921" t="s">
        <v>1983</v>
      </c>
      <c r="B1604" s="1900" t="s">
        <v>3940</v>
      </c>
      <c r="C1604" s="1900"/>
      <c r="D1604" s="1900"/>
      <c r="E1604" s="1900"/>
      <c r="F1604" s="1900"/>
      <c r="G1604" s="1900"/>
      <c r="H1604" s="1900"/>
      <c r="I1604" s="1900"/>
      <c r="J1604" s="1900"/>
      <c r="K1604" s="1900"/>
      <c r="L1604" s="1900"/>
      <c r="M1604" s="1900"/>
      <c r="N1604" s="1900"/>
      <c r="O1604" s="1921" t="s">
        <v>1983</v>
      </c>
      <c r="P1604" s="1921" t="str">
        <f>'Part VIII-Threshold Criteria'!P446</f>
        <v>Agree</v>
      </c>
      <c r="Q1604" s="1921"/>
      <c r="R1604" s="1913"/>
      <c r="S1604" s="1913"/>
      <c r="T1604" s="1913"/>
      <c r="U1604" s="1913"/>
      <c r="V1604" s="1913"/>
    </row>
    <row r="1605" spans="1:22" ht="12.75" customHeight="1">
      <c r="A1605" s="1944" t="s">
        <v>1985</v>
      </c>
      <c r="B1605" s="1900" t="s">
        <v>3938</v>
      </c>
      <c r="C1605" s="1900"/>
      <c r="D1605" s="1900"/>
      <c r="E1605" s="1900"/>
      <c r="F1605" s="1900"/>
      <c r="G1605" s="1900"/>
      <c r="H1605" s="1900"/>
      <c r="I1605" s="1900"/>
      <c r="J1605" s="1900"/>
      <c r="K1605" s="1900"/>
      <c r="L1605" s="1900"/>
      <c r="M1605" s="1900"/>
      <c r="N1605" s="1900"/>
      <c r="O1605" s="1944" t="s">
        <v>1985</v>
      </c>
      <c r="P1605" s="1948" t="str">
        <f>'Part VIII-Threshold Criteria'!P447</f>
        <v>Agree</v>
      </c>
      <c r="Q1605" s="1948"/>
      <c r="R1605" s="1913"/>
      <c r="S1605" s="1913"/>
      <c r="T1605" s="1913"/>
      <c r="U1605" s="1913"/>
      <c r="V1605" s="1913"/>
    </row>
    <row r="1606" spans="1:22" ht="12.75" customHeight="1">
      <c r="A1606" s="1913"/>
      <c r="B1606" s="1952" t="s">
        <v>1737</v>
      </c>
      <c r="C1606" s="1900" t="s">
        <v>4997</v>
      </c>
      <c r="D1606" s="1900"/>
      <c r="E1606" s="1900"/>
      <c r="F1606" s="1900"/>
      <c r="G1606" s="1900"/>
      <c r="H1606" s="1900"/>
      <c r="I1606" s="1900"/>
      <c r="J1606" s="1900"/>
      <c r="K1606" s="1900"/>
      <c r="L1606" s="1900"/>
      <c r="M1606" s="1900"/>
      <c r="N1606" s="1900"/>
      <c r="O1606" s="1944" t="s">
        <v>1737</v>
      </c>
      <c r="P1606" s="1921" t="str">
        <f>'Part VIII-Threshold Criteria'!P448</f>
        <v>Agree</v>
      </c>
      <c r="Q1606" s="1921"/>
      <c r="R1606" s="1913"/>
      <c r="S1606" s="1913"/>
      <c r="T1606" s="1913"/>
      <c r="U1606" s="1913"/>
      <c r="V1606" s="1913"/>
    </row>
    <row r="1607" spans="1:22">
      <c r="A1607" s="1631"/>
      <c r="B1607" s="1952" t="s">
        <v>1738</v>
      </c>
      <c r="C1607" s="521" t="s">
        <v>4998</v>
      </c>
      <c r="D1607" s="1867"/>
      <c r="E1607" s="1867"/>
      <c r="F1607" s="1867"/>
      <c r="G1607" s="1867"/>
      <c r="H1607" s="1867"/>
      <c r="I1607" s="1867"/>
      <c r="J1607" s="1867"/>
      <c r="K1607" s="1867"/>
      <c r="L1607" s="1867"/>
      <c r="M1607" s="1867"/>
      <c r="N1607" s="1867"/>
      <c r="O1607" s="1937" t="s">
        <v>1738</v>
      </c>
      <c r="P1607" s="1895" t="str">
        <f>'Part VIII-Threshold Criteria'!P449</f>
        <v>Agree</v>
      </c>
      <c r="Q1607" s="1895"/>
      <c r="R1607" s="1631"/>
      <c r="S1607" s="1631"/>
      <c r="T1607" s="1631"/>
      <c r="U1607" s="1631"/>
      <c r="V1607" s="1631"/>
    </row>
    <row r="1608" spans="1:22" ht="12.75" customHeight="1">
      <c r="A1608" s="1913"/>
      <c r="B1608" s="1921" t="s">
        <v>1739</v>
      </c>
      <c r="C1608" s="1900" t="s">
        <v>4999</v>
      </c>
      <c r="D1608" s="1900"/>
      <c r="E1608" s="1900"/>
      <c r="F1608" s="1900"/>
      <c r="G1608" s="1900"/>
      <c r="H1608" s="1900"/>
      <c r="I1608" s="1900"/>
      <c r="J1608" s="1900"/>
      <c r="K1608" s="1900"/>
      <c r="L1608" s="1900"/>
      <c r="M1608" s="1900"/>
      <c r="N1608" s="1900"/>
      <c r="O1608" s="1944" t="s">
        <v>1739</v>
      </c>
      <c r="P1608" s="1948" t="str">
        <f>'Part VIII-Threshold Criteria'!P450</f>
        <v>Agree</v>
      </c>
      <c r="Q1608" s="1948"/>
      <c r="R1608" s="1913"/>
      <c r="S1608" s="1913"/>
      <c r="T1608" s="1913"/>
      <c r="U1608" s="1913"/>
      <c r="V1608" s="1913"/>
    </row>
    <row r="1609" spans="1:22" ht="12.75" customHeight="1">
      <c r="A1609" s="1913"/>
      <c r="B1609" s="1921" t="s">
        <v>2365</v>
      </c>
      <c r="C1609" s="1900" t="s">
        <v>5000</v>
      </c>
      <c r="D1609" s="1900"/>
      <c r="E1609" s="1900"/>
      <c r="F1609" s="1900"/>
      <c r="G1609" s="1900"/>
      <c r="H1609" s="1900"/>
      <c r="I1609" s="1900"/>
      <c r="J1609" s="1900"/>
      <c r="K1609" s="1900"/>
      <c r="L1609" s="1900"/>
      <c r="M1609" s="1900"/>
      <c r="N1609" s="1900"/>
      <c r="O1609" s="1944" t="s">
        <v>2365</v>
      </c>
      <c r="P1609" s="1948" t="str">
        <f>'Part VIII-Threshold Criteria'!P451</f>
        <v>Agree</v>
      </c>
      <c r="Q1609" s="1948"/>
      <c r="R1609" s="1913"/>
      <c r="S1609" s="1913"/>
      <c r="T1609" s="1913"/>
      <c r="U1609" s="1913"/>
      <c r="V1609" s="1913"/>
    </row>
    <row r="1610" spans="1:22" ht="12.75" customHeight="1">
      <c r="A1610" s="1944" t="s">
        <v>749</v>
      </c>
      <c r="B1610" s="1900" t="s">
        <v>3944</v>
      </c>
      <c r="C1610" s="1900"/>
      <c r="D1610" s="1900"/>
      <c r="E1610" s="1900"/>
      <c r="F1610" s="1900"/>
      <c r="G1610" s="1900"/>
      <c r="H1610" s="1900"/>
      <c r="I1610" s="1900"/>
      <c r="J1610" s="1900"/>
      <c r="K1610" s="1900"/>
      <c r="L1610" s="1900"/>
      <c r="M1610" s="1900"/>
      <c r="N1610" s="1900"/>
      <c r="O1610" s="1944" t="s">
        <v>749</v>
      </c>
      <c r="P1610" s="1948" t="str">
        <f>'Part VIII-Threshold Criteria'!P452</f>
        <v>Agree</v>
      </c>
      <c r="Q1610" s="1948"/>
      <c r="R1610" s="1913"/>
      <c r="S1610" s="1913"/>
      <c r="T1610" s="1913"/>
      <c r="U1610" s="1913"/>
      <c r="V1610" s="1913"/>
    </row>
    <row r="1611" spans="1:22" ht="12.75" customHeight="1">
      <c r="A1611" s="1944" t="s">
        <v>2115</v>
      </c>
      <c r="B1611" s="1900" t="s">
        <v>3945</v>
      </c>
      <c r="C1611" s="1900"/>
      <c r="D1611" s="1900"/>
      <c r="E1611" s="1900"/>
      <c r="F1611" s="1900"/>
      <c r="G1611" s="1900"/>
      <c r="H1611" s="1900"/>
      <c r="I1611" s="1900"/>
      <c r="J1611" s="1900"/>
      <c r="K1611" s="1900"/>
      <c r="L1611" s="1900"/>
      <c r="M1611" s="1900"/>
      <c r="N1611" s="1900"/>
      <c r="O1611" s="1944" t="s">
        <v>2115</v>
      </c>
      <c r="P1611" s="1948" t="str">
        <f>'Part VIII-Threshold Criteria'!P453</f>
        <v>Agree</v>
      </c>
      <c r="Q1611" s="1948"/>
      <c r="R1611" s="1913"/>
      <c r="S1611" s="1913"/>
      <c r="T1611" s="1913"/>
      <c r="U1611" s="1913"/>
      <c r="V1611" s="1913"/>
    </row>
    <row r="1612" spans="1:22" ht="12.75" customHeight="1">
      <c r="A1612" s="1944" t="s">
        <v>1735</v>
      </c>
      <c r="B1612" s="1900" t="s">
        <v>3946</v>
      </c>
      <c r="C1612" s="1900"/>
      <c r="D1612" s="1900"/>
      <c r="E1612" s="1900"/>
      <c r="F1612" s="1900"/>
      <c r="G1612" s="1900"/>
      <c r="H1612" s="1900"/>
      <c r="I1612" s="1900"/>
      <c r="J1612" s="1900"/>
      <c r="K1612" s="1900"/>
      <c r="L1612" s="1900"/>
      <c r="M1612" s="1900"/>
      <c r="N1612" s="1900"/>
      <c r="O1612" s="1944" t="s">
        <v>1735</v>
      </c>
      <c r="P1612" s="1948" t="str">
        <f>'Part VIII-Threshold Criteria'!P454</f>
        <v>Agree</v>
      </c>
      <c r="Q1612" s="1948"/>
      <c r="R1612" s="1913"/>
      <c r="S1612" s="1913"/>
      <c r="T1612" s="1913"/>
      <c r="U1612" s="1913"/>
      <c r="V1612" s="1913"/>
    </row>
    <row r="1613" spans="1:22" ht="12.75" customHeight="1">
      <c r="A1613" s="1944" t="s">
        <v>1736</v>
      </c>
      <c r="B1613" s="1900" t="s">
        <v>3477</v>
      </c>
      <c r="C1613" s="1900"/>
      <c r="D1613" s="1900"/>
      <c r="E1613" s="1900"/>
      <c r="F1613" s="1900"/>
      <c r="G1613" s="1900"/>
      <c r="H1613" s="1900"/>
      <c r="I1613" s="1900"/>
      <c r="J1613" s="1900"/>
      <c r="K1613" s="1900"/>
      <c r="L1613" s="1900"/>
      <c r="M1613" s="1900"/>
      <c r="N1613" s="1900"/>
      <c r="O1613" s="1944" t="s">
        <v>1736</v>
      </c>
      <c r="P1613" s="1948" t="str">
        <f>'Part VIII-Threshold Criteria'!P455</f>
        <v>Agree</v>
      </c>
      <c r="Q1613" s="1948"/>
      <c r="R1613" s="1913"/>
      <c r="S1613" s="1913"/>
      <c r="T1613" s="1913"/>
      <c r="U1613" s="1913"/>
      <c r="V1613" s="1913"/>
    </row>
    <row r="1614" spans="1:22">
      <c r="B1614" s="1866" t="s">
        <v>3756</v>
      </c>
      <c r="C1614" s="2111"/>
      <c r="D1614" s="1866"/>
      <c r="E1614" s="1866"/>
      <c r="F1614" s="1866"/>
      <c r="G1614" s="1866"/>
      <c r="H1614" s="521"/>
      <c r="I1614" s="521"/>
      <c r="J1614" s="521"/>
      <c r="K1614" s="521"/>
      <c r="L1614" s="1634"/>
      <c r="M1614" s="1634"/>
      <c r="N1614" s="1634"/>
      <c r="O1614" s="1633"/>
      <c r="P1614" s="1633"/>
      <c r="Q1614" s="1633"/>
    </row>
    <row r="1615" spans="1:22" ht="15">
      <c r="A1615" s="1900">
        <f>'Part VIII-Threshold Criteria'!A457</f>
        <v>0</v>
      </c>
      <c r="B1615" s="1900"/>
      <c r="C1615" s="1900"/>
      <c r="D1615" s="1900"/>
      <c r="E1615" s="1900"/>
      <c r="F1615" s="1900"/>
      <c r="G1615" s="1900"/>
      <c r="H1615" s="1900"/>
      <c r="I1615" s="1900"/>
      <c r="J1615" s="1900"/>
      <c r="K1615" s="1900"/>
      <c r="L1615" s="1900"/>
      <c r="M1615" s="1900"/>
      <c r="N1615" s="1900"/>
      <c r="O1615" s="1900"/>
      <c r="P1615" s="1900"/>
      <c r="Q1615" s="1900"/>
      <c r="R1615" s="2786" t="s">
        <v>1254</v>
      </c>
      <c r="S1615" s="2786"/>
      <c r="U1615" s="1634"/>
      <c r="V1615" s="1634"/>
    </row>
    <row r="1616" spans="1:22">
      <c r="B1616" s="1897" t="s">
        <v>1866</v>
      </c>
      <c r="C1616" s="1898"/>
      <c r="D1616" s="1900"/>
      <c r="E1616" s="1900"/>
      <c r="F1616" s="1900"/>
      <c r="G1616" s="1900"/>
      <c r="H1616" s="1900"/>
      <c r="I1616" s="1900"/>
      <c r="J1616" s="1900"/>
      <c r="K1616" s="1900"/>
      <c r="L1616" s="1900"/>
      <c r="M1616" s="1900"/>
      <c r="N1616" s="1900"/>
      <c r="O1616" s="1899"/>
      <c r="P1616" s="1899"/>
      <c r="Q1616" s="1899"/>
    </row>
    <row r="1617" spans="1:22">
      <c r="A1617" s="1900">
        <f>'Part VIII-Threshold Criteria'!A459</f>
        <v>0</v>
      </c>
      <c r="B1617" s="1900"/>
      <c r="C1617" s="1900"/>
      <c r="D1617" s="1900"/>
      <c r="E1617" s="1900"/>
      <c r="F1617" s="1900"/>
      <c r="G1617" s="1900"/>
      <c r="H1617" s="1900"/>
      <c r="I1617" s="1900"/>
      <c r="J1617" s="1900"/>
      <c r="K1617" s="1900"/>
      <c r="L1617" s="1900"/>
      <c r="M1617" s="1900"/>
      <c r="N1617" s="1900"/>
      <c r="O1617" s="1900"/>
      <c r="P1617" s="1900"/>
      <c r="Q1617" s="1900"/>
    </row>
    <row r="1618" spans="1:22">
      <c r="A1618" s="1633"/>
      <c r="B1618" s="1895"/>
      <c r="C1618" s="1899"/>
      <c r="D1618" s="1899"/>
      <c r="E1618" s="1899"/>
      <c r="F1618" s="1899"/>
      <c r="G1618" s="1899"/>
      <c r="H1618" s="1899"/>
      <c r="I1618" s="1899"/>
      <c r="J1618" s="1899"/>
      <c r="K1618" s="1899"/>
      <c r="L1618" s="1899"/>
      <c r="M1618" s="1899"/>
      <c r="Q1618" s="1633"/>
    </row>
    <row r="1619" spans="1:22" ht="15">
      <c r="A1619" s="1631" t="s">
        <v>4793</v>
      </c>
      <c r="B1619" s="2006"/>
      <c r="C1619" s="1631" t="s">
        <v>2719</v>
      </c>
      <c r="D1619" s="1955"/>
      <c r="E1619" s="521"/>
      <c r="F1619" s="2006"/>
      <c r="G1619" s="2006"/>
      <c r="H1619" s="2006"/>
      <c r="I1619" s="2006"/>
      <c r="J1619" s="1866"/>
      <c r="K1619" s="2006"/>
      <c r="L1619" s="2006"/>
      <c r="M1619" s="1631"/>
      <c r="N1619" s="1631"/>
      <c r="O1619" s="1900" t="s">
        <v>1867</v>
      </c>
      <c r="P1619" s="1634"/>
      <c r="Q1619" s="1634"/>
      <c r="R1619" s="1976"/>
      <c r="S1619" s="1976"/>
      <c r="T1619" s="1976"/>
      <c r="U1619" s="1976"/>
      <c r="V1619" s="1976"/>
    </row>
    <row r="1620" spans="1:22">
      <c r="A1620" s="1216"/>
      <c r="B1620" s="1216" t="s">
        <v>4801</v>
      </c>
      <c r="C1620" s="1216"/>
      <c r="D1620" s="1216"/>
      <c r="E1620" s="1216"/>
      <c r="F1620" s="1216"/>
      <c r="G1620" s="1216"/>
      <c r="H1620" s="1216"/>
      <c r="I1620" s="1216"/>
      <c r="J1620" s="1216"/>
      <c r="K1620" s="1216"/>
      <c r="L1620" s="1216"/>
      <c r="M1620" s="1216"/>
      <c r="N1620" s="1216"/>
      <c r="O1620" s="1216"/>
      <c r="P1620" s="1895" t="str">
        <f>'Part VIII-Threshold Criteria'!P462</f>
        <v>No</v>
      </c>
      <c r="Q1620" s="1895"/>
    </row>
    <row r="1621" spans="1:22">
      <c r="A1621" s="1955"/>
      <c r="B1621" s="1955" t="s">
        <v>4802</v>
      </c>
      <c r="C1621" s="1955"/>
      <c r="D1621" s="1955"/>
      <c r="E1621" s="1955"/>
      <c r="F1621" s="1955"/>
      <c r="G1621" s="1955"/>
      <c r="H1621" s="1955"/>
      <c r="I1621" s="1955"/>
      <c r="J1621" s="1955"/>
      <c r="K1621" s="1955"/>
      <c r="L1621" s="1955"/>
      <c r="M1621" s="1955"/>
      <c r="N1621" s="1955"/>
      <c r="O1621" s="1955"/>
      <c r="P1621" s="521" t="str">
        <f>'Part VIII-Threshold Criteria'!P463</f>
        <v>N/a</v>
      </c>
      <c r="Q1621" s="521"/>
    </row>
    <row r="1622" spans="1:22" ht="15">
      <c r="A1622" s="1937" t="s">
        <v>1983</v>
      </c>
      <c r="B1622" s="521" t="s">
        <v>4794</v>
      </c>
      <c r="C1622" s="1976"/>
      <c r="D1622" s="1631"/>
      <c r="E1622" s="1631"/>
      <c r="F1622" s="1631"/>
      <c r="G1622" s="1976"/>
      <c r="H1622" s="1976"/>
      <c r="I1622" s="1976"/>
      <c r="J1622" s="1976"/>
      <c r="K1622" s="1976"/>
      <c r="L1622" s="1976"/>
      <c r="M1622" s="1976"/>
      <c r="N1622" s="1976"/>
      <c r="O1622" s="1937" t="s">
        <v>1983</v>
      </c>
      <c r="P1622" s="1976"/>
      <c r="Q1622" s="1976"/>
      <c r="R1622" s="1976"/>
      <c r="S1622" s="1976"/>
      <c r="T1622" s="1976"/>
      <c r="U1622" s="1976"/>
      <c r="V1622" s="1976"/>
    </row>
    <row r="1623" spans="1:22" ht="15.75" customHeight="1">
      <c r="A1623" s="1944"/>
      <c r="B1623" s="2021" t="s">
        <v>1986</v>
      </c>
      <c r="C1623" s="1900" t="s">
        <v>4921</v>
      </c>
      <c r="D1623" s="1900"/>
      <c r="E1623" s="1900"/>
      <c r="F1623" s="1900"/>
      <c r="G1623" s="1900"/>
      <c r="H1623" s="1900"/>
      <c r="I1623" s="1900"/>
      <c r="J1623" s="1900"/>
      <c r="K1623" s="1867" t="s">
        <v>5048</v>
      </c>
      <c r="L1623" s="1841" t="s">
        <v>4796</v>
      </c>
      <c r="M1623" s="1993"/>
      <c r="N1623" s="1823">
        <f>ROUNDUP('Part VI-Revenues &amp; Expenses'!$O$63*0.1,0)</f>
        <v>9</v>
      </c>
      <c r="O1623" s="2001" t="s">
        <v>1986</v>
      </c>
      <c r="P1623" s="1921" t="str">
        <f>'Part VIII-Threshold Criteria'!P465</f>
        <v>Agree</v>
      </c>
      <c r="Q1623" s="1921"/>
      <c r="R1623" s="1785"/>
      <c r="S1623" s="1785"/>
      <c r="T1623" s="2028"/>
      <c r="U1623" s="2028"/>
      <c r="V1623" s="2028"/>
    </row>
    <row r="1624" spans="1:22" ht="15">
      <c r="A1624" s="1944"/>
      <c r="B1624" s="2021"/>
      <c r="C1624" s="1900"/>
      <c r="D1624" s="1900"/>
      <c r="E1624" s="1900"/>
      <c r="F1624" s="1900"/>
      <c r="G1624" s="1900"/>
      <c r="H1624" s="1900"/>
      <c r="I1624" s="1900"/>
      <c r="J1624" s="1900"/>
      <c r="K1624" s="1867"/>
      <c r="L1624" s="1841" t="s">
        <v>5049</v>
      </c>
      <c r="M1624" s="1993"/>
      <c r="N1624" s="1823">
        <f>'Part VI-Revenues &amp; Expenses'!$O$63</f>
        <v>84</v>
      </c>
      <c r="O1624" s="2028"/>
      <c r="P1624" s="1921">
        <f>'Part VIII-Threshold Criteria'!P466</f>
        <v>0</v>
      </c>
      <c r="Q1624" s="1921"/>
      <c r="R1624" s="1785"/>
      <c r="S1624" s="1785"/>
      <c r="T1624" s="2028"/>
      <c r="U1624" s="2028"/>
      <c r="V1624" s="2028"/>
    </row>
    <row r="1625" spans="1:22" ht="15">
      <c r="A1625" s="1944"/>
      <c r="B1625" s="2021"/>
      <c r="C1625" s="1900"/>
      <c r="D1625" s="1900"/>
      <c r="E1625" s="1900"/>
      <c r="F1625" s="1900"/>
      <c r="G1625" s="1900"/>
      <c r="H1625" s="1900"/>
      <c r="I1625" s="1900"/>
      <c r="J1625" s="1900"/>
      <c r="K1625" s="2814">
        <f>'Part VI-Revenues &amp; Expenses'!$O$88</f>
        <v>0</v>
      </c>
      <c r="L1625" s="1841" t="s">
        <v>4798</v>
      </c>
      <c r="M1625" s="1993"/>
      <c r="N1625" s="1823">
        <f>'Part VI-Revenues &amp; Expenses'!$O$67</f>
        <v>84</v>
      </c>
      <c r="O1625" s="2028"/>
      <c r="P1625" s="1921">
        <f>'Part VIII-Threshold Criteria'!P467</f>
        <v>0</v>
      </c>
      <c r="Q1625" s="1921"/>
      <c r="R1625" s="2028"/>
      <c r="S1625" s="2028"/>
      <c r="T1625" s="2028"/>
      <c r="U1625" s="2028"/>
      <c r="V1625" s="2028"/>
    </row>
    <row r="1626" spans="1:22" ht="12.75" customHeight="1">
      <c r="A1626" s="1955"/>
      <c r="B1626" s="2021" t="s">
        <v>1988</v>
      </c>
      <c r="C1626" s="1900" t="s">
        <v>4922</v>
      </c>
      <c r="D1626" s="1900"/>
      <c r="E1626" s="1900"/>
      <c r="F1626" s="1900"/>
      <c r="G1626" s="1900"/>
      <c r="H1626" s="1900"/>
      <c r="I1626" s="1900"/>
      <c r="J1626" s="1900"/>
      <c r="K1626" s="1900"/>
      <c r="L1626" s="1900"/>
      <c r="M1626" s="1900"/>
      <c r="N1626" s="1921"/>
      <c r="O1626" s="2001" t="s">
        <v>1988</v>
      </c>
      <c r="P1626" s="1948" t="str">
        <f>'Part VIII-Threshold Criteria'!P468</f>
        <v>Yes</v>
      </c>
      <c r="Q1626" s="1948"/>
      <c r="R1626" s="1921"/>
      <c r="S1626" s="1921"/>
      <c r="T1626" s="1921"/>
      <c r="U1626" s="1921"/>
      <c r="V1626" s="1921"/>
    </row>
    <row r="1627" spans="1:22" ht="15.75" customHeight="1">
      <c r="A1627" s="1955"/>
      <c r="B1627" s="2021" t="s">
        <v>2534</v>
      </c>
      <c r="C1627" s="1900" t="s">
        <v>4923</v>
      </c>
      <c r="D1627" s="1900"/>
      <c r="E1627" s="1900"/>
      <c r="F1627" s="1900"/>
      <c r="G1627" s="1900"/>
      <c r="H1627" s="1900"/>
      <c r="I1627" s="1900"/>
      <c r="J1627" s="1867" t="s">
        <v>4799</v>
      </c>
      <c r="K1627" s="2815">
        <f>'Part VI-Revenues &amp; Expenses'!$O$103</f>
        <v>84</v>
      </c>
      <c r="L1627" s="1841" t="s">
        <v>4797</v>
      </c>
      <c r="M1627" s="1993"/>
      <c r="N1627" s="1823">
        <f>ROUNDUP(N1625*0.1,0)</f>
        <v>9</v>
      </c>
      <c r="O1627" s="2001" t="s">
        <v>2534</v>
      </c>
      <c r="P1627" s="1921" t="str">
        <f>'Part VIII-Threshold Criteria'!P469</f>
        <v>Yes</v>
      </c>
      <c r="Q1627" s="1921"/>
      <c r="R1627" s="1785"/>
      <c r="S1627" s="1785"/>
      <c r="T1627" s="1921"/>
      <c r="U1627" s="1921"/>
      <c r="V1627" s="1921"/>
    </row>
    <row r="1628" spans="1:22">
      <c r="A1628" s="1955"/>
      <c r="B1628" s="2021"/>
      <c r="C1628" s="1900"/>
      <c r="D1628" s="1900"/>
      <c r="E1628" s="1900"/>
      <c r="F1628" s="1900"/>
      <c r="G1628" s="1900"/>
      <c r="H1628" s="1900"/>
      <c r="I1628" s="1900"/>
      <c r="J1628" s="1867" t="s">
        <v>4800</v>
      </c>
      <c r="K1628" s="2816">
        <f>IF(N1625=0,"",K1627/N1625)</f>
        <v>1</v>
      </c>
      <c r="L1628" s="1841" t="s">
        <v>5047</v>
      </c>
      <c r="M1628" s="521"/>
      <c r="N1628" s="1824">
        <f>'Part VI-Revenues &amp; Expenses'!$K$67/'Part VI-Revenues &amp; Expenses'!$O$67</f>
        <v>0.14285714285714285</v>
      </c>
      <c r="O1628" s="2001" t="str">
        <f>IF(AND(N1628&lt;0.1,P1627="Yes"), "Check!","")</f>
        <v/>
      </c>
      <c r="P1628" s="1921">
        <f>'Part VIII-Threshold Criteria'!P470</f>
        <v>0</v>
      </c>
      <c r="Q1628" s="1921"/>
      <c r="R1628" s="1785"/>
      <c r="S1628" s="1785"/>
      <c r="T1628" s="1921"/>
      <c r="U1628" s="1921"/>
      <c r="V1628" s="1921"/>
    </row>
    <row r="1629" spans="1:22" ht="15">
      <c r="A1629" s="1937" t="s">
        <v>1985</v>
      </c>
      <c r="B1629" s="521" t="s">
        <v>4924</v>
      </c>
      <c r="C1629" s="2006"/>
      <c r="D1629" s="521"/>
      <c r="E1629" s="2006"/>
      <c r="F1629" s="2006"/>
      <c r="G1629" s="521"/>
      <c r="H1629" s="2006"/>
      <c r="I1629" s="2006"/>
      <c r="J1629" s="2006"/>
      <c r="K1629" s="1976"/>
      <c r="L1629" s="1976"/>
      <c r="M1629" s="1630"/>
      <c r="N1629" s="1976"/>
      <c r="O1629" s="1976"/>
      <c r="P1629" s="2006"/>
      <c r="Q1629" s="2006"/>
      <c r="R1629" s="2817"/>
      <c r="S1629" s="1976"/>
      <c r="T1629" s="1976"/>
      <c r="U1629" s="1976"/>
      <c r="V1629" s="1976"/>
    </row>
    <row r="1630" spans="1:22" ht="15" customHeight="1">
      <c r="A1630" s="1944"/>
      <c r="B1630" s="1900" t="s">
        <v>4925</v>
      </c>
      <c r="C1630" s="1900"/>
      <c r="D1630" s="1900"/>
      <c r="E1630" s="1900"/>
      <c r="F1630" s="1900"/>
      <c r="G1630" s="1900"/>
      <c r="H1630" s="1900"/>
      <c r="I1630" s="1900"/>
      <c r="J1630" s="1900"/>
      <c r="K1630" s="1900"/>
      <c r="L1630" s="1900"/>
      <c r="M1630" s="1900"/>
      <c r="N1630" s="1900"/>
      <c r="O1630" s="1944" t="s">
        <v>1985</v>
      </c>
      <c r="P1630" s="1948" t="str">
        <f>'Part VIII-Threshold Criteria'!P472</f>
        <v>Disagree</v>
      </c>
      <c r="Q1630" s="1948"/>
      <c r="R1630" s="2818"/>
      <c r="S1630" s="2028"/>
      <c r="T1630" s="2028"/>
      <c r="U1630" s="2028"/>
      <c r="V1630" s="2028"/>
    </row>
    <row r="1631" spans="1:22" ht="15">
      <c r="A1631" s="1631"/>
      <c r="B1631" s="1842" t="s">
        <v>3756</v>
      </c>
      <c r="C1631" s="1631"/>
      <c r="D1631" s="1634"/>
      <c r="E1631" s="1634"/>
      <c r="F1631" s="1634"/>
      <c r="G1631" s="1634"/>
      <c r="H1631" s="521"/>
      <c r="I1631" s="521"/>
      <c r="J1631" s="521"/>
      <c r="K1631" s="521"/>
      <c r="L1631" s="1976"/>
      <c r="M1631" s="1630"/>
      <c r="N1631" s="1637"/>
      <c r="O1631" s="1863"/>
      <c r="P1631" s="2111"/>
      <c r="Q1631" s="2006"/>
      <c r="R1631" s="1976"/>
      <c r="S1631" s="1976"/>
      <c r="T1631" s="1976"/>
      <c r="U1631" s="1976"/>
      <c r="V1631" s="1976"/>
    </row>
    <row r="1632" spans="1:22" ht="15">
      <c r="A1632" s="1900">
        <f>'Part VIII-Threshold Criteria'!A474</f>
        <v>0</v>
      </c>
      <c r="B1632" s="1900"/>
      <c r="C1632" s="1900"/>
      <c r="D1632" s="1900"/>
      <c r="E1632" s="1900"/>
      <c r="F1632" s="1900"/>
      <c r="G1632" s="1900"/>
      <c r="H1632" s="1900"/>
      <c r="I1632" s="1900"/>
      <c r="J1632" s="1900"/>
      <c r="K1632" s="1900"/>
      <c r="L1632" s="1900"/>
      <c r="M1632" s="1900"/>
      <c r="N1632" s="1900"/>
      <c r="O1632" s="1900"/>
      <c r="P1632" s="1900"/>
      <c r="Q1632" s="1900"/>
      <c r="R1632" s="2786" t="s">
        <v>1254</v>
      </c>
      <c r="S1632" s="1976"/>
      <c r="T1632" s="1976"/>
      <c r="U1632" s="1976"/>
      <c r="V1632" s="1976"/>
    </row>
    <row r="1633" spans="1:22" ht="15">
      <c r="A1633" s="1976"/>
      <c r="B1633" s="1897" t="s">
        <v>1866</v>
      </c>
      <c r="C1633" s="1631"/>
      <c r="D1633" s="1897"/>
      <c r="E1633" s="1899"/>
      <c r="F1633" s="1899"/>
      <c r="G1633" s="1899"/>
      <c r="H1633" s="1899"/>
      <c r="I1633" s="1899"/>
      <c r="J1633" s="1899"/>
      <c r="K1633" s="1899"/>
      <c r="L1633" s="1899"/>
      <c r="M1633" s="1899"/>
      <c r="N1633" s="2011"/>
      <c r="O1633" s="2011"/>
      <c r="P1633" s="1630"/>
      <c r="Q1633" s="2006"/>
      <c r="R1633" s="1976"/>
      <c r="S1633" s="1976"/>
      <c r="T1633" s="1976"/>
      <c r="U1633" s="1976"/>
      <c r="V1633" s="1976"/>
    </row>
    <row r="1634" spans="1:22" ht="15">
      <c r="A1634" s="1900">
        <f>'Part VIII-Threshold Criteria'!A476</f>
        <v>0</v>
      </c>
      <c r="B1634" s="1900"/>
      <c r="C1634" s="1900"/>
      <c r="D1634" s="1900"/>
      <c r="E1634" s="1900"/>
      <c r="F1634" s="1900"/>
      <c r="G1634" s="1900"/>
      <c r="H1634" s="1900"/>
      <c r="I1634" s="1900"/>
      <c r="J1634" s="1900"/>
      <c r="K1634" s="1900"/>
      <c r="L1634" s="1900"/>
      <c r="M1634" s="1900"/>
      <c r="N1634" s="1900"/>
      <c r="O1634" s="1900"/>
      <c r="P1634" s="1900"/>
      <c r="Q1634" s="1900"/>
      <c r="R1634" s="1976"/>
      <c r="S1634" s="1976"/>
      <c r="T1634" s="1976"/>
      <c r="U1634" s="1976"/>
      <c r="V1634" s="1976"/>
    </row>
    <row r="1635" spans="1:22">
      <c r="A1635" s="1633"/>
      <c r="B1635" s="521"/>
      <c r="C1635" s="1900"/>
      <c r="D1635" s="1900"/>
      <c r="E1635" s="1900"/>
      <c r="F1635" s="1900"/>
      <c r="G1635" s="1900"/>
      <c r="H1635" s="1900"/>
      <c r="I1635" s="1900"/>
      <c r="J1635" s="1900"/>
      <c r="K1635" s="1900"/>
      <c r="L1635" s="1900"/>
      <c r="M1635" s="1900"/>
      <c r="N1635" s="1900"/>
      <c r="O1635" s="1899"/>
      <c r="P1635" s="1899"/>
      <c r="Q1635" s="1633"/>
    </row>
    <row r="1636" spans="1:22">
      <c r="A1636" s="1947" t="s">
        <v>4795</v>
      </c>
      <c r="B1636" s="1631"/>
      <c r="C1636" s="1631" t="s">
        <v>2670</v>
      </c>
      <c r="D1636" s="521"/>
      <c r="E1636" s="1899"/>
      <c r="F1636" s="1899"/>
      <c r="G1636" s="1899"/>
      <c r="H1636" s="1899"/>
      <c r="I1636" s="1899"/>
      <c r="J1636" s="1899"/>
      <c r="K1636" s="1899"/>
      <c r="L1636" s="1899"/>
      <c r="M1636" s="1899"/>
      <c r="O1636" s="2784" t="s">
        <v>1867</v>
      </c>
      <c r="P1636" s="1634"/>
      <c r="Q1636" s="1634"/>
    </row>
    <row r="1637" spans="1:22">
      <c r="A1637" s="1631"/>
      <c r="B1637" s="1866" t="s">
        <v>3756</v>
      </c>
      <c r="C1637" s="2111"/>
      <c r="D1637" s="1866"/>
      <c r="E1637" s="1866"/>
      <c r="F1637" s="1866"/>
      <c r="G1637" s="1866"/>
      <c r="H1637" s="521"/>
      <c r="I1637" s="521"/>
      <c r="J1637" s="521"/>
      <c r="K1637" s="521"/>
      <c r="L1637" s="1634"/>
      <c r="M1637" s="1634"/>
      <c r="N1637" s="1634"/>
      <c r="O1637" s="1634"/>
      <c r="P1637" s="1634"/>
      <c r="Q1637" s="1634"/>
    </row>
    <row r="1638" spans="1:22" ht="15">
      <c r="A1638" s="1900">
        <f>'Part VIII-Threshold Criteria'!A480</f>
        <v>0</v>
      </c>
      <c r="B1638" s="1900"/>
      <c r="C1638" s="1900"/>
      <c r="D1638" s="1900"/>
      <c r="E1638" s="1900"/>
      <c r="F1638" s="1900"/>
      <c r="G1638" s="1900"/>
      <c r="H1638" s="1900"/>
      <c r="I1638" s="1900"/>
      <c r="J1638" s="1900"/>
      <c r="K1638" s="1900"/>
      <c r="L1638" s="1900"/>
      <c r="M1638" s="1900"/>
      <c r="N1638" s="1900"/>
      <c r="O1638" s="1900"/>
      <c r="P1638" s="1900"/>
      <c r="Q1638" s="1900"/>
      <c r="R1638" s="2786" t="s">
        <v>1254</v>
      </c>
      <c r="S1638" s="2786"/>
      <c r="U1638" s="1634"/>
      <c r="V1638" s="1634"/>
    </row>
    <row r="1639" spans="1:22">
      <c r="A1639" s="2111"/>
      <c r="B1639" s="1897" t="s">
        <v>1866</v>
      </c>
      <c r="C1639" s="1898"/>
      <c r="D1639" s="1900"/>
      <c r="E1639" s="1900"/>
      <c r="F1639" s="1900"/>
      <c r="G1639" s="1900"/>
      <c r="H1639" s="1900"/>
      <c r="I1639" s="1900"/>
      <c r="J1639" s="1900"/>
      <c r="K1639" s="1900"/>
      <c r="L1639" s="1900"/>
      <c r="M1639" s="1900"/>
      <c r="N1639" s="1900"/>
      <c r="O1639" s="1900"/>
      <c r="P1639" s="1900"/>
      <c r="Q1639" s="1900"/>
    </row>
    <row r="1640" spans="1:22">
      <c r="A1640" s="1900">
        <f>'Part VIII-Threshold Criteria'!A482</f>
        <v>0</v>
      </c>
      <c r="B1640" s="1900"/>
      <c r="C1640" s="1900"/>
      <c r="D1640" s="1900"/>
      <c r="E1640" s="1900"/>
      <c r="F1640" s="1900"/>
      <c r="G1640" s="1900"/>
      <c r="H1640" s="1900"/>
      <c r="I1640" s="1900"/>
      <c r="J1640" s="1900"/>
      <c r="K1640" s="1900"/>
      <c r="L1640" s="1900"/>
      <c r="M1640" s="1900"/>
      <c r="N1640" s="1900"/>
      <c r="O1640" s="1900"/>
      <c r="P1640" s="1900"/>
      <c r="Q1640" s="1900"/>
    </row>
    <row r="1641" spans="1:22">
      <c r="A1641" s="1633"/>
      <c r="B1641" s="1895"/>
      <c r="C1641" s="1899"/>
      <c r="D1641" s="1899"/>
      <c r="E1641" s="1899"/>
      <c r="F1641" s="1899"/>
      <c r="G1641" s="1899"/>
      <c r="H1641" s="1899"/>
      <c r="I1641" s="1899"/>
      <c r="J1641" s="1899"/>
      <c r="K1641" s="1899"/>
      <c r="L1641" s="1899"/>
      <c r="M1641" s="1899"/>
      <c r="N1641" s="1899"/>
      <c r="O1641" s="1899"/>
      <c r="P1641" s="1900"/>
      <c r="Q1641" s="1634"/>
    </row>
    <row r="1642" spans="1:22">
      <c r="A1642" s="1633"/>
      <c r="B1642" s="1895"/>
      <c r="C1642" s="1899"/>
      <c r="D1642" s="1899"/>
      <c r="E1642" s="1899"/>
      <c r="F1642" s="1899"/>
      <c r="G1642" s="1899"/>
      <c r="H1642" s="1899"/>
      <c r="I1642" s="1899"/>
      <c r="J1642" s="1899"/>
      <c r="K1642" s="1899"/>
      <c r="L1642" s="1899"/>
      <c r="M1642" s="1899"/>
      <c r="N1642" s="1899"/>
      <c r="O1642" s="1899"/>
      <c r="P1642" s="1899"/>
      <c r="Q1642" s="1633"/>
    </row>
    <row r="1643" spans="1:22">
      <c r="A1643" s="1631" t="s">
        <v>4803</v>
      </c>
      <c r="B1643" s="1631"/>
      <c r="C1643" s="1631" t="s">
        <v>4974</v>
      </c>
      <c r="D1643" s="521"/>
      <c r="E1643" s="1900"/>
      <c r="F1643" s="1900"/>
      <c r="G1643" s="1900"/>
      <c r="H1643" s="1900"/>
      <c r="I1643" s="1900"/>
      <c r="J1643" s="1900"/>
      <c r="K1643" s="1900"/>
      <c r="L1643" s="1900"/>
      <c r="M1643" s="1900"/>
      <c r="N1643" s="2111"/>
      <c r="O1643" s="1900" t="s">
        <v>1867</v>
      </c>
      <c r="P1643" s="1634"/>
      <c r="Q1643" s="1634"/>
    </row>
    <row r="1644" spans="1:22" ht="18.75">
      <c r="A1644" s="1993"/>
      <c r="B1644" s="2040" t="s">
        <v>4804</v>
      </c>
      <c r="C1644" s="1993"/>
      <c r="D1644" s="1842"/>
      <c r="E1644" s="1842"/>
      <c r="F1644" s="1972"/>
      <c r="H1644" s="1993"/>
      <c r="I1644" s="1993"/>
      <c r="J1644" s="1993"/>
      <c r="K1644" s="1993"/>
      <c r="L1644" s="2817"/>
      <c r="M1644" s="2817"/>
      <c r="N1644" s="2817"/>
      <c r="O1644" s="2817"/>
      <c r="P1644" s="2817"/>
      <c r="Q1644" s="2817"/>
      <c r="R1644" s="2817"/>
      <c r="S1644" s="1993"/>
      <c r="T1644" s="2819"/>
      <c r="U1644" s="2819"/>
      <c r="V1644" s="1993"/>
    </row>
    <row r="1645" spans="1:22" ht="18.75">
      <c r="A1645" s="1634"/>
      <c r="B1645" s="521" t="s">
        <v>4926</v>
      </c>
      <c r="C1645" s="1993"/>
      <c r="D1645" s="1866"/>
      <c r="E1645" s="1866"/>
      <c r="F1645" s="1972"/>
      <c r="G1645" s="2111"/>
      <c r="H1645" s="1993"/>
      <c r="I1645" s="1993"/>
      <c r="J1645" s="1993"/>
      <c r="K1645" s="521"/>
      <c r="L1645" s="1993"/>
      <c r="M1645" s="1631"/>
      <c r="N1645" s="521"/>
      <c r="O1645" s="1993"/>
      <c r="P1645" s="521" t="str">
        <f>'Part VIII-Threshold Criteria'!P487</f>
        <v>Yes</v>
      </c>
      <c r="Q1645" s="521"/>
      <c r="R1645" s="1845"/>
      <c r="S1645" s="1993"/>
      <c r="T1645" s="2819"/>
      <c r="U1645" s="2819"/>
      <c r="V1645" s="1993"/>
    </row>
    <row r="1646" spans="1:22">
      <c r="A1646" s="1216"/>
      <c r="B1646" s="1216"/>
      <c r="C1646" s="1216"/>
      <c r="D1646" s="1216"/>
      <c r="E1646" s="1216"/>
      <c r="F1646" s="1216"/>
      <c r="G1646" s="1216"/>
      <c r="H1646" s="1216"/>
      <c r="I1646" s="1216"/>
      <c r="J1646" s="1216"/>
      <c r="K1646" s="1216"/>
      <c r="L1646" s="1216"/>
      <c r="M1646" s="1216"/>
      <c r="N1646" s="1216"/>
      <c r="O1646" s="1216"/>
      <c r="P1646" s="1216"/>
      <c r="Q1646" s="1216"/>
    </row>
    <row r="1647" spans="1:22">
      <c r="A1647" s="1216"/>
      <c r="B1647" s="1216"/>
      <c r="C1647" s="1216"/>
      <c r="D1647" s="1216"/>
      <c r="E1647" s="1216"/>
      <c r="F1647" s="1216"/>
      <c r="G1647" s="1216"/>
      <c r="H1647" s="1216"/>
      <c r="I1647" s="1216"/>
      <c r="J1647" s="1216"/>
      <c r="K1647" s="1216"/>
      <c r="L1647" s="1216"/>
      <c r="M1647" s="1216"/>
      <c r="N1647" s="1216"/>
      <c r="O1647" s="1216"/>
      <c r="P1647" s="1216"/>
      <c r="Q1647" s="1216"/>
    </row>
    <row r="1648" spans="1:22">
      <c r="P1648" s="2111"/>
      <c r="Q1648" s="2111"/>
    </row>
    <row r="1649" spans="1:24" ht="15">
      <c r="A1649" s="1631" t="str">
        <f>CONCATENATE("PART NINE - SCORING CRITERIA","  -  ",'Part I-Project Information'!$O$6," ",'Part I-Project Information'!$F$34,", ",'Part I-Project Information'!F1686,", ",'Part I-Project Information'!J1687," County")</f>
        <v>PART NINE - SCORING CRITERIA  -  2019-5 Stone Terrace Phase II, ,  County</v>
      </c>
      <c r="B1649" s="1631"/>
      <c r="C1649" s="1631"/>
      <c r="D1649" s="1631"/>
      <c r="E1649" s="1631"/>
      <c r="F1649" s="1631"/>
      <c r="G1649" s="1631"/>
      <c r="H1649" s="1631"/>
      <c r="I1649" s="1631"/>
      <c r="J1649" s="1631"/>
      <c r="K1649" s="1631"/>
      <c r="L1649" s="1631"/>
      <c r="M1649" s="1631"/>
      <c r="N1649" s="1631"/>
      <c r="O1649" s="1631"/>
      <c r="P1649" s="1631"/>
      <c r="Q1649" s="2820"/>
      <c r="R1649" s="2820"/>
      <c r="S1649" s="2820"/>
    </row>
    <row r="1650" spans="1:24" ht="15">
      <c r="A1650" s="521"/>
      <c r="B1650" s="521"/>
      <c r="C1650" s="1971"/>
      <c r="D1650" s="521"/>
      <c r="E1650" s="521"/>
      <c r="F1650" s="521"/>
      <c r="G1650" s="521"/>
      <c r="H1650" s="521"/>
      <c r="I1650" s="521"/>
      <c r="J1650" s="521"/>
      <c r="K1650" s="521"/>
      <c r="L1650" s="521"/>
      <c r="M1650" s="1895"/>
      <c r="N1650" s="1630"/>
      <c r="O1650" s="1630"/>
      <c r="P1650" s="1630"/>
      <c r="Q1650" s="2820"/>
      <c r="R1650" s="2820"/>
      <c r="S1650" s="2820"/>
    </row>
    <row r="1651" spans="1:24" ht="15" customHeight="1">
      <c r="A1651" s="1785" t="s">
        <v>5170</v>
      </c>
      <c r="B1651" s="1785"/>
      <c r="C1651" s="1785"/>
      <c r="D1651" s="1785"/>
      <c r="E1651" s="1785"/>
      <c r="F1651" s="1785"/>
      <c r="G1651" s="1785"/>
      <c r="H1651" s="1785"/>
      <c r="I1651" s="1785"/>
      <c r="J1651" s="1785"/>
      <c r="K1651" s="1785"/>
      <c r="L1651" s="1785"/>
      <c r="M1651" s="1923" t="s">
        <v>2219</v>
      </c>
      <c r="N1651" s="1630"/>
      <c r="O1651" s="1630" t="s">
        <v>2218</v>
      </c>
      <c r="P1651" s="1630" t="s">
        <v>256</v>
      </c>
      <c r="Q1651" s="2820"/>
      <c r="R1651" s="2820"/>
      <c r="S1651" s="2820"/>
      <c r="T1651" s="1631"/>
      <c r="U1651" s="1631"/>
      <c r="V1651" s="1631"/>
      <c r="W1651" s="1631"/>
      <c r="X1651" s="1631"/>
    </row>
    <row r="1652" spans="1:24" ht="15">
      <c r="A1652" s="1785"/>
      <c r="B1652" s="1785"/>
      <c r="C1652" s="1785"/>
      <c r="D1652" s="1785"/>
      <c r="E1652" s="1785"/>
      <c r="F1652" s="1785"/>
      <c r="G1652" s="1785"/>
      <c r="H1652" s="1785"/>
      <c r="I1652" s="1785"/>
      <c r="J1652" s="1785"/>
      <c r="K1652" s="1785"/>
      <c r="L1652" s="1785"/>
      <c r="M1652" s="1923" t="s">
        <v>93</v>
      </c>
      <c r="N1652" s="1631"/>
      <c r="O1652" s="1630" t="s">
        <v>2219</v>
      </c>
      <c r="P1652" s="1630" t="s">
        <v>2219</v>
      </c>
      <c r="Q1652" s="2820"/>
      <c r="R1652" s="2820"/>
      <c r="S1652" s="2820"/>
      <c r="T1652" s="1631"/>
      <c r="U1652" s="1631"/>
      <c r="V1652" s="1631"/>
      <c r="W1652" s="1972"/>
      <c r="X1652" s="1972"/>
    </row>
    <row r="1653" spans="1:24" ht="15">
      <c r="A1653" s="1631"/>
      <c r="B1653" s="1631"/>
      <c r="C1653" s="1631"/>
      <c r="D1653" s="1631"/>
      <c r="E1653" s="1631"/>
      <c r="F1653" s="1631"/>
      <c r="G1653" s="1631"/>
      <c r="H1653" s="1631"/>
      <c r="I1653" s="1631"/>
      <c r="J1653" s="1631"/>
      <c r="K1653" s="1631"/>
      <c r="L1653" s="1972"/>
      <c r="M1653" s="2821"/>
      <c r="N1653" s="1631"/>
      <c r="O1653" s="1630"/>
      <c r="P1653" s="1637"/>
      <c r="Q1653" s="2820"/>
      <c r="R1653" s="2820"/>
      <c r="S1653" s="2820"/>
      <c r="T1653" s="1972"/>
      <c r="U1653" s="1972"/>
      <c r="V1653" s="1972"/>
      <c r="W1653" s="1972"/>
      <c r="X1653" s="1972"/>
    </row>
    <row r="1654" spans="1:24" ht="16.5">
      <c r="A1654" s="1631"/>
      <c r="B1654" s="2726" t="str">
        <f>'Part I-Project Information'!$B$6</f>
        <v>May 2019 Final</v>
      </c>
      <c r="C1654" s="2726"/>
      <c r="D1654" s="2726"/>
      <c r="E1654" s="2726"/>
      <c r="F1654" s="2726"/>
      <c r="G1654" s="1631"/>
      <c r="H1654" s="1631"/>
      <c r="I1654" s="1631"/>
      <c r="J1654" s="1631"/>
      <c r="K1654" s="1972"/>
      <c r="L1654" s="2822" t="s">
        <v>1226</v>
      </c>
      <c r="M1654" s="1863">
        <f>M2096</f>
        <v>92</v>
      </c>
      <c r="N1654" s="1863"/>
      <c r="O1654" s="1863">
        <f>O2096</f>
        <v>20</v>
      </c>
      <c r="P1654" s="1863">
        <f>P2096</f>
        <v>20</v>
      </c>
      <c r="Q1654" s="2820"/>
      <c r="R1654" s="2820"/>
      <c r="S1654" s="2820"/>
      <c r="T1654" s="1972"/>
      <c r="U1654" s="1972"/>
      <c r="V1654" s="1972"/>
      <c r="W1654" s="1972"/>
      <c r="X1654" s="1972"/>
    </row>
    <row r="1655" spans="1:24" ht="15">
      <c r="A1655" s="1631"/>
      <c r="B1655" s="1937"/>
      <c r="C1655" s="521"/>
      <c r="D1655" s="1634"/>
      <c r="E1655" s="1634"/>
      <c r="F1655" s="1634"/>
      <c r="G1655" s="1634"/>
      <c r="H1655" s="1634"/>
      <c r="I1655" s="1634"/>
      <c r="J1655" s="1634"/>
      <c r="K1655" s="1634"/>
      <c r="L1655" s="1631"/>
      <c r="M1655" s="1630"/>
      <c r="N1655" s="1637"/>
      <c r="O1655" s="1863"/>
      <c r="P1655" s="1630"/>
      <c r="Q1655" s="1976"/>
      <c r="R1655" s="1631"/>
      <c r="S1655" s="1631"/>
      <c r="T1655" s="1976"/>
      <c r="U1655" s="1976"/>
      <c r="V1655" s="1976"/>
      <c r="W1655" s="1976"/>
      <c r="X1655" s="1976"/>
    </row>
    <row r="1656" spans="1:24" ht="20.25">
      <c r="A1656" s="2053" t="s">
        <v>4813</v>
      </c>
      <c r="B1656" s="1631"/>
      <c r="C1656" s="1631"/>
      <c r="D1656" s="521"/>
      <c r="E1656" s="521"/>
      <c r="F1656" s="521"/>
      <c r="G1656" s="1866"/>
      <c r="H1656" s="1652" t="s">
        <v>5171</v>
      </c>
      <c r="I1656" s="1866"/>
      <c r="J1656" s="1866"/>
      <c r="K1656" s="1866"/>
      <c r="L1656" s="1866"/>
      <c r="M1656" s="2823" t="s">
        <v>5172</v>
      </c>
      <c r="N1656" s="1866"/>
      <c r="O1656" s="1924">
        <f>'Part IX Scoring Criteria'!O8</f>
        <v>0</v>
      </c>
      <c r="P1656" s="1630">
        <f>IF(P1658&lt;2,0,IF(AND(P1658&gt;1,P1658&lt;5),1,IF(P1658&gt;4,P1658-3)))</f>
        <v>0</v>
      </c>
      <c r="Q1656" s="521" t="s">
        <v>5173</v>
      </c>
      <c r="R1656" s="2824"/>
      <c r="S1656" s="2785"/>
      <c r="T1656" s="1631"/>
      <c r="U1656" s="1631"/>
      <c r="V1656" s="1631"/>
      <c r="W1656" s="1631"/>
      <c r="X1656" s="1631"/>
    </row>
    <row r="1657" spans="1:24" ht="15">
      <c r="A1657" s="1631"/>
      <c r="B1657" s="1937"/>
      <c r="C1657" s="521"/>
      <c r="D1657" s="1634"/>
      <c r="E1657" s="1634"/>
      <c r="F1657" s="1634"/>
      <c r="G1657" s="1634"/>
      <c r="H1657" s="1634"/>
      <c r="I1657" s="1634"/>
      <c r="J1657" s="1634"/>
      <c r="K1657" s="1634"/>
      <c r="L1657" s="1631"/>
      <c r="M1657" s="1630"/>
      <c r="N1657" s="1637"/>
      <c r="O1657" s="1863"/>
      <c r="P1657" s="1630"/>
      <c r="Q1657" s="1976"/>
      <c r="R1657" s="1631"/>
      <c r="S1657" s="1631"/>
      <c r="T1657" s="1976"/>
      <c r="U1657" s="1976"/>
      <c r="V1657" s="1976"/>
      <c r="W1657" s="1976"/>
      <c r="X1657" s="1976"/>
    </row>
    <row r="1658" spans="1:24" ht="13.5" customHeight="1">
      <c r="A1658" s="2055" t="s">
        <v>4149</v>
      </c>
      <c r="B1658" s="2055" t="s">
        <v>4150</v>
      </c>
      <c r="C1658" s="521"/>
      <c r="D1658" s="521"/>
      <c r="E1658" s="2055" t="s">
        <v>4177</v>
      </c>
      <c r="F1658" s="2055" t="s">
        <v>4176</v>
      </c>
      <c r="G1658" s="2055"/>
      <c r="H1658" s="2055"/>
      <c r="I1658" s="2055"/>
      <c r="J1658" s="2055"/>
      <c r="K1658" s="2055"/>
      <c r="L1658" s="2055"/>
      <c r="M1658" s="2055"/>
      <c r="N1658" s="2055"/>
      <c r="O1658" s="2825" t="s">
        <v>4811</v>
      </c>
      <c r="P1658" s="1895">
        <f>SUM(P1659:P1668)</f>
        <v>0</v>
      </c>
      <c r="Q1658" s="1867" t="s">
        <v>5174</v>
      </c>
      <c r="R1658" s="1867"/>
      <c r="S1658" s="1867"/>
      <c r="T1658" s="1867"/>
      <c r="U1658" s="1867"/>
      <c r="V1658" s="1867"/>
      <c r="W1658" s="1631"/>
      <c r="X1658" s="1631"/>
    </row>
    <row r="1659" spans="1:24">
      <c r="A1659" s="1990" t="s">
        <v>742</v>
      </c>
      <c r="B1659" s="1218" t="s">
        <v>4151</v>
      </c>
      <c r="C1659" s="1890"/>
      <c r="D1659" s="1890"/>
      <c r="E1659" s="2826" t="str">
        <f>$O$61</f>
        <v>233.10</v>
      </c>
      <c r="F1659" s="1902">
        <f>$A$67</f>
        <v>0</v>
      </c>
      <c r="G1659" s="1902"/>
      <c r="H1659" s="1902"/>
      <c r="I1659" s="1902"/>
      <c r="J1659" s="1902"/>
      <c r="K1659" s="1902"/>
      <c r="L1659" s="1902"/>
      <c r="M1659" s="1902"/>
      <c r="N1659" s="1902"/>
      <c r="O1659" s="1902"/>
      <c r="P1659" s="2011"/>
      <c r="Q1659" s="1867"/>
      <c r="R1659" s="1867"/>
      <c r="S1659" s="1867"/>
      <c r="T1659" s="1867"/>
      <c r="U1659" s="1867"/>
      <c r="V1659" s="1867"/>
      <c r="W1659" s="1631"/>
      <c r="X1659" s="1631"/>
    </row>
    <row r="1660" spans="1:24" ht="12.75" customHeight="1">
      <c r="A1660" s="1990" t="s">
        <v>530</v>
      </c>
      <c r="B1660" s="1218" t="s">
        <v>4153</v>
      </c>
      <c r="C1660" s="1890"/>
      <c r="D1660" s="1890"/>
      <c r="E1660" s="2826">
        <f>$O$153</f>
        <v>0</v>
      </c>
      <c r="F1660" s="1902">
        <f>$A$185</f>
        <v>0</v>
      </c>
      <c r="G1660" s="1902"/>
      <c r="H1660" s="1902"/>
      <c r="I1660" s="1902"/>
      <c r="J1660" s="1902"/>
      <c r="K1660" s="1902"/>
      <c r="L1660" s="1902"/>
      <c r="M1660" s="1902"/>
      <c r="N1660" s="1902"/>
      <c r="O1660" s="1902"/>
      <c r="P1660" s="2011"/>
      <c r="Q1660" s="2727" t="str">
        <f>IF(OR($A$67="",$A$302="",$A$185="",$A$224="",$A$273="",$A$325="",$A$365="",$A$380="",$A$416="",$A$436=""),"Some Applicant Scoring Justification boxes are empty! Check to see if points claimed.","")</f>
        <v>Some Applicant Scoring Justification boxes are empty! Check to see if points claimed.</v>
      </c>
      <c r="R1660" s="2727"/>
      <c r="S1660" s="2727"/>
      <c r="T1660" s="1631"/>
      <c r="U1660" s="1631"/>
      <c r="V1660" s="1631"/>
      <c r="W1660" s="1631"/>
      <c r="X1660" s="1631"/>
    </row>
    <row r="1661" spans="1:24" ht="12.75" customHeight="1">
      <c r="A1661" s="1990" t="s">
        <v>772</v>
      </c>
      <c r="B1661" s="1218" t="s">
        <v>4154</v>
      </c>
      <c r="C1661" s="1890"/>
      <c r="D1661" s="1890"/>
      <c r="E1661" s="2826">
        <f>$O$189</f>
        <v>0</v>
      </c>
      <c r="F1661" s="1902">
        <f>$A$224</f>
        <v>0</v>
      </c>
      <c r="G1661" s="1902"/>
      <c r="H1661" s="1902"/>
      <c r="I1661" s="1902"/>
      <c r="J1661" s="1902"/>
      <c r="K1661" s="1902"/>
      <c r="L1661" s="1902"/>
      <c r="M1661" s="1902"/>
      <c r="N1661" s="1902"/>
      <c r="O1661" s="1902"/>
      <c r="P1661" s="2011"/>
      <c r="Q1661" s="2727"/>
      <c r="R1661" s="2727"/>
      <c r="S1661" s="2727"/>
      <c r="T1661" s="1631"/>
      <c r="U1661" s="1631"/>
      <c r="V1661" s="1631"/>
      <c r="W1661" s="1631"/>
      <c r="X1661" s="1631"/>
    </row>
    <row r="1662" spans="1:24" ht="12.75" customHeight="1">
      <c r="A1662" s="1990" t="s">
        <v>292</v>
      </c>
      <c r="B1662" s="1218" t="s">
        <v>4155</v>
      </c>
      <c r="C1662" s="1890"/>
      <c r="D1662" s="1890"/>
      <c r="E1662" s="2827" t="s">
        <v>1733</v>
      </c>
      <c r="F1662" s="1902">
        <f>$A$273</f>
        <v>0</v>
      </c>
      <c r="G1662" s="1902"/>
      <c r="H1662" s="1902"/>
      <c r="I1662" s="1902"/>
      <c r="J1662" s="1902"/>
      <c r="K1662" s="1902"/>
      <c r="L1662" s="1902"/>
      <c r="M1662" s="1902"/>
      <c r="N1662" s="1902"/>
      <c r="O1662" s="1902"/>
      <c r="P1662" s="2011"/>
      <c r="Q1662" s="2727"/>
      <c r="R1662" s="2727"/>
      <c r="S1662" s="2727"/>
      <c r="T1662" s="1631"/>
      <c r="U1662" s="1631"/>
      <c r="V1662" s="1631"/>
      <c r="W1662" s="1631"/>
      <c r="X1662" s="1631"/>
    </row>
    <row r="1663" spans="1:24" ht="12.75" customHeight="1">
      <c r="A1663" s="1990" t="s">
        <v>362</v>
      </c>
      <c r="B1663" s="1218" t="s">
        <v>3792</v>
      </c>
      <c r="C1663" s="1890"/>
      <c r="D1663" s="1890"/>
      <c r="E1663" s="2826" t="str">
        <f>$O$298</f>
        <v>Name of Principal</v>
      </c>
      <c r="F1663" s="1902">
        <f>$A$302</f>
        <v>0</v>
      </c>
      <c r="G1663" s="1902"/>
      <c r="H1663" s="1902"/>
      <c r="I1663" s="1902"/>
      <c r="J1663" s="1902"/>
      <c r="K1663" s="1902"/>
      <c r="L1663" s="1902"/>
      <c r="M1663" s="1902"/>
      <c r="N1663" s="1902"/>
      <c r="O1663" s="1902"/>
      <c r="P1663" s="2011"/>
      <c r="Q1663" s="2727"/>
      <c r="R1663" s="2727"/>
      <c r="S1663" s="2727"/>
      <c r="T1663" s="1631"/>
      <c r="U1663" s="1631"/>
      <c r="V1663" s="1631"/>
      <c r="W1663" s="1631"/>
      <c r="X1663" s="1631"/>
    </row>
    <row r="1664" spans="1:24" ht="12.75" customHeight="1">
      <c r="A1664" s="1990" t="s">
        <v>4904</v>
      </c>
      <c r="B1664" s="1218" t="s">
        <v>4461</v>
      </c>
      <c r="C1664" s="1890"/>
      <c r="D1664" s="1890"/>
      <c r="E1664" s="2827" t="str">
        <f>$O$306</f>
        <v>Direct Line</v>
      </c>
      <c r="F1664" s="1902">
        <f>$A$325</f>
        <v>0</v>
      </c>
      <c r="G1664" s="1902"/>
      <c r="H1664" s="1902"/>
      <c r="I1664" s="1902"/>
      <c r="J1664" s="1902"/>
      <c r="K1664" s="1902"/>
      <c r="L1664" s="1902"/>
      <c r="M1664" s="1902"/>
      <c r="N1664" s="1902"/>
      <c r="O1664" s="1902"/>
      <c r="P1664" s="2011"/>
      <c r="Q1664" s="2727"/>
      <c r="R1664" s="2727"/>
      <c r="S1664" s="2727"/>
      <c r="T1664" s="1631"/>
      <c r="U1664" s="1631"/>
      <c r="V1664" s="1631"/>
      <c r="W1664" s="1631"/>
      <c r="X1664" s="1631"/>
    </row>
    <row r="1665" spans="1:24" ht="12.75" customHeight="1">
      <c r="A1665" s="1990" t="s">
        <v>2782</v>
      </c>
      <c r="B1665" s="1218" t="s">
        <v>4156</v>
      </c>
      <c r="C1665" s="1890"/>
      <c r="D1665" s="1890"/>
      <c r="E1665" s="2827">
        <f>$O$359</f>
        <v>0</v>
      </c>
      <c r="F1665" s="1902" t="str">
        <f>$A$365</f>
        <v>Co-Developer 2</v>
      </c>
      <c r="G1665" s="1902"/>
      <c r="H1665" s="1902"/>
      <c r="I1665" s="1902"/>
      <c r="J1665" s="1902"/>
      <c r="K1665" s="1902"/>
      <c r="L1665" s="1902"/>
      <c r="M1665" s="1902"/>
      <c r="N1665" s="1902"/>
      <c r="O1665" s="1902"/>
      <c r="P1665" s="2011"/>
      <c r="Q1665" s="2727"/>
      <c r="R1665" s="2727"/>
      <c r="S1665" s="2727"/>
      <c r="T1665" s="1631"/>
      <c r="U1665" s="1631"/>
      <c r="V1665" s="1631"/>
      <c r="W1665" s="1631"/>
      <c r="X1665" s="1631"/>
    </row>
    <row r="1666" spans="1:24" ht="12.75" customHeight="1">
      <c r="A1666" s="1990" t="s">
        <v>2251</v>
      </c>
      <c r="B1666" s="1218" t="s">
        <v>4157</v>
      </c>
      <c r="C1666" s="1890"/>
      <c r="D1666" s="1890"/>
      <c r="E1666" s="2826">
        <f>O2017</f>
        <v>0</v>
      </c>
      <c r="F1666" s="1902" t="str">
        <f>$A$380</f>
        <v>I.</v>
      </c>
      <c r="G1666" s="1902"/>
      <c r="H1666" s="1902"/>
      <c r="I1666" s="1902"/>
      <c r="J1666" s="1902"/>
      <c r="K1666" s="1902"/>
      <c r="L1666" s="1902"/>
      <c r="M1666" s="1902"/>
      <c r="N1666" s="1902"/>
      <c r="O1666" s="1902"/>
      <c r="P1666" s="2011"/>
      <c r="Q1666" s="2727"/>
      <c r="R1666" s="2727"/>
      <c r="S1666" s="2727"/>
      <c r="T1666" s="1631"/>
      <c r="U1666" s="1631"/>
      <c r="V1666" s="1631"/>
      <c r="W1666" s="1631"/>
      <c r="X1666" s="1631"/>
    </row>
    <row r="1667" spans="1:24" ht="12.75" customHeight="1">
      <c r="A1667" s="1990" t="s">
        <v>4104</v>
      </c>
      <c r="B1667" s="1218" t="s">
        <v>4158</v>
      </c>
      <c r="C1667" s="1890"/>
      <c r="D1667" s="1890"/>
      <c r="E1667" s="2826">
        <f>$O$384</f>
        <v>0</v>
      </c>
      <c r="F1667" s="1902">
        <f>$A$416</f>
        <v>0</v>
      </c>
      <c r="G1667" s="1902"/>
      <c r="H1667" s="1902"/>
      <c r="I1667" s="1902"/>
      <c r="J1667" s="1902"/>
      <c r="K1667" s="1902"/>
      <c r="L1667" s="1902"/>
      <c r="M1667" s="1902"/>
      <c r="N1667" s="1902"/>
      <c r="O1667" s="1902"/>
      <c r="P1667" s="2011"/>
      <c r="Q1667" s="2727"/>
      <c r="R1667" s="2727"/>
      <c r="S1667" s="2727"/>
      <c r="T1667" s="1631"/>
      <c r="U1667" s="1631"/>
      <c r="V1667" s="1631"/>
      <c r="W1667" s="1631"/>
      <c r="X1667" s="1631"/>
    </row>
    <row r="1668" spans="1:24" ht="12.75" customHeight="1">
      <c r="A1668" s="1990" t="s">
        <v>4105</v>
      </c>
      <c r="B1668" s="1218" t="s">
        <v>4160</v>
      </c>
      <c r="C1668" s="1890"/>
      <c r="D1668" s="1890"/>
      <c r="E1668" s="2827">
        <f>$O$420</f>
        <v>0</v>
      </c>
      <c r="F1668" s="1902">
        <f>$A$436</f>
        <v>0</v>
      </c>
      <c r="G1668" s="1902"/>
      <c r="H1668" s="1902"/>
      <c r="I1668" s="1902"/>
      <c r="J1668" s="1902"/>
      <c r="K1668" s="1902"/>
      <c r="L1668" s="1902"/>
      <c r="M1668" s="1902"/>
      <c r="N1668" s="1902"/>
      <c r="O1668" s="1902"/>
      <c r="P1668" s="2011"/>
      <c r="Q1668" s="2727"/>
      <c r="R1668" s="2727"/>
      <c r="S1668" s="2727"/>
      <c r="T1668" s="1631"/>
      <c r="U1668" s="1631"/>
      <c r="V1668" s="1631"/>
      <c r="W1668" s="1631"/>
      <c r="X1668" s="1631"/>
    </row>
    <row r="1669" spans="1:24" ht="15">
      <c r="A1669" s="1631"/>
      <c r="B1669" s="1937"/>
      <c r="C1669" s="521"/>
      <c r="D1669" s="1634"/>
      <c r="E1669" s="1634"/>
      <c r="F1669" s="1634"/>
      <c r="G1669" s="1634"/>
      <c r="H1669" s="1634"/>
      <c r="I1669" s="1634"/>
      <c r="J1669" s="1634"/>
      <c r="K1669" s="1634"/>
      <c r="L1669" s="1631"/>
      <c r="M1669" s="1630"/>
      <c r="N1669" s="1637"/>
      <c r="O1669" s="1863"/>
      <c r="P1669" s="1630"/>
      <c r="Q1669" s="1976"/>
      <c r="R1669" s="1631"/>
      <c r="S1669" s="1631"/>
      <c r="T1669" s="1976"/>
      <c r="U1669" s="1976"/>
      <c r="V1669" s="1976"/>
      <c r="W1669" s="1976"/>
      <c r="X1669" s="1976"/>
    </row>
    <row r="1670" spans="1:24">
      <c r="A1670" s="2828" t="s">
        <v>616</v>
      </c>
      <c r="B1670" s="2764" t="s">
        <v>2784</v>
      </c>
      <c r="C1670" s="1631"/>
      <c r="D1670" s="1631"/>
      <c r="E1670" s="1631"/>
      <c r="F1670" s="1895"/>
      <c r="G1670" s="1631"/>
      <c r="H1670" s="1652" t="s">
        <v>5175</v>
      </c>
      <c r="I1670" s="1631"/>
      <c r="J1670" s="1631"/>
      <c r="K1670" s="1631"/>
      <c r="L1670" s="1631"/>
      <c r="M1670" s="1630">
        <v>10</v>
      </c>
      <c r="N1670" s="1979"/>
      <c r="O1670" s="1863">
        <f>'Part IX Scoring Criteria'!O22</f>
        <v>10</v>
      </c>
      <c r="P1670" s="1863">
        <f>MIN($M1670, $M1670-P1673-P1678-P1674)</f>
        <v>10</v>
      </c>
      <c r="Q1670" s="1630" t="s">
        <v>441</v>
      </c>
      <c r="R1670" s="1631"/>
      <c r="S1670" s="1631"/>
      <c r="T1670" s="1631"/>
      <c r="U1670" s="1631"/>
      <c r="V1670" s="1631"/>
      <c r="W1670" s="1631"/>
      <c r="X1670" s="1631"/>
    </row>
    <row r="1671" spans="1:24" ht="15">
      <c r="A1671" s="1631"/>
      <c r="B1671" s="1937"/>
      <c r="C1671" s="521"/>
      <c r="D1671" s="1634"/>
      <c r="E1671" s="1634"/>
      <c r="F1671" s="1634"/>
      <c r="G1671" s="1634"/>
      <c r="H1671" s="1634"/>
      <c r="I1671" s="1634"/>
      <c r="J1671" s="1634"/>
      <c r="K1671" s="1634"/>
      <c r="L1671" s="1631"/>
      <c r="M1671" s="1630"/>
      <c r="N1671" s="1637"/>
      <c r="O1671" s="1863"/>
      <c r="P1671" s="1630"/>
      <c r="Q1671" s="1976"/>
      <c r="R1671" s="1631"/>
      <c r="S1671" s="1631"/>
      <c r="T1671" s="1976"/>
      <c r="U1671" s="1976"/>
      <c r="V1671" s="1976"/>
      <c r="W1671" s="1976"/>
      <c r="X1671" s="1976"/>
    </row>
    <row r="1672" spans="1:24">
      <c r="A1672" s="1828" t="s">
        <v>1983</v>
      </c>
      <c r="B1672" s="1634" t="s">
        <v>4806</v>
      </c>
      <c r="C1672" s="1631"/>
      <c r="D1672" s="1634"/>
      <c r="E1672" s="1634"/>
      <c r="F1672" s="1895"/>
      <c r="G1672" s="1631"/>
      <c r="H1672" s="1631"/>
      <c r="I1672" s="1631"/>
      <c r="J1672" s="1631"/>
      <c r="K1672" s="1631"/>
      <c r="L1672" s="1631"/>
      <c r="M1672" s="1630"/>
      <c r="N1672" s="1937" t="s">
        <v>1983</v>
      </c>
      <c r="O1672" s="1631"/>
      <c r="P1672" s="1631"/>
      <c r="Q1672" s="1631"/>
      <c r="R1672" s="1631"/>
      <c r="S1672" s="1631"/>
      <c r="T1672" s="1631"/>
      <c r="U1672" s="1631"/>
      <c r="V1672" s="1631"/>
      <c r="W1672" s="1631"/>
      <c r="X1672" s="1631"/>
    </row>
    <row r="1673" spans="1:24" ht="15">
      <c r="A1673" s="1828"/>
      <c r="B1673" s="2829" t="s">
        <v>1986</v>
      </c>
      <c r="C1673" s="1634" t="s">
        <v>4809</v>
      </c>
      <c r="D1673" s="1634"/>
      <c r="E1673" s="1634"/>
      <c r="F1673" s="1895"/>
      <c r="G1673" s="1976"/>
      <c r="H1673" s="1652" t="s">
        <v>3649</v>
      </c>
      <c r="I1673" s="1976"/>
      <c r="J1673" s="1866"/>
      <c r="K1673" s="1976"/>
      <c r="L1673" s="1976"/>
      <c r="M1673" s="1630"/>
      <c r="N1673" s="2001" t="s">
        <v>1986</v>
      </c>
      <c r="O1673" s="1924">
        <f>'Part IX Scoring Criteria'!O25</f>
        <v>0</v>
      </c>
      <c r="P1673" s="1924">
        <f>F1681</f>
        <v>0</v>
      </c>
      <c r="Q1673" s="1976"/>
      <c r="R1673" s="1976"/>
      <c r="S1673" s="1976"/>
      <c r="T1673" s="1976"/>
      <c r="U1673" s="1976"/>
      <c r="V1673" s="1976"/>
      <c r="W1673" s="1976"/>
      <c r="X1673" s="1976"/>
    </row>
    <row r="1674" spans="1:24" ht="15">
      <c r="A1674" s="1828"/>
      <c r="B1674" s="2829" t="s">
        <v>1988</v>
      </c>
      <c r="C1674" s="1634" t="s">
        <v>5176</v>
      </c>
      <c r="D1674" s="1634"/>
      <c r="E1674" s="1634"/>
      <c r="F1674" s="1895"/>
      <c r="G1674" s="1976"/>
      <c r="H1674" s="1652" t="s">
        <v>4807</v>
      </c>
      <c r="I1674" s="1976"/>
      <c r="J1674" s="1866"/>
      <c r="K1674" s="1976"/>
      <c r="L1674" s="1976"/>
      <c r="M1674" s="1630"/>
      <c r="N1674" s="2001" t="s">
        <v>1988</v>
      </c>
      <c r="O1674" s="1924">
        <f>'Part IX Scoring Criteria'!O26</f>
        <v>0</v>
      </c>
      <c r="P1674" s="1924">
        <f>J1681</f>
        <v>0</v>
      </c>
      <c r="Q1674" s="1976"/>
      <c r="R1674" s="1976"/>
      <c r="S1674" s="1976"/>
      <c r="T1674" s="1976"/>
      <c r="U1674" s="1976"/>
      <c r="V1674" s="1976"/>
      <c r="W1674" s="1976"/>
      <c r="X1674" s="1976"/>
    </row>
    <row r="1675" spans="1:24" ht="15">
      <c r="A1675" s="1828"/>
      <c r="B1675" s="2829" t="s">
        <v>2534</v>
      </c>
      <c r="C1675" s="1634" t="s">
        <v>4808</v>
      </c>
      <c r="D1675" s="1634"/>
      <c r="E1675" s="1634"/>
      <c r="F1675" s="1895"/>
      <c r="G1675" s="1976"/>
      <c r="H1675" s="1652" t="s">
        <v>4812</v>
      </c>
      <c r="I1675" s="1976"/>
      <c r="J1675" s="1866"/>
      <c r="K1675" s="1976"/>
      <c r="L1675" s="1976"/>
      <c r="M1675" s="1630"/>
      <c r="N1675" s="2001" t="s">
        <v>2534</v>
      </c>
      <c r="O1675" s="1924">
        <f>'Part IX Scoring Criteria'!O27</f>
        <v>0</v>
      </c>
      <c r="P1675" s="1924"/>
      <c r="Q1675" s="1976"/>
      <c r="R1675" s="1976"/>
      <c r="S1675" s="1976"/>
      <c r="T1675" s="1976"/>
      <c r="U1675" s="1976"/>
      <c r="V1675" s="1976"/>
      <c r="W1675" s="1976"/>
      <c r="X1675" s="1976"/>
    </row>
    <row r="1676" spans="1:24" ht="15.75" customHeight="1">
      <c r="A1676" s="1976"/>
      <c r="B1676" s="1976"/>
      <c r="C1676" s="1890" t="s">
        <v>5124</v>
      </c>
      <c r="D1676" s="1890"/>
      <c r="E1676" s="1890"/>
      <c r="F1676" s="1890"/>
      <c r="G1676" s="1890"/>
      <c r="H1676" s="1890"/>
      <c r="I1676" s="1890"/>
      <c r="J1676" s="1890"/>
      <c r="K1676" s="1890"/>
      <c r="L1676" s="1890"/>
      <c r="M1676" s="1890"/>
      <c r="N1676" s="1890"/>
      <c r="O1676" s="1890"/>
      <c r="P1676" s="1890"/>
      <c r="Q1676" s="2786"/>
      <c r="R1676" s="2786"/>
      <c r="S1676" s="1976"/>
      <c r="T1676" s="1976"/>
      <c r="U1676" s="1976"/>
      <c r="V1676" s="1976"/>
      <c r="W1676" s="1976"/>
      <c r="X1676" s="1976"/>
    </row>
    <row r="1677" spans="1:24" ht="15">
      <c r="A1677" s="1895"/>
      <c r="B1677" s="2013"/>
      <c r="C1677" s="2830"/>
      <c r="D1677" s="1921"/>
      <c r="E1677" s="2006"/>
      <c r="F1677" s="2006"/>
      <c r="G1677" s="2006"/>
      <c r="H1677" s="2006"/>
      <c r="I1677" s="2006"/>
      <c r="J1677" s="2006"/>
      <c r="K1677" s="2083"/>
      <c r="L1677" s="2083"/>
      <c r="M1677" s="1633"/>
      <c r="N1677" s="2001"/>
      <c r="O1677" s="2002"/>
      <c r="P1677" s="2002"/>
      <c r="Q1677" s="2006"/>
      <c r="R1677" s="2006"/>
      <c r="S1677" s="2006"/>
      <c r="T1677" s="2006"/>
      <c r="U1677" s="2006"/>
      <c r="V1677" s="2006"/>
      <c r="W1677" s="2006"/>
      <c r="X1677" s="2006"/>
    </row>
    <row r="1678" spans="1:24">
      <c r="A1678" s="1828" t="s">
        <v>1985</v>
      </c>
      <c r="B1678" s="1634" t="s">
        <v>726</v>
      </c>
      <c r="C1678" s="1631"/>
      <c r="D1678" s="1634"/>
      <c r="E1678" s="1634"/>
      <c r="F1678" s="1895"/>
      <c r="G1678" s="1631"/>
      <c r="H1678" s="1652" t="s">
        <v>4558</v>
      </c>
      <c r="I1678" s="1631"/>
      <c r="J1678" s="1866"/>
      <c r="K1678" s="1631"/>
      <c r="L1678" s="1631"/>
      <c r="M1678" s="1630"/>
      <c r="N1678" s="1937" t="s">
        <v>1985</v>
      </c>
      <c r="O1678" s="1924">
        <f>'Part IX Scoring Criteria'!O30</f>
        <v>0</v>
      </c>
      <c r="P1678" s="1924">
        <f>O1681</f>
        <v>0</v>
      </c>
      <c r="Q1678" s="1631"/>
      <c r="R1678" s="1631"/>
      <c r="S1678" s="1631"/>
      <c r="T1678" s="1631"/>
      <c r="U1678" s="1631"/>
      <c r="V1678" s="1631"/>
      <c r="W1678" s="1631"/>
      <c r="X1678" s="1631"/>
    </row>
    <row r="1679" spans="1:24" ht="15">
      <c r="A1679" s="1895"/>
      <c r="B1679" s="2013"/>
      <c r="C1679" s="2830"/>
      <c r="D1679" s="1921"/>
      <c r="E1679" s="2006"/>
      <c r="F1679" s="2006"/>
      <c r="G1679" s="2006"/>
      <c r="H1679" s="2006"/>
      <c r="I1679" s="2006"/>
      <c r="J1679" s="2006"/>
      <c r="K1679" s="2083"/>
      <c r="L1679" s="2083"/>
      <c r="M1679" s="1633"/>
      <c r="N1679" s="2001"/>
      <c r="O1679" s="2002"/>
      <c r="P1679" s="2002"/>
      <c r="Q1679" s="2006"/>
      <c r="R1679" s="2006"/>
      <c r="S1679" s="2006"/>
      <c r="T1679" s="2006"/>
      <c r="U1679" s="2006"/>
      <c r="V1679" s="2006"/>
      <c r="W1679" s="2006"/>
      <c r="X1679" s="2006"/>
    </row>
    <row r="1680" spans="1:24" ht="20.25" customHeight="1">
      <c r="A1680" s="1659" t="s">
        <v>5020</v>
      </c>
      <c r="B1680" s="1659"/>
      <c r="C1680" s="1659"/>
      <c r="D1680" s="1659"/>
      <c r="E1680" s="1659"/>
      <c r="F1680" s="1956" t="s">
        <v>4148</v>
      </c>
      <c r="G1680" s="1867" t="s">
        <v>5021</v>
      </c>
      <c r="H1680" s="1867"/>
      <c r="I1680" s="1867"/>
      <c r="J1680" s="1956" t="s">
        <v>4148</v>
      </c>
      <c r="K1680" s="1955" t="s">
        <v>4805</v>
      </c>
      <c r="L1680" s="1955"/>
      <c r="M1680" s="1955"/>
      <c r="N1680" s="1955"/>
      <c r="O1680" s="1652" t="s">
        <v>4148</v>
      </c>
      <c r="P1680" s="1652"/>
      <c r="Q1680" s="1631"/>
      <c r="R1680" s="2824"/>
      <c r="S1680" s="2785"/>
      <c r="T1680" s="1631"/>
      <c r="U1680" s="1631"/>
      <c r="V1680" s="1631"/>
      <c r="W1680" s="1631"/>
      <c r="X1680" s="1631"/>
    </row>
    <row r="1681" spans="1:24" ht="20.25">
      <c r="A1681" s="1659"/>
      <c r="B1681" s="1659"/>
      <c r="C1681" s="1659"/>
      <c r="D1681" s="1659"/>
      <c r="E1681" s="1659"/>
      <c r="F1681" s="1630">
        <f>SUM(F1682:F1693)</f>
        <v>0</v>
      </c>
      <c r="G1681" s="1867"/>
      <c r="H1681" s="1867"/>
      <c r="I1681" s="1867"/>
      <c r="J1681" s="1630">
        <f>SUM(J1682:J1693)</f>
        <v>0</v>
      </c>
      <c r="K1681" s="1955"/>
      <c r="L1681" s="1955"/>
      <c r="M1681" s="1955"/>
      <c r="N1681" s="1955"/>
      <c r="O1681" s="1631">
        <f>SUM(O1682:O1693)</f>
        <v>0</v>
      </c>
      <c r="P1681" s="1631"/>
      <c r="Q1681" s="2824"/>
      <c r="R1681" s="2785"/>
      <c r="S1681" s="1631"/>
      <c r="T1681" s="1631"/>
      <c r="U1681" s="1631"/>
      <c r="V1681" s="1631"/>
      <c r="W1681" s="1631"/>
      <c r="X1681" s="1631"/>
    </row>
    <row r="1682" spans="1:24" ht="20.25">
      <c r="A1682" s="1890">
        <v>1</v>
      </c>
      <c r="B1682" s="1890"/>
      <c r="C1682" s="1890"/>
      <c r="D1682" s="1890"/>
      <c r="E1682" s="1890"/>
      <c r="F1682" s="2011"/>
      <c r="G1682" s="1890">
        <v>1</v>
      </c>
      <c r="H1682" s="1890"/>
      <c r="I1682" s="1890"/>
      <c r="J1682" s="2827" t="s">
        <v>1733</v>
      </c>
      <c r="K1682" s="1890">
        <v>1</v>
      </c>
      <c r="L1682" s="1890"/>
      <c r="M1682" s="1890"/>
      <c r="N1682" s="1890"/>
      <c r="O1682" s="1900" t="s">
        <v>1733</v>
      </c>
      <c r="P1682" s="1900"/>
      <c r="Q1682" s="2786" t="s">
        <v>1254</v>
      </c>
      <c r="R1682" s="2785"/>
      <c r="S1682" s="1631"/>
      <c r="T1682" s="1631"/>
      <c r="U1682" s="1631"/>
      <c r="V1682" s="1631"/>
      <c r="W1682" s="1631"/>
      <c r="X1682" s="1631"/>
    </row>
    <row r="1683" spans="1:24" ht="20.25">
      <c r="A1683" s="1890">
        <v>2</v>
      </c>
      <c r="B1683" s="1890"/>
      <c r="C1683" s="1890"/>
      <c r="D1683" s="1890"/>
      <c r="E1683" s="1890"/>
      <c r="F1683" s="2011"/>
      <c r="G1683" s="1890">
        <v>2</v>
      </c>
      <c r="H1683" s="1890"/>
      <c r="I1683" s="1890"/>
      <c r="J1683" s="2011"/>
      <c r="K1683" s="1890">
        <v>2</v>
      </c>
      <c r="L1683" s="1890"/>
      <c r="M1683" s="1890"/>
      <c r="N1683" s="1890"/>
      <c r="O1683" s="1838"/>
      <c r="P1683" s="1838"/>
      <c r="Q1683" s="2786"/>
      <c r="R1683" s="2785"/>
      <c r="S1683" s="1631"/>
      <c r="T1683" s="1631"/>
      <c r="U1683" s="1631"/>
      <c r="V1683" s="1631"/>
      <c r="W1683" s="1631"/>
      <c r="X1683" s="1631"/>
    </row>
    <row r="1684" spans="1:24" ht="25.5" customHeight="1">
      <c r="A1684" s="1890">
        <v>3</v>
      </c>
      <c r="B1684" s="1890"/>
      <c r="C1684" s="1890"/>
      <c r="D1684" s="1890"/>
      <c r="E1684" s="1890"/>
      <c r="F1684" s="2011"/>
      <c r="G1684" s="1890">
        <v>3</v>
      </c>
      <c r="H1684" s="1890"/>
      <c r="I1684" s="1890"/>
      <c r="J1684" s="2831" t="s">
        <v>2905</v>
      </c>
      <c r="K1684" s="1890">
        <v>3</v>
      </c>
      <c r="L1684" s="1890"/>
      <c r="M1684" s="1890"/>
      <c r="N1684" s="1890"/>
      <c r="O1684" s="1900" t="s">
        <v>2905</v>
      </c>
      <c r="P1684" s="1900"/>
      <c r="Q1684" s="1636" t="s">
        <v>5177</v>
      </c>
      <c r="R1684" s="1636"/>
      <c r="S1684" s="1867"/>
      <c r="T1684" s="1867"/>
      <c r="U1684" s="1631"/>
      <c r="V1684" s="1631"/>
      <c r="W1684" s="1631"/>
      <c r="X1684" s="1631"/>
    </row>
    <row r="1685" spans="1:24" ht="12.75" customHeight="1">
      <c r="A1685" s="1890">
        <v>4</v>
      </c>
      <c r="B1685" s="1890"/>
      <c r="C1685" s="1890"/>
      <c r="D1685" s="1890"/>
      <c r="E1685" s="1890"/>
      <c r="F1685" s="2011"/>
      <c r="G1685" s="1890">
        <v>4</v>
      </c>
      <c r="H1685" s="1890"/>
      <c r="I1685" s="1890"/>
      <c r="J1685" s="2011"/>
      <c r="K1685" s="1890">
        <v>4</v>
      </c>
      <c r="L1685" s="1890"/>
      <c r="M1685" s="1890"/>
      <c r="N1685" s="1890"/>
      <c r="O1685" s="1900" t="s">
        <v>2905</v>
      </c>
      <c r="P1685" s="1900"/>
      <c r="Q1685" s="1636"/>
      <c r="R1685" s="1636"/>
      <c r="S1685" s="1867"/>
      <c r="T1685" s="1867"/>
      <c r="U1685" s="1631"/>
      <c r="V1685" s="1631"/>
      <c r="W1685" s="1631"/>
      <c r="X1685" s="1631"/>
    </row>
    <row r="1686" spans="1:24">
      <c r="A1686" s="1890">
        <v>5</v>
      </c>
      <c r="B1686" s="1890"/>
      <c r="C1686" s="1890"/>
      <c r="D1686" s="1890"/>
      <c r="E1686" s="1890"/>
      <c r="F1686" s="2011"/>
      <c r="G1686" s="1890">
        <v>5</v>
      </c>
      <c r="H1686" s="1890"/>
      <c r="I1686" s="1890"/>
      <c r="J1686" s="2831" t="s">
        <v>3586</v>
      </c>
      <c r="K1686" s="1890">
        <v>5</v>
      </c>
      <c r="L1686" s="1890"/>
      <c r="M1686" s="1890"/>
      <c r="N1686" s="1890"/>
      <c r="O1686" s="1838"/>
      <c r="P1686" s="1838"/>
      <c r="Q1686" s="1636"/>
      <c r="R1686" s="1636"/>
      <c r="S1686" s="1867"/>
      <c r="T1686" s="1867"/>
      <c r="U1686" s="1631"/>
      <c r="V1686" s="1631"/>
      <c r="W1686" s="1631"/>
      <c r="X1686" s="1631"/>
    </row>
    <row r="1687" spans="1:24">
      <c r="A1687" s="1890">
        <v>6</v>
      </c>
      <c r="B1687" s="1890"/>
      <c r="C1687" s="1890"/>
      <c r="D1687" s="1890"/>
      <c r="E1687" s="1890"/>
      <c r="F1687" s="2011"/>
      <c r="G1687" s="1890">
        <v>6</v>
      </c>
      <c r="H1687" s="1890"/>
      <c r="I1687" s="1890"/>
      <c r="J1687" s="2011"/>
      <c r="K1687" s="1890">
        <v>6</v>
      </c>
      <c r="L1687" s="1890"/>
      <c r="M1687" s="1890"/>
      <c r="N1687" s="1890"/>
      <c r="O1687" s="1838"/>
      <c r="P1687" s="1838"/>
      <c r="Q1687" s="1636"/>
      <c r="R1687" s="1636"/>
      <c r="S1687" s="1631"/>
      <c r="T1687" s="1631"/>
      <c r="U1687" s="1631"/>
      <c r="V1687" s="1631"/>
      <c r="W1687" s="1631"/>
      <c r="X1687" s="1631"/>
    </row>
    <row r="1688" spans="1:24" ht="20.25">
      <c r="A1688" s="1890">
        <v>7</v>
      </c>
      <c r="B1688" s="1890"/>
      <c r="C1688" s="1890"/>
      <c r="D1688" s="1890"/>
      <c r="E1688" s="1890"/>
      <c r="F1688" s="2011"/>
      <c r="G1688" s="1890">
        <v>7</v>
      </c>
      <c r="H1688" s="1890"/>
      <c r="I1688" s="1890"/>
      <c r="J1688" s="2831" t="s">
        <v>3587</v>
      </c>
      <c r="K1688" s="1890">
        <v>7</v>
      </c>
      <c r="L1688" s="1890"/>
      <c r="M1688" s="1890"/>
      <c r="N1688" s="1890"/>
      <c r="O1688" s="1838"/>
      <c r="P1688" s="1838"/>
      <c r="Q1688" s="2785"/>
      <c r="R1688" s="2785"/>
      <c r="S1688" s="1631"/>
      <c r="T1688" s="1631"/>
      <c r="U1688" s="1631"/>
      <c r="V1688" s="1631"/>
      <c r="W1688" s="1631"/>
      <c r="X1688" s="1631"/>
    </row>
    <row r="1689" spans="1:24" ht="20.25">
      <c r="A1689" s="1890">
        <v>8</v>
      </c>
      <c r="B1689" s="1890"/>
      <c r="C1689" s="1890"/>
      <c r="D1689" s="1890"/>
      <c r="E1689" s="1890"/>
      <c r="F1689" s="2011"/>
      <c r="G1689" s="1890">
        <v>8</v>
      </c>
      <c r="H1689" s="1890"/>
      <c r="I1689" s="1890"/>
      <c r="J1689" s="2011"/>
      <c r="K1689" s="1890">
        <v>8</v>
      </c>
      <c r="L1689" s="1890"/>
      <c r="M1689" s="1890"/>
      <c r="N1689" s="1890"/>
      <c r="O1689" s="1838"/>
      <c r="P1689" s="1838"/>
      <c r="Q1689" s="2785"/>
      <c r="R1689" s="2785"/>
      <c r="S1689" s="1631"/>
      <c r="T1689" s="1631"/>
      <c r="U1689" s="1631"/>
      <c r="V1689" s="1631"/>
      <c r="W1689" s="1631"/>
      <c r="X1689" s="1631"/>
    </row>
    <row r="1690" spans="1:24" ht="20.25">
      <c r="A1690" s="1890">
        <v>9</v>
      </c>
      <c r="B1690" s="1890"/>
      <c r="C1690" s="1890"/>
      <c r="D1690" s="1890"/>
      <c r="E1690" s="1890"/>
      <c r="F1690" s="2011"/>
      <c r="G1690" s="1890">
        <v>9</v>
      </c>
      <c r="H1690" s="1890"/>
      <c r="I1690" s="1890"/>
      <c r="J1690" s="2831" t="s">
        <v>3588</v>
      </c>
      <c r="K1690" s="1890">
        <v>9</v>
      </c>
      <c r="L1690" s="1890"/>
      <c r="M1690" s="1890"/>
      <c r="N1690" s="1890"/>
      <c r="O1690" s="1838"/>
      <c r="P1690" s="1838"/>
      <c r="Q1690" s="2785"/>
      <c r="R1690" s="2785"/>
      <c r="S1690" s="1631"/>
      <c r="T1690" s="1631"/>
      <c r="U1690" s="1631"/>
      <c r="V1690" s="1631"/>
      <c r="W1690" s="1631"/>
      <c r="X1690" s="1631"/>
    </row>
    <row r="1691" spans="1:24" ht="20.25">
      <c r="A1691" s="1890">
        <v>10</v>
      </c>
      <c r="B1691" s="1890"/>
      <c r="C1691" s="1890"/>
      <c r="D1691" s="1890"/>
      <c r="E1691" s="1890"/>
      <c r="F1691" s="2011"/>
      <c r="G1691" s="1890">
        <v>10</v>
      </c>
      <c r="H1691" s="1890"/>
      <c r="I1691" s="1890"/>
      <c r="J1691" s="2011"/>
      <c r="K1691" s="1890">
        <v>10</v>
      </c>
      <c r="L1691" s="1890"/>
      <c r="M1691" s="1890"/>
      <c r="N1691" s="1890"/>
      <c r="O1691" s="1838"/>
      <c r="P1691" s="1838"/>
      <c r="Q1691" s="2785"/>
      <c r="R1691" s="1631"/>
      <c r="S1691" s="1631"/>
      <c r="T1691" s="1631"/>
      <c r="U1691" s="1631"/>
      <c r="V1691" s="1631"/>
      <c r="W1691" s="1631"/>
      <c r="X1691" s="1631"/>
    </row>
    <row r="1692" spans="1:24" ht="20.25">
      <c r="A1692" s="1890">
        <v>11</v>
      </c>
      <c r="B1692" s="1890"/>
      <c r="C1692" s="1890"/>
      <c r="D1692" s="1890"/>
      <c r="E1692" s="1890"/>
      <c r="F1692" s="2011"/>
      <c r="G1692" s="1890">
        <v>11</v>
      </c>
      <c r="H1692" s="1890"/>
      <c r="I1692" s="1890"/>
      <c r="J1692" s="2831" t="s">
        <v>3589</v>
      </c>
      <c r="K1692" s="1890">
        <v>11</v>
      </c>
      <c r="L1692" s="1890"/>
      <c r="M1692" s="1890"/>
      <c r="N1692" s="1890"/>
      <c r="O1692" s="1838"/>
      <c r="P1692" s="1838"/>
      <c r="Q1692" s="2785"/>
      <c r="R1692" s="2785"/>
      <c r="S1692" s="1631"/>
      <c r="T1692" s="1631"/>
      <c r="U1692" s="1631"/>
      <c r="V1692" s="1631"/>
      <c r="W1692" s="1631"/>
      <c r="X1692" s="1631"/>
    </row>
    <row r="1693" spans="1:24">
      <c r="A1693" s="1890">
        <v>12</v>
      </c>
      <c r="B1693" s="1890"/>
      <c r="C1693" s="1890"/>
      <c r="D1693" s="1890"/>
      <c r="E1693" s="1890"/>
      <c r="F1693" s="2011"/>
      <c r="G1693" s="1890">
        <v>12</v>
      </c>
      <c r="H1693" s="1890"/>
      <c r="I1693" s="1890"/>
      <c r="J1693" s="2011"/>
      <c r="K1693" s="1890">
        <v>12</v>
      </c>
      <c r="L1693" s="1890"/>
      <c r="M1693" s="1890"/>
      <c r="N1693" s="1890"/>
      <c r="O1693" s="1838"/>
      <c r="P1693" s="1838"/>
      <c r="Q1693" s="1631"/>
      <c r="R1693" s="1631"/>
      <c r="S1693" s="1631"/>
      <c r="T1693" s="1631"/>
      <c r="U1693" s="1631"/>
      <c r="V1693" s="1631"/>
      <c r="W1693" s="1631"/>
      <c r="X1693" s="1631"/>
    </row>
    <row r="1694" spans="1:24" ht="15">
      <c r="A1694" s="1976"/>
      <c r="B1694" s="1976"/>
      <c r="C1694" s="1976"/>
      <c r="D1694" s="521"/>
      <c r="E1694" s="521"/>
      <c r="F1694" s="1630"/>
      <c r="G1694" s="1630"/>
      <c r="H1694" s="1630"/>
      <c r="I1694" s="1630"/>
      <c r="J1694" s="1841"/>
      <c r="K1694" s="1841"/>
      <c r="L1694" s="1841"/>
      <c r="M1694" s="1895"/>
      <c r="N1694" s="1630"/>
      <c r="O1694" s="1637"/>
      <c r="P1694" s="1863"/>
      <c r="Q1694" s="1976"/>
      <c r="R1694" s="1976"/>
      <c r="S1694" s="1976"/>
      <c r="T1694" s="1976"/>
      <c r="U1694" s="1976"/>
      <c r="V1694" s="1976"/>
      <c r="W1694" s="1976"/>
      <c r="X1694" s="1976"/>
    </row>
    <row r="1695" spans="1:24" ht="15">
      <c r="A1695" s="2828" t="s">
        <v>740</v>
      </c>
      <c r="B1695" s="2764" t="s">
        <v>3590</v>
      </c>
      <c r="C1695" s="1993"/>
      <c r="D1695" s="1993"/>
      <c r="E1695" s="521"/>
      <c r="F1695" s="1993"/>
      <c r="G1695" s="521"/>
      <c r="H1695" s="521"/>
      <c r="I1695" s="1866" t="s">
        <v>3490</v>
      </c>
      <c r="J1695" s="1993"/>
      <c r="K1695" s="1993"/>
      <c r="L1695" s="1993"/>
      <c r="M1695" s="1630">
        <v>3</v>
      </c>
      <c r="N1695" s="1630"/>
      <c r="O1695" s="1863">
        <f>'Part IX Scoring Criteria'!O47</f>
        <v>0</v>
      </c>
      <c r="P1695" s="1863">
        <f>IF(AND(P1699&gt;0,P1703&gt;0),"AorB?",MIN($M$47,P1699+P1703))</f>
        <v>0</v>
      </c>
      <c r="Q1695" s="1630" t="s">
        <v>441</v>
      </c>
      <c r="R1695" s="2817" t="str">
        <f>IF(OR($O1695=$M1695,$O1695=0,$O1695=""),"","* * Check Score! * *")</f>
        <v/>
      </c>
      <c r="S1695" s="1993"/>
      <c r="T1695" s="1993"/>
      <c r="U1695" s="1993"/>
      <c r="V1695" s="1993"/>
      <c r="W1695" s="1993"/>
      <c r="X1695" s="1993"/>
    </row>
    <row r="1696" spans="1:24" ht="15">
      <c r="A1696" s="2832"/>
      <c r="B1696" s="2833"/>
      <c r="C1696" s="1976"/>
      <c r="D1696" s="1976"/>
      <c r="E1696" s="521"/>
      <c r="F1696" s="1976" t="s">
        <v>4820</v>
      </c>
      <c r="G1696" s="1955"/>
      <c r="H1696" s="521"/>
      <c r="I1696" s="1866"/>
      <c r="J1696" s="1976"/>
      <c r="K1696" s="1753"/>
      <c r="L1696" s="2834"/>
      <c r="M1696" s="1630"/>
      <c r="N1696" s="1630"/>
      <c r="O1696" s="1863"/>
      <c r="P1696" s="1863"/>
      <c r="Q1696" s="1630"/>
      <c r="R1696" s="2817"/>
      <c r="S1696" s="1976"/>
      <c r="T1696" s="1976"/>
      <c r="U1696" s="1976"/>
      <c r="V1696" s="1976"/>
      <c r="W1696" s="1976"/>
      <c r="X1696" s="1976"/>
    </row>
    <row r="1697" spans="1:24" ht="15">
      <c r="A1697" s="1828" t="s">
        <v>1983</v>
      </c>
      <c r="B1697" s="2040" t="s">
        <v>2625</v>
      </c>
      <c r="C1697" s="1976"/>
      <c r="D1697" s="1976"/>
      <c r="E1697" s="521"/>
      <c r="F1697" s="1976"/>
      <c r="G1697" s="1955"/>
      <c r="H1697" s="1216" t="s">
        <v>5022</v>
      </c>
      <c r="I1697" s="1976"/>
      <c r="J1697" s="2835"/>
      <c r="K1697" s="2835" t="str">
        <f>'Part I-Project Information'!$K$94</f>
        <v>40% of Units at 60% of AMI</v>
      </c>
      <c r="L1697" s="1976"/>
      <c r="M1697" s="1630"/>
      <c r="N1697" s="1630"/>
      <c r="O1697" s="1976"/>
      <c r="P1697" s="1976"/>
      <c r="Q1697" s="1630"/>
      <c r="R1697" s="2817"/>
      <c r="S1697" s="1976"/>
      <c r="T1697" s="1976"/>
      <c r="U1697" s="1976"/>
      <c r="V1697" s="1976"/>
      <c r="W1697" s="1976"/>
      <c r="X1697" s="1976"/>
    </row>
    <row r="1698" spans="1:24" ht="15" customHeight="1">
      <c r="A1698" s="1828"/>
      <c r="B1698" s="2038" t="s">
        <v>4814</v>
      </c>
      <c r="C1698" s="2038"/>
      <c r="D1698" s="2038"/>
      <c r="E1698" s="2038"/>
      <c r="F1698" s="2038"/>
      <c r="G1698" s="2038"/>
      <c r="H1698" s="2038"/>
      <c r="I1698" s="2038"/>
      <c r="J1698" s="2038"/>
      <c r="K1698" s="2038"/>
      <c r="L1698" s="2038"/>
      <c r="M1698" s="1630"/>
      <c r="N1698" s="1630"/>
      <c r="O1698" s="1993"/>
      <c r="P1698" s="1993"/>
      <c r="Q1698" s="1630"/>
      <c r="R1698" s="2817"/>
      <c r="S1698" s="1993"/>
      <c r="T1698" s="1993"/>
      <c r="U1698" s="1993"/>
      <c r="V1698" s="1993"/>
      <c r="W1698" s="1993"/>
      <c r="X1698" s="1993"/>
    </row>
    <row r="1699" spans="1:24" ht="15">
      <c r="A1699" s="1993"/>
      <c r="B1699" s="2038"/>
      <c r="C1699" s="2038"/>
      <c r="D1699" s="2038"/>
      <c r="E1699" s="2038"/>
      <c r="F1699" s="2038"/>
      <c r="G1699" s="2038"/>
      <c r="H1699" s="2038"/>
      <c r="I1699" s="2038"/>
      <c r="J1699" s="2038"/>
      <c r="K1699" s="2038"/>
      <c r="L1699" s="2038"/>
      <c r="M1699" s="1633">
        <v>2</v>
      </c>
      <c r="N1699" s="2001" t="s">
        <v>1983</v>
      </c>
      <c r="O1699" s="2002">
        <f>'Part IX Scoring Criteria'!O51</f>
        <v>0</v>
      </c>
      <c r="P1699" s="2002">
        <f>MIN($M1699, P1700+P1701)</f>
        <v>0</v>
      </c>
      <c r="Q1699" s="1993"/>
      <c r="R1699" s="1993"/>
      <c r="S1699" s="1993"/>
      <c r="T1699" s="1993"/>
      <c r="U1699" s="1993"/>
      <c r="V1699" s="1993"/>
      <c r="W1699" s="1993"/>
      <c r="X1699" s="1993"/>
    </row>
    <row r="1700" spans="1:24" ht="15">
      <c r="A1700" s="1828"/>
      <c r="B1700" s="2836" t="s">
        <v>1986</v>
      </c>
      <c r="C1700" s="2837" t="s">
        <v>4815</v>
      </c>
      <c r="D1700" s="521"/>
      <c r="E1700" s="1993"/>
      <c r="F1700" s="1993"/>
      <c r="G1700" s="1993"/>
      <c r="H1700" s="521" t="s">
        <v>4816</v>
      </c>
      <c r="I1700" s="1652"/>
      <c r="J1700" s="1993"/>
      <c r="K1700" s="2838">
        <f>'Part VI-Revenues &amp; Expenses'!B1697</f>
        <v>0</v>
      </c>
      <c r="L1700" s="1659" t="str">
        <f>IF(AND(O1700&gt;0,O1701&gt;0), "CHOOSE EITHER A OR B, NOT BOTH!", "")</f>
        <v/>
      </c>
      <c r="M1700" s="1633">
        <v>2</v>
      </c>
      <c r="N1700" s="2013" t="s">
        <v>1986</v>
      </c>
      <c r="O1700" s="1863">
        <f>'Part IX Scoring Criteria'!O52</f>
        <v>0</v>
      </c>
      <c r="P1700" s="1863"/>
      <c r="Q1700" s="2839" t="str">
        <f>IF(OR($O1700=$M1700,$O1700=0,$O1700=""),"","*CHECK!*")</f>
        <v/>
      </c>
      <c r="R1700" s="1652" t="s">
        <v>2706</v>
      </c>
      <c r="S1700" s="1993"/>
      <c r="T1700" s="1993"/>
      <c r="U1700" s="1993"/>
      <c r="V1700" s="1993"/>
      <c r="W1700" s="1993"/>
      <c r="X1700" s="1993"/>
    </row>
    <row r="1701" spans="1:24" ht="15">
      <c r="A1701" s="1937" t="s">
        <v>3344</v>
      </c>
      <c r="B1701" s="2836" t="s">
        <v>1988</v>
      </c>
      <c r="C1701" s="2837" t="s">
        <v>4817</v>
      </c>
      <c r="D1701" s="521"/>
      <c r="E1701" s="1993"/>
      <c r="F1701" s="1993"/>
      <c r="G1701" s="1993"/>
      <c r="H1701" s="1993"/>
      <c r="I1701" s="1652"/>
      <c r="J1701" s="1993"/>
      <c r="K1701" s="521"/>
      <c r="L1701" s="1659"/>
      <c r="M1701" s="1633">
        <v>2</v>
      </c>
      <c r="N1701" s="2013" t="s">
        <v>1988</v>
      </c>
      <c r="O1701" s="1863">
        <f>'Part IX Scoring Criteria'!O53</f>
        <v>0</v>
      </c>
      <c r="P1701" s="1863"/>
      <c r="Q1701" s="2839" t="str">
        <f>IF(OR($O1701=$M1701,$O1701=0,$O1701=""),"","*CHECK!*")</f>
        <v/>
      </c>
      <c r="R1701" s="1652" t="s">
        <v>2706</v>
      </c>
      <c r="S1701" s="1993"/>
      <c r="T1701" s="1993"/>
      <c r="U1701" s="1993"/>
      <c r="V1701" s="1993"/>
      <c r="W1701" s="1993"/>
      <c r="X1701" s="1993"/>
    </row>
    <row r="1702" spans="1:24" ht="15">
      <c r="A1702" s="1895"/>
      <c r="B1702" s="2013"/>
      <c r="C1702" s="2830"/>
      <c r="D1702" s="1921"/>
      <c r="E1702" s="2006"/>
      <c r="F1702" s="2006"/>
      <c r="G1702" s="2006"/>
      <c r="H1702" s="2006"/>
      <c r="I1702" s="2006"/>
      <c r="J1702" s="2006"/>
      <c r="K1702" s="2083"/>
      <c r="L1702" s="2083"/>
      <c r="M1702" s="1633"/>
      <c r="N1702" s="2001"/>
      <c r="O1702" s="2002"/>
      <c r="P1702" s="2002"/>
      <c r="Q1702" s="2006"/>
      <c r="R1702" s="2006"/>
      <c r="S1702" s="2006"/>
      <c r="T1702" s="2006"/>
      <c r="U1702" s="2006"/>
      <c r="V1702" s="2006"/>
      <c r="W1702" s="2006"/>
      <c r="X1702" s="2006"/>
    </row>
    <row r="1703" spans="1:24" ht="15">
      <c r="A1703" s="1828" t="s">
        <v>1985</v>
      </c>
      <c r="B1703" s="2040" t="s">
        <v>5178</v>
      </c>
      <c r="C1703" s="2006"/>
      <c r="D1703" s="2006"/>
      <c r="E1703" s="1955"/>
      <c r="F1703" s="2006"/>
      <c r="G1703" s="2006"/>
      <c r="H1703" s="1652" t="s">
        <v>4818</v>
      </c>
      <c r="I1703" s="1652"/>
      <c r="J1703" s="2840" t="s">
        <v>4819</v>
      </c>
      <c r="K1703" s="2006"/>
      <c r="L1703" s="2006"/>
      <c r="M1703" s="1633">
        <v>3</v>
      </c>
      <c r="N1703" s="1944" t="s">
        <v>1985</v>
      </c>
      <c r="O1703" s="2002">
        <f>'Part IX Scoring Criteria'!O55</f>
        <v>0</v>
      </c>
      <c r="P1703" s="2002">
        <f>IF(AND(P1704="Yes", P1705="Yes"),$M$55,0)</f>
        <v>0</v>
      </c>
      <c r="Q1703" s="2006"/>
      <c r="R1703" s="2006"/>
      <c r="S1703" s="2006"/>
      <c r="T1703" s="2006"/>
      <c r="U1703" s="2006"/>
      <c r="V1703" s="2006"/>
      <c r="W1703" s="2006"/>
      <c r="X1703" s="2006"/>
    </row>
    <row r="1704" spans="1:24" ht="15">
      <c r="A1704" s="2841"/>
      <c r="B1704" s="2836" t="s">
        <v>1986</v>
      </c>
      <c r="C1704" s="2842">
        <v>0.3</v>
      </c>
      <c r="D1704" s="1218" t="s">
        <v>3652</v>
      </c>
      <c r="E1704" s="1955"/>
      <c r="F1704" s="1964"/>
      <c r="G1704" s="2006"/>
      <c r="H1704" s="2843">
        <f>'Part IX Scoring Criteria'!H56</f>
        <v>0</v>
      </c>
      <c r="I1704" s="2843"/>
      <c r="J1704" s="2844">
        <f>'Part VI-Revenues &amp; Expenses'!O1713</f>
        <v>0</v>
      </c>
      <c r="K1704" s="2083">
        <f>IF(OR('Part VI-Revenues &amp; Expenses'!$O$65="", 'Part VI-Revenues &amp; Expenses'!$O$65=0),0,H1704/'Part VI-Revenues &amp; Expenses'!$O$65)</f>
        <v>0</v>
      </c>
      <c r="L1704" s="2083">
        <f>IF(OR('Part VI-Revenues &amp; Expenses'!$O$65="", 'Part VI-Revenues &amp; Expenses'!$O$65=0),0,I1704/'Part VI-Revenues &amp; Expenses'!$O$65)</f>
        <v>0</v>
      </c>
      <c r="M1704" s="1633"/>
      <c r="N1704" s="2001" t="s">
        <v>1986</v>
      </c>
      <c r="O1704" s="2002" t="str">
        <f>'Part IX Scoring Criteria'!O56</f>
        <v>No</v>
      </c>
      <c r="P1704" s="2002" t="str">
        <f>IF(AND(L1704 &gt;= $C$56,P1705="Yes"),"Yes","No")</f>
        <v>No</v>
      </c>
      <c r="Q1704" s="2006"/>
      <c r="R1704" s="2006"/>
      <c r="S1704" s="2006"/>
      <c r="T1704" s="2006"/>
      <c r="U1704" s="2006"/>
      <c r="V1704" s="2006"/>
      <c r="W1704" s="2006"/>
      <c r="X1704" s="2006"/>
    </row>
    <row r="1705" spans="1:24" ht="15">
      <c r="A1705" s="1895"/>
      <c r="B1705" s="2836" t="s">
        <v>1988</v>
      </c>
      <c r="C1705" s="1849" t="s">
        <v>3959</v>
      </c>
      <c r="D1705" s="2006"/>
      <c r="E1705" s="2845"/>
      <c r="F1705" s="1964"/>
      <c r="G1705" s="2006"/>
      <c r="H1705" s="2006"/>
      <c r="I1705" s="1971"/>
      <c r="J1705" s="1971"/>
      <c r="K1705" s="1971"/>
      <c r="L1705" s="1971"/>
      <c r="M1705" s="1971"/>
      <c r="N1705" s="2001" t="s">
        <v>1988</v>
      </c>
      <c r="O1705" s="1895">
        <f>'Part IX Scoring Criteria'!O57</f>
        <v>0</v>
      </c>
      <c r="P1705" s="1895"/>
      <c r="Q1705" s="2006"/>
      <c r="R1705" s="2006"/>
      <c r="S1705" s="2006"/>
      <c r="T1705" s="2006"/>
      <c r="U1705" s="2006"/>
      <c r="V1705" s="2006"/>
      <c r="W1705" s="2006"/>
      <c r="X1705" s="2006"/>
    </row>
    <row r="1706" spans="1:24" ht="15">
      <c r="A1706" s="1631"/>
      <c r="B1706" s="1866" t="s">
        <v>1866</v>
      </c>
      <c r="C1706" s="2006"/>
      <c r="D1706" s="1897"/>
      <c r="E1706" s="1899"/>
      <c r="F1706" s="1899"/>
      <c r="G1706" s="1899"/>
      <c r="H1706" s="1899"/>
      <c r="I1706" s="1899"/>
      <c r="J1706" s="1899"/>
      <c r="K1706" s="1899"/>
      <c r="L1706" s="1899"/>
      <c r="M1706" s="1899"/>
      <c r="N1706" s="2011"/>
      <c r="O1706" s="2011"/>
      <c r="P1706" s="1630"/>
      <c r="Q1706" s="2006"/>
      <c r="R1706" s="1976"/>
      <c r="S1706" s="1976"/>
      <c r="T1706" s="1976"/>
      <c r="U1706" s="1976"/>
      <c r="V1706" s="1976"/>
      <c r="W1706" s="1976"/>
      <c r="X1706" s="1976"/>
    </row>
    <row r="1707" spans="1:24" ht="15">
      <c r="A1707" s="1900"/>
      <c r="B1707" s="1900"/>
      <c r="C1707" s="1900"/>
      <c r="D1707" s="1900"/>
      <c r="E1707" s="1900"/>
      <c r="F1707" s="1900"/>
      <c r="G1707" s="1900"/>
      <c r="H1707" s="1900"/>
      <c r="I1707" s="1900"/>
      <c r="J1707" s="1900"/>
      <c r="K1707" s="1900"/>
      <c r="L1707" s="1900"/>
      <c r="M1707" s="1900"/>
      <c r="N1707" s="1900"/>
      <c r="O1707" s="1900"/>
      <c r="P1707" s="1900"/>
      <c r="Q1707" s="2786"/>
      <c r="R1707" s="1976"/>
      <c r="S1707" s="1976"/>
      <c r="T1707" s="1976"/>
      <c r="U1707" s="1976"/>
      <c r="V1707" s="1976"/>
      <c r="W1707" s="1976"/>
      <c r="X1707" s="1976"/>
    </row>
    <row r="1708" spans="1:24">
      <c r="N1708" s="1637"/>
      <c r="O1708" s="1637"/>
      <c r="P1708" s="1637"/>
    </row>
    <row r="1709" spans="1:24" ht="15.75" customHeight="1">
      <c r="A1709" s="2828" t="s">
        <v>742</v>
      </c>
      <c r="B1709" s="2764" t="s">
        <v>4099</v>
      </c>
      <c r="C1709" s="1976"/>
      <c r="D1709" s="2012"/>
      <c r="E1709" s="1976"/>
      <c r="F1709" s="1976"/>
      <c r="G1709" s="1976"/>
      <c r="H1709" s="1976"/>
      <c r="I1709" s="1785" t="s">
        <v>3772</v>
      </c>
      <c r="J1709" s="1785"/>
      <c r="K1709" s="1785"/>
      <c r="L1709" s="1785"/>
      <c r="M1709" s="1630">
        <v>10</v>
      </c>
      <c r="N1709" s="1937"/>
      <c r="O1709" s="1863">
        <f>'Part IX Scoring Criteria'!O61</f>
        <v>0</v>
      </c>
      <c r="P1709" s="1863">
        <f>IF(OR($M1712-P1713&lt;0,P1712-P1713&lt;0),0,IF(P1712&lt;=$M1712,P1712-P1713,IF(P1712&gt;$M1712,$M1712-P1713,0)))</f>
        <v>0</v>
      </c>
      <c r="Q1709" s="1630" t="s">
        <v>441</v>
      </c>
      <c r="R1709" s="1976"/>
      <c r="S1709" s="1976"/>
      <c r="T1709" s="1976"/>
      <c r="U1709" s="1976"/>
      <c r="V1709" s="1976"/>
      <c r="W1709" s="1976"/>
      <c r="X1709" s="1976"/>
    </row>
    <row r="1710" spans="1:24" ht="15">
      <c r="A1710" s="1631"/>
      <c r="B1710" s="1976"/>
      <c r="C1710" s="1976"/>
      <c r="D1710" s="521"/>
      <c r="E1710" s="521"/>
      <c r="F1710" s="1630"/>
      <c r="G1710" s="1630"/>
      <c r="H1710" s="1785"/>
      <c r="I1710" s="1785"/>
      <c r="J1710" s="1785"/>
      <c r="K1710" s="1785"/>
      <c r="L1710" s="1785"/>
      <c r="M1710" s="1895"/>
      <c r="N1710" s="1630"/>
      <c r="O1710" s="1637"/>
      <c r="P1710" s="1863"/>
      <c r="Q1710" s="1976"/>
      <c r="R1710" s="1976"/>
      <c r="S1710" s="1976"/>
      <c r="T1710" s="1976"/>
      <c r="U1710" s="1976"/>
      <c r="V1710" s="1976"/>
      <c r="W1710" s="1976"/>
      <c r="X1710" s="1976"/>
    </row>
    <row r="1711" spans="1:24" ht="15">
      <c r="A1711" s="1828"/>
      <c r="B1711" s="521" t="s">
        <v>3857</v>
      </c>
      <c r="C1711" s="1993"/>
      <c r="D1711" s="1631"/>
      <c r="E1711" s="1993"/>
      <c r="F1711" s="1993"/>
      <c r="G1711" s="1993"/>
      <c r="H1711" s="1993"/>
      <c r="I1711" s="1993"/>
      <c r="J1711" s="1993"/>
      <c r="K1711" s="1993"/>
      <c r="L1711" s="1993"/>
      <c r="M1711" s="1993"/>
      <c r="N1711" s="1937"/>
      <c r="O1711" s="1895">
        <f>'Part IX Scoring Criteria'!O63</f>
        <v>0</v>
      </c>
      <c r="P1711" s="1895"/>
      <c r="Q1711" s="1993"/>
      <c r="R1711" s="1993"/>
      <c r="S1711" s="1993"/>
      <c r="T1711" s="1993"/>
      <c r="U1711" s="1993"/>
      <c r="V1711" s="1993"/>
      <c r="W1711" s="1993"/>
      <c r="X1711" s="1993"/>
    </row>
    <row r="1712" spans="1:24" ht="15" customHeight="1">
      <c r="A1712" s="1828" t="s">
        <v>1983</v>
      </c>
      <c r="B1712" s="1634" t="s">
        <v>1874</v>
      </c>
      <c r="C1712" s="1631"/>
      <c r="D1712" s="1631"/>
      <c r="E1712" s="1993"/>
      <c r="F1712" s="1647"/>
      <c r="G1712" s="1993"/>
      <c r="H1712" s="1694" t="s">
        <v>2718</v>
      </c>
      <c r="I1712" s="1785" t="s">
        <v>5179</v>
      </c>
      <c r="J1712" s="1785"/>
      <c r="K1712" s="1785"/>
      <c r="L1712" s="1785"/>
      <c r="M1712" s="1630">
        <v>10</v>
      </c>
      <c r="N1712" s="2013" t="s">
        <v>1983</v>
      </c>
      <c r="O1712" s="1863">
        <f>'Part IX Scoring Criteria'!O64</f>
        <v>0</v>
      </c>
      <c r="P1712" s="1863"/>
      <c r="Q1712" s="2839" t="str">
        <f>IF(OR($O1712=$M1712,$O1712=0,$O1712=""),"","*CHECK!*")</f>
        <v/>
      </c>
      <c r="R1712" s="1993"/>
      <c r="S1712" s="1993"/>
      <c r="T1712" s="1993"/>
      <c r="U1712" s="1993"/>
      <c r="V1712" s="1993"/>
      <c r="W1712" s="1993"/>
      <c r="X1712" s="1993"/>
    </row>
    <row r="1713" spans="1:24" ht="16.5">
      <c r="A1713" s="1828" t="s">
        <v>1985</v>
      </c>
      <c r="B1713" s="1634" t="s">
        <v>3846</v>
      </c>
      <c r="C1713" s="1993"/>
      <c r="D1713" s="2041"/>
      <c r="E1713" s="1993"/>
      <c r="F1713" s="2731"/>
      <c r="G1713" s="1993"/>
      <c r="H1713" s="1694" t="s">
        <v>3988</v>
      </c>
      <c r="I1713" s="1785"/>
      <c r="J1713" s="1785"/>
      <c r="K1713" s="1785"/>
      <c r="L1713" s="1785"/>
      <c r="M1713" s="1895" t="s">
        <v>1238</v>
      </c>
      <c r="N1713" s="1937" t="s">
        <v>1985</v>
      </c>
      <c r="O1713" s="1863">
        <f>'Part IX Scoring Criteria'!O65</f>
        <v>0</v>
      </c>
      <c r="P1713" s="1863"/>
      <c r="Q1713" s="1993"/>
      <c r="R1713" s="1993"/>
      <c r="S1713" s="1993"/>
      <c r="T1713" s="1993"/>
      <c r="U1713" s="1993"/>
      <c r="V1713" s="1993"/>
      <c r="W1713" s="1993"/>
      <c r="X1713" s="1993"/>
    </row>
    <row r="1714" spans="1:24" ht="15">
      <c r="A1714" s="1631"/>
      <c r="B1714" s="1866" t="s">
        <v>3757</v>
      </c>
      <c r="C1714" s="1631"/>
      <c r="D1714" s="1634"/>
      <c r="E1714" s="1634"/>
      <c r="F1714" s="1634"/>
      <c r="G1714" s="1634"/>
      <c r="H1714" s="521"/>
      <c r="I1714" s="1785"/>
      <c r="J1714" s="1785"/>
      <c r="K1714" s="1785"/>
      <c r="L1714" s="1785"/>
      <c r="M1714" s="1630"/>
      <c r="N1714" s="1637"/>
      <c r="O1714" s="1863"/>
      <c r="P1714" s="1637"/>
      <c r="Q1714" s="1976"/>
      <c r="R1714" s="1976"/>
      <c r="S1714" s="1976"/>
      <c r="T1714" s="1976"/>
      <c r="U1714" s="1976"/>
      <c r="V1714" s="1976"/>
      <c r="W1714" s="1976"/>
      <c r="X1714" s="1976"/>
    </row>
    <row r="1715" spans="1:24" ht="15">
      <c r="A1715" s="1900">
        <f>'Part IX Scoring Criteria'!A67</f>
        <v>0</v>
      </c>
      <c r="B1715" s="1900"/>
      <c r="C1715" s="1900"/>
      <c r="D1715" s="1900"/>
      <c r="E1715" s="1900"/>
      <c r="F1715" s="1900"/>
      <c r="G1715" s="1900"/>
      <c r="H1715" s="1900"/>
      <c r="I1715" s="1900"/>
      <c r="J1715" s="1900"/>
      <c r="K1715" s="1900"/>
      <c r="L1715" s="1900"/>
      <c r="M1715" s="1900"/>
      <c r="N1715" s="1900"/>
      <c r="O1715" s="1900"/>
      <c r="P1715" s="1900"/>
      <c r="Q1715" s="2786" t="s">
        <v>1254</v>
      </c>
      <c r="R1715" s="2786"/>
      <c r="S1715" s="1976"/>
      <c r="T1715" s="1976"/>
      <c r="U1715" s="1976"/>
      <c r="V1715" s="1976"/>
      <c r="W1715" s="1976"/>
      <c r="X1715" s="1976"/>
    </row>
    <row r="1716" spans="1:24" ht="15">
      <c r="A1716" s="1631"/>
      <c r="B1716" s="1866" t="s">
        <v>1866</v>
      </c>
      <c r="C1716" s="1631"/>
      <c r="D1716" s="1897"/>
      <c r="E1716" s="1899"/>
      <c r="F1716" s="1899"/>
      <c r="G1716" s="1899"/>
      <c r="H1716" s="1899"/>
      <c r="I1716" s="1899"/>
      <c r="J1716" s="1899"/>
      <c r="K1716" s="1899"/>
      <c r="L1716" s="1899"/>
      <c r="M1716" s="1899"/>
      <c r="N1716" s="2011"/>
      <c r="O1716" s="2011"/>
      <c r="P1716" s="1630"/>
      <c r="Q1716" s="2006"/>
      <c r="R1716" s="2006"/>
      <c r="S1716" s="1976"/>
      <c r="T1716" s="1976"/>
      <c r="U1716" s="1976"/>
      <c r="V1716" s="1976"/>
      <c r="W1716" s="1976"/>
      <c r="X1716" s="1976"/>
    </row>
    <row r="1717" spans="1:24" ht="15">
      <c r="A1717" s="1900"/>
      <c r="B1717" s="1900"/>
      <c r="C1717" s="1900"/>
      <c r="D1717" s="1900"/>
      <c r="E1717" s="1900"/>
      <c r="F1717" s="1900"/>
      <c r="G1717" s="1900"/>
      <c r="H1717" s="1900"/>
      <c r="I1717" s="1900"/>
      <c r="J1717" s="1900"/>
      <c r="K1717" s="1900"/>
      <c r="L1717" s="1900"/>
      <c r="M1717" s="1900"/>
      <c r="N1717" s="1900"/>
      <c r="O1717" s="1900"/>
      <c r="P1717" s="1900"/>
      <c r="Q1717" s="2786"/>
      <c r="R1717" s="2786"/>
      <c r="S1717" s="1976"/>
      <c r="T1717" s="1976"/>
      <c r="U1717" s="1976"/>
      <c r="V1717" s="1976"/>
      <c r="W1717" s="1976"/>
      <c r="X1717" s="1976"/>
    </row>
    <row r="1718" spans="1:24">
      <c r="M1718" s="1631"/>
      <c r="N1718" s="1630"/>
      <c r="O1718" s="1630"/>
      <c r="P1718" s="1630"/>
    </row>
    <row r="1719" spans="1:24" ht="15.75" customHeight="1">
      <c r="A1719" s="2828" t="s">
        <v>1792</v>
      </c>
      <c r="B1719" s="2764" t="s">
        <v>2631</v>
      </c>
      <c r="C1719" s="1976"/>
      <c r="D1719" s="2012"/>
      <c r="E1719" s="1976"/>
      <c r="F1719" s="1976"/>
      <c r="G1719" s="1976"/>
      <c r="H1719" s="1976"/>
      <c r="I1719" s="1976"/>
      <c r="J1719" s="1976"/>
      <c r="K1719" s="2018" t="s">
        <v>1879</v>
      </c>
      <c r="L1719" s="1976"/>
      <c r="M1719" s="1630">
        <v>6</v>
      </c>
      <c r="N1719" s="1937"/>
      <c r="O1719" s="1863">
        <f>'Part IX Scoring Criteria'!O71</f>
        <v>0</v>
      </c>
      <c r="P1719" s="1863">
        <f>IF($J$72="Flexible",MIN($M1719,MAX(P1734,P1740)),IF(AND($J$72="Rural",P1748&gt;0),MIN($M1748,P1748),0))</f>
        <v>0</v>
      </c>
      <c r="Q1719" s="1630" t="s">
        <v>441</v>
      </c>
      <c r="R1719" s="2019" t="s">
        <v>5180</v>
      </c>
      <c r="S1719" s="2019"/>
      <c r="T1719" s="2019"/>
      <c r="U1719" s="2019"/>
      <c r="V1719" s="1976"/>
      <c r="W1719" s="1976"/>
      <c r="X1719" s="1976"/>
    </row>
    <row r="1720" spans="1:24" ht="15">
      <c r="A1720" s="2828"/>
      <c r="B1720" s="1634" t="s">
        <v>3962</v>
      </c>
      <c r="C1720" s="1976"/>
      <c r="D1720" s="2012"/>
      <c r="E1720" s="1976"/>
      <c r="F1720" s="1976"/>
      <c r="G1720" s="1976"/>
      <c r="H1720" s="1634" t="s">
        <v>2794</v>
      </c>
      <c r="I1720" s="1486"/>
      <c r="J1720" s="1634" t="str">
        <f>'Part I-Project Information'!$H$105</f>
        <v>N/A - 4% Bond</v>
      </c>
      <c r="K1720" s="1634"/>
      <c r="L1720" s="1976"/>
      <c r="M1720" s="1630"/>
      <c r="N1720" s="1937"/>
      <c r="O1720" s="2020" t="s">
        <v>3596</v>
      </c>
      <c r="P1720" s="2020" t="s">
        <v>3597</v>
      </c>
      <c r="Q1720" s="1630"/>
      <c r="R1720" s="2019"/>
      <c r="S1720" s="2019"/>
      <c r="T1720" s="2019"/>
      <c r="U1720" s="2019"/>
      <c r="V1720" s="1976"/>
      <c r="W1720" s="1976"/>
      <c r="X1720" s="1976"/>
    </row>
    <row r="1721" spans="1:24" ht="15">
      <c r="A1721" s="2828"/>
      <c r="B1721" s="2093" t="s">
        <v>1986</v>
      </c>
      <c r="C1721" s="521" t="s">
        <v>4826</v>
      </c>
      <c r="D1721" s="2041"/>
      <c r="E1721" s="1993"/>
      <c r="F1721" s="1993"/>
      <c r="G1721" s="1993"/>
      <c r="H1721" s="1866"/>
      <c r="I1721" s="1866"/>
      <c r="J1721" s="1634"/>
      <c r="K1721" s="1634"/>
      <c r="L1721" s="1993"/>
      <c r="M1721" s="1630"/>
      <c r="N1721" s="1937"/>
      <c r="O1721" s="1895">
        <f>'Part IX Scoring Criteria'!O73</f>
        <v>0</v>
      </c>
      <c r="P1721" s="1895"/>
      <c r="Q1721" s="1630"/>
      <c r="R1721" s="2019"/>
      <c r="S1721" s="2019"/>
      <c r="T1721" s="2019"/>
      <c r="U1721" s="2019"/>
      <c r="V1721" s="1976"/>
      <c r="W1721" s="1976"/>
      <c r="X1721" s="1976"/>
    </row>
    <row r="1722" spans="1:24" ht="15">
      <c r="A1722" s="2828"/>
      <c r="B1722" s="2093" t="s">
        <v>1988</v>
      </c>
      <c r="C1722" s="521" t="s">
        <v>4827</v>
      </c>
      <c r="D1722" s="2041"/>
      <c r="E1722" s="1993"/>
      <c r="F1722" s="1993"/>
      <c r="G1722" s="1993"/>
      <c r="H1722" s="1866"/>
      <c r="I1722" s="1866"/>
      <c r="J1722" s="1634"/>
      <c r="K1722" s="1634"/>
      <c r="L1722" s="1993"/>
      <c r="M1722" s="1993"/>
      <c r="N1722" s="1937"/>
      <c r="O1722" s="1895">
        <f>'Part IX Scoring Criteria'!O74</f>
        <v>0</v>
      </c>
      <c r="P1722" s="1895"/>
      <c r="Q1722" s="1630"/>
      <c r="R1722" s="2019"/>
      <c r="S1722" s="2019"/>
      <c r="T1722" s="2019"/>
      <c r="U1722" s="2019"/>
      <c r="V1722" s="1976"/>
      <c r="W1722" s="1976"/>
      <c r="X1722" s="1976"/>
    </row>
    <row r="1723" spans="1:24" ht="15">
      <c r="A1723" s="2828"/>
      <c r="B1723" s="2093" t="s">
        <v>2534</v>
      </c>
      <c r="C1723" s="521" t="s">
        <v>5181</v>
      </c>
      <c r="D1723" s="2041"/>
      <c r="E1723" s="1993"/>
      <c r="F1723" s="1993"/>
      <c r="G1723" s="1993"/>
      <c r="H1723" s="1866"/>
      <c r="I1723" s="1866"/>
      <c r="J1723" s="1634"/>
      <c r="K1723" s="1634"/>
      <c r="L1723" s="1993"/>
      <c r="M1723" s="1993"/>
      <c r="N1723" s="1937"/>
      <c r="O1723" s="1895">
        <f>'Part IX Scoring Criteria'!O75</f>
        <v>0</v>
      </c>
      <c r="P1723" s="1895"/>
      <c r="Q1723" s="1630"/>
      <c r="R1723" s="2019"/>
      <c r="S1723" s="2019"/>
      <c r="T1723" s="2019"/>
      <c r="U1723" s="2019"/>
      <c r="V1723" s="1976"/>
      <c r="W1723" s="1976"/>
      <c r="X1723" s="1976"/>
    </row>
    <row r="1724" spans="1:24" ht="15">
      <c r="A1724" s="2828"/>
      <c r="B1724" s="2093" t="s">
        <v>1224</v>
      </c>
      <c r="C1724" s="521" t="s">
        <v>4821</v>
      </c>
      <c r="D1724" s="2041"/>
      <c r="E1724" s="1993"/>
      <c r="F1724" s="1993"/>
      <c r="G1724" s="1993"/>
      <c r="H1724" s="1866"/>
      <c r="I1724" s="1866"/>
      <c r="J1724" s="1634"/>
      <c r="K1724" s="1634"/>
      <c r="L1724" s="1993"/>
      <c r="M1724" s="1993"/>
      <c r="N1724" s="1937"/>
      <c r="O1724" s="1895">
        <f>'Part IX Scoring Criteria'!O76</f>
        <v>0</v>
      </c>
      <c r="P1724" s="1895"/>
      <c r="Q1724" s="1630"/>
      <c r="R1724" s="2019"/>
      <c r="S1724" s="2019"/>
      <c r="T1724" s="2019"/>
      <c r="U1724" s="2019"/>
      <c r="V1724" s="1976"/>
      <c r="W1724" s="1976"/>
      <c r="X1724" s="1976"/>
    </row>
    <row r="1725" spans="1:24" ht="15">
      <c r="A1725" s="2828"/>
      <c r="B1725" s="2764"/>
      <c r="C1725" s="1976"/>
      <c r="D1725" s="2012"/>
      <c r="E1725" s="1976"/>
      <c r="F1725" s="1976"/>
      <c r="G1725" s="1976"/>
      <c r="H1725" s="1866"/>
      <c r="I1725" s="1866"/>
      <c r="J1725" s="1634"/>
      <c r="K1725" s="1634"/>
      <c r="L1725" s="1976"/>
      <c r="M1725" s="1630"/>
      <c r="N1725" s="1937"/>
      <c r="O1725" s="1863"/>
      <c r="P1725" s="1863"/>
      <c r="Q1725" s="1630"/>
      <c r="R1725" s="2019"/>
      <c r="S1725" s="2019"/>
      <c r="T1725" s="2019"/>
      <c r="U1725" s="2019"/>
      <c r="V1725" s="1976"/>
      <c r="W1725" s="1976"/>
      <c r="X1725" s="1976"/>
    </row>
    <row r="1726" spans="1:24" ht="15">
      <c r="A1726" s="2828"/>
      <c r="B1726" s="1634" t="s">
        <v>3968</v>
      </c>
      <c r="C1726" s="1976"/>
      <c r="D1726" s="2012"/>
      <c r="E1726" s="1976"/>
      <c r="F1726" s="1634" t="s">
        <v>3717</v>
      </c>
      <c r="G1726" s="1634"/>
      <c r="H1726" s="1634"/>
      <c r="I1726" s="1634"/>
      <c r="J1726" s="1634" t="s">
        <v>3718</v>
      </c>
      <c r="K1726" s="1634"/>
      <c r="L1726" s="1634"/>
      <c r="M1726" s="1634"/>
      <c r="N1726" s="1937"/>
      <c r="O1726" s="2846" t="s">
        <v>5182</v>
      </c>
      <c r="P1726" s="2846"/>
      <c r="Q1726" s="1630"/>
      <c r="R1726" s="2019"/>
      <c r="S1726" s="2019"/>
      <c r="T1726" s="2019"/>
      <c r="U1726" s="2019"/>
      <c r="V1726" s="1976"/>
      <c r="W1726" s="1976"/>
      <c r="X1726" s="1976"/>
    </row>
    <row r="1727" spans="1:24" ht="15">
      <c r="A1727" s="2828"/>
      <c r="B1727" s="1976"/>
      <c r="C1727" s="1634" t="s">
        <v>3967</v>
      </c>
      <c r="D1727" s="1711"/>
      <c r="E1727" s="1710"/>
      <c r="F1727" s="2023">
        <f>'Part IX Scoring Criteria'!F79</f>
        <v>0</v>
      </c>
      <c r="G1727" s="2023">
        <f>'Part IX Scoring Criteria'!G79</f>
        <v>0</v>
      </c>
      <c r="H1727" s="2023"/>
      <c r="I1727" s="2023"/>
      <c r="J1727" s="2023">
        <f>'Part IX Scoring Criteria'!J79</f>
        <v>0</v>
      </c>
      <c r="K1727" s="2023">
        <f>'Part IX Scoring Criteria'!K79</f>
        <v>0</v>
      </c>
      <c r="L1727" s="2023"/>
      <c r="M1727" s="2023"/>
      <c r="N1727" s="1937"/>
      <c r="O1727" s="1976"/>
      <c r="P1727" s="1976"/>
      <c r="Q1727" s="1630"/>
      <c r="R1727" s="2019"/>
      <c r="S1727" s="2019"/>
      <c r="T1727" s="2019"/>
      <c r="U1727" s="2019"/>
      <c r="V1727" s="1976"/>
      <c r="W1727" s="1976"/>
      <c r="X1727" s="1976"/>
    </row>
    <row r="1728" spans="1:24" ht="15" customHeight="1">
      <c r="A1728" s="2847" t="s">
        <v>4145</v>
      </c>
      <c r="B1728" s="2847"/>
      <c r="C1728" s="1976"/>
      <c r="D1728" s="521" t="s">
        <v>3969</v>
      </c>
      <c r="E1728" s="1710"/>
      <c r="F1728" s="2023">
        <f>'Part IX Scoring Criteria'!F80</f>
        <v>0</v>
      </c>
      <c r="G1728" s="2023">
        <f>'Part IX Scoring Criteria'!G80</f>
        <v>0</v>
      </c>
      <c r="H1728" s="2023"/>
      <c r="I1728" s="2023"/>
      <c r="J1728" s="2023">
        <f>'Part IX Scoring Criteria'!J80</f>
        <v>0</v>
      </c>
      <c r="K1728" s="2023">
        <f>'Part IX Scoring Criteria'!K80</f>
        <v>0</v>
      </c>
      <c r="L1728" s="2023"/>
      <c r="M1728" s="2023"/>
      <c r="N1728" s="1937"/>
      <c r="O1728" s="2024">
        <f>'Part IX Scoring Criteria'!O80</f>
        <v>0</v>
      </c>
      <c r="P1728" s="2024"/>
      <c r="Q1728" s="1630"/>
      <c r="R1728" s="2019"/>
      <c r="S1728" s="2019"/>
      <c r="T1728" s="2019"/>
      <c r="U1728" s="2019"/>
      <c r="V1728" s="1976"/>
      <c r="W1728" s="1976"/>
      <c r="X1728" s="1976"/>
    </row>
    <row r="1729" spans="1:24" ht="15">
      <c r="A1729" s="2847"/>
      <c r="B1729" s="2847"/>
      <c r="C1729" s="1634" t="s">
        <v>4097</v>
      </c>
      <c r="D1729" s="1711"/>
      <c r="E1729" s="1710"/>
      <c r="F1729" s="2023">
        <f>'Part IX Scoring Criteria'!F81</f>
        <v>0</v>
      </c>
      <c r="G1729" s="2023">
        <f>'Part IX Scoring Criteria'!G81</f>
        <v>0</v>
      </c>
      <c r="H1729" s="2023"/>
      <c r="I1729" s="2023"/>
      <c r="J1729" s="2023">
        <f>'Part IX Scoring Criteria'!J81</f>
        <v>0</v>
      </c>
      <c r="K1729" s="2023">
        <f>'Part IX Scoring Criteria'!K81</f>
        <v>0</v>
      </c>
      <c r="L1729" s="2023"/>
      <c r="M1729" s="2023"/>
      <c r="N1729" s="1937"/>
      <c r="O1729" s="1937"/>
      <c r="P1729" s="1937"/>
      <c r="Q1729" s="1630"/>
      <c r="R1729" s="2019"/>
      <c r="S1729" s="2019"/>
      <c r="T1729" s="2019"/>
      <c r="U1729" s="2019"/>
      <c r="V1729" s="1976"/>
      <c r="W1729" s="1976"/>
      <c r="X1729" s="1976"/>
    </row>
    <row r="1730" spans="1:24" ht="15">
      <c r="A1730" s="2847"/>
      <c r="B1730" s="2847"/>
      <c r="C1730" s="1976"/>
      <c r="D1730" s="1976"/>
      <c r="E1730" s="1937" t="s">
        <v>4096</v>
      </c>
      <c r="F1730" s="2023">
        <f>'Part IX Scoring Criteria'!F82</f>
        <v>0</v>
      </c>
      <c r="G1730" s="2023">
        <f>'Part IX Scoring Criteria'!G82</f>
        <v>0</v>
      </c>
      <c r="H1730" s="2023"/>
      <c r="I1730" s="2023"/>
      <c r="J1730" s="2023">
        <f>'Part IX Scoring Criteria'!J82</f>
        <v>0</v>
      </c>
      <c r="K1730" s="2023">
        <f>'Part IX Scoring Criteria'!K82</f>
        <v>0</v>
      </c>
      <c r="L1730" s="2023"/>
      <c r="M1730" s="2023"/>
      <c r="N1730" s="1937"/>
      <c r="O1730" s="2024">
        <f>'Part IX Scoring Criteria'!O82</f>
        <v>0</v>
      </c>
      <c r="P1730" s="2024"/>
      <c r="Q1730" s="1630"/>
      <c r="R1730" s="2019"/>
      <c r="S1730" s="2019"/>
      <c r="T1730" s="2019"/>
      <c r="U1730" s="2019"/>
      <c r="V1730" s="1976"/>
      <c r="W1730" s="1976"/>
      <c r="X1730" s="1976"/>
    </row>
    <row r="1731" spans="1:24" ht="15">
      <c r="A1731" s="2828"/>
      <c r="B1731" s="2764"/>
      <c r="C1731" s="1976"/>
      <c r="D1731" s="2012"/>
      <c r="E1731" s="1976"/>
      <c r="F1731" s="1976"/>
      <c r="G1731" s="1976"/>
      <c r="H1731" s="1866"/>
      <c r="I1731" s="1866"/>
      <c r="J1731" s="1634"/>
      <c r="K1731" s="1634"/>
      <c r="L1731" s="1976"/>
      <c r="M1731" s="1630"/>
      <c r="N1731" s="1937"/>
      <c r="O1731" s="1863"/>
      <c r="P1731" s="1863"/>
      <c r="Q1731" s="1630"/>
      <c r="R1731" s="2019"/>
      <c r="S1731" s="2019"/>
      <c r="T1731" s="2019"/>
      <c r="U1731" s="2019"/>
      <c r="V1731" s="1976"/>
      <c r="W1731" s="1976"/>
      <c r="X1731" s="1976"/>
    </row>
    <row r="1732" spans="1:24" ht="15">
      <c r="A1732" s="2848" t="s">
        <v>2785</v>
      </c>
      <c r="B1732" s="2764"/>
      <c r="C1732" s="1976"/>
      <c r="D1732" s="2012"/>
      <c r="E1732" s="1976"/>
      <c r="F1732" s="1842" t="s">
        <v>5183</v>
      </c>
      <c r="G1732" s="1976"/>
      <c r="H1732" s="1976"/>
      <c r="I1732" s="1976"/>
      <c r="J1732" s="1976"/>
      <c r="K1732" s="1976"/>
      <c r="L1732" s="1976"/>
      <c r="M1732" s="1630"/>
      <c r="N1732" s="1630"/>
      <c r="O1732" s="1630"/>
      <c r="P1732" s="1630"/>
      <c r="Q1732" s="1630"/>
      <c r="R1732" s="2019"/>
      <c r="S1732" s="2019"/>
      <c r="T1732" s="2019"/>
      <c r="U1732" s="2019"/>
      <c r="V1732" s="1976"/>
      <c r="W1732" s="1976"/>
      <c r="X1732" s="1976"/>
    </row>
    <row r="1733" spans="1:24" ht="15">
      <c r="A1733" s="2848"/>
      <c r="B1733" s="2764"/>
      <c r="C1733" s="1976"/>
      <c r="D1733" s="2012"/>
      <c r="E1733" s="1976"/>
      <c r="F1733" s="1842"/>
      <c r="G1733" s="1976"/>
      <c r="H1733" s="1976"/>
      <c r="I1733" s="1976"/>
      <c r="J1733" s="1976"/>
      <c r="K1733" s="1976"/>
      <c r="L1733" s="1976"/>
      <c r="M1733" s="1630"/>
      <c r="N1733" s="1630"/>
      <c r="O1733" s="1630"/>
      <c r="P1733" s="1630"/>
      <c r="Q1733" s="1630"/>
      <c r="R1733" s="2019"/>
      <c r="S1733" s="2019"/>
      <c r="T1733" s="2019"/>
      <c r="U1733" s="2019"/>
      <c r="V1733" s="1976"/>
      <c r="W1733" s="1976"/>
      <c r="X1733" s="1976"/>
    </row>
    <row r="1734" spans="1:24" ht="15">
      <c r="A1734" s="2079" t="s">
        <v>1983</v>
      </c>
      <c r="B1734" s="1634" t="s">
        <v>3750</v>
      </c>
      <c r="C1734" s="1976"/>
      <c r="D1734" s="2012"/>
      <c r="E1734" s="1976"/>
      <c r="F1734" s="1866" t="s">
        <v>5184</v>
      </c>
      <c r="G1734" s="1976"/>
      <c r="H1734" s="1976"/>
      <c r="I1734" s="1976"/>
      <c r="J1734" s="1976"/>
      <c r="K1734" s="1976"/>
      <c r="L1734" s="1976"/>
      <c r="M1734" s="1630">
        <v>6</v>
      </c>
      <c r="N1734" s="2001" t="s">
        <v>1983</v>
      </c>
      <c r="O1734" s="1863">
        <f>'Part IX Scoring Criteria'!O86</f>
        <v>0</v>
      </c>
      <c r="P1734" s="1863">
        <f>IF($J$72="Flexible",MIN($M1734,P1735+P1736+P1737),0)</f>
        <v>0</v>
      </c>
      <c r="Q1734" s="1630"/>
      <c r="R1734" s="1976"/>
      <c r="S1734" s="1976"/>
      <c r="T1734" s="1976"/>
      <c r="U1734" s="1976"/>
      <c r="V1734" s="1976"/>
      <c r="W1734" s="1976"/>
      <c r="X1734" s="1976"/>
    </row>
    <row r="1735" spans="1:24" ht="15" customHeight="1">
      <c r="A1735" s="2028"/>
      <c r="B1735" s="2021" t="s">
        <v>1986</v>
      </c>
      <c r="C1735" s="1900" t="s">
        <v>5185</v>
      </c>
      <c r="D1735" s="1900"/>
      <c r="E1735" s="1900"/>
      <c r="F1735" s="1900"/>
      <c r="G1735" s="1900"/>
      <c r="H1735" s="1900"/>
      <c r="I1735" s="2027" t="s">
        <v>5186</v>
      </c>
      <c r="J1735" s="2027"/>
      <c r="K1735" s="2027"/>
      <c r="L1735" s="2027"/>
      <c r="M1735" s="2030">
        <v>5</v>
      </c>
      <c r="N1735" s="2021" t="s">
        <v>1986</v>
      </c>
      <c r="O1735" s="2806">
        <f>'Part IX Scoring Criteria'!O87</f>
        <v>0</v>
      </c>
      <c r="P1735" s="2806"/>
      <c r="Q1735" s="2839" t="str">
        <f>IF(OR($O1735=$M1735,$O1735=0,$O1735=""),"","*CHECK!*")</f>
        <v/>
      </c>
      <c r="R1735" s="1652" t="s">
        <v>2706</v>
      </c>
      <c r="S1735" s="2028"/>
      <c r="T1735" s="2028"/>
      <c r="U1735" s="2028"/>
      <c r="V1735" s="2028"/>
      <c r="W1735" s="2028"/>
      <c r="X1735" s="2028"/>
    </row>
    <row r="1736" spans="1:24" ht="15" customHeight="1">
      <c r="A1736" s="1895" t="s">
        <v>1353</v>
      </c>
      <c r="B1736" s="2021" t="s">
        <v>1988</v>
      </c>
      <c r="C1736" s="1921" t="s">
        <v>5187</v>
      </c>
      <c r="D1736" s="1921"/>
      <c r="E1736" s="1921"/>
      <c r="F1736" s="1921"/>
      <c r="G1736" s="1921"/>
      <c r="H1736" s="1895" t="str">
        <f>IF(AND(O1736&gt;0,O1735&gt;0),"Pick A1 or A2!","")</f>
        <v/>
      </c>
      <c r="I1736" s="2027"/>
      <c r="J1736" s="2027"/>
      <c r="K1736" s="2027"/>
      <c r="L1736" s="2027"/>
      <c r="M1736" s="1630">
        <v>4</v>
      </c>
      <c r="N1736" s="2093" t="s">
        <v>1988</v>
      </c>
      <c r="O1736" s="1863">
        <f>'Part IX Scoring Criteria'!O88</f>
        <v>0</v>
      </c>
      <c r="P1736" s="1863"/>
      <c r="Q1736" s="2839" t="str">
        <f>IF(OR($O1736=$M1736,$O1736=0,$O1736=""),"","*CHECK!*")</f>
        <v/>
      </c>
      <c r="R1736" s="1652" t="s">
        <v>2706</v>
      </c>
      <c r="S1736" s="2028"/>
      <c r="T1736" s="2028"/>
      <c r="U1736" s="2028"/>
      <c r="V1736" s="2028"/>
      <c r="W1736" s="2028"/>
      <c r="X1736" s="2028"/>
    </row>
    <row r="1737" spans="1:24" ht="15" customHeight="1">
      <c r="A1737" s="2028"/>
      <c r="B1737" s="2021" t="s">
        <v>2534</v>
      </c>
      <c r="C1737" s="1921" t="s">
        <v>3751</v>
      </c>
      <c r="D1737" s="1921"/>
      <c r="E1737" s="1921"/>
      <c r="F1737" s="1921"/>
      <c r="G1737" s="2028"/>
      <c r="H1737" s="2028"/>
      <c r="I1737" s="2027"/>
      <c r="J1737" s="2027"/>
      <c r="K1737" s="2027"/>
      <c r="L1737" s="2027"/>
      <c r="M1737" s="1630">
        <v>1</v>
      </c>
      <c r="N1737" s="2093" t="s">
        <v>2534</v>
      </c>
      <c r="O1737" s="1863">
        <f>'Part IX Scoring Criteria'!O89</f>
        <v>0</v>
      </c>
      <c r="P1737" s="1863"/>
      <c r="Q1737" s="2839" t="str">
        <f>IF(OR($O1737=$M1737,$O1737=0,$O1737=""),"","*CHECK!*")</f>
        <v/>
      </c>
      <c r="R1737" s="1652" t="s">
        <v>2706</v>
      </c>
      <c r="S1737" s="2028"/>
      <c r="T1737" s="2028"/>
      <c r="U1737" s="2028"/>
      <c r="V1737" s="2028"/>
      <c r="W1737" s="2028"/>
      <c r="X1737" s="2028"/>
    </row>
    <row r="1738" spans="1:24" ht="15" customHeight="1">
      <c r="A1738" s="2028"/>
      <c r="B1738" s="2021"/>
      <c r="C1738" s="1694" t="s">
        <v>4095</v>
      </c>
      <c r="D1738" s="1921"/>
      <c r="E1738" s="1921"/>
      <c r="F1738" s="1689" t="str">
        <f>'Part I-Project Information'!$H$82</f>
        <v>Family</v>
      </c>
      <c r="G1738" s="1694"/>
      <c r="H1738" s="1689"/>
      <c r="I1738" s="2027"/>
      <c r="J1738" s="2027"/>
      <c r="K1738" s="2027"/>
      <c r="L1738" s="2027"/>
      <c r="M1738" s="1993"/>
      <c r="N1738" s="1993"/>
      <c r="O1738" s="1993"/>
      <c r="P1738" s="1993"/>
      <c r="Q1738" s="2807"/>
      <c r="R1738" s="1845"/>
      <c r="S1738" s="2028"/>
      <c r="T1738" s="2028"/>
      <c r="U1738" s="2028"/>
      <c r="V1738" s="2028"/>
      <c r="W1738" s="2028"/>
      <c r="X1738" s="2028"/>
    </row>
    <row r="1739" spans="1:24" ht="15" customHeight="1">
      <c r="A1739" s="2028"/>
      <c r="B1739" s="2021"/>
      <c r="C1739" s="1694"/>
      <c r="D1739" s="1921"/>
      <c r="E1739" s="1921"/>
      <c r="F1739" s="1689"/>
      <c r="G1739" s="1694"/>
      <c r="H1739" s="1689"/>
      <c r="I1739" s="2027"/>
      <c r="J1739" s="2027"/>
      <c r="K1739" s="2027"/>
      <c r="L1739" s="2027"/>
      <c r="M1739" s="1993"/>
      <c r="N1739" s="1993"/>
      <c r="O1739" s="1993"/>
      <c r="P1739" s="1993"/>
      <c r="Q1739" s="2807"/>
      <c r="R1739" s="1845"/>
      <c r="S1739" s="2028"/>
      <c r="T1739" s="2028"/>
      <c r="U1739" s="2028"/>
      <c r="V1739" s="2028"/>
      <c r="W1739" s="2028"/>
      <c r="X1739" s="2028"/>
    </row>
    <row r="1740" spans="1:24" ht="15" customHeight="1">
      <c r="A1740" s="2079" t="s">
        <v>1985</v>
      </c>
      <c r="B1740" s="1484" t="s">
        <v>3752</v>
      </c>
      <c r="C1740" s="1484"/>
      <c r="D1740" s="1484"/>
      <c r="E1740" s="1484"/>
      <c r="F1740" s="1897" t="s">
        <v>5188</v>
      </c>
      <c r="G1740" s="2028"/>
      <c r="H1740" s="2028"/>
      <c r="I1740" s="1890" t="str">
        <f>'Part IX Scoring Criteria'!I92</f>
        <v>&lt;&lt; Enter transit agency/service name here &gt;&gt;</v>
      </c>
      <c r="J1740" s="1890"/>
      <c r="K1740" s="1890"/>
      <c r="L1740" s="2165" t="str">
        <f>'Part IX Scoring Criteria'!L92</f>
        <v>&lt;Enter phone here&gt;</v>
      </c>
      <c r="M1740" s="1630">
        <v>3</v>
      </c>
      <c r="N1740" s="1937" t="s">
        <v>1985</v>
      </c>
      <c r="O1740" s="1863">
        <f>'Part IX Scoring Criteria'!O92</f>
        <v>0</v>
      </c>
      <c r="P1740" s="1863">
        <f>IF($J$72="Flexible",MIN($M1740,P1743+P1744+P1745),0)</f>
        <v>0</v>
      </c>
      <c r="Q1740" s="2818"/>
      <c r="R1740" s="1845"/>
      <c r="S1740" s="2028"/>
      <c r="T1740" s="2028"/>
      <c r="U1740" s="2028"/>
      <c r="V1740" s="2028"/>
      <c r="W1740" s="2028"/>
      <c r="X1740" s="2028"/>
    </row>
    <row r="1741" spans="1:24" ht="15">
      <c r="A1741" s="2828"/>
      <c r="B1741" s="1937" t="s">
        <v>3783</v>
      </c>
      <c r="C1741" s="1652" t="s">
        <v>4824</v>
      </c>
      <c r="D1741" s="2041"/>
      <c r="E1741" s="1993"/>
      <c r="F1741" s="1993"/>
      <c r="G1741" s="1993"/>
      <c r="H1741" s="1866"/>
      <c r="I1741" s="1890"/>
      <c r="J1741" s="1890"/>
      <c r="K1741" s="1890"/>
      <c r="L1741" s="2165"/>
      <c r="M1741" s="1993"/>
      <c r="N1741" s="1937" t="s">
        <v>3783</v>
      </c>
      <c r="O1741" s="1895">
        <f>'Part IX Scoring Criteria'!O93</f>
        <v>0</v>
      </c>
      <c r="P1741" s="1895"/>
      <c r="Q1741" s="1630"/>
      <c r="R1741" s="1845"/>
      <c r="S1741" s="2028"/>
      <c r="T1741" s="2028"/>
      <c r="U1741" s="2028"/>
      <c r="V1741" s="1976"/>
      <c r="W1741" s="1976"/>
      <c r="X1741" s="1976"/>
    </row>
    <row r="1742" spans="1:24" ht="15" customHeight="1">
      <c r="A1742" s="2828"/>
      <c r="B1742" s="1937" t="s">
        <v>3784</v>
      </c>
      <c r="C1742" s="1652" t="s">
        <v>4823</v>
      </c>
      <c r="D1742" s="2041"/>
      <c r="E1742" s="1993"/>
      <c r="F1742" s="1993"/>
      <c r="G1742" s="1993"/>
      <c r="H1742" s="1866"/>
      <c r="I1742" s="1890" t="str">
        <f>'Part IX Scoring Criteria'!I94</f>
        <v>&lt;&lt; Enter email address of the transit service here &gt;&gt;</v>
      </c>
      <c r="J1742" s="1890"/>
      <c r="K1742" s="1890"/>
      <c r="L1742" s="1890"/>
      <c r="M1742" s="1993"/>
      <c r="N1742" s="1937" t="s">
        <v>3784</v>
      </c>
      <c r="O1742" s="1895">
        <f>'Part IX Scoring Criteria'!O94</f>
        <v>0</v>
      </c>
      <c r="P1742" s="1895"/>
      <c r="Q1742" s="1630"/>
      <c r="R1742" s="1845"/>
      <c r="S1742" s="2028"/>
      <c r="T1742" s="2028"/>
      <c r="U1742" s="2028"/>
      <c r="V1742" s="1976"/>
      <c r="W1742" s="1976"/>
      <c r="X1742" s="1976"/>
    </row>
    <row r="1743" spans="1:24" ht="15" customHeight="1">
      <c r="A1743" s="1828"/>
      <c r="B1743" s="2849" t="s">
        <v>1986</v>
      </c>
      <c r="C1743" s="1867" t="s">
        <v>5189</v>
      </c>
      <c r="D1743" s="1867"/>
      <c r="E1743" s="1867"/>
      <c r="F1743" s="1867"/>
      <c r="G1743" s="1867"/>
      <c r="H1743" s="1867"/>
      <c r="I1743" s="1890"/>
      <c r="J1743" s="1890"/>
      <c r="K1743" s="1890"/>
      <c r="L1743" s="1890"/>
      <c r="M1743" s="1630">
        <v>3</v>
      </c>
      <c r="N1743" s="2093" t="s">
        <v>1986</v>
      </c>
      <c r="O1743" s="1863">
        <f>'Part IX Scoring Criteria'!O95</f>
        <v>0</v>
      </c>
      <c r="P1743" s="1863"/>
      <c r="Q1743" s="2807" t="str">
        <f>IF(OR($O1743=$M1743,$O1743=0,$O1743=""),"","*CHECK!*")</f>
        <v/>
      </c>
      <c r="R1743" s="1845" t="s">
        <v>2706</v>
      </c>
      <c r="S1743" s="2028"/>
      <c r="T1743" s="2028"/>
      <c r="U1743" s="2028"/>
      <c r="V1743" s="2028"/>
      <c r="W1743" s="2028"/>
      <c r="X1743" s="2028"/>
    </row>
    <row r="1744" spans="1:24" ht="15" customHeight="1">
      <c r="A1744" s="1895" t="s">
        <v>1353</v>
      </c>
      <c r="B1744" s="2849" t="s">
        <v>1988</v>
      </c>
      <c r="C1744" s="1867" t="s">
        <v>5190</v>
      </c>
      <c r="D1744" s="1867"/>
      <c r="E1744" s="1867"/>
      <c r="F1744" s="1867"/>
      <c r="G1744" s="1867"/>
      <c r="H1744" s="1867"/>
      <c r="I1744" s="1890" t="str">
        <f>'Part IX Scoring Criteria'!I96</f>
        <v>&lt;&lt; Enter specific URL/webpage showing established schedule from transit agency website here &gt;&gt;</v>
      </c>
      <c r="J1744" s="1890"/>
      <c r="K1744" s="1890"/>
      <c r="L1744" s="1890"/>
      <c r="M1744" s="1630">
        <v>2</v>
      </c>
      <c r="N1744" s="2093" t="s">
        <v>1988</v>
      </c>
      <c r="O1744" s="1863">
        <f>'Part IX Scoring Criteria'!O96</f>
        <v>0</v>
      </c>
      <c r="P1744" s="1863"/>
      <c r="Q1744" s="2807" t="str">
        <f>IF(OR($O1744=$M1744,$O1744=0,$O1744=""),"","*CHECK!*")</f>
        <v/>
      </c>
      <c r="R1744" s="1845" t="s">
        <v>2706</v>
      </c>
      <c r="S1744" s="1976"/>
      <c r="T1744" s="1976"/>
      <c r="U1744" s="1976"/>
      <c r="V1744" s="1976"/>
      <c r="W1744" s="1976"/>
      <c r="X1744" s="1976"/>
    </row>
    <row r="1745" spans="1:24" ht="15" customHeight="1">
      <c r="A1745" s="1895" t="s">
        <v>1353</v>
      </c>
      <c r="B1745" s="2849" t="s">
        <v>2534</v>
      </c>
      <c r="C1745" s="1867" t="s">
        <v>5191</v>
      </c>
      <c r="D1745" s="1867"/>
      <c r="E1745" s="1867"/>
      <c r="F1745" s="1867"/>
      <c r="G1745" s="1867"/>
      <c r="H1745" s="1867"/>
      <c r="I1745" s="1890"/>
      <c r="J1745" s="1890"/>
      <c r="K1745" s="1890"/>
      <c r="L1745" s="1890"/>
      <c r="M1745" s="1630">
        <v>1</v>
      </c>
      <c r="N1745" s="2093" t="s">
        <v>2534</v>
      </c>
      <c r="O1745" s="1863">
        <f>'Part IX Scoring Criteria'!O97</f>
        <v>0</v>
      </c>
      <c r="P1745" s="1863"/>
      <c r="Q1745" s="2807" t="str">
        <f>IF(OR($O1745=$M1745,$O1745=0,$O1745=""),"","*CHECK!*")</f>
        <v/>
      </c>
      <c r="R1745" s="1845" t="s">
        <v>2706</v>
      </c>
      <c r="S1745" s="1976"/>
      <c r="T1745" s="1976"/>
      <c r="U1745" s="1976"/>
      <c r="V1745" s="1976"/>
      <c r="W1745" s="1976"/>
      <c r="X1745" s="1976"/>
    </row>
    <row r="1746" spans="1:24" ht="15" customHeight="1">
      <c r="A1746" s="1948"/>
      <c r="B1746" s="2850"/>
      <c r="C1746" s="1899"/>
      <c r="D1746" s="1899"/>
      <c r="E1746" s="1899"/>
      <c r="F1746" s="521" t="str">
        <f>IF(OR(AND(O1743&gt;0,O1744&gt;0,O1745&gt;0),AND(O1743&gt;0,O1744&gt;0),AND(O1743&gt;0,O1745&gt;0),AND(O1744&gt;0,O1745&gt;0)),"Choose only one option: B1 or B2 or B3!","")</f>
        <v/>
      </c>
      <c r="G1746" s="521"/>
      <c r="H1746" s="521"/>
      <c r="I1746" s="1890" t="str">
        <f>'Part IX Scoring Criteria'!I98</f>
        <v>&lt;&lt; Enter specific URL/webpage showing established routes from transit agency website (if different) here &gt;&gt;</v>
      </c>
      <c r="J1746" s="1890"/>
      <c r="K1746" s="1890"/>
      <c r="L1746" s="1890"/>
      <c r="M1746" s="1993"/>
      <c r="N1746" s="1993"/>
      <c r="O1746" s="1993"/>
      <c r="P1746" s="1993"/>
      <c r="Q1746" s="2807"/>
      <c r="R1746" s="1845"/>
      <c r="S1746" s="1976"/>
      <c r="T1746" s="1976"/>
      <c r="U1746" s="1976"/>
      <c r="V1746" s="1976"/>
      <c r="W1746" s="1976"/>
      <c r="X1746" s="1976"/>
    </row>
    <row r="1747" spans="1:24" ht="15">
      <c r="A1747" s="2848" t="s">
        <v>2787</v>
      </c>
      <c r="B1747" s="1634"/>
      <c r="C1747" s="1976"/>
      <c r="D1747" s="1976"/>
      <c r="E1747" s="2012"/>
      <c r="F1747" s="1976"/>
      <c r="G1747" s="1976"/>
      <c r="H1747" s="1976"/>
      <c r="I1747" s="1890"/>
      <c r="J1747" s="1890"/>
      <c r="K1747" s="1890"/>
      <c r="L1747" s="1890"/>
      <c r="M1747" s="1630"/>
      <c r="N1747" s="1630"/>
      <c r="O1747" s="1630"/>
      <c r="P1747" s="1630"/>
      <c r="Q1747" s="2817"/>
      <c r="R1747" s="2817"/>
      <c r="S1747" s="1976"/>
      <c r="T1747" s="1976"/>
      <c r="U1747" s="1976"/>
      <c r="V1747" s="1976"/>
      <c r="W1747" s="1976"/>
      <c r="X1747" s="1976"/>
    </row>
    <row r="1748" spans="1:24" ht="15" customHeight="1">
      <c r="A1748" s="1828"/>
      <c r="B1748" s="2021" t="s">
        <v>1224</v>
      </c>
      <c r="C1748" s="2038" t="s">
        <v>5192</v>
      </c>
      <c r="D1748" s="2038"/>
      <c r="E1748" s="2038"/>
      <c r="F1748" s="2038"/>
      <c r="G1748" s="2038"/>
      <c r="H1748" s="2038"/>
      <c r="I1748" s="1634"/>
      <c r="J1748" s="1634"/>
      <c r="K1748" s="1634"/>
      <c r="L1748" s="1634"/>
      <c r="M1748" s="1630">
        <v>2</v>
      </c>
      <c r="N1748" s="2093" t="s">
        <v>1224</v>
      </c>
      <c r="O1748" s="1863">
        <f>'Part IX Scoring Criteria'!O100</f>
        <v>0</v>
      </c>
      <c r="P1748" s="1863"/>
      <c r="Q1748" s="2807" t="str">
        <f>IF(OR($O1748=$M1748,$O1748=0,$O1748=""),"","*CHECK!*")</f>
        <v/>
      </c>
      <c r="R1748" s="1845" t="s">
        <v>2706</v>
      </c>
      <c r="S1748" s="1993"/>
      <c r="T1748" s="1993"/>
      <c r="U1748" s="1993"/>
      <c r="V1748" s="1993"/>
      <c r="W1748" s="1993"/>
      <c r="X1748" s="1993"/>
    </row>
    <row r="1749" spans="1:24" ht="15">
      <c r="A1749" s="1828"/>
      <c r="B1749" s="2021"/>
      <c r="C1749" s="2038"/>
      <c r="D1749" s="2038"/>
      <c r="E1749" s="2038"/>
      <c r="F1749" s="2038"/>
      <c r="G1749" s="2038"/>
      <c r="H1749" s="2038"/>
      <c r="I1749" s="1634"/>
      <c r="J1749" s="1634"/>
      <c r="K1749" s="1634"/>
      <c r="L1749" s="1634"/>
      <c r="M1749" s="1634"/>
      <c r="N1749" s="1634"/>
      <c r="O1749" s="1634"/>
      <c r="P1749" s="1634"/>
      <c r="Q1749" s="2807"/>
      <c r="R1749" s="1845"/>
      <c r="S1749" s="1993"/>
      <c r="T1749" s="1993"/>
      <c r="U1749" s="1993"/>
      <c r="V1749" s="1993"/>
      <c r="W1749" s="1993"/>
      <c r="X1749" s="1993"/>
    </row>
    <row r="1750" spans="1:24" ht="15">
      <c r="A1750" s="521" t="s">
        <v>5193</v>
      </c>
      <c r="B1750" s="1634"/>
      <c r="C1750" s="1976"/>
      <c r="D1750" s="1976"/>
      <c r="E1750" s="2012"/>
      <c r="F1750" s="1976"/>
      <c r="G1750" s="1976"/>
      <c r="H1750" s="1976"/>
      <c r="I1750" s="1976"/>
      <c r="J1750" s="1976"/>
      <c r="K1750" s="1634"/>
      <c r="L1750" s="1976"/>
      <c r="M1750" s="1630"/>
      <c r="N1750" s="1630"/>
      <c r="O1750" s="1630"/>
      <c r="P1750" s="1630"/>
      <c r="Q1750" s="2817"/>
      <c r="R1750" s="2817"/>
      <c r="S1750" s="1976"/>
      <c r="T1750" s="1976"/>
      <c r="U1750" s="1976"/>
      <c r="V1750" s="1976"/>
      <c r="W1750" s="1976"/>
      <c r="X1750" s="1976"/>
    </row>
    <row r="1751" spans="1:24" ht="15">
      <c r="A1751" s="1631"/>
      <c r="B1751" s="1866" t="s">
        <v>1866</v>
      </c>
      <c r="C1751" s="1631"/>
      <c r="D1751" s="1866"/>
      <c r="E1751" s="1834"/>
      <c r="F1751" s="1834"/>
      <c r="G1751" s="1834"/>
      <c r="H1751" s="1834"/>
      <c r="I1751" s="1834"/>
      <c r="J1751" s="1834"/>
      <c r="K1751" s="1834"/>
      <c r="L1751" s="1834"/>
      <c r="M1751" s="1834"/>
      <c r="N1751" s="1923"/>
      <c r="O1751" s="1923"/>
      <c r="P1751" s="1630"/>
      <c r="Q1751" s="2006"/>
      <c r="R1751" s="1993"/>
      <c r="S1751" s="1993"/>
      <c r="T1751" s="1993"/>
      <c r="U1751" s="1993"/>
      <c r="V1751" s="1993"/>
      <c r="W1751" s="1993"/>
      <c r="X1751" s="1993"/>
    </row>
    <row r="1752" spans="1:24" ht="15">
      <c r="A1752" s="1900"/>
      <c r="B1752" s="1900"/>
      <c r="C1752" s="1900"/>
      <c r="D1752" s="1900"/>
      <c r="E1752" s="1900"/>
      <c r="F1752" s="1900"/>
      <c r="G1752" s="1900"/>
      <c r="H1752" s="1900"/>
      <c r="I1752" s="1900"/>
      <c r="J1752" s="1900"/>
      <c r="K1752" s="1900"/>
      <c r="L1752" s="1900"/>
      <c r="M1752" s="1900"/>
      <c r="N1752" s="1900"/>
      <c r="O1752" s="1900"/>
      <c r="P1752" s="1900"/>
      <c r="Q1752" s="2786"/>
      <c r="R1752" s="1976"/>
      <c r="S1752" s="1976"/>
      <c r="T1752" s="1976"/>
      <c r="U1752" s="1976"/>
      <c r="V1752" s="1976"/>
      <c r="W1752" s="1976"/>
      <c r="X1752" s="1976"/>
    </row>
    <row r="1753" spans="1:24" ht="15">
      <c r="N1753" s="1637"/>
      <c r="O1753" s="1637"/>
      <c r="P1753" s="1637"/>
      <c r="R1753" s="1976"/>
    </row>
    <row r="1754" spans="1:24" ht="15">
      <c r="A1754" s="1631"/>
      <c r="B1754" s="1976"/>
      <c r="C1754" s="1976"/>
      <c r="D1754" s="521"/>
      <c r="E1754" s="521"/>
      <c r="F1754" s="1630"/>
      <c r="G1754" s="1630"/>
      <c r="H1754" s="1630"/>
      <c r="I1754" s="1630"/>
      <c r="J1754" s="1841"/>
      <c r="K1754" s="1841"/>
      <c r="L1754" s="1841"/>
      <c r="M1754" s="1895"/>
      <c r="N1754" s="1630"/>
      <c r="O1754" s="1637"/>
      <c r="P1754" s="1863"/>
      <c r="Q1754" s="1976"/>
      <c r="R1754" s="1976"/>
      <c r="S1754" s="1976"/>
      <c r="T1754" s="1976"/>
      <c r="U1754" s="1976"/>
      <c r="V1754" s="1976"/>
      <c r="W1754" s="1976"/>
      <c r="X1754" s="1976"/>
    </row>
    <row r="1755" spans="1:24" ht="15">
      <c r="A1755" s="2828" t="s">
        <v>1794</v>
      </c>
      <c r="B1755" s="2764" t="s">
        <v>3986</v>
      </c>
      <c r="C1755" s="1976"/>
      <c r="D1755" s="521"/>
      <c r="E1755" s="521"/>
      <c r="F1755" s="1630"/>
      <c r="G1755" s="1630"/>
      <c r="H1755" s="1630"/>
      <c r="I1755" s="1842" t="s">
        <v>5183</v>
      </c>
      <c r="J1755" s="1841"/>
      <c r="K1755" s="1841"/>
      <c r="L1755" s="1841"/>
      <c r="M1755" s="1630">
        <v>4</v>
      </c>
      <c r="N1755" s="1630"/>
      <c r="O1755" s="1863">
        <f>'Part IX Scoring Criteria'!O107</f>
        <v>0</v>
      </c>
      <c r="P1755" s="1863">
        <f>IF(AND(P1757&gt;0,P1763&gt;0),"AorB?",MIN($M$107,P1757+P1763+P1785))</f>
        <v>0</v>
      </c>
      <c r="Q1755" s="1630" t="s">
        <v>441</v>
      </c>
      <c r="R1755" s="1976"/>
      <c r="S1755" s="1976"/>
      <c r="T1755" s="1976"/>
      <c r="U1755" s="1976"/>
      <c r="V1755" s="1976"/>
      <c r="W1755" s="1976"/>
      <c r="X1755" s="1976"/>
    </row>
    <row r="1756" spans="1:24" ht="15">
      <c r="A1756" s="1631"/>
      <c r="B1756" s="1976"/>
      <c r="C1756" s="1976"/>
      <c r="D1756" s="521"/>
      <c r="E1756" s="521"/>
      <c r="F1756" s="1630"/>
      <c r="G1756" s="1630"/>
      <c r="H1756" s="1630"/>
      <c r="I1756" s="1630"/>
      <c r="J1756" s="1841"/>
      <c r="K1756" s="1841"/>
      <c r="L1756" s="1841"/>
      <c r="M1756" s="1895"/>
      <c r="N1756" s="1630"/>
      <c r="O1756" s="1637"/>
      <c r="P1756" s="1863"/>
      <c r="Q1756" s="1976"/>
      <c r="R1756" s="1976"/>
      <c r="S1756" s="1976"/>
      <c r="T1756" s="1976"/>
      <c r="U1756" s="1976"/>
      <c r="V1756" s="1976"/>
      <c r="W1756" s="1976"/>
      <c r="X1756" s="1976"/>
    </row>
    <row r="1757" spans="1:24" ht="15">
      <c r="A1757" s="1828" t="s">
        <v>1983</v>
      </c>
      <c r="B1757" s="1634" t="s">
        <v>3987</v>
      </c>
      <c r="C1757" s="1993"/>
      <c r="D1757" s="2041"/>
      <c r="E1757" s="521" t="s">
        <v>4101</v>
      </c>
      <c r="F1757" s="1993"/>
      <c r="G1757" s="1841"/>
      <c r="H1757" s="1993"/>
      <c r="I1757" s="1937" t="s">
        <v>4095</v>
      </c>
      <c r="J1757" s="1841" t="str">
        <f>'Part I-Project Information'!$H$82</f>
        <v>Family</v>
      </c>
      <c r="K1757" s="2041"/>
      <c r="L1757" s="2817" t="str">
        <f>IF(OR($O1757=$M1757,$O1757=0,$O1757=""),"","* * Check Score! * *")</f>
        <v/>
      </c>
      <c r="M1757" s="1630">
        <v>3</v>
      </c>
      <c r="N1757" s="1937" t="s">
        <v>1983</v>
      </c>
      <c r="O1757" s="1863">
        <f>'Part IX Scoring Criteria'!O109</f>
        <v>0</v>
      </c>
      <c r="P1757" s="1863"/>
      <c r="Q1757" s="2839" t="str">
        <f>IF(OR($O1757=$M1757,$O1757=0,$O1757=""),"","*CHECK!*")</f>
        <v/>
      </c>
      <c r="R1757" s="1652" t="s">
        <v>2706</v>
      </c>
      <c r="S1757" s="1993"/>
      <c r="T1757" s="1993"/>
      <c r="U1757" s="1993"/>
      <c r="V1757" s="1993"/>
      <c r="W1757" s="1993"/>
      <c r="X1757" s="1993"/>
    </row>
    <row r="1758" spans="1:24" ht="15">
      <c r="A1758" s="1631"/>
      <c r="B1758" s="1216" t="s">
        <v>4619</v>
      </c>
      <c r="C1758" s="1976"/>
      <c r="D1758" s="521"/>
      <c r="E1758" s="521"/>
      <c r="F1758" s="1630"/>
      <c r="G1758" s="1630"/>
      <c r="H1758" s="1630"/>
      <c r="I1758" s="1630"/>
      <c r="J1758" s="1841"/>
      <c r="K1758" s="1841"/>
      <c r="L1758" s="1841"/>
      <c r="M1758" s="1895"/>
      <c r="N1758" s="1630"/>
      <c r="O1758" s="1637"/>
      <c r="P1758" s="1863"/>
      <c r="Q1758" s="1976"/>
      <c r="R1758" s="1976"/>
      <c r="S1758" s="1976"/>
      <c r="T1758" s="1976"/>
      <c r="U1758" s="1976"/>
      <c r="V1758" s="1976"/>
      <c r="W1758" s="1976"/>
      <c r="X1758" s="1976"/>
    </row>
    <row r="1759" spans="1:24" ht="15">
      <c r="A1759" s="1631"/>
      <c r="B1759" s="2851" t="s">
        <v>1986</v>
      </c>
      <c r="C1759" s="521" t="s">
        <v>5125</v>
      </c>
      <c r="D1759" s="521"/>
      <c r="E1759" s="521"/>
      <c r="F1759" s="1630"/>
      <c r="G1759" s="1630"/>
      <c r="H1759" s="1630"/>
      <c r="I1759" s="1630"/>
      <c r="J1759" s="1841"/>
      <c r="K1759" s="1841"/>
      <c r="L1759" s="1841"/>
      <c r="M1759" s="1895"/>
      <c r="N1759" s="2013" t="s">
        <v>1986</v>
      </c>
      <c r="O1759" s="1895">
        <f>'Part IX Scoring Criteria'!O111</f>
        <v>0</v>
      </c>
      <c r="P1759" s="1895"/>
      <c r="Q1759" s="1976"/>
      <c r="R1759" s="1976"/>
      <c r="S1759" s="1976"/>
      <c r="T1759" s="1976"/>
      <c r="U1759" s="1976"/>
      <c r="V1759" s="1976"/>
      <c r="W1759" s="1976"/>
      <c r="X1759" s="1976"/>
    </row>
    <row r="1760" spans="1:24" ht="15">
      <c r="A1760" s="1631"/>
      <c r="B1760" s="2851" t="s">
        <v>1988</v>
      </c>
      <c r="C1760" s="521" t="s">
        <v>5126</v>
      </c>
      <c r="D1760" s="521"/>
      <c r="E1760" s="521"/>
      <c r="F1760" s="1630"/>
      <c r="G1760" s="1630"/>
      <c r="H1760" s="1630"/>
      <c r="I1760" s="1630"/>
      <c r="J1760" s="1841"/>
      <c r="K1760" s="1841"/>
      <c r="L1760" s="1841"/>
      <c r="M1760" s="1895"/>
      <c r="N1760" s="2013" t="s">
        <v>1988</v>
      </c>
      <c r="O1760" s="1895">
        <f>'Part IX Scoring Criteria'!O112</f>
        <v>0</v>
      </c>
      <c r="P1760" s="1895"/>
      <c r="Q1760" s="1976"/>
      <c r="R1760" s="1976"/>
      <c r="S1760" s="1976"/>
      <c r="T1760" s="1976"/>
      <c r="U1760" s="1976"/>
      <c r="V1760" s="1976"/>
      <c r="W1760" s="1976"/>
      <c r="X1760" s="1976"/>
    </row>
    <row r="1761" spans="1:24" ht="18.75">
      <c r="A1761" s="1937"/>
      <c r="B1761" s="2851" t="s">
        <v>2534</v>
      </c>
      <c r="C1761" s="521" t="s">
        <v>4829</v>
      </c>
      <c r="D1761" s="521"/>
      <c r="E1761" s="1867">
        <f>'Part IX Scoring Criteria'!E113</f>
        <v>0</v>
      </c>
      <c r="F1761" s="1867">
        <f>'Part IX Scoring Criteria'!F113</f>
        <v>0</v>
      </c>
      <c r="G1761" s="1867">
        <f>'Part IX Scoring Criteria'!G113</f>
        <v>0</v>
      </c>
      <c r="H1761" s="1867">
        <f>'Part IX Scoring Criteria'!H113</f>
        <v>0</v>
      </c>
      <c r="I1761" s="1867">
        <f>'Part IX Scoring Criteria'!I113</f>
        <v>0</v>
      </c>
      <c r="J1761" s="1867">
        <f>'Part IX Scoring Criteria'!J113</f>
        <v>0</v>
      </c>
      <c r="K1761" s="1867">
        <f>'Part IX Scoring Criteria'!K113</f>
        <v>0</v>
      </c>
      <c r="L1761" s="1867">
        <f>'Part IX Scoring Criteria'!L113</f>
        <v>0</v>
      </c>
      <c r="M1761" s="1867">
        <f>'Part IX Scoring Criteria'!M113</f>
        <v>0</v>
      </c>
      <c r="N1761" s="1867">
        <f>'Part IX Scoring Criteria'!N113</f>
        <v>0</v>
      </c>
      <c r="O1761" s="1867">
        <f>'Part IX Scoring Criteria'!O113</f>
        <v>0</v>
      </c>
      <c r="P1761" s="1867">
        <f>'Part IX Scoring Criteria'!P113</f>
        <v>0</v>
      </c>
      <c r="Q1761" s="2819"/>
      <c r="R1761" s="2819"/>
      <c r="S1761" s="2819"/>
      <c r="T1761" s="2819"/>
      <c r="U1761" s="521"/>
      <c r="V1761" s="521"/>
      <c r="W1761" s="521"/>
      <c r="X1761" s="521"/>
    </row>
    <row r="1762" spans="1:24" ht="15">
      <c r="A1762" s="1631"/>
      <c r="B1762" s="1976"/>
      <c r="C1762" s="1976"/>
      <c r="D1762" s="521"/>
      <c r="E1762" s="521"/>
      <c r="F1762" s="1630"/>
      <c r="G1762" s="1630"/>
      <c r="H1762" s="1630"/>
      <c r="I1762" s="1630"/>
      <c r="J1762" s="1841"/>
      <c r="K1762" s="1841"/>
      <c r="L1762" s="1841"/>
      <c r="M1762" s="1895"/>
      <c r="N1762" s="1630"/>
      <c r="O1762" s="1637"/>
      <c r="P1762" s="1863"/>
      <c r="Q1762" s="1976"/>
      <c r="R1762" s="1976"/>
      <c r="S1762" s="1976"/>
      <c r="T1762" s="1976"/>
      <c r="U1762" s="1976"/>
      <c r="V1762" s="1976"/>
      <c r="W1762" s="1976"/>
      <c r="X1762" s="1976"/>
    </row>
    <row r="1763" spans="1:24" ht="18.75">
      <c r="A1763" s="1828" t="s">
        <v>1985</v>
      </c>
      <c r="B1763" s="1634" t="s">
        <v>3990</v>
      </c>
      <c r="C1763" s="1993"/>
      <c r="D1763" s="1993"/>
      <c r="E1763" s="1993"/>
      <c r="F1763" s="521"/>
      <c r="G1763" s="521"/>
      <c r="H1763" s="1993"/>
      <c r="I1763" s="1993"/>
      <c r="J1763" s="1993"/>
      <c r="K1763" s="1993"/>
      <c r="L1763" s="2817" t="str">
        <f>IF(OR($O1763=$M1763,$O1763=0,$O1763=""),"","* * Check Score! * *")</f>
        <v/>
      </c>
      <c r="M1763" s="1633">
        <v>3</v>
      </c>
      <c r="N1763" s="1937" t="s">
        <v>1985</v>
      </c>
      <c r="O1763" s="1863">
        <f>'Part IX Scoring Criteria'!O115</f>
        <v>0</v>
      </c>
      <c r="P1763" s="1863"/>
      <c r="Q1763" s="2839" t="str">
        <f>IF(OR($O1763=$M1763,$O1763=0,$O1763=""),"","*CHECK!*")</f>
        <v/>
      </c>
      <c r="R1763" s="1652" t="s">
        <v>2706</v>
      </c>
      <c r="S1763" s="2819"/>
      <c r="T1763" s="2819"/>
      <c r="U1763" s="1993"/>
      <c r="V1763" s="1993"/>
      <c r="W1763" s="1993"/>
      <c r="X1763" s="1993"/>
    </row>
    <row r="1764" spans="1:24" ht="18.75">
      <c r="A1764" s="1828"/>
      <c r="B1764" s="2044"/>
      <c r="C1764" s="521" t="s">
        <v>3991</v>
      </c>
      <c r="D1764" s="1993"/>
      <c r="E1764" s="521"/>
      <c r="F1764" s="521"/>
      <c r="G1764" s="521"/>
      <c r="H1764" s="1993"/>
      <c r="I1764" s="1993"/>
      <c r="J1764" s="1993"/>
      <c r="K1764" s="1993"/>
      <c r="L1764" s="1993"/>
      <c r="M1764" s="1633"/>
      <c r="N1764" s="1633"/>
      <c r="O1764" s="1895">
        <f>'Part IX Scoring Criteria'!O116</f>
        <v>0</v>
      </c>
      <c r="P1764" s="1895"/>
      <c r="Q1764" s="2819"/>
      <c r="R1764" s="2819"/>
      <c r="S1764" s="2819"/>
      <c r="T1764" s="2819"/>
      <c r="U1764" s="1993"/>
      <c r="V1764" s="1993"/>
      <c r="W1764" s="1993"/>
      <c r="X1764" s="1993"/>
    </row>
    <row r="1765" spans="1:24" ht="18.75">
      <c r="A1765" s="1828"/>
      <c r="B1765" s="2044"/>
      <c r="C1765" s="521" t="s">
        <v>4578</v>
      </c>
      <c r="D1765" s="1652" t="s">
        <v>4831</v>
      </c>
      <c r="E1765" s="1993"/>
      <c r="F1765" s="521"/>
      <c r="G1765" s="521"/>
      <c r="H1765" s="1785">
        <f>'Part IX Scoring Criteria'!H117</f>
        <v>0</v>
      </c>
      <c r="I1765" s="1785">
        <f>'Part IX Scoring Criteria'!I117</f>
        <v>0</v>
      </c>
      <c r="J1765" s="1785">
        <f>'Part IX Scoring Criteria'!J117</f>
        <v>0</v>
      </c>
      <c r="K1765" s="1785">
        <f>'Part IX Scoring Criteria'!K117</f>
        <v>0</v>
      </c>
      <c r="L1765" s="1785">
        <f>'Part IX Scoring Criteria'!L117</f>
        <v>0</v>
      </c>
      <c r="M1765" s="1785">
        <f>'Part IX Scoring Criteria'!M117</f>
        <v>0</v>
      </c>
      <c r="N1765" s="1785">
        <f>'Part IX Scoring Criteria'!N117</f>
        <v>0</v>
      </c>
      <c r="O1765" s="1785">
        <f>'Part IX Scoring Criteria'!O117</f>
        <v>0</v>
      </c>
      <c r="P1765" s="1785">
        <f>'Part IX Scoring Criteria'!P117</f>
        <v>0</v>
      </c>
      <c r="Q1765" s="2819"/>
      <c r="R1765" s="2819"/>
      <c r="S1765" s="2819"/>
      <c r="T1765" s="2819"/>
      <c r="U1765" s="1993"/>
      <c r="V1765" s="1993"/>
      <c r="W1765" s="1993"/>
      <c r="X1765" s="1993"/>
    </row>
    <row r="1766" spans="1:24" ht="18.75">
      <c r="A1766" s="1828"/>
      <c r="B1766" s="521"/>
      <c r="C1766" s="521" t="s">
        <v>3994</v>
      </c>
      <c r="D1766" s="1993"/>
      <c r="E1766" s="521"/>
      <c r="F1766" s="521"/>
      <c r="G1766" s="521"/>
      <c r="H1766" s="1993"/>
      <c r="I1766" s="1993"/>
      <c r="J1766" s="1993"/>
      <c r="K1766" s="1993"/>
      <c r="L1766" s="1993"/>
      <c r="M1766" s="1630"/>
      <c r="N1766" s="1944" t="s">
        <v>3783</v>
      </c>
      <c r="O1766" s="1895">
        <f>'Part IX Scoring Criteria'!O118</f>
        <v>0</v>
      </c>
      <c r="P1766" s="1895"/>
      <c r="Q1766" s="2819"/>
      <c r="R1766" s="2819"/>
      <c r="S1766" s="2819"/>
      <c r="T1766" s="2819"/>
      <c r="U1766" s="1993"/>
      <c r="V1766" s="1993"/>
      <c r="W1766" s="1993"/>
      <c r="X1766" s="1993"/>
    </row>
    <row r="1767" spans="1:24" ht="18.75">
      <c r="A1767" s="1937"/>
      <c r="B1767" s="2093"/>
      <c r="C1767" s="521" t="s">
        <v>3995</v>
      </c>
      <c r="D1767" s="521"/>
      <c r="E1767" s="521"/>
      <c r="F1767" s="521"/>
      <c r="G1767" s="521"/>
      <c r="H1767" s="521"/>
      <c r="I1767" s="521"/>
      <c r="J1767" s="521"/>
      <c r="K1767" s="521"/>
      <c r="L1767" s="521"/>
      <c r="M1767" s="1895"/>
      <c r="N1767" s="1937" t="s">
        <v>3784</v>
      </c>
      <c r="O1767" s="1895">
        <f>'Part IX Scoring Criteria'!O119</f>
        <v>0</v>
      </c>
      <c r="P1767" s="1895"/>
      <c r="Q1767" s="2819"/>
      <c r="R1767" s="2819"/>
      <c r="S1767" s="2819"/>
      <c r="T1767" s="2819"/>
      <c r="U1767" s="521"/>
      <c r="V1767" s="521"/>
      <c r="W1767" s="521"/>
      <c r="X1767" s="521"/>
    </row>
    <row r="1768" spans="1:24">
      <c r="A1768" s="1937"/>
      <c r="B1768" s="1216"/>
      <c r="C1768" s="1216" t="s">
        <v>4129</v>
      </c>
      <c r="D1768" s="1216"/>
      <c r="E1768" s="521"/>
      <c r="F1768" s="521"/>
      <c r="G1768" s="521"/>
      <c r="H1768" s="1216"/>
      <c r="I1768" s="1216"/>
      <c r="J1768" s="1216"/>
      <c r="K1768" s="1216"/>
      <c r="L1768" s="1955" t="s">
        <v>3820</v>
      </c>
      <c r="M1768" s="1955"/>
      <c r="N1768" s="1955"/>
      <c r="O1768" s="1955" t="s">
        <v>3819</v>
      </c>
      <c r="P1768" s="1955"/>
      <c r="Q1768" s="521"/>
      <c r="R1768" s="1216"/>
      <c r="S1768" s="1216"/>
      <c r="T1768" s="1216"/>
      <c r="U1768" s="1216"/>
      <c r="V1768" s="1216"/>
      <c r="W1768" s="1216"/>
      <c r="X1768" s="1216"/>
    </row>
    <row r="1769" spans="1:24">
      <c r="A1769" s="1937"/>
      <c r="B1769" s="1937"/>
      <c r="C1769" s="1900">
        <f>'Part IX Scoring Criteria'!C121</f>
        <v>0</v>
      </c>
      <c r="D1769" s="1900">
        <f>'Part IX Scoring Criteria'!D121</f>
        <v>0</v>
      </c>
      <c r="E1769" s="1900">
        <f>'Part IX Scoring Criteria'!E121</f>
        <v>0</v>
      </c>
      <c r="F1769" s="1900">
        <f>'Part IX Scoring Criteria'!F121</f>
        <v>0</v>
      </c>
      <c r="G1769" s="1900">
        <f>'Part IX Scoring Criteria'!G121</f>
        <v>0</v>
      </c>
      <c r="H1769" s="1900">
        <f>'Part IX Scoring Criteria'!H121</f>
        <v>0</v>
      </c>
      <c r="I1769" s="1900">
        <f>'Part IX Scoring Criteria'!I121</f>
        <v>0</v>
      </c>
      <c r="J1769" s="1900">
        <f>'Part IX Scoring Criteria'!J121</f>
        <v>0</v>
      </c>
      <c r="K1769" s="1900">
        <f>'Part IX Scoring Criteria'!K121</f>
        <v>0</v>
      </c>
      <c r="L1769" s="1921" t="str">
        <f>'Part IX Scoring Criteria'!L121</f>
        <v>&lt;&lt; Select &gt;&gt;</v>
      </c>
      <c r="M1769" s="1921">
        <f>'Part IX Scoring Criteria'!M121</f>
        <v>0</v>
      </c>
      <c r="N1769" s="1921">
        <f>'Part IX Scoring Criteria'!N121</f>
        <v>0</v>
      </c>
      <c r="O1769" s="2166">
        <f>'Part IX Scoring Criteria'!O121</f>
        <v>0</v>
      </c>
      <c r="P1769" s="2166">
        <f>'Part IX Scoring Criteria'!P121</f>
        <v>0</v>
      </c>
      <c r="Q1769" s="521" t="str">
        <f>IF(O1769&gt;15, "Too much!","")</f>
        <v/>
      </c>
      <c r="R1769" s="1216"/>
      <c r="S1769" s="1216"/>
      <c r="T1769" s="1216"/>
      <c r="U1769" s="1216"/>
      <c r="V1769" s="1216"/>
      <c r="W1769" s="1216"/>
      <c r="X1769" s="1216"/>
    </row>
    <row r="1770" spans="1:24">
      <c r="A1770" s="1937"/>
      <c r="B1770" s="1944"/>
      <c r="C1770" s="1900">
        <f>'Part IX Scoring Criteria'!C122</f>
        <v>0</v>
      </c>
      <c r="D1770" s="1900">
        <f>'Part IX Scoring Criteria'!D122</f>
        <v>0</v>
      </c>
      <c r="E1770" s="1900">
        <f>'Part IX Scoring Criteria'!E122</f>
        <v>0</v>
      </c>
      <c r="F1770" s="1900">
        <f>'Part IX Scoring Criteria'!F122</f>
        <v>0</v>
      </c>
      <c r="G1770" s="1900">
        <f>'Part IX Scoring Criteria'!G122</f>
        <v>0</v>
      </c>
      <c r="H1770" s="1900">
        <f>'Part IX Scoring Criteria'!H122</f>
        <v>0</v>
      </c>
      <c r="I1770" s="1900">
        <f>'Part IX Scoring Criteria'!I122</f>
        <v>0</v>
      </c>
      <c r="J1770" s="1900">
        <f>'Part IX Scoring Criteria'!J122</f>
        <v>0</v>
      </c>
      <c r="K1770" s="1900">
        <f>'Part IX Scoring Criteria'!K122</f>
        <v>0</v>
      </c>
      <c r="L1770" s="1921" t="str">
        <f>'Part IX Scoring Criteria'!L122</f>
        <v>&lt;&lt; Select &gt;&gt;</v>
      </c>
      <c r="M1770" s="1921">
        <f>'Part IX Scoring Criteria'!M122</f>
        <v>0</v>
      </c>
      <c r="N1770" s="1921">
        <f>'Part IX Scoring Criteria'!N122</f>
        <v>0</v>
      </c>
      <c r="O1770" s="2166">
        <f>'Part IX Scoring Criteria'!O122</f>
        <v>0</v>
      </c>
      <c r="P1770" s="2166">
        <f>'Part IX Scoring Criteria'!P122</f>
        <v>0</v>
      </c>
      <c r="Q1770" s="521" t="str">
        <f>IF(O1770&gt;15, "Too much!","")</f>
        <v/>
      </c>
      <c r="R1770" s="1216"/>
      <c r="S1770" s="1216"/>
      <c r="T1770" s="1216"/>
      <c r="U1770" s="1216"/>
      <c r="V1770" s="1216"/>
      <c r="W1770" s="1216"/>
      <c r="X1770" s="1216"/>
    </row>
    <row r="1771" spans="1:24">
      <c r="A1771" s="1937"/>
      <c r="B1771" s="1937"/>
      <c r="C1771" s="1900">
        <f>'Part IX Scoring Criteria'!C123</f>
        <v>0</v>
      </c>
      <c r="D1771" s="1900">
        <f>'Part IX Scoring Criteria'!D123</f>
        <v>0</v>
      </c>
      <c r="E1771" s="1900">
        <f>'Part IX Scoring Criteria'!E123</f>
        <v>0</v>
      </c>
      <c r="F1771" s="1900">
        <f>'Part IX Scoring Criteria'!F123</f>
        <v>0</v>
      </c>
      <c r="G1771" s="1900">
        <f>'Part IX Scoring Criteria'!G123</f>
        <v>0</v>
      </c>
      <c r="H1771" s="1900">
        <f>'Part IX Scoring Criteria'!H123</f>
        <v>0</v>
      </c>
      <c r="I1771" s="1900">
        <f>'Part IX Scoring Criteria'!I123</f>
        <v>0</v>
      </c>
      <c r="J1771" s="1900">
        <f>'Part IX Scoring Criteria'!J123</f>
        <v>0</v>
      </c>
      <c r="K1771" s="1900">
        <f>'Part IX Scoring Criteria'!K123</f>
        <v>0</v>
      </c>
      <c r="L1771" s="1921" t="str">
        <f>'Part IX Scoring Criteria'!L123</f>
        <v>&lt;&lt; Select &gt;&gt;</v>
      </c>
      <c r="M1771" s="1921">
        <f>'Part IX Scoring Criteria'!M123</f>
        <v>0</v>
      </c>
      <c r="N1771" s="1921">
        <f>'Part IX Scoring Criteria'!N123</f>
        <v>0</v>
      </c>
      <c r="O1771" s="2166">
        <f>'Part IX Scoring Criteria'!O123</f>
        <v>0</v>
      </c>
      <c r="P1771" s="2166">
        <f>'Part IX Scoring Criteria'!P123</f>
        <v>0</v>
      </c>
      <c r="Q1771" s="521" t="str">
        <f>IF(O1771&gt;15, "Too much!","")</f>
        <v/>
      </c>
      <c r="R1771" s="1216"/>
      <c r="S1771" s="1216"/>
      <c r="T1771" s="1216"/>
      <c r="U1771" s="1216"/>
      <c r="V1771" s="1216"/>
      <c r="W1771" s="1216"/>
      <c r="X1771" s="1216"/>
    </row>
    <row r="1772" spans="1:24">
      <c r="A1772" s="1937"/>
      <c r="B1772" s="1937"/>
      <c r="C1772" s="1900">
        <f>'Part IX Scoring Criteria'!C124</f>
        <v>0</v>
      </c>
      <c r="D1772" s="1900">
        <f>'Part IX Scoring Criteria'!D124</f>
        <v>0</v>
      </c>
      <c r="E1772" s="1900">
        <f>'Part IX Scoring Criteria'!E124</f>
        <v>0</v>
      </c>
      <c r="F1772" s="1900">
        <f>'Part IX Scoring Criteria'!F124</f>
        <v>0</v>
      </c>
      <c r="G1772" s="1900">
        <f>'Part IX Scoring Criteria'!G124</f>
        <v>0</v>
      </c>
      <c r="H1772" s="1900">
        <f>'Part IX Scoring Criteria'!H124</f>
        <v>0</v>
      </c>
      <c r="I1772" s="1900">
        <f>'Part IX Scoring Criteria'!I124</f>
        <v>0</v>
      </c>
      <c r="J1772" s="1900">
        <f>'Part IX Scoring Criteria'!J124</f>
        <v>0</v>
      </c>
      <c r="K1772" s="1900">
        <f>'Part IX Scoring Criteria'!K124</f>
        <v>0</v>
      </c>
      <c r="L1772" s="1921" t="str">
        <f>'Part IX Scoring Criteria'!L124</f>
        <v>&lt;&lt; Select &gt;&gt;</v>
      </c>
      <c r="M1772" s="1921">
        <f>'Part IX Scoring Criteria'!M124</f>
        <v>0</v>
      </c>
      <c r="N1772" s="1921">
        <f>'Part IX Scoring Criteria'!N124</f>
        <v>0</v>
      </c>
      <c r="O1772" s="2166">
        <f>'Part IX Scoring Criteria'!O124</f>
        <v>0</v>
      </c>
      <c r="P1772" s="2166">
        <f>'Part IX Scoring Criteria'!P124</f>
        <v>0</v>
      </c>
      <c r="Q1772" s="521" t="str">
        <f>IF(O1772&gt;15, "Too much!","")</f>
        <v/>
      </c>
      <c r="R1772" s="1216"/>
      <c r="S1772" s="1216"/>
      <c r="T1772" s="1216"/>
      <c r="U1772" s="1216"/>
      <c r="V1772" s="1216"/>
      <c r="W1772" s="1216"/>
      <c r="X1772" s="1216"/>
    </row>
    <row r="1773" spans="1:24" ht="15">
      <c r="A1773" s="1993"/>
      <c r="B1773" s="2044"/>
      <c r="C1773" s="521" t="s">
        <v>4579</v>
      </c>
      <c r="D1773" s="521" t="s">
        <v>3996</v>
      </c>
      <c r="E1773" s="521"/>
      <c r="F1773" s="521"/>
      <c r="G1773" s="521"/>
      <c r="H1773" s="1993"/>
      <c r="I1773" s="1993"/>
      <c r="J1773" s="1993"/>
      <c r="K1773" s="1993"/>
      <c r="L1773" s="1993"/>
      <c r="M1773" s="1993"/>
      <c r="N1773" s="1944" t="s">
        <v>3783</v>
      </c>
      <c r="O1773" s="1895">
        <f>'Part IX Scoring Criteria'!O125</f>
        <v>0</v>
      </c>
      <c r="P1773" s="1895"/>
      <c r="Q1773" s="1652"/>
      <c r="R1773" s="1216"/>
      <c r="S1773" s="1216"/>
      <c r="T1773" s="1216"/>
      <c r="U1773" s="1216"/>
      <c r="V1773" s="1993"/>
      <c r="W1773" s="1993"/>
      <c r="X1773" s="1993"/>
    </row>
    <row r="1774" spans="1:24" ht="15">
      <c r="A1774" s="1828"/>
      <c r="B1774" s="521"/>
      <c r="C1774" s="1993"/>
      <c r="D1774" s="521" t="s">
        <v>3997</v>
      </c>
      <c r="E1774" s="521"/>
      <c r="F1774" s="521"/>
      <c r="G1774" s="521"/>
      <c r="H1774" s="1993"/>
      <c r="I1774" s="1993"/>
      <c r="J1774" s="1993"/>
      <c r="K1774" s="1993"/>
      <c r="L1774" s="1993"/>
      <c r="M1774" s="1630"/>
      <c r="N1774" s="1937" t="s">
        <v>3784</v>
      </c>
      <c r="O1774" s="1895">
        <f>'Part IX Scoring Criteria'!O126</f>
        <v>0</v>
      </c>
      <c r="P1774" s="1895"/>
      <c r="Q1774" s="1652"/>
      <c r="R1774" s="1216"/>
      <c r="S1774" s="1216"/>
      <c r="T1774" s="1216"/>
      <c r="U1774" s="1216"/>
      <c r="V1774" s="1993"/>
      <c r="W1774" s="1993"/>
      <c r="X1774" s="1993"/>
    </row>
    <row r="1775" spans="1:24">
      <c r="A1775" s="1937"/>
      <c r="B1775" s="2093"/>
      <c r="C1775" s="521"/>
      <c r="D1775" s="1216" t="s">
        <v>4830</v>
      </c>
      <c r="E1775" s="521"/>
      <c r="F1775" s="521"/>
      <c r="G1775" s="521"/>
      <c r="H1775" s="521"/>
      <c r="I1775" s="521"/>
      <c r="J1775" s="521"/>
      <c r="K1775" s="521"/>
      <c r="L1775" s="521"/>
      <c r="M1775" s="1895"/>
      <c r="N1775" s="1937" t="s">
        <v>3785</v>
      </c>
      <c r="O1775" s="521"/>
      <c r="P1775" s="521"/>
      <c r="Q1775" s="521"/>
      <c r="R1775" s="1216"/>
      <c r="S1775" s="1216"/>
      <c r="T1775" s="1216"/>
      <c r="U1775" s="1216"/>
      <c r="V1775" s="521"/>
      <c r="W1775" s="521"/>
      <c r="X1775" s="521"/>
    </row>
    <row r="1776" spans="1:24">
      <c r="A1776" s="1937"/>
      <c r="B1776" s="1937"/>
      <c r="C1776" s="1216"/>
      <c r="D1776" s="1937"/>
      <c r="E1776" s="1841" t="s">
        <v>4161</v>
      </c>
      <c r="F1776" s="1937"/>
      <c r="G1776" s="1216"/>
      <c r="H1776" s="1216"/>
      <c r="I1776" s="1216"/>
      <c r="J1776" s="1216"/>
      <c r="K1776" s="1216"/>
      <c r="L1776" s="1937"/>
      <c r="M1776" s="1937"/>
      <c r="N1776" s="1937"/>
      <c r="O1776" s="1895">
        <f>'Part IX Scoring Criteria'!O128</f>
        <v>0</v>
      </c>
      <c r="P1776" s="1895"/>
      <c r="Q1776" s="521"/>
      <c r="R1776" s="1216"/>
      <c r="S1776" s="1216"/>
      <c r="T1776" s="1216"/>
      <c r="U1776" s="1216"/>
      <c r="V1776" s="1216"/>
      <c r="W1776" s="1216"/>
      <c r="X1776" s="1216"/>
    </row>
    <row r="1777" spans="1:24">
      <c r="A1777" s="1937"/>
      <c r="B1777" s="1937"/>
      <c r="C1777" s="1216"/>
      <c r="D1777" s="1937"/>
      <c r="E1777" s="1841" t="s">
        <v>4484</v>
      </c>
      <c r="F1777" s="1937"/>
      <c r="G1777" s="1216"/>
      <c r="H1777" s="1216"/>
      <c r="I1777" s="1216"/>
      <c r="J1777" s="1216"/>
      <c r="K1777" s="1216"/>
      <c r="L1777" s="1937"/>
      <c r="M1777" s="1937"/>
      <c r="N1777" s="1937"/>
      <c r="O1777" s="1895">
        <f>'Part IX Scoring Criteria'!O129</f>
        <v>0</v>
      </c>
      <c r="P1777" s="1895"/>
      <c r="Q1777" s="521"/>
      <c r="R1777" s="1216"/>
      <c r="S1777" s="1216"/>
      <c r="T1777" s="1216"/>
      <c r="U1777" s="1216"/>
      <c r="V1777" s="1216"/>
      <c r="W1777" s="1216"/>
      <c r="X1777" s="1216"/>
    </row>
    <row r="1778" spans="1:24">
      <c r="A1778" s="1937"/>
      <c r="B1778" s="1937"/>
      <c r="C1778" s="1216"/>
      <c r="D1778" s="1937"/>
      <c r="E1778" s="1841" t="s">
        <v>4163</v>
      </c>
      <c r="F1778" s="1937"/>
      <c r="G1778" s="1216"/>
      <c r="H1778" s="1216"/>
      <c r="I1778" s="1216"/>
      <c r="J1778" s="1216"/>
      <c r="K1778" s="1216"/>
      <c r="L1778" s="1937"/>
      <c r="M1778" s="1937"/>
      <c r="N1778" s="1937"/>
      <c r="O1778" s="1895">
        <f>'Part IX Scoring Criteria'!O130</f>
        <v>0</v>
      </c>
      <c r="P1778" s="1895"/>
      <c r="Q1778" s="521"/>
      <c r="R1778" s="1216"/>
      <c r="S1778" s="1216"/>
      <c r="T1778" s="1216"/>
      <c r="U1778" s="1216"/>
      <c r="V1778" s="1216"/>
      <c r="W1778" s="1216"/>
      <c r="X1778" s="1216"/>
    </row>
    <row r="1779" spans="1:24">
      <c r="A1779" s="1937"/>
      <c r="B1779" s="1937"/>
      <c r="C1779" s="1216"/>
      <c r="D1779" s="1937"/>
      <c r="E1779" s="1841" t="s">
        <v>4616</v>
      </c>
      <c r="F1779" s="1937"/>
      <c r="G1779" s="1216"/>
      <c r="H1779" s="1216"/>
      <c r="I1779" s="1841"/>
      <c r="J1779" s="1216"/>
      <c r="K1779" s="1216"/>
      <c r="L1779" s="1937"/>
      <c r="M1779" s="1937"/>
      <c r="N1779" s="1937"/>
      <c r="O1779" s="1895">
        <f>'Part IX Scoring Criteria'!O131</f>
        <v>0</v>
      </c>
      <c r="P1779" s="1895"/>
      <c r="Q1779" s="521"/>
      <c r="R1779" s="1216"/>
      <c r="S1779" s="1216"/>
      <c r="T1779" s="1216"/>
      <c r="U1779" s="1216"/>
      <c r="V1779" s="1216"/>
      <c r="W1779" s="1216"/>
      <c r="X1779" s="1216"/>
    </row>
    <row r="1780" spans="1:24">
      <c r="A1780" s="1937"/>
      <c r="B1780" s="1937"/>
      <c r="C1780" s="1216"/>
      <c r="D1780" s="1937"/>
      <c r="E1780" s="521" t="s">
        <v>4617</v>
      </c>
      <c r="F1780" s="1937"/>
      <c r="G1780" s="1216"/>
      <c r="H1780" s="1216"/>
      <c r="I1780" s="1841"/>
      <c r="J1780" s="1216"/>
      <c r="K1780" s="1216"/>
      <c r="L1780" s="1937"/>
      <c r="M1780" s="1937"/>
      <c r="N1780" s="1937"/>
      <c r="O1780" s="1895">
        <f>'Part IX Scoring Criteria'!O132</f>
        <v>0</v>
      </c>
      <c r="P1780" s="1895"/>
      <c r="Q1780" s="521"/>
      <c r="R1780" s="1216"/>
      <c r="S1780" s="1216"/>
      <c r="T1780" s="1216"/>
      <c r="U1780" s="1216"/>
      <c r="V1780" s="1216"/>
      <c r="W1780" s="1216"/>
      <c r="X1780" s="1216"/>
    </row>
    <row r="1781" spans="1:24">
      <c r="A1781" s="1937"/>
      <c r="B1781" s="1937"/>
      <c r="C1781" s="1216"/>
      <c r="D1781" s="1937"/>
      <c r="E1781" s="1841" t="s">
        <v>4618</v>
      </c>
      <c r="F1781" s="1937"/>
      <c r="G1781" s="1216"/>
      <c r="H1781" s="1216"/>
      <c r="I1781" s="1841"/>
      <c r="J1781" s="1216"/>
      <c r="K1781" s="1216"/>
      <c r="L1781" s="1937"/>
      <c r="M1781" s="1937"/>
      <c r="N1781" s="1937"/>
      <c r="O1781" s="1895">
        <f>'Part IX Scoring Criteria'!O133</f>
        <v>0</v>
      </c>
      <c r="P1781" s="1895"/>
      <c r="Q1781" s="521"/>
      <c r="R1781" s="1216"/>
      <c r="S1781" s="1216"/>
      <c r="T1781" s="1216"/>
      <c r="U1781" s="1216"/>
      <c r="V1781" s="1216"/>
      <c r="W1781" s="1216"/>
      <c r="X1781" s="1216"/>
    </row>
    <row r="1782" spans="1:24" ht="12.75" customHeight="1">
      <c r="A1782" s="1937"/>
      <c r="B1782" s="1937"/>
      <c r="C1782" s="1216"/>
      <c r="D1782" s="1937"/>
      <c r="E1782" s="1785" t="str">
        <f>'Part IX Scoring Criteria'!E134</f>
        <v>• Other: Describe here</v>
      </c>
      <c r="F1782" s="1785">
        <f>'Part IX Scoring Criteria'!F134</f>
        <v>0</v>
      </c>
      <c r="G1782" s="1785">
        <f>'Part IX Scoring Criteria'!G134</f>
        <v>0</v>
      </c>
      <c r="H1782" s="1785">
        <f>'Part IX Scoring Criteria'!H134</f>
        <v>0</v>
      </c>
      <c r="I1782" s="1785">
        <f>'Part IX Scoring Criteria'!I134</f>
        <v>0</v>
      </c>
      <c r="J1782" s="1785">
        <f>'Part IX Scoring Criteria'!J134</f>
        <v>0</v>
      </c>
      <c r="K1782" s="1785">
        <f>'Part IX Scoring Criteria'!K134</f>
        <v>0</v>
      </c>
      <c r="L1782" s="1785">
        <f>'Part IX Scoring Criteria'!L134</f>
        <v>0</v>
      </c>
      <c r="M1782" s="1937"/>
      <c r="N1782" s="1937"/>
      <c r="O1782" s="1895">
        <f>'Part IX Scoring Criteria'!O134</f>
        <v>0</v>
      </c>
      <c r="P1782" s="1895"/>
      <c r="Q1782" s="521"/>
      <c r="R1782" s="1216"/>
      <c r="S1782" s="1216"/>
      <c r="T1782" s="1216"/>
      <c r="U1782" s="1216"/>
      <c r="V1782" s="1216"/>
      <c r="W1782" s="1216"/>
      <c r="X1782" s="1216"/>
    </row>
    <row r="1783" spans="1:24" ht="15">
      <c r="A1783" s="1828"/>
      <c r="B1783" s="521"/>
      <c r="C1783" s="1993"/>
      <c r="D1783" s="521" t="s">
        <v>4832</v>
      </c>
      <c r="E1783" s="521"/>
      <c r="F1783" s="521"/>
      <c r="G1783" s="521"/>
      <c r="H1783" s="1993"/>
      <c r="I1783" s="1993"/>
      <c r="J1783" s="1993"/>
      <c r="K1783" s="1993"/>
      <c r="L1783" s="1993"/>
      <c r="M1783" s="1630"/>
      <c r="N1783" s="1937" t="s">
        <v>3787</v>
      </c>
      <c r="O1783" s="1895">
        <f>'Part IX Scoring Criteria'!O135</f>
        <v>0</v>
      </c>
      <c r="P1783" s="1895"/>
      <c r="Q1783" s="1652"/>
      <c r="R1783" s="1216"/>
      <c r="S1783" s="1216"/>
      <c r="T1783" s="1216"/>
      <c r="U1783" s="1216"/>
      <c r="V1783" s="1993"/>
      <c r="W1783" s="1993"/>
      <c r="X1783" s="1993"/>
    </row>
    <row r="1784" spans="1:24" ht="15">
      <c r="A1784" s="2079"/>
      <c r="B1784" s="2028"/>
      <c r="C1784" s="2048"/>
      <c r="D1784" s="2048"/>
      <c r="E1784" s="2048"/>
      <c r="F1784" s="2048"/>
      <c r="G1784" s="2048"/>
      <c r="H1784" s="2048"/>
      <c r="I1784" s="2048"/>
      <c r="J1784" s="2048"/>
      <c r="K1784" s="2048"/>
      <c r="L1784" s="2048"/>
      <c r="M1784" s="2030"/>
      <c r="N1784" s="2049"/>
      <c r="O1784" s="2049"/>
      <c r="P1784" s="2049"/>
      <c r="Q1784" s="1218"/>
      <c r="R1784" s="2028"/>
      <c r="S1784" s="2028"/>
      <c r="T1784" s="2028"/>
      <c r="U1784" s="2028"/>
      <c r="V1784" s="2028"/>
      <c r="W1784" s="2028"/>
      <c r="X1784" s="2028"/>
    </row>
    <row r="1785" spans="1:24" ht="18.75">
      <c r="A1785" s="1828" t="s">
        <v>749</v>
      </c>
      <c r="B1785" s="1634" t="s">
        <v>3821</v>
      </c>
      <c r="C1785" s="1993"/>
      <c r="D1785" s="521"/>
      <c r="E1785" s="1993"/>
      <c r="F1785" s="521"/>
      <c r="G1785" s="521"/>
      <c r="H1785" s="521"/>
      <c r="I1785" s="521"/>
      <c r="J1785" s="521"/>
      <c r="K1785" s="521"/>
      <c r="L1785" s="2817" t="str">
        <f>IF(OR($O1785=$M1785,$O1785=0,$O1785=""),"","* * Check Score! * *")</f>
        <v/>
      </c>
      <c r="M1785" s="1633">
        <v>1</v>
      </c>
      <c r="N1785" s="2013" t="s">
        <v>1988</v>
      </c>
      <c r="O1785" s="1863">
        <f>'Part IX Scoring Criteria'!O137</f>
        <v>0</v>
      </c>
      <c r="P1785" s="1863"/>
      <c r="Q1785" s="2839" t="str">
        <f>IF(OR($O1785=$M1785,$O1785=0,$O1785=""),"","*CHECK!*")</f>
        <v/>
      </c>
      <c r="R1785" s="1652" t="s">
        <v>2706</v>
      </c>
      <c r="S1785" s="2819"/>
      <c r="T1785" s="2819"/>
      <c r="U1785" s="2819"/>
      <c r="V1785" s="1993"/>
      <c r="W1785" s="1993"/>
      <c r="X1785" s="1993"/>
    </row>
    <row r="1786" spans="1:24" ht="18.75">
      <c r="A1786" s="1937"/>
      <c r="B1786" s="521"/>
      <c r="C1786" s="521" t="s">
        <v>3998</v>
      </c>
      <c r="D1786" s="1960"/>
      <c r="E1786" s="1960"/>
      <c r="F1786" s="1960"/>
      <c r="G1786" s="1960"/>
      <c r="H1786" s="1960"/>
      <c r="I1786" s="1960"/>
      <c r="J1786" s="1960"/>
      <c r="K1786" s="1960"/>
      <c r="L1786" s="1960"/>
      <c r="M1786" s="1895"/>
      <c r="N1786" s="521"/>
      <c r="O1786" s="1895">
        <f>'Part IX Scoring Criteria'!O138</f>
        <v>0</v>
      </c>
      <c r="P1786" s="1895"/>
      <c r="Q1786" s="521"/>
      <c r="R1786" s="2819"/>
      <c r="S1786" s="2819"/>
      <c r="T1786" s="2819"/>
      <c r="U1786" s="2819"/>
      <c r="V1786" s="521"/>
      <c r="W1786" s="521"/>
      <c r="X1786" s="521"/>
    </row>
    <row r="1787" spans="1:24" ht="18.75" customHeight="1">
      <c r="A1787" s="1937"/>
      <c r="B1787" s="2044"/>
      <c r="C1787" s="1900" t="s">
        <v>5194</v>
      </c>
      <c r="D1787" s="1900"/>
      <c r="E1787" s="1900"/>
      <c r="F1787" s="1960"/>
      <c r="G1787" s="1841" t="s">
        <v>3999</v>
      </c>
      <c r="H1787" s="521"/>
      <c r="I1787" s="1960"/>
      <c r="J1787" s="1960"/>
      <c r="K1787" s="1960"/>
      <c r="L1787" s="1960"/>
      <c r="M1787" s="1937" t="s">
        <v>2435</v>
      </c>
      <c r="N1787" s="1937" t="s">
        <v>3783</v>
      </c>
      <c r="O1787" s="1895">
        <f>'Part IX Scoring Criteria'!O139</f>
        <v>0</v>
      </c>
      <c r="P1787" s="1895"/>
      <c r="Q1787" s="521"/>
      <c r="R1787" s="2819"/>
      <c r="S1787" s="2819"/>
      <c r="T1787" s="2819"/>
      <c r="U1787" s="2819"/>
      <c r="V1787" s="521"/>
      <c r="W1787" s="521"/>
      <c r="X1787" s="521"/>
    </row>
    <row r="1788" spans="1:24" ht="18.75">
      <c r="A1788" s="1937"/>
      <c r="B1788" s="2093"/>
      <c r="C1788" s="1900"/>
      <c r="D1788" s="1900"/>
      <c r="E1788" s="1900"/>
      <c r="F1788" s="1960"/>
      <c r="G1788" s="1841" t="s">
        <v>4000</v>
      </c>
      <c r="H1788" s="521"/>
      <c r="I1788" s="1960"/>
      <c r="J1788" s="1960"/>
      <c r="K1788" s="1960"/>
      <c r="L1788" s="1960"/>
      <c r="M1788" s="1895"/>
      <c r="N1788" s="1944" t="s">
        <v>3784</v>
      </c>
      <c r="O1788" s="1895">
        <f>'Part IX Scoring Criteria'!O140</f>
        <v>0</v>
      </c>
      <c r="P1788" s="1895"/>
      <c r="Q1788" s="521"/>
      <c r="R1788" s="2819"/>
      <c r="S1788" s="2819"/>
      <c r="T1788" s="2819"/>
      <c r="U1788" s="2819"/>
      <c r="V1788" s="521"/>
      <c r="W1788" s="521"/>
      <c r="X1788" s="521"/>
    </row>
    <row r="1789" spans="1:24" ht="18.75">
      <c r="A1789" s="1937"/>
      <c r="B1789" s="2093"/>
      <c r="C1789" s="1900"/>
      <c r="D1789" s="1900"/>
      <c r="E1789" s="1900"/>
      <c r="F1789" s="1960"/>
      <c r="G1789" s="1841" t="s">
        <v>4001</v>
      </c>
      <c r="H1789" s="521"/>
      <c r="I1789" s="1960"/>
      <c r="J1789" s="1960"/>
      <c r="K1789" s="1960"/>
      <c r="L1789" s="1960"/>
      <c r="M1789" s="1895"/>
      <c r="N1789" s="1937" t="s">
        <v>3785</v>
      </c>
      <c r="O1789" s="1895">
        <f>'Part IX Scoring Criteria'!O141</f>
        <v>0</v>
      </c>
      <c r="P1789" s="1895"/>
      <c r="Q1789" s="521"/>
      <c r="R1789" s="2819"/>
      <c r="S1789" s="2819"/>
      <c r="T1789" s="2819"/>
      <c r="U1789" s="2819"/>
      <c r="V1789" s="521"/>
      <c r="W1789" s="521"/>
      <c r="X1789" s="521"/>
    </row>
    <row r="1790" spans="1:24" ht="18.75">
      <c r="A1790" s="1937"/>
      <c r="B1790" s="2093"/>
      <c r="C1790" s="521"/>
      <c r="D1790" s="1960"/>
      <c r="E1790" s="1960"/>
      <c r="F1790" s="1960"/>
      <c r="G1790" s="1841" t="s">
        <v>4002</v>
      </c>
      <c r="H1790" s="521"/>
      <c r="I1790" s="1960"/>
      <c r="J1790" s="1960"/>
      <c r="K1790" s="1960"/>
      <c r="L1790" s="1960"/>
      <c r="M1790" s="1895"/>
      <c r="N1790" s="1937" t="s">
        <v>3787</v>
      </c>
      <c r="O1790" s="1895">
        <f>'Part IX Scoring Criteria'!O142</f>
        <v>0</v>
      </c>
      <c r="P1790" s="1895"/>
      <c r="Q1790" s="521"/>
      <c r="R1790" s="2819"/>
      <c r="S1790" s="2819"/>
      <c r="T1790" s="2819"/>
      <c r="U1790" s="2819"/>
      <c r="V1790" s="521"/>
      <c r="W1790" s="521"/>
      <c r="X1790" s="521"/>
    </row>
    <row r="1791" spans="1:24">
      <c r="A1791" s="1937"/>
      <c r="B1791" s="2093"/>
      <c r="C1791" s="521"/>
      <c r="D1791" s="1960"/>
      <c r="E1791" s="1960"/>
      <c r="F1791" s="1960"/>
      <c r="G1791" s="1841" t="s">
        <v>4003</v>
      </c>
      <c r="H1791" s="521"/>
      <c r="I1791" s="1960"/>
      <c r="J1791" s="1960"/>
      <c r="K1791" s="1960"/>
      <c r="L1791" s="1960"/>
      <c r="M1791" s="1895"/>
      <c r="N1791" s="1944" t="s">
        <v>3788</v>
      </c>
      <c r="O1791" s="1895">
        <f>'Part IX Scoring Criteria'!O143</f>
        <v>0</v>
      </c>
      <c r="P1791" s="1895"/>
      <c r="Q1791" s="521"/>
      <c r="R1791" s="521"/>
      <c r="S1791" s="521"/>
      <c r="T1791" s="521"/>
      <c r="U1791" s="521"/>
      <c r="V1791" s="521"/>
      <c r="W1791" s="521"/>
      <c r="X1791" s="521"/>
    </row>
    <row r="1792" spans="1:24">
      <c r="A1792" s="1937"/>
      <c r="B1792" s="2044"/>
      <c r="C1792" s="1841" t="s">
        <v>5195</v>
      </c>
      <c r="D1792" s="1960"/>
      <c r="E1792" s="1960"/>
      <c r="F1792" s="1960"/>
      <c r="G1792" s="1960"/>
      <c r="H1792" s="1960"/>
      <c r="I1792" s="1960"/>
      <c r="J1792" s="1960"/>
      <c r="K1792" s="1960"/>
      <c r="L1792" s="1960"/>
      <c r="M1792" s="1937"/>
      <c r="N1792" s="1937" t="s">
        <v>2436</v>
      </c>
      <c r="O1792" s="1895">
        <f>'Part IX Scoring Criteria'!O144</f>
        <v>0</v>
      </c>
      <c r="P1792" s="1895"/>
      <c r="Q1792" s="521"/>
      <c r="R1792" s="521"/>
      <c r="S1792" s="521"/>
      <c r="T1792" s="521"/>
      <c r="U1792" s="521"/>
      <c r="V1792" s="521"/>
      <c r="W1792" s="521"/>
      <c r="X1792" s="521"/>
    </row>
    <row r="1793" spans="1:24">
      <c r="A1793" s="1937"/>
      <c r="B1793" s="2021"/>
      <c r="C1793" s="1216" t="s">
        <v>3835</v>
      </c>
      <c r="D1793" s="1216"/>
      <c r="E1793" s="521"/>
      <c r="F1793" s="521"/>
      <c r="G1793" s="1216" t="s">
        <v>4134</v>
      </c>
      <c r="H1793" s="1216"/>
      <c r="I1793" s="1216"/>
      <c r="J1793" s="1216"/>
      <c r="K1793" s="1216"/>
      <c r="L1793" s="1216"/>
      <c r="M1793" s="1955"/>
      <c r="N1793" s="1955"/>
      <c r="O1793" s="1955"/>
      <c r="P1793" s="1955"/>
      <c r="Q1793" s="521"/>
      <c r="R1793" s="1216"/>
      <c r="S1793" s="1216"/>
      <c r="T1793" s="1216"/>
      <c r="U1793" s="1216"/>
      <c r="V1793" s="1216"/>
      <c r="W1793" s="1216"/>
      <c r="X1793" s="1216"/>
    </row>
    <row r="1794" spans="1:24">
      <c r="A1794" s="1216"/>
      <c r="B1794" s="1937"/>
      <c r="C1794" s="1900">
        <f>'Part IX Scoring Criteria'!C146</f>
        <v>0</v>
      </c>
      <c r="D1794" s="1900">
        <f>'Part IX Scoring Criteria'!D146</f>
        <v>0</v>
      </c>
      <c r="E1794" s="1900">
        <f>'Part IX Scoring Criteria'!E146</f>
        <v>0</v>
      </c>
      <c r="F1794" s="1900">
        <f>'Part IX Scoring Criteria'!F146</f>
        <v>0</v>
      </c>
      <c r="G1794" s="1900">
        <f>'Part IX Scoring Criteria'!G146</f>
        <v>0</v>
      </c>
      <c r="H1794" s="1900">
        <f>'Part IX Scoring Criteria'!H146</f>
        <v>0</v>
      </c>
      <c r="I1794" s="1900">
        <f>'Part IX Scoring Criteria'!I146</f>
        <v>0</v>
      </c>
      <c r="J1794" s="1900">
        <f>'Part IX Scoring Criteria'!J146</f>
        <v>0</v>
      </c>
      <c r="K1794" s="1900">
        <f>'Part IX Scoring Criteria'!K146</f>
        <v>0</v>
      </c>
      <c r="L1794" s="1900">
        <f>'Part IX Scoring Criteria'!L146</f>
        <v>0</v>
      </c>
      <c r="M1794" s="1900">
        <f>'Part IX Scoring Criteria'!M146</f>
        <v>0</v>
      </c>
      <c r="N1794" s="1900">
        <f>'Part IX Scoring Criteria'!N146</f>
        <v>0</v>
      </c>
      <c r="O1794" s="1900">
        <f>'Part IX Scoring Criteria'!O146</f>
        <v>0</v>
      </c>
      <c r="P1794" s="1900">
        <f>'Part IX Scoring Criteria'!P146</f>
        <v>0</v>
      </c>
      <c r="Q1794" s="521"/>
      <c r="R1794" s="1216"/>
      <c r="S1794" s="1216"/>
      <c r="T1794" s="1216"/>
      <c r="U1794" s="1216"/>
      <c r="V1794" s="1216"/>
      <c r="W1794" s="1216"/>
      <c r="X1794" s="1216"/>
    </row>
    <row r="1795" spans="1:24">
      <c r="A1795" s="1937"/>
      <c r="B1795" s="1944"/>
      <c r="C1795" s="1900">
        <f>'Part IX Scoring Criteria'!C147</f>
        <v>0</v>
      </c>
      <c r="D1795" s="1900">
        <f>'Part IX Scoring Criteria'!D147</f>
        <v>0</v>
      </c>
      <c r="E1795" s="1900">
        <f>'Part IX Scoring Criteria'!E147</f>
        <v>0</v>
      </c>
      <c r="F1795" s="1900">
        <f>'Part IX Scoring Criteria'!F147</f>
        <v>0</v>
      </c>
      <c r="G1795" s="1900">
        <f>'Part IX Scoring Criteria'!G147</f>
        <v>0</v>
      </c>
      <c r="H1795" s="1900">
        <f>'Part IX Scoring Criteria'!H147</f>
        <v>0</v>
      </c>
      <c r="I1795" s="1900">
        <f>'Part IX Scoring Criteria'!I147</f>
        <v>0</v>
      </c>
      <c r="J1795" s="1900">
        <f>'Part IX Scoring Criteria'!J147</f>
        <v>0</v>
      </c>
      <c r="K1795" s="1900">
        <f>'Part IX Scoring Criteria'!K147</f>
        <v>0</v>
      </c>
      <c r="L1795" s="1900">
        <f>'Part IX Scoring Criteria'!L147</f>
        <v>0</v>
      </c>
      <c r="M1795" s="1900">
        <f>'Part IX Scoring Criteria'!M147</f>
        <v>0</v>
      </c>
      <c r="N1795" s="1900">
        <f>'Part IX Scoring Criteria'!N147</f>
        <v>0</v>
      </c>
      <c r="O1795" s="1900">
        <f>'Part IX Scoring Criteria'!O147</f>
        <v>0</v>
      </c>
      <c r="P1795" s="1900">
        <f>'Part IX Scoring Criteria'!P147</f>
        <v>0</v>
      </c>
      <c r="Q1795" s="521"/>
      <c r="R1795" s="1216"/>
      <c r="S1795" s="1216"/>
      <c r="T1795" s="1216"/>
      <c r="U1795" s="1216"/>
      <c r="V1795" s="1216"/>
      <c r="W1795" s="1216"/>
      <c r="X1795" s="1216"/>
    </row>
    <row r="1796" spans="1:24" ht="12.75" customHeight="1">
      <c r="A1796" s="1785" t="s">
        <v>4168</v>
      </c>
      <c r="B1796" s="1785"/>
      <c r="C1796" s="1900">
        <f>'Part IX Scoring Criteria'!C148</f>
        <v>0</v>
      </c>
      <c r="D1796" s="1900">
        <f>'Part IX Scoring Criteria'!D148</f>
        <v>0</v>
      </c>
      <c r="E1796" s="1900">
        <f>'Part IX Scoring Criteria'!E148</f>
        <v>0</v>
      </c>
      <c r="F1796" s="1900">
        <f>'Part IX Scoring Criteria'!F148</f>
        <v>0</v>
      </c>
      <c r="G1796" s="1900">
        <f>'Part IX Scoring Criteria'!G148</f>
        <v>0</v>
      </c>
      <c r="H1796" s="1900">
        <f>'Part IX Scoring Criteria'!H148</f>
        <v>0</v>
      </c>
      <c r="I1796" s="1900">
        <f>'Part IX Scoring Criteria'!I148</f>
        <v>0</v>
      </c>
      <c r="J1796" s="1900">
        <f>'Part IX Scoring Criteria'!J148</f>
        <v>0</v>
      </c>
      <c r="K1796" s="1900">
        <f>'Part IX Scoring Criteria'!K148</f>
        <v>0</v>
      </c>
      <c r="L1796" s="1900">
        <f>'Part IX Scoring Criteria'!L148</f>
        <v>0</v>
      </c>
      <c r="M1796" s="1900">
        <f>'Part IX Scoring Criteria'!M148</f>
        <v>0</v>
      </c>
      <c r="N1796" s="1900">
        <f>'Part IX Scoring Criteria'!N148</f>
        <v>0</v>
      </c>
      <c r="O1796" s="1900">
        <f>'Part IX Scoring Criteria'!O148</f>
        <v>0</v>
      </c>
      <c r="P1796" s="1900">
        <f>'Part IX Scoring Criteria'!P148</f>
        <v>0</v>
      </c>
      <c r="Q1796" s="521"/>
      <c r="R1796" s="1216"/>
      <c r="S1796" s="1216"/>
      <c r="T1796" s="1216"/>
      <c r="U1796" s="1216"/>
      <c r="V1796" s="1216"/>
      <c r="W1796" s="1216"/>
      <c r="X1796" s="1216"/>
    </row>
    <row r="1797" spans="1:24">
      <c r="A1797" s="1785"/>
      <c r="B1797" s="1785"/>
      <c r="C1797" s="1900">
        <f>'Part IX Scoring Criteria'!C149</f>
        <v>0</v>
      </c>
      <c r="D1797" s="1900">
        <f>'Part IX Scoring Criteria'!D149</f>
        <v>0</v>
      </c>
      <c r="E1797" s="1900">
        <f>'Part IX Scoring Criteria'!E149</f>
        <v>0</v>
      </c>
      <c r="F1797" s="1900">
        <f>'Part IX Scoring Criteria'!F149</f>
        <v>0</v>
      </c>
      <c r="G1797" s="1900">
        <f>'Part IX Scoring Criteria'!G149</f>
        <v>0</v>
      </c>
      <c r="H1797" s="1900">
        <f>'Part IX Scoring Criteria'!H149</f>
        <v>0</v>
      </c>
      <c r="I1797" s="1900">
        <f>'Part IX Scoring Criteria'!I149</f>
        <v>0</v>
      </c>
      <c r="J1797" s="1900">
        <f>'Part IX Scoring Criteria'!J149</f>
        <v>0</v>
      </c>
      <c r="K1797" s="1900">
        <f>'Part IX Scoring Criteria'!K149</f>
        <v>0</v>
      </c>
      <c r="L1797" s="1900">
        <f>'Part IX Scoring Criteria'!L149</f>
        <v>0</v>
      </c>
      <c r="M1797" s="1900">
        <f>'Part IX Scoring Criteria'!M149</f>
        <v>0</v>
      </c>
      <c r="N1797" s="1900">
        <f>'Part IX Scoring Criteria'!N149</f>
        <v>0</v>
      </c>
      <c r="O1797" s="1900">
        <f>'Part IX Scoring Criteria'!O149</f>
        <v>0</v>
      </c>
      <c r="P1797" s="1900">
        <f>'Part IX Scoring Criteria'!P149</f>
        <v>0</v>
      </c>
      <c r="Q1797" s="521"/>
      <c r="R1797" s="1216"/>
      <c r="S1797" s="1216"/>
      <c r="T1797" s="1216"/>
      <c r="U1797" s="1216"/>
      <c r="V1797" s="1216"/>
      <c r="W1797" s="1216"/>
      <c r="X1797" s="1216"/>
    </row>
    <row r="1798" spans="1:24" ht="15">
      <c r="A1798" s="1785"/>
      <c r="B1798" s="1785"/>
      <c r="C1798" s="1631"/>
      <c r="D1798" s="1897"/>
      <c r="E1798" s="1899"/>
      <c r="F1798" s="1899"/>
      <c r="G1798" s="1899"/>
      <c r="H1798" s="1899"/>
      <c r="I1798" s="1899"/>
      <c r="J1798" s="1899"/>
      <c r="K1798" s="1899"/>
      <c r="L1798" s="1899"/>
      <c r="M1798" s="1899"/>
      <c r="N1798" s="2011"/>
      <c r="O1798" s="2011"/>
      <c r="P1798" s="1630"/>
      <c r="Q1798" s="2006"/>
      <c r="R1798" s="1976"/>
      <c r="S1798" s="1976"/>
      <c r="T1798" s="1976"/>
      <c r="U1798" s="1976"/>
      <c r="V1798" s="1976"/>
      <c r="W1798" s="1976"/>
      <c r="X1798" s="1976"/>
    </row>
    <row r="1799" spans="1:24" ht="15">
      <c r="A1799" s="1900"/>
      <c r="B1799" s="1900"/>
      <c r="C1799" s="1900"/>
      <c r="D1799" s="1900"/>
      <c r="E1799" s="1900"/>
      <c r="F1799" s="1900"/>
      <c r="G1799" s="1900"/>
      <c r="H1799" s="1900"/>
      <c r="I1799" s="1900"/>
      <c r="J1799" s="1900"/>
      <c r="K1799" s="1900"/>
      <c r="L1799" s="1900"/>
      <c r="M1799" s="1900"/>
      <c r="N1799" s="1900"/>
      <c r="O1799" s="1900"/>
      <c r="P1799" s="1900"/>
      <c r="Q1799" s="2786"/>
      <c r="R1799" s="1976"/>
      <c r="S1799" s="1976"/>
      <c r="T1799" s="1976"/>
      <c r="U1799" s="1976"/>
      <c r="V1799" s="1976"/>
      <c r="W1799" s="1976"/>
      <c r="X1799" s="1976"/>
    </row>
    <row r="1800" spans="1:24" ht="15">
      <c r="A1800" s="1631"/>
      <c r="B1800" s="1976"/>
      <c r="C1800" s="1899"/>
      <c r="D1800" s="1899"/>
      <c r="E1800" s="1899"/>
      <c r="F1800" s="1899"/>
      <c r="G1800" s="1899"/>
      <c r="H1800" s="1899"/>
      <c r="I1800" s="1899"/>
      <c r="J1800" s="1899"/>
      <c r="K1800" s="1899"/>
      <c r="L1800" s="1899"/>
      <c r="M1800" s="1899"/>
      <c r="N1800" s="2011"/>
      <c r="O1800" s="2011"/>
      <c r="P1800" s="1630"/>
      <c r="Q1800" s="1976"/>
      <c r="R1800" s="1976"/>
      <c r="S1800" s="1976"/>
      <c r="T1800" s="1976"/>
      <c r="U1800" s="1976"/>
      <c r="V1800" s="1976"/>
      <c r="W1800" s="1976"/>
      <c r="X1800" s="1976"/>
    </row>
    <row r="1801" spans="1:24" ht="15">
      <c r="A1801" s="2828" t="s">
        <v>530</v>
      </c>
      <c r="B1801" s="2764" t="s">
        <v>3970</v>
      </c>
      <c r="C1801" s="1899"/>
      <c r="D1801" s="1899"/>
      <c r="E1801" s="1899"/>
      <c r="F1801" s="1899"/>
      <c r="G1801" s="1899"/>
      <c r="H1801" s="1899"/>
      <c r="I1801" s="1899"/>
      <c r="J1801" s="1899"/>
      <c r="K1801" s="1899"/>
      <c r="L1801" s="1899"/>
      <c r="M1801" s="1630">
        <v>5</v>
      </c>
      <c r="N1801" s="2011"/>
      <c r="O1801" s="1863">
        <f>'Part IX Scoring Criteria'!O153</f>
        <v>0</v>
      </c>
      <c r="P1801" s="1863">
        <f>P1803+P1819</f>
        <v>0</v>
      </c>
      <c r="Q1801" s="1630" t="s">
        <v>441</v>
      </c>
      <c r="R1801" s="1976"/>
      <c r="S1801" s="1976"/>
      <c r="T1801" s="1976"/>
      <c r="U1801" s="1976"/>
      <c r="V1801" s="1976"/>
      <c r="W1801" s="1976"/>
      <c r="X1801" s="1976"/>
    </row>
    <row r="1802" spans="1:24" ht="15">
      <c r="A1802" s="1631"/>
      <c r="B1802" s="1976"/>
      <c r="C1802" s="1899"/>
      <c r="D1802" s="1899"/>
      <c r="E1802" s="1899"/>
      <c r="F1802" s="1899"/>
      <c r="G1802" s="1899"/>
      <c r="H1802" s="1899"/>
      <c r="I1802" s="1899"/>
      <c r="J1802" s="1899"/>
      <c r="K1802" s="1899"/>
      <c r="L1802" s="1899"/>
      <c r="M1802" s="1899"/>
      <c r="N1802" s="2011"/>
      <c r="O1802" s="2011"/>
      <c r="P1802" s="1630"/>
      <c r="Q1802" s="1976"/>
      <c r="R1802" s="1976"/>
      <c r="S1802" s="1976"/>
      <c r="T1802" s="1976"/>
      <c r="U1802" s="1976"/>
      <c r="V1802" s="1976"/>
      <c r="W1802" s="1976"/>
      <c r="X1802" s="1976"/>
    </row>
    <row r="1803" spans="1:24" ht="15">
      <c r="A1803" s="1828" t="s">
        <v>1983</v>
      </c>
      <c r="B1803" s="1631" t="s">
        <v>4007</v>
      </c>
      <c r="C1803" s="1993"/>
      <c r="D1803" s="2041"/>
      <c r="E1803" s="2041"/>
      <c r="F1803" s="1993"/>
      <c r="G1803" s="2041"/>
      <c r="H1803" s="2041"/>
      <c r="I1803" s="2041"/>
      <c r="J1803" s="2041"/>
      <c r="K1803" s="2041"/>
      <c r="L1803" s="2041"/>
      <c r="M1803" s="1630">
        <v>3</v>
      </c>
      <c r="N1803" s="2013"/>
      <c r="O1803" s="1630">
        <f>'Part IX Scoring Criteria'!O155</f>
        <v>0</v>
      </c>
      <c r="P1803" s="1630"/>
      <c r="Q1803" s="1993"/>
      <c r="R1803" s="1652"/>
      <c r="S1803" s="1993"/>
      <c r="T1803" s="1993"/>
      <c r="U1803" s="1993"/>
      <c r="V1803" s="1993"/>
      <c r="W1803" s="1993"/>
      <c r="X1803" s="1993"/>
    </row>
    <row r="1804" spans="1:24" ht="15">
      <c r="A1804" s="1976"/>
      <c r="B1804" s="1841" t="s">
        <v>3830</v>
      </c>
      <c r="C1804" s="1964"/>
      <c r="D1804" s="1964"/>
      <c r="E1804" s="1964"/>
      <c r="F1804" s="1964"/>
      <c r="G1804" s="1964"/>
      <c r="H1804" s="1964"/>
      <c r="I1804" s="1964"/>
      <c r="J1804" s="1964"/>
      <c r="K1804" s="1964"/>
      <c r="L1804" s="1964"/>
      <c r="M1804" s="1964"/>
      <c r="N1804" s="1964"/>
      <c r="O1804" s="1895">
        <f>'Part IX Scoring Criteria'!O156</f>
        <v>0</v>
      </c>
      <c r="P1804" s="1895"/>
      <c r="Q1804" s="1976"/>
      <c r="R1804" s="2817"/>
      <c r="S1804" s="1976"/>
      <c r="T1804" s="1976"/>
      <c r="U1804" s="1976"/>
      <c r="V1804" s="1976"/>
      <c r="W1804" s="1976"/>
      <c r="X1804" s="1976"/>
    </row>
    <row r="1805" spans="1:24" ht="15">
      <c r="A1805" s="1828"/>
      <c r="B1805" s="1904"/>
      <c r="C1805" s="1904"/>
      <c r="D1805" s="1904"/>
      <c r="E1805" s="1904"/>
      <c r="F1805" s="1904"/>
      <c r="G1805" s="1904"/>
      <c r="H1805" s="1904"/>
      <c r="I1805" s="1904"/>
      <c r="J1805" s="1904"/>
      <c r="K1805" s="1904"/>
      <c r="L1805" s="1904"/>
      <c r="M1805" s="1904"/>
      <c r="N1805" s="1976"/>
      <c r="O1805" s="1976"/>
      <c r="P1805" s="1976"/>
      <c r="Q1805" s="1976"/>
      <c r="R1805" s="2817"/>
      <c r="S1805" s="1976"/>
      <c r="T1805" s="1976"/>
      <c r="U1805" s="1976"/>
      <c r="V1805" s="1976"/>
      <c r="W1805" s="1976"/>
      <c r="X1805" s="1976"/>
    </row>
    <row r="1806" spans="1:24" ht="15" customHeight="1">
      <c r="A1806" s="1828"/>
      <c r="B1806" s="1900" t="s">
        <v>5196</v>
      </c>
      <c r="C1806" s="1900"/>
      <c r="D1806" s="1900"/>
      <c r="E1806" s="521" t="s">
        <v>3827</v>
      </c>
      <c r="F1806" s="1993"/>
      <c r="G1806" s="521"/>
      <c r="H1806" s="1993"/>
      <c r="I1806" s="1867">
        <f>'Part IX Scoring Criteria'!I158</f>
        <v>0</v>
      </c>
      <c r="J1806" s="1867">
        <f>'Part IX Scoring Criteria'!J158</f>
        <v>0</v>
      </c>
      <c r="K1806" s="1867">
        <f>'Part IX Scoring Criteria'!K158</f>
        <v>0</v>
      </c>
      <c r="L1806" s="1867">
        <f>'Part IX Scoring Criteria'!L158</f>
        <v>0</v>
      </c>
      <c r="M1806" s="1976"/>
      <c r="N1806" s="1976"/>
      <c r="O1806" s="1976"/>
      <c r="P1806" s="1976"/>
      <c r="Q1806" s="1976"/>
      <c r="R1806" s="1976"/>
      <c r="S1806" s="1976"/>
      <c r="T1806" s="1976"/>
      <c r="U1806" s="1976"/>
      <c r="V1806" s="1976"/>
      <c r="W1806" s="1976"/>
      <c r="X1806" s="1976"/>
    </row>
    <row r="1807" spans="1:24" ht="15">
      <c r="A1807" s="1828"/>
      <c r="B1807" s="1900"/>
      <c r="C1807" s="1900"/>
      <c r="D1807" s="1900"/>
      <c r="E1807" s="1841" t="s">
        <v>4837</v>
      </c>
      <c r="F1807" s="2817"/>
      <c r="G1807" s="1993"/>
      <c r="H1807" s="1993"/>
      <c r="I1807" s="1841"/>
      <c r="J1807" s="1834"/>
      <c r="K1807" s="1834"/>
      <c r="L1807" s="1834"/>
      <c r="M1807" s="1993"/>
      <c r="N1807" s="1867"/>
      <c r="O1807" s="1895">
        <f>'Part IX Scoring Criteria'!O159</f>
        <v>0</v>
      </c>
      <c r="P1807" s="1895"/>
      <c r="Q1807" s="1867"/>
      <c r="R1807" s="1976"/>
      <c r="S1807" s="1976"/>
      <c r="T1807" s="1976"/>
      <c r="U1807" s="1976"/>
      <c r="V1807" s="1976"/>
      <c r="W1807" s="1976"/>
      <c r="X1807" s="1976"/>
    </row>
    <row r="1808" spans="1:24" ht="15" customHeight="1">
      <c r="A1808" s="1631"/>
      <c r="B1808" s="1976"/>
      <c r="C1808" s="1899"/>
      <c r="D1808" s="1899"/>
      <c r="E1808" s="521" t="s">
        <v>4838</v>
      </c>
      <c r="F1808" s="1895" t="str">
        <f>'Part I-Project Information'!$H$82</f>
        <v>Family</v>
      </c>
      <c r="G1808" s="1976"/>
      <c r="H1808" s="521"/>
      <c r="I1808" s="1899"/>
      <c r="J1808" s="1899"/>
      <c r="K1808" s="1976"/>
      <c r="L1808" s="1976"/>
      <c r="M1808" s="1899"/>
      <c r="N1808" s="2011"/>
      <c r="O1808" s="1867" t="s">
        <v>5197</v>
      </c>
      <c r="P1808" s="1867"/>
      <c r="Q1808" s="1976"/>
      <c r="R1808" s="1976"/>
      <c r="S1808" s="1976"/>
      <c r="T1808" s="1976"/>
      <c r="U1808" s="1976"/>
      <c r="V1808" s="1976"/>
      <c r="W1808" s="1976"/>
      <c r="X1808" s="1976"/>
    </row>
    <row r="1809" spans="1:24" ht="13.5">
      <c r="A1809" s="2055"/>
      <c r="B1809" s="1964"/>
      <c r="C1809" s="1216"/>
      <c r="D1809" s="1216"/>
      <c r="E1809" s="1216"/>
      <c r="F1809" s="1216"/>
      <c r="G1809" s="1216"/>
      <c r="H1809" s="1216"/>
      <c r="I1809" s="1216"/>
      <c r="J1809" s="1216"/>
      <c r="K1809" s="1216"/>
      <c r="L1809" s="1216"/>
      <c r="M1809" s="1216"/>
      <c r="N1809" s="1216"/>
      <c r="O1809" s="1867"/>
      <c r="P1809" s="1867"/>
      <c r="Q1809" s="1216"/>
      <c r="R1809" s="1216"/>
      <c r="S1809" s="1216"/>
      <c r="T1809" s="1216"/>
      <c r="U1809" s="1216"/>
      <c r="V1809" s="1216"/>
      <c r="W1809" s="1216"/>
      <c r="X1809" s="1216"/>
    </row>
    <row r="1810" spans="1:24" ht="15" customHeight="1">
      <c r="A1810" s="1937" t="s">
        <v>2435</v>
      </c>
      <c r="B1810" s="1634" t="s">
        <v>4836</v>
      </c>
      <c r="C1810" s="1899"/>
      <c r="D1810" s="1899"/>
      <c r="E1810" s="521"/>
      <c r="F1810" s="1841"/>
      <c r="G1810" s="1841"/>
      <c r="H1810" s="1976"/>
      <c r="I1810" s="1899"/>
      <c r="J1810" s="1899"/>
      <c r="K1810" s="1899"/>
      <c r="L1810" s="1899"/>
      <c r="M1810" s="1706" t="s">
        <v>4835</v>
      </c>
      <c r="N1810" s="2011"/>
      <c r="O1810" s="1867"/>
      <c r="P1810" s="1867"/>
      <c r="Q1810" s="1976"/>
      <c r="R1810" s="1976"/>
      <c r="S1810" s="1976"/>
      <c r="T1810" s="1904" t="s">
        <v>5066</v>
      </c>
      <c r="U1810" s="1976"/>
      <c r="V1810" s="1976"/>
      <c r="W1810" s="1976"/>
      <c r="X1810" s="1976"/>
    </row>
    <row r="1811" spans="1:24" ht="13.5">
      <c r="A1811" s="2055"/>
      <c r="B1811" s="1964"/>
      <c r="C1811" s="1216"/>
      <c r="D1811" s="1216"/>
      <c r="E1811" s="1216"/>
      <c r="F1811" s="1216"/>
      <c r="G1811" s="1216"/>
      <c r="H1811" s="1216"/>
      <c r="I1811" s="1216"/>
      <c r="J1811" s="1216"/>
      <c r="K1811" s="1216"/>
      <c r="L1811" s="1216"/>
      <c r="M1811" s="1706"/>
      <c r="N1811" s="1216"/>
      <c r="O1811" s="1867"/>
      <c r="P1811" s="1867"/>
      <c r="Q1811" s="1216"/>
      <c r="R1811" s="1216"/>
      <c r="S1811" s="1216"/>
      <c r="T1811" s="1904"/>
      <c r="U1811" s="1216"/>
      <c r="V1811" s="1216"/>
      <c r="W1811" s="1216"/>
      <c r="X1811" s="1216"/>
    </row>
    <row r="1812" spans="1:24" ht="15" customHeight="1">
      <c r="A1812" s="1828"/>
      <c r="B1812" s="1652"/>
      <c r="C1812" s="2055"/>
      <c r="D1812" s="2055"/>
      <c r="E1812" s="2051"/>
      <c r="F1812" s="1976"/>
      <c r="G1812" s="1976"/>
      <c r="H1812" s="1904" t="s">
        <v>3825</v>
      </c>
      <c r="I1812" s="1867" t="s">
        <v>3870</v>
      </c>
      <c r="J1812" s="1867"/>
      <c r="K1812" s="1867"/>
      <c r="L1812" s="1706" t="s">
        <v>3824</v>
      </c>
      <c r="M1812" s="1706"/>
      <c r="N1812" s="1706"/>
      <c r="O1812" s="1867"/>
      <c r="P1812" s="1867"/>
      <c r="Q1812" s="1976"/>
      <c r="R1812" s="2038" t="s">
        <v>5033</v>
      </c>
      <c r="S1812" s="1976"/>
      <c r="T1812" s="1904"/>
      <c r="U1812" s="1904" t="s">
        <v>5065</v>
      </c>
      <c r="V1812" s="1976"/>
      <c r="W1812" s="1976"/>
      <c r="X1812" s="1976"/>
    </row>
    <row r="1813" spans="1:24" ht="23.25">
      <c r="A1813" s="1828"/>
      <c r="B1813" s="2052" t="s">
        <v>3822</v>
      </c>
      <c r="C1813" s="1834"/>
      <c r="D1813" s="1652" t="s">
        <v>4583</v>
      </c>
      <c r="E1813" s="1652"/>
      <c r="F1813" s="1652"/>
      <c r="G1813" s="1920" t="s">
        <v>3398</v>
      </c>
      <c r="H1813" s="1904"/>
      <c r="I1813" s="1943">
        <v>2015</v>
      </c>
      <c r="J1813" s="1943">
        <v>2016</v>
      </c>
      <c r="K1813" s="1943">
        <v>2017</v>
      </c>
      <c r="L1813" s="1706"/>
      <c r="M1813" s="1706"/>
      <c r="N1813" s="1706"/>
      <c r="O1813" s="1867"/>
      <c r="P1813" s="1867"/>
      <c r="Q1813" s="1976"/>
      <c r="R1813" s="2038"/>
      <c r="S1813" s="1976"/>
      <c r="T1813" s="1904"/>
      <c r="U1813" s="1904"/>
      <c r="V1813" s="1976"/>
      <c r="W1813" s="1976"/>
      <c r="X1813" s="1976"/>
    </row>
    <row r="1814" spans="1:24" ht="15">
      <c r="A1814" s="1976"/>
      <c r="B1814" s="2055" t="s">
        <v>4006</v>
      </c>
      <c r="C1814" s="1976"/>
      <c r="D1814" s="1867">
        <f>'Part IX Scoring Criteria'!D166</f>
        <v>0</v>
      </c>
      <c r="E1814" s="1867">
        <f>'Part IX Scoring Criteria'!E166</f>
        <v>0</v>
      </c>
      <c r="F1814" s="1867">
        <f>'Part IX Scoring Criteria'!F166</f>
        <v>0</v>
      </c>
      <c r="G1814" s="2167">
        <f>'Part IX Scoring Criteria'!G166</f>
        <v>0</v>
      </c>
      <c r="H1814" s="1928">
        <f>'Part IX Scoring Criteria'!H166</f>
        <v>0</v>
      </c>
      <c r="I1814" s="2056">
        <f>'Part IX Scoring Criteria'!I166</f>
        <v>0</v>
      </c>
      <c r="J1814" s="2056">
        <f>'Part IX Scoring Criteria'!J166</f>
        <v>0</v>
      </c>
      <c r="K1814" s="2056">
        <f>'Part IX Scoring Criteria'!K166</f>
        <v>0</v>
      </c>
      <c r="L1814" s="2056" t="str">
        <f>IF(I1814+J1814+K1814=0,"",AVERAGE(I1814,J1814,K1814))</f>
        <v/>
      </c>
      <c r="M1814" s="1633" t="str">
        <f>IF(L1814="","",IF(L1814&gt;R1814,"Yes",IF(L1814&lt;R1814,"No","")))</f>
        <v/>
      </c>
      <c r="N1814" s="1976"/>
      <c r="O1814" s="1895">
        <f>'Part IX Scoring Criteria'!O166</f>
        <v>0</v>
      </c>
      <c r="P1814" s="1895"/>
      <c r="Q1814" s="1976"/>
      <c r="R1814" s="1632">
        <v>73.400000000000006</v>
      </c>
      <c r="S1814" s="1976"/>
      <c r="T1814" s="1633">
        <f>IF(OR(M1814="Yes",O1814="Yes"),1,0)</f>
        <v>0</v>
      </c>
      <c r="U1814" s="2786">
        <f>SUM(T1814:T1818)</f>
        <v>0</v>
      </c>
      <c r="V1814" s="1976"/>
      <c r="W1814" s="1976"/>
      <c r="X1814" s="1976"/>
    </row>
    <row r="1815" spans="1:24" ht="15">
      <c r="A1815" s="1976"/>
      <c r="B1815" s="2055" t="s">
        <v>4169</v>
      </c>
      <c r="C1815" s="1976"/>
      <c r="D1815" s="1867">
        <f>'Part IX Scoring Criteria'!D167</f>
        <v>0</v>
      </c>
      <c r="E1815" s="1867">
        <f>'Part IX Scoring Criteria'!E167</f>
        <v>0</v>
      </c>
      <c r="F1815" s="1867">
        <f>'Part IX Scoring Criteria'!F167</f>
        <v>0</v>
      </c>
      <c r="G1815" s="2167">
        <f>'Part IX Scoring Criteria'!G167</f>
        <v>0</v>
      </c>
      <c r="H1815" s="1928">
        <f>'Part IX Scoring Criteria'!H167</f>
        <v>0</v>
      </c>
      <c r="I1815" s="2056">
        <f>'Part IX Scoring Criteria'!I167</f>
        <v>0</v>
      </c>
      <c r="J1815" s="2056">
        <f>'Part IX Scoring Criteria'!J167</f>
        <v>0</v>
      </c>
      <c r="K1815" s="2056">
        <f>'Part IX Scoring Criteria'!K167</f>
        <v>0</v>
      </c>
      <c r="L1815" s="2056" t="str">
        <f>IF(I1815+J1815+K1815=0,"",AVERAGE(I1815,J1815,K1815))</f>
        <v/>
      </c>
      <c r="M1815" s="1633" t="str">
        <f>IF(L1815="","",IF(L1815&gt;R1815,"Yes",IF(L1815&lt;R1815,"No","")))</f>
        <v/>
      </c>
      <c r="N1815" s="1976"/>
      <c r="O1815" s="1895">
        <f>'Part IX Scoring Criteria'!O167</f>
        <v>0</v>
      </c>
      <c r="P1815" s="1895"/>
      <c r="Q1815" s="1976"/>
      <c r="R1815" s="1632">
        <v>72.099999999999994</v>
      </c>
      <c r="S1815" s="1976"/>
      <c r="T1815" s="1633">
        <f t="shared" ref="T1815:T1816" si="379">IF(OR(M1815="Yes",O1815="Yes"),1,0)</f>
        <v>0</v>
      </c>
      <c r="U1815" s="2786"/>
      <c r="V1815" s="1976"/>
      <c r="W1815" s="1976"/>
      <c r="X1815" s="1976"/>
    </row>
    <row r="1816" spans="1:24" ht="15">
      <c r="A1816" s="1937"/>
      <c r="B1816" s="2055" t="s">
        <v>4004</v>
      </c>
      <c r="C1816" s="1976"/>
      <c r="D1816" s="1867">
        <f>'Part IX Scoring Criteria'!D168</f>
        <v>0</v>
      </c>
      <c r="E1816" s="1867">
        <f>'Part IX Scoring Criteria'!E168</f>
        <v>0</v>
      </c>
      <c r="F1816" s="1867">
        <f>'Part IX Scoring Criteria'!F168</f>
        <v>0</v>
      </c>
      <c r="G1816" s="2167">
        <f>'Part IX Scoring Criteria'!G168</f>
        <v>0</v>
      </c>
      <c r="H1816" s="1928">
        <f>'Part IX Scoring Criteria'!H168</f>
        <v>0</v>
      </c>
      <c r="I1816" s="2056">
        <f>'Part IX Scoring Criteria'!I168</f>
        <v>0</v>
      </c>
      <c r="J1816" s="2056">
        <f>'Part IX Scoring Criteria'!J168</f>
        <v>0</v>
      </c>
      <c r="K1816" s="2056">
        <f>'Part IX Scoring Criteria'!K168</f>
        <v>0</v>
      </c>
      <c r="L1816" s="2056" t="str">
        <f>IF(I1816+J1816+K1816=0,"",AVERAGE(I1816,J1816,K1816))</f>
        <v/>
      </c>
      <c r="M1816" s="1633" t="str">
        <f>IF(L1816="","",IF(L1816&gt;R1816,"Yes",IF(L1816&lt;R1816,"No","")))</f>
        <v/>
      </c>
      <c r="N1816" s="1976"/>
      <c r="O1816" s="1895">
        <f>'Part IX Scoring Criteria'!O168</f>
        <v>0</v>
      </c>
      <c r="P1816" s="1895"/>
      <c r="Q1816" s="1976"/>
      <c r="R1816" s="1632">
        <v>73.3</v>
      </c>
      <c r="S1816" s="1976"/>
      <c r="T1816" s="1633">
        <f t="shared" si="379"/>
        <v>0</v>
      </c>
      <c r="U1816" s="2786"/>
      <c r="V1816" s="1976"/>
      <c r="W1816" s="1976"/>
      <c r="X1816" s="1976"/>
    </row>
    <row r="1817" spans="1:24" ht="15">
      <c r="A1817" s="1937"/>
      <c r="B1817" s="2055"/>
      <c r="C1817" s="1976"/>
      <c r="D1817" s="1976"/>
      <c r="E1817" s="1976"/>
      <c r="F1817" s="1976"/>
      <c r="G1817" s="1976"/>
      <c r="H1817" s="1976"/>
      <c r="I1817" s="1976"/>
      <c r="J1817" s="1976"/>
      <c r="K1817" s="1976"/>
      <c r="L1817" s="2852"/>
      <c r="M1817" s="1976"/>
      <c r="N1817" s="1976"/>
      <c r="O1817" s="1976"/>
      <c r="P1817" s="1976"/>
      <c r="Q1817" s="1976"/>
      <c r="R1817" s="1976"/>
      <c r="S1817" s="1976"/>
      <c r="T1817" s="1976"/>
      <c r="U1817" s="1976"/>
      <c r="V1817" s="1976"/>
      <c r="W1817" s="1976"/>
      <c r="X1817" s="1976"/>
    </row>
    <row r="1818" spans="1:24" ht="13.5">
      <c r="A1818" s="2055"/>
      <c r="B1818" s="1964"/>
      <c r="C1818" s="1216"/>
      <c r="D1818" s="1216"/>
      <c r="E1818" s="1216"/>
      <c r="F1818" s="1216"/>
      <c r="G1818" s="1216"/>
      <c r="H1818" s="1216"/>
      <c r="I1818" s="1216"/>
      <c r="J1818" s="1216"/>
      <c r="K1818" s="1216"/>
      <c r="L1818" s="1216"/>
      <c r="M1818" s="1216"/>
      <c r="N1818" s="1216"/>
      <c r="O1818" s="1216"/>
      <c r="P1818" s="1216"/>
      <c r="Q1818" s="1216"/>
      <c r="R1818" s="1216"/>
      <c r="S1818" s="1216"/>
      <c r="T1818" s="1216"/>
      <c r="U1818" s="1216"/>
      <c r="V1818" s="1216"/>
      <c r="W1818" s="1216"/>
      <c r="X1818" s="1216"/>
    </row>
    <row r="1819" spans="1:24" ht="15">
      <c r="A1819" s="1828" t="s">
        <v>1985</v>
      </c>
      <c r="B1819" s="1631" t="s">
        <v>4008</v>
      </c>
      <c r="C1819" s="1993"/>
      <c r="D1819" s="2041"/>
      <c r="E1819" s="2041"/>
      <c r="F1819" s="1842" t="s">
        <v>3391</v>
      </c>
      <c r="G1819" s="1993"/>
      <c r="H1819" s="1841" t="s">
        <v>3871</v>
      </c>
      <c r="I1819" s="1993"/>
      <c r="J1819" s="1993"/>
      <c r="K1819" s="1993"/>
      <c r="L1819" s="1993"/>
      <c r="M1819" s="1630">
        <v>2</v>
      </c>
      <c r="N1819" s="2013"/>
      <c r="O1819" s="1863">
        <f>'Part IX Scoring Criteria'!O171</f>
        <v>0</v>
      </c>
      <c r="P1819" s="1863">
        <f>IF(AND(J1828="Yes",J1829="Yes"),$H$181,IF(AND(J1828="Yes",J1829="No"),$H$180,0))</f>
        <v>0</v>
      </c>
      <c r="Q1819" s="1630"/>
      <c r="R1819" s="1689"/>
      <c r="S1819" s="1993"/>
      <c r="T1819" s="1993"/>
      <c r="U1819" s="1993"/>
      <c r="V1819" s="1993"/>
      <c r="W1819" s="1993"/>
      <c r="X1819" s="1993"/>
    </row>
    <row r="1820" spans="1:24" ht="12.75" customHeight="1">
      <c r="A1820" s="1216"/>
      <c r="B1820" s="1216"/>
      <c r="C1820" s="1216"/>
      <c r="D1820" s="1216"/>
      <c r="E1820" s="1904" t="s">
        <v>4171</v>
      </c>
      <c r="F1820" s="1904" t="s">
        <v>3661</v>
      </c>
      <c r="G1820" s="1810" t="s">
        <v>3399</v>
      </c>
      <c r="H1820" s="1810"/>
      <c r="I1820" s="1810"/>
      <c r="J1820" s="1810"/>
      <c r="K1820" s="1810"/>
      <c r="L1820" s="1810"/>
      <c r="M1820" s="1810"/>
      <c r="N1820" s="1810"/>
      <c r="O1820" s="1216"/>
      <c r="P1820" s="1900"/>
      <c r="Q1820" s="1216"/>
      <c r="R1820" s="521" t="s">
        <v>2833</v>
      </c>
      <c r="S1820" s="521"/>
      <c r="T1820" s="521" t="str">
        <f>'Part I-Project Information'!$F$38</f>
        <v>Stonecrest</v>
      </c>
      <c r="U1820" s="521"/>
      <c r="V1820" s="521"/>
      <c r="W1820" s="521"/>
      <c r="X1820" s="521"/>
    </row>
    <row r="1821" spans="1:24" ht="12.75" customHeight="1">
      <c r="A1821" s="1937"/>
      <c r="B1821" s="1904" t="s">
        <v>4011</v>
      </c>
      <c r="C1821" s="1904"/>
      <c r="D1821" s="1904"/>
      <c r="E1821" s="1904"/>
      <c r="F1821" s="1904"/>
      <c r="G1821" s="1900" t="s">
        <v>4010</v>
      </c>
      <c r="H1821" s="1900"/>
      <c r="I1821" s="1900"/>
      <c r="J1821" s="1900"/>
      <c r="K1821" s="1900"/>
      <c r="L1821" s="1900"/>
      <c r="M1821" s="1900"/>
      <c r="N1821" s="1900"/>
      <c r="O1821" s="1904" t="s">
        <v>3662</v>
      </c>
      <c r="P1821" s="1904"/>
      <c r="Q1821" s="1216"/>
      <c r="R1821" s="521" t="s">
        <v>2834</v>
      </c>
      <c r="S1821" s="521"/>
      <c r="T1821" s="521" t="str">
        <f>'Part I-Project Information'!$J$39</f>
        <v>DeKalb</v>
      </c>
      <c r="U1821" s="521"/>
      <c r="V1821" s="521"/>
      <c r="W1821" s="521"/>
      <c r="X1821" s="521"/>
    </row>
    <row r="1822" spans="1:24">
      <c r="A1822" s="1937"/>
      <c r="B1822" s="521" t="s">
        <v>3831</v>
      </c>
      <c r="C1822" s="521"/>
      <c r="D1822" s="521"/>
      <c r="E1822" s="2059">
        <v>3000</v>
      </c>
      <c r="F1822" s="2059">
        <v>6000</v>
      </c>
      <c r="G1822" s="2060">
        <v>15000</v>
      </c>
      <c r="H1822" s="2060"/>
      <c r="I1822" s="2060"/>
      <c r="J1822" s="2060"/>
      <c r="K1822" s="2060"/>
      <c r="L1822" s="2060"/>
      <c r="M1822" s="2060"/>
      <c r="N1822" s="2060"/>
      <c r="O1822" s="2060">
        <v>20000</v>
      </c>
      <c r="P1822" s="2060"/>
      <c r="Q1822" s="1216"/>
      <c r="R1822" s="1841" t="s">
        <v>2835</v>
      </c>
      <c r="S1822" s="521"/>
      <c r="T1822" s="521" t="str">
        <f>'Part I-Project Information'!$O$40</f>
        <v>Atlanta-Sandy Springs-Marietta</v>
      </c>
      <c r="U1822" s="521"/>
      <c r="V1822" s="521"/>
      <c r="W1822" s="521"/>
      <c r="X1822" s="521"/>
    </row>
    <row r="1823" spans="1:24" ht="12.75" customHeight="1">
      <c r="A1823" s="1937"/>
      <c r="B1823" s="1867" t="s">
        <v>4009</v>
      </c>
      <c r="C1823" s="1867"/>
      <c r="D1823" s="1867"/>
      <c r="E1823" s="2059">
        <v>4500</v>
      </c>
      <c r="F1823" s="2059">
        <v>9000</v>
      </c>
      <c r="G1823" s="2060">
        <v>22500</v>
      </c>
      <c r="H1823" s="2060"/>
      <c r="I1823" s="2060"/>
      <c r="J1823" s="2060"/>
      <c r="K1823" s="2060"/>
      <c r="L1823" s="2060"/>
      <c r="M1823" s="2060"/>
      <c r="N1823" s="2060"/>
      <c r="O1823" s="2060">
        <v>30000</v>
      </c>
      <c r="P1823" s="2060"/>
      <c r="Q1823" s="521"/>
      <c r="R1823" s="1841" t="s">
        <v>3864</v>
      </c>
      <c r="S1823" s="521"/>
      <c r="T1823" s="521" t="str">
        <f>VLOOKUP('Part I-Project Information'!$J$39,'DCA Underwriting Assumptions'!$G$158:$J$317,4)</f>
        <v>MSA</v>
      </c>
      <c r="U1823" s="521"/>
      <c r="V1823" s="521"/>
      <c r="W1823" s="521"/>
      <c r="X1823" s="521"/>
    </row>
    <row r="1824" spans="1:24">
      <c r="A1824" s="1937"/>
      <c r="B1824" s="1937"/>
      <c r="C1824" s="1216"/>
      <c r="D1824" s="1216"/>
      <c r="E1824" s="1216"/>
      <c r="F1824" s="1216"/>
      <c r="G1824" s="1216"/>
      <c r="H1824" s="1216"/>
      <c r="I1824" s="1216"/>
      <c r="J1824" s="1216"/>
      <c r="K1824" s="1943"/>
      <c r="L1824" s="1943"/>
      <c r="M1824" s="1216"/>
      <c r="N1824" s="1216"/>
      <c r="O1824" s="1216"/>
      <c r="P1824" s="1216"/>
      <c r="Q1824" s="1216"/>
      <c r="R1824" s="1216"/>
      <c r="S1824" s="1216"/>
      <c r="T1824" s="1216"/>
      <c r="U1824" s="1216"/>
      <c r="V1824" s="1216"/>
      <c r="W1824" s="1216"/>
      <c r="X1824" s="1216"/>
    </row>
    <row r="1825" spans="1:24">
      <c r="A1825" s="1216"/>
      <c r="B1825" s="2061" t="s">
        <v>3865</v>
      </c>
      <c r="C1825" s="1216"/>
      <c r="D1825" s="1216"/>
      <c r="E1825" s="2062"/>
      <c r="F1825" s="2062"/>
      <c r="G1825" s="2062"/>
      <c r="H1825" s="1216"/>
      <c r="I1825" s="2062">
        <f>'Part IX Scoring Criteria'!I177</f>
        <v>0</v>
      </c>
      <c r="J1825" s="2062"/>
      <c r="K1825" s="1216"/>
      <c r="L1825" s="1216"/>
      <c r="M1825" s="1216"/>
      <c r="N1825" s="1216"/>
      <c r="O1825" s="1216"/>
      <c r="P1825" s="1216"/>
      <c r="Q1825" s="1216"/>
      <c r="R1825" s="521" t="s">
        <v>3627</v>
      </c>
      <c r="S1825" s="521"/>
      <c r="T1825" s="521" t="str">
        <f>'Part I-Project Information'!$K$40</f>
        <v>Urban</v>
      </c>
      <c r="U1825" s="521"/>
      <c r="V1825" s="521"/>
      <c r="W1825" s="521"/>
      <c r="X1825" s="521"/>
    </row>
    <row r="1826" spans="1:24" ht="13.5">
      <c r="A1826" s="2055"/>
      <c r="B1826" s="1964" t="s">
        <v>3626</v>
      </c>
      <c r="C1826" s="1216"/>
      <c r="D1826" s="1216"/>
      <c r="E1826" s="1216"/>
      <c r="F1826" s="1216"/>
      <c r="G1826" s="1216"/>
      <c r="H1826" s="1953" t="str">
        <f>IF(I1826&lt;I1825,"Threshold not met!","")</f>
        <v/>
      </c>
      <c r="I1826" s="2062">
        <f>'Part IX Scoring Criteria'!I178</f>
        <v>0</v>
      </c>
      <c r="J1826" s="2062"/>
      <c r="K1826" s="1955" t="str">
        <f>IF(J1826&lt;J1825,"Threshold not met!","")</f>
        <v/>
      </c>
      <c r="L1826" s="1216"/>
      <c r="M1826" s="1216"/>
      <c r="N1826" s="1216"/>
      <c r="O1826" s="1216"/>
      <c r="P1826" s="1216"/>
      <c r="Q1826" s="1216"/>
      <c r="R1826" s="1216"/>
      <c r="S1826" s="1216"/>
      <c r="T1826" s="1216"/>
      <c r="U1826" s="1216"/>
      <c r="V1826" s="1216"/>
      <c r="W1826" s="1216"/>
      <c r="X1826" s="1216"/>
    </row>
    <row r="1827" spans="1:24" ht="13.5">
      <c r="A1827" s="2055"/>
      <c r="B1827" s="1964"/>
      <c r="C1827" s="1216"/>
      <c r="D1827" s="1216"/>
      <c r="E1827" s="1216"/>
      <c r="F1827" s="1216"/>
      <c r="G1827" s="1216"/>
      <c r="H1827" s="1216"/>
      <c r="I1827" s="1216"/>
      <c r="J1827" s="1216"/>
      <c r="K1827" s="1216"/>
      <c r="L1827" s="1216"/>
      <c r="M1827" s="1216"/>
      <c r="N1827" s="1216"/>
      <c r="O1827" s="1216"/>
      <c r="P1827" s="1216"/>
      <c r="Q1827" s="1216"/>
      <c r="R1827" s="1216"/>
      <c r="S1827" s="1216"/>
      <c r="T1827" s="1216"/>
      <c r="U1827" s="1216"/>
      <c r="V1827" s="1216"/>
      <c r="W1827" s="1216"/>
      <c r="X1827" s="1216"/>
    </row>
    <row r="1828" spans="1:24">
      <c r="A1828" s="1216"/>
      <c r="B1828" s="2013" t="s">
        <v>1986</v>
      </c>
      <c r="C1828" s="521" t="s">
        <v>4170</v>
      </c>
      <c r="D1828" s="1955"/>
      <c r="E1828" s="1955"/>
      <c r="F1828" s="1955"/>
      <c r="G1828" s="1955"/>
      <c r="H1828" s="2064" t="s">
        <v>1986</v>
      </c>
      <c r="I1828" s="2083" t="str">
        <f>'Part IX Scoring Criteria'!I180</f>
        <v/>
      </c>
      <c r="J1828" s="2083" t="str">
        <f>IF(OR(J1825="",J1826=""),"",IF(J1826&gt;=J1825,"Yes","No"))</f>
        <v/>
      </c>
      <c r="K1828" s="1216"/>
      <c r="L1828" s="1216"/>
      <c r="M1828" s="1216"/>
      <c r="N1828" s="1216"/>
      <c r="O1828" s="1216"/>
      <c r="P1828" s="1216"/>
      <c r="Q1828" s="1216"/>
      <c r="R1828" s="1216"/>
      <c r="S1828" s="1216"/>
      <c r="T1828" s="1216"/>
      <c r="U1828" s="1216"/>
      <c r="V1828" s="1216"/>
      <c r="W1828" s="1216"/>
      <c r="X1828" s="1216"/>
    </row>
    <row r="1829" spans="1:24">
      <c r="A1829" s="1216" t="s">
        <v>1353</v>
      </c>
      <c r="B1829" s="2013" t="s">
        <v>1988</v>
      </c>
      <c r="C1829" s="521" t="s">
        <v>4012</v>
      </c>
      <c r="D1829" s="2051"/>
      <c r="E1829" s="2051"/>
      <c r="F1829" s="2051"/>
      <c r="G1829" s="1216"/>
      <c r="H1829" s="2064" t="s">
        <v>1988</v>
      </c>
      <c r="I1829" s="1943" t="str">
        <f>'Part IX Scoring Criteria'!I181</f>
        <v/>
      </c>
      <c r="J1829" s="1943" t="str">
        <f>IF(OR(J1825="",J1826=""),"",IF(J1826&gt;=HLOOKUP(J1825,$E$174:$P$175,2),"Yes","No"))</f>
        <v/>
      </c>
      <c r="K1829" s="1216"/>
      <c r="L1829" s="1216"/>
      <c r="M1829" s="1216"/>
      <c r="N1829" s="1216"/>
      <c r="O1829" s="1216"/>
      <c r="P1829" s="1216"/>
      <c r="Q1829" s="1216"/>
      <c r="R1829" s="1216"/>
      <c r="S1829" s="1216"/>
      <c r="T1829" s="1216"/>
      <c r="U1829" s="1216"/>
      <c r="V1829" s="1216"/>
      <c r="W1829" s="1216"/>
      <c r="X1829" s="1216"/>
    </row>
    <row r="1830" spans="1:24">
      <c r="A1830" s="1216"/>
      <c r="B1830" s="1828"/>
      <c r="C1830" s="1964" t="s">
        <v>3887</v>
      </c>
      <c r="D1830" s="2051"/>
      <c r="E1830" s="2051"/>
      <c r="F1830" s="2051"/>
      <c r="G1830" s="1964"/>
      <c r="H1830" s="1216"/>
      <c r="I1830" s="2799">
        <f>'Part IX Scoring Criteria'!I182</f>
        <v>0</v>
      </c>
      <c r="J1830" s="2799">
        <f>IF(J1826="",0,(J1826/J1825) - 1)</f>
        <v>0</v>
      </c>
      <c r="K1830" s="1216"/>
      <c r="L1830" s="1216"/>
      <c r="M1830" s="1943"/>
      <c r="N1830" s="1216"/>
      <c r="O1830" s="1216"/>
      <c r="P1830" s="1216"/>
      <c r="Q1830" s="1216"/>
      <c r="R1830" s="1216"/>
      <c r="S1830" s="1216"/>
      <c r="T1830" s="1216"/>
      <c r="U1830" s="1216"/>
      <c r="V1830" s="1216"/>
      <c r="W1830" s="1216"/>
      <c r="X1830" s="1216"/>
    </row>
    <row r="1831" spans="1:24">
      <c r="A1831" s="1937"/>
      <c r="B1831" s="1937"/>
      <c r="C1831" s="1216"/>
      <c r="D1831" s="1216"/>
      <c r="E1831" s="1216"/>
      <c r="F1831" s="1895"/>
      <c r="G1831" s="1216"/>
      <c r="H1831" s="1216"/>
      <c r="I1831" s="1216"/>
      <c r="J1831" s="1216"/>
      <c r="K1831" s="1943"/>
      <c r="L1831" s="1943"/>
      <c r="M1831" s="1216"/>
      <c r="N1831" s="1216"/>
      <c r="O1831" s="1216"/>
      <c r="P1831" s="1216"/>
      <c r="Q1831" s="1216"/>
      <c r="R1831" s="1216"/>
      <c r="S1831" s="1216"/>
      <c r="T1831" s="1216"/>
      <c r="U1831" s="1216"/>
      <c r="V1831" s="1216"/>
      <c r="W1831" s="1216"/>
      <c r="X1831" s="1216"/>
    </row>
    <row r="1832" spans="1:24" ht="15">
      <c r="A1832" s="1631"/>
      <c r="B1832" s="1866" t="s">
        <v>3757</v>
      </c>
      <c r="C1832" s="1631"/>
      <c r="D1832" s="1634"/>
      <c r="E1832" s="1634"/>
      <c r="F1832" s="1634"/>
      <c r="G1832" s="1634"/>
      <c r="H1832" s="521"/>
      <c r="I1832" s="521"/>
      <c r="J1832" s="521"/>
      <c r="K1832" s="521"/>
      <c r="L1832" s="1976"/>
      <c r="M1832" s="1630"/>
      <c r="N1832" s="1637"/>
      <c r="O1832" s="1863"/>
      <c r="P1832" s="1637"/>
      <c r="Q1832" s="1976"/>
      <c r="R1832" s="1976"/>
      <c r="S1832" s="1976"/>
      <c r="T1832" s="1976"/>
      <c r="U1832" s="1976"/>
      <c r="V1832" s="1976"/>
      <c r="W1832" s="1976"/>
      <c r="X1832" s="1976"/>
    </row>
    <row r="1833" spans="1:24" ht="15">
      <c r="A1833" s="1900">
        <f>'Part IX Scoring Criteria'!A185</f>
        <v>0</v>
      </c>
      <c r="B1833" s="1900"/>
      <c r="C1833" s="1900"/>
      <c r="D1833" s="1900"/>
      <c r="E1833" s="1900"/>
      <c r="F1833" s="1900"/>
      <c r="G1833" s="1900"/>
      <c r="H1833" s="1900"/>
      <c r="I1833" s="1900"/>
      <c r="J1833" s="1900"/>
      <c r="K1833" s="1900"/>
      <c r="L1833" s="1900"/>
      <c r="M1833" s="1900"/>
      <c r="N1833" s="1900"/>
      <c r="O1833" s="1900"/>
      <c r="P1833" s="1900"/>
      <c r="Q1833" s="2786" t="s">
        <v>1254</v>
      </c>
      <c r="R1833" s="1976"/>
      <c r="S1833" s="1976"/>
      <c r="T1833" s="1976"/>
      <c r="U1833" s="1976"/>
      <c r="V1833" s="1976"/>
      <c r="W1833" s="1976"/>
      <c r="X1833" s="1976"/>
    </row>
    <row r="1834" spans="1:24" ht="15">
      <c r="A1834" s="1631"/>
      <c r="B1834" s="1897" t="s">
        <v>1866</v>
      </c>
      <c r="C1834" s="1631"/>
      <c r="D1834" s="1897"/>
      <c r="E1834" s="1899"/>
      <c r="F1834" s="1899"/>
      <c r="G1834" s="1899"/>
      <c r="H1834" s="1899"/>
      <c r="I1834" s="1899"/>
      <c r="J1834" s="1899"/>
      <c r="K1834" s="1899"/>
      <c r="L1834" s="1899"/>
      <c r="M1834" s="1899"/>
      <c r="N1834" s="2011"/>
      <c r="O1834" s="2011"/>
      <c r="P1834" s="1630"/>
      <c r="Q1834" s="2006"/>
      <c r="R1834" s="1976"/>
      <c r="S1834" s="1976"/>
      <c r="T1834" s="1976"/>
      <c r="U1834" s="1976"/>
      <c r="V1834" s="1976"/>
      <c r="W1834" s="1976"/>
      <c r="X1834" s="1976"/>
    </row>
    <row r="1835" spans="1:24" ht="15">
      <c r="A1835" s="1900"/>
      <c r="B1835" s="1900"/>
      <c r="C1835" s="1900"/>
      <c r="D1835" s="1900"/>
      <c r="E1835" s="1900"/>
      <c r="F1835" s="1900"/>
      <c r="G1835" s="1900"/>
      <c r="H1835" s="1900"/>
      <c r="I1835" s="1900"/>
      <c r="J1835" s="1900"/>
      <c r="K1835" s="1900"/>
      <c r="L1835" s="1900"/>
      <c r="M1835" s="1900"/>
      <c r="N1835" s="1900"/>
      <c r="O1835" s="1900"/>
      <c r="P1835" s="1900"/>
      <c r="Q1835" s="2786"/>
      <c r="R1835" s="1976"/>
      <c r="S1835" s="1976"/>
      <c r="T1835" s="1976"/>
      <c r="U1835" s="2853"/>
      <c r="V1835" s="1976"/>
      <c r="W1835" s="1976"/>
      <c r="X1835" s="1976"/>
    </row>
    <row r="1836" spans="1:24" ht="15">
      <c r="A1836" s="1631"/>
      <c r="B1836" s="1976"/>
      <c r="C1836" s="1899"/>
      <c r="D1836" s="1899"/>
      <c r="E1836" s="1899"/>
      <c r="F1836" s="1899"/>
      <c r="G1836" s="1899"/>
      <c r="H1836" s="1899"/>
      <c r="I1836" s="1899"/>
      <c r="J1836" s="1899"/>
      <c r="K1836" s="1899"/>
      <c r="L1836" s="1899"/>
      <c r="M1836" s="1899"/>
      <c r="N1836" s="2011"/>
      <c r="O1836" s="2011"/>
      <c r="P1836" s="1630"/>
      <c r="Q1836" s="1976"/>
      <c r="R1836" s="1976"/>
      <c r="S1836" s="1976"/>
      <c r="T1836" s="1976"/>
      <c r="U1836" s="1976"/>
      <c r="V1836" s="1976"/>
      <c r="W1836" s="1976"/>
      <c r="X1836" s="1976"/>
    </row>
    <row r="1837" spans="1:24" ht="15.75" customHeight="1">
      <c r="A1837" s="2828" t="s">
        <v>772</v>
      </c>
      <c r="B1837" s="2764" t="s">
        <v>4018</v>
      </c>
      <c r="C1837" s="1993"/>
      <c r="D1837" s="1866"/>
      <c r="E1837" s="1866"/>
      <c r="F1837" s="1993"/>
      <c r="G1837" s="1993"/>
      <c r="H1837" s="1993"/>
      <c r="I1837" s="2077"/>
      <c r="J1837" s="2077"/>
      <c r="K1837" s="1895"/>
      <c r="L1837" s="1895"/>
      <c r="M1837" s="1630">
        <v>7</v>
      </c>
      <c r="N1837" s="1630"/>
      <c r="O1837" s="1863">
        <f>'Part IX Scoring Criteria'!O189</f>
        <v>0</v>
      </c>
      <c r="P1837" s="1863">
        <f>IF(OR(P$153&gt;0,P$277&gt;0),0,MIN($M$189,P1853+P1858))</f>
        <v>0</v>
      </c>
      <c r="Q1837" s="1630" t="s">
        <v>441</v>
      </c>
      <c r="R1837" s="2038" t="s">
        <v>4845</v>
      </c>
      <c r="S1837" s="2038"/>
      <c r="T1837" s="1993"/>
      <c r="U1837" s="1993"/>
      <c r="V1837" s="1993"/>
      <c r="W1837" s="1993"/>
      <c r="X1837" s="1993"/>
    </row>
    <row r="1838" spans="1:24" ht="15">
      <c r="A1838" s="1630"/>
      <c r="B1838" s="1976"/>
      <c r="C1838" s="1634"/>
      <c r="D1838" s="1634"/>
      <c r="E1838" s="1652"/>
      <c r="F1838" s="1634"/>
      <c r="G1838" s="1634"/>
      <c r="H1838" s="1634"/>
      <c r="I1838" s="1634"/>
      <c r="J1838" s="1634"/>
      <c r="K1838" s="1634"/>
      <c r="L1838" s="1634"/>
      <c r="M1838" s="1634"/>
      <c r="N1838" s="1634"/>
      <c r="O1838" s="1634"/>
      <c r="P1838" s="1634"/>
      <c r="Q1838" s="1976"/>
      <c r="R1838" s="2038"/>
      <c r="S1838" s="2038"/>
      <c r="T1838" s="1976"/>
      <c r="U1838" s="1976"/>
      <c r="V1838" s="1976"/>
      <c r="W1838" s="1976"/>
      <c r="X1838" s="1976"/>
    </row>
    <row r="1839" spans="1:24" ht="15" customHeight="1">
      <c r="A1839" s="1630"/>
      <c r="B1839" s="1867" t="s">
        <v>4845</v>
      </c>
      <c r="C1839" s="1867"/>
      <c r="D1839" s="1867"/>
      <c r="E1839" s="1867"/>
      <c r="F1839" s="1867"/>
      <c r="G1839" s="1867"/>
      <c r="H1839" s="1867"/>
      <c r="I1839" s="1867"/>
      <c r="J1839" s="1867"/>
      <c r="K1839" s="1867"/>
      <c r="L1839" s="1867"/>
      <c r="M1839" s="1867"/>
      <c r="N1839" s="1867"/>
      <c r="O1839" s="1867"/>
      <c r="P1839" s="1867"/>
      <c r="Q1839" s="1976"/>
      <c r="R1839" s="2038"/>
      <c r="S1839" s="2038"/>
      <c r="T1839" s="1976"/>
      <c r="U1839" s="1976"/>
      <c r="V1839" s="1976"/>
      <c r="W1839" s="1976"/>
      <c r="X1839" s="1976"/>
    </row>
    <row r="1840" spans="1:24" ht="15">
      <c r="A1840" s="1630"/>
      <c r="B1840" s="1634" t="s">
        <v>5127</v>
      </c>
      <c r="C1840" s="1634"/>
      <c r="D1840" s="1634"/>
      <c r="E1840" s="1634"/>
      <c r="F1840" s="1634"/>
      <c r="G1840" s="1634"/>
      <c r="H1840" s="1634"/>
      <c r="I1840" s="1634"/>
      <c r="J1840" s="1634"/>
      <c r="K1840" s="1943" t="s">
        <v>2510</v>
      </c>
      <c r="L1840" s="1943" t="s">
        <v>2510</v>
      </c>
      <c r="M1840" s="1976"/>
      <c r="N1840" s="1955"/>
      <c r="O1840" s="1976"/>
      <c r="P1840" s="1955"/>
      <c r="Q1840" s="1976"/>
      <c r="R1840" s="2038"/>
      <c r="S1840" s="2038"/>
      <c r="T1840" s="1976"/>
      <c r="U1840" s="1976"/>
      <c r="V1840" s="1976"/>
      <c r="W1840" s="1976"/>
      <c r="X1840" s="1976"/>
    </row>
    <row r="1841" spans="1:24" ht="12.75" customHeight="1">
      <c r="A1841" s="1913"/>
      <c r="B1841" s="1944" t="s">
        <v>2435</v>
      </c>
      <c r="C1841" s="1900" t="s">
        <v>4951</v>
      </c>
      <c r="D1841" s="1900"/>
      <c r="E1841" s="1900"/>
      <c r="F1841" s="1900"/>
      <c r="G1841" s="1900"/>
      <c r="H1841" s="1900"/>
      <c r="I1841" s="1900"/>
      <c r="J1841" s="1944" t="s">
        <v>2435</v>
      </c>
      <c r="K1841" s="1895">
        <f>'Part IX Scoring Criteria'!K193</f>
        <v>0</v>
      </c>
      <c r="L1841" s="1895"/>
      <c r="M1841" s="2168" t="str">
        <f>'Part IX Scoring Criteria'!M193</f>
        <v>&lt;Enter page nbr(s) from Plan&gt;</v>
      </c>
      <c r="N1841" s="2168">
        <f>'Part IX Scoring Criteria'!N193</f>
        <v>0</v>
      </c>
      <c r="O1841" s="2168">
        <f>'Part IX Scoring Criteria'!O193</f>
        <v>0</v>
      </c>
      <c r="P1841" s="2168">
        <f>'Part IX Scoring Criteria'!P193</f>
        <v>0</v>
      </c>
      <c r="Q1841" s="1913"/>
      <c r="R1841" s="2038"/>
      <c r="S1841" s="2038"/>
      <c r="T1841" s="1913"/>
      <c r="U1841" s="1913"/>
      <c r="V1841" s="1913"/>
      <c r="W1841" s="1913"/>
      <c r="X1841" s="1913"/>
    </row>
    <row r="1842" spans="1:24" ht="15">
      <c r="A1842" s="1637"/>
      <c r="B1842" s="1937"/>
      <c r="C1842" s="1900"/>
      <c r="D1842" s="1900"/>
      <c r="E1842" s="1900"/>
      <c r="F1842" s="1900"/>
      <c r="G1842" s="1900"/>
      <c r="H1842" s="1900"/>
      <c r="I1842" s="1900"/>
      <c r="J1842" s="1976"/>
      <c r="K1842" s="2068"/>
      <c r="L1842" s="2068"/>
      <c r="M1842" s="1976"/>
      <c r="N1842" s="1976"/>
      <c r="O1842" s="1976"/>
      <c r="P1842" s="1976"/>
      <c r="Q1842" s="1976"/>
      <c r="R1842" s="2038"/>
      <c r="S1842" s="2038"/>
      <c r="T1842" s="1976"/>
      <c r="U1842" s="1976"/>
      <c r="V1842" s="1976"/>
      <c r="W1842" s="1976"/>
      <c r="X1842" s="1976"/>
    </row>
    <row r="1843" spans="1:24" ht="15" customHeight="1">
      <c r="A1843" s="1630"/>
      <c r="B1843" s="1937" t="s">
        <v>2436</v>
      </c>
      <c r="C1843" s="1867" t="s">
        <v>5198</v>
      </c>
      <c r="D1843" s="1867"/>
      <c r="E1843" s="1867"/>
      <c r="F1843" s="1867"/>
      <c r="G1843" s="1867"/>
      <c r="H1843" s="1993"/>
      <c r="I1843" s="1993"/>
      <c r="J1843" s="1937" t="s">
        <v>2436</v>
      </c>
      <c r="K1843" s="1895">
        <f>'Part IX Scoring Criteria'!K195</f>
        <v>0</v>
      </c>
      <c r="L1843" s="1895"/>
      <c r="M1843" s="2168" t="str">
        <f>'Part IX Scoring Criteria'!M195</f>
        <v>&lt;Enter page nbr(s) from Plan&gt;</v>
      </c>
      <c r="N1843" s="2168">
        <f>'Part IX Scoring Criteria'!N195</f>
        <v>0</v>
      </c>
      <c r="O1843" s="2168">
        <f>'Part IX Scoring Criteria'!O195</f>
        <v>0</v>
      </c>
      <c r="P1843" s="2168">
        <f>'Part IX Scoring Criteria'!P195</f>
        <v>0</v>
      </c>
      <c r="Q1843" s="1993"/>
      <c r="R1843" s="2038"/>
      <c r="S1843" s="2038"/>
      <c r="T1843" s="1993"/>
      <c r="U1843" s="1993"/>
      <c r="V1843" s="1993"/>
      <c r="W1843" s="1993"/>
      <c r="X1843" s="1993"/>
    </row>
    <row r="1844" spans="1:24" ht="12.75" customHeight="1">
      <c r="A1844" s="1631"/>
      <c r="B1844" s="1937" t="s">
        <v>2437</v>
      </c>
      <c r="C1844" s="521" t="s">
        <v>4840</v>
      </c>
      <c r="D1844" s="521"/>
      <c r="E1844" s="521"/>
      <c r="F1844" s="521"/>
      <c r="G1844" s="521"/>
      <c r="H1844" s="521"/>
      <c r="I1844" s="1631"/>
      <c r="J1844" s="1937" t="s">
        <v>2437</v>
      </c>
      <c r="K1844" s="1895">
        <f>'Part IX Scoring Criteria'!K196</f>
        <v>0</v>
      </c>
      <c r="L1844" s="1895"/>
      <c r="M1844" s="2168" t="str">
        <f>'Part IX Scoring Criteria'!M196</f>
        <v>&lt;Enter page nbr(s) from Plan&gt;</v>
      </c>
      <c r="N1844" s="2168">
        <f>'Part IX Scoring Criteria'!N196</f>
        <v>0</v>
      </c>
      <c r="O1844" s="2168">
        <f>'Part IX Scoring Criteria'!O196</f>
        <v>0</v>
      </c>
      <c r="P1844" s="2168">
        <f>'Part IX Scoring Criteria'!P196</f>
        <v>0</v>
      </c>
      <c r="Q1844" s="1631"/>
      <c r="R1844" s="2038"/>
      <c r="S1844" s="2038"/>
      <c r="T1844" s="1631"/>
      <c r="U1844" s="1631"/>
      <c r="V1844" s="1631"/>
      <c r="W1844" s="1631"/>
      <c r="X1844" s="1631"/>
    </row>
    <row r="1845" spans="1:24" ht="12.75" customHeight="1">
      <c r="A1845" s="1631"/>
      <c r="B1845" s="1937" t="s">
        <v>2439</v>
      </c>
      <c r="C1845" s="521" t="s">
        <v>4841</v>
      </c>
      <c r="D1845" s="521"/>
      <c r="E1845" s="521"/>
      <c r="F1845" s="521"/>
      <c r="G1845" s="521"/>
      <c r="H1845" s="521"/>
      <c r="I1845" s="1631"/>
      <c r="J1845" s="1937" t="s">
        <v>2439</v>
      </c>
      <c r="K1845" s="1895">
        <f>'Part IX Scoring Criteria'!K197</f>
        <v>0</v>
      </c>
      <c r="L1845" s="1895"/>
      <c r="M1845" s="2168" t="str">
        <f>'Part IX Scoring Criteria'!M197</f>
        <v>&lt;Enter page nbr(s) from Plan&gt;</v>
      </c>
      <c r="N1845" s="2168">
        <f>'Part IX Scoring Criteria'!N197</f>
        <v>0</v>
      </c>
      <c r="O1845" s="2168">
        <f>'Part IX Scoring Criteria'!O197</f>
        <v>0</v>
      </c>
      <c r="P1845" s="2168">
        <f>'Part IX Scoring Criteria'!P197</f>
        <v>0</v>
      </c>
      <c r="Q1845" s="1631"/>
      <c r="R1845" s="2038"/>
      <c r="S1845" s="2038"/>
      <c r="T1845" s="1631"/>
      <c r="U1845" s="1631"/>
      <c r="V1845" s="1631"/>
      <c r="W1845" s="1631"/>
      <c r="X1845" s="1631"/>
    </row>
    <row r="1846" spans="1:24" ht="12.75" customHeight="1">
      <c r="A1846" s="1631"/>
      <c r="B1846" s="1937" t="s">
        <v>2438</v>
      </c>
      <c r="C1846" s="521" t="s">
        <v>4843</v>
      </c>
      <c r="D1846" s="521"/>
      <c r="E1846" s="521"/>
      <c r="F1846" s="521"/>
      <c r="G1846" s="521"/>
      <c r="H1846" s="521"/>
      <c r="I1846" s="1631"/>
      <c r="J1846" s="1937" t="s">
        <v>2438</v>
      </c>
      <c r="K1846" s="1895">
        <f>'Part IX Scoring Criteria'!K198</f>
        <v>0</v>
      </c>
      <c r="L1846" s="1895"/>
      <c r="M1846" s="2168" t="str">
        <f>'Part IX Scoring Criteria'!M198</f>
        <v>&lt;Enter page nbr(s) from Plan&gt;</v>
      </c>
      <c r="N1846" s="2168">
        <f>'Part IX Scoring Criteria'!N198</f>
        <v>0</v>
      </c>
      <c r="O1846" s="2168">
        <f>'Part IX Scoring Criteria'!O198</f>
        <v>0</v>
      </c>
      <c r="P1846" s="2168">
        <f>'Part IX Scoring Criteria'!P198</f>
        <v>0</v>
      </c>
      <c r="Q1846" s="1631"/>
      <c r="R1846" s="2038"/>
      <c r="S1846" s="2038"/>
      <c r="T1846" s="1631"/>
      <c r="U1846" s="1631"/>
      <c r="V1846" s="1631"/>
      <c r="W1846" s="1631"/>
      <c r="X1846" s="1631"/>
    </row>
    <row r="1847" spans="1:24" ht="12.75" customHeight="1">
      <c r="A1847" s="1631"/>
      <c r="B1847" s="1937" t="s">
        <v>2455</v>
      </c>
      <c r="C1847" s="521" t="s">
        <v>4842</v>
      </c>
      <c r="D1847" s="521"/>
      <c r="E1847" s="521"/>
      <c r="F1847" s="521"/>
      <c r="G1847" s="521"/>
      <c r="H1847" s="1631"/>
      <c r="I1847" s="1631"/>
      <c r="J1847" s="1937" t="s">
        <v>2455</v>
      </c>
      <c r="K1847" s="1895">
        <f>'Part IX Scoring Criteria'!K199</f>
        <v>0</v>
      </c>
      <c r="L1847" s="1895"/>
      <c r="M1847" s="2168" t="str">
        <f>'Part IX Scoring Criteria'!M199</f>
        <v>&lt;Enter page nbr(s) from Plan&gt;</v>
      </c>
      <c r="N1847" s="2168">
        <f>'Part IX Scoring Criteria'!N199</f>
        <v>0</v>
      </c>
      <c r="O1847" s="2168">
        <f>'Part IX Scoring Criteria'!O199</f>
        <v>0</v>
      </c>
      <c r="P1847" s="2168">
        <f>'Part IX Scoring Criteria'!P199</f>
        <v>0</v>
      </c>
      <c r="Q1847" s="1631"/>
      <c r="R1847" s="2038"/>
      <c r="S1847" s="2038"/>
      <c r="T1847" s="1631"/>
      <c r="U1847" s="1631"/>
      <c r="V1847" s="1631"/>
      <c r="W1847" s="1631"/>
      <c r="X1847" s="1631"/>
    </row>
    <row r="1848" spans="1:24" ht="12.75" customHeight="1">
      <c r="A1848" s="1631"/>
      <c r="B1848" s="1937" t="s">
        <v>2456</v>
      </c>
      <c r="C1848" s="1867" t="s">
        <v>4949</v>
      </c>
      <c r="D1848" s="1867"/>
      <c r="E1848" s="1867"/>
      <c r="F1848" s="1867"/>
      <c r="G1848" s="1867"/>
      <c r="H1848" s="1867"/>
      <c r="I1848" s="1867"/>
      <c r="J1848" s="1937" t="s">
        <v>2456</v>
      </c>
      <c r="K1848" s="1895">
        <f>'Part IX Scoring Criteria'!K200</f>
        <v>0</v>
      </c>
      <c r="L1848" s="1895"/>
      <c r="M1848" s="1631"/>
      <c r="N1848" s="1631"/>
      <c r="O1848" s="1631"/>
      <c r="P1848" s="1631"/>
      <c r="Q1848" s="1631"/>
      <c r="R1848" s="2038"/>
      <c r="S1848" s="2038"/>
      <c r="T1848" s="1631"/>
      <c r="U1848" s="1631"/>
      <c r="V1848" s="1631"/>
      <c r="W1848" s="1631"/>
      <c r="X1848" s="1631"/>
    </row>
    <row r="1849" spans="1:24" ht="15">
      <c r="A1849" s="1637"/>
      <c r="B1849" s="1937"/>
      <c r="C1849" s="1867"/>
      <c r="D1849" s="1867"/>
      <c r="E1849" s="1867"/>
      <c r="F1849" s="1867"/>
      <c r="G1849" s="1867"/>
      <c r="H1849" s="1867"/>
      <c r="I1849" s="1867"/>
      <c r="J1849" s="1937" t="s">
        <v>4950</v>
      </c>
      <c r="K1849" s="2069">
        <f>'Part IX Scoring Criteria'!K201</f>
        <v>0</v>
      </c>
      <c r="L1849" s="2069"/>
      <c r="M1849" s="521"/>
      <c r="N1849" s="521"/>
      <c r="O1849" s="521"/>
      <c r="P1849" s="521"/>
      <c r="Q1849" s="1976"/>
      <c r="R1849" s="2038"/>
      <c r="S1849" s="2038"/>
      <c r="T1849" s="1976"/>
      <c r="U1849" s="1976"/>
      <c r="V1849" s="1976"/>
      <c r="W1849" s="1976"/>
      <c r="X1849" s="1976"/>
    </row>
    <row r="1850" spans="1:24" ht="12.75" customHeight="1">
      <c r="A1850" s="1631"/>
      <c r="B1850" s="1944" t="s">
        <v>2457</v>
      </c>
      <c r="C1850" s="1900" t="s">
        <v>4846</v>
      </c>
      <c r="D1850" s="1900"/>
      <c r="E1850" s="1900"/>
      <c r="F1850" s="1900"/>
      <c r="G1850" s="1900"/>
      <c r="H1850" s="1900"/>
      <c r="I1850" s="1900"/>
      <c r="J1850" s="1937" t="s">
        <v>2457</v>
      </c>
      <c r="K1850" s="1895">
        <f>'Part IX Scoring Criteria'!K202</f>
        <v>0</v>
      </c>
      <c r="L1850" s="1895"/>
      <c r="M1850" s="1631"/>
      <c r="N1850" s="1631"/>
      <c r="O1850" s="1631"/>
      <c r="P1850" s="1631"/>
      <c r="Q1850" s="1631"/>
      <c r="R1850" s="2038"/>
      <c r="S1850" s="2038"/>
      <c r="T1850" s="1631"/>
      <c r="U1850" s="1631"/>
      <c r="V1850" s="1631"/>
      <c r="W1850" s="1631"/>
      <c r="X1850" s="1631"/>
    </row>
    <row r="1851" spans="1:24" ht="15">
      <c r="A1851" s="1637"/>
      <c r="B1851" s="1937"/>
      <c r="C1851" s="1900"/>
      <c r="D1851" s="1900"/>
      <c r="E1851" s="1900"/>
      <c r="F1851" s="1900"/>
      <c r="G1851" s="1900"/>
      <c r="H1851" s="1900"/>
      <c r="I1851" s="1900"/>
      <c r="J1851" s="1976"/>
      <c r="K1851" s="2068"/>
      <c r="L1851" s="2068"/>
      <c r="M1851" s="1976"/>
      <c r="N1851" s="1976"/>
      <c r="O1851" s="1976"/>
      <c r="P1851" s="1976"/>
      <c r="Q1851" s="1976"/>
      <c r="R1851" s="2038"/>
      <c r="S1851" s="2038"/>
      <c r="T1851" s="1976"/>
      <c r="U1851" s="1976"/>
      <c r="V1851" s="1976"/>
      <c r="W1851" s="1976"/>
      <c r="X1851" s="1976"/>
    </row>
    <row r="1852" spans="1:24">
      <c r="B1852" s="1937"/>
      <c r="C1852" s="521"/>
      <c r="K1852" s="1841"/>
      <c r="M1852" s="1637"/>
      <c r="N1852" s="1637"/>
      <c r="O1852" s="1637"/>
      <c r="P1852" s="1637"/>
    </row>
    <row r="1853" spans="1:24">
      <c r="A1853" s="1828" t="s">
        <v>1983</v>
      </c>
      <c r="B1853" s="1634" t="s">
        <v>4017</v>
      </c>
      <c r="I1853" s="1216" t="s">
        <v>4844</v>
      </c>
      <c r="M1853" s="1630">
        <v>5</v>
      </c>
      <c r="N1853" s="1937" t="s">
        <v>1983</v>
      </c>
      <c r="O1853" s="2002">
        <f>'Part IX Scoring Criteria'!O205</f>
        <v>0</v>
      </c>
      <c r="P1853" s="2002">
        <f>IF(SUM(P1854:P1855)=$M$207,0,MIN($M$205,SUM(P1854:P1855)))</f>
        <v>0</v>
      </c>
      <c r="Q1853" s="1689"/>
      <c r="X1853" s="1637"/>
    </row>
    <row r="1854" spans="1:24" ht="12.75" customHeight="1">
      <c r="A1854" s="1937"/>
      <c r="B1854" s="2854" t="s">
        <v>1986</v>
      </c>
      <c r="C1854" s="1900" t="s">
        <v>5128</v>
      </c>
      <c r="D1854" s="1900"/>
      <c r="E1854" s="1900"/>
      <c r="F1854" s="1900"/>
      <c r="G1854" s="1900"/>
      <c r="H1854" s="1900"/>
      <c r="I1854" s="1900"/>
      <c r="J1854" s="1900"/>
      <c r="K1854" s="1900"/>
      <c r="L1854" s="1900"/>
      <c r="M1854" s="1948">
        <v>3</v>
      </c>
      <c r="N1854" s="2021" t="s">
        <v>1986</v>
      </c>
      <c r="O1854" s="2806">
        <f>'Part IX Scoring Criteria'!O206</f>
        <v>0</v>
      </c>
      <c r="P1854" s="2806"/>
      <c r="Q1854" s="2839" t="str">
        <f>IF(OR($O1854=$M1854,$O1854=0,$O1854=""),"","*CHECK!*")</f>
        <v/>
      </c>
      <c r="R1854" s="1654" t="s">
        <v>2706</v>
      </c>
    </row>
    <row r="1855" spans="1:24">
      <c r="A1855" s="1937"/>
      <c r="B1855" s="2854" t="s">
        <v>1988</v>
      </c>
      <c r="C1855" s="1921" t="s">
        <v>5199</v>
      </c>
      <c r="D1855" s="1921"/>
      <c r="E1855" s="1921"/>
      <c r="F1855" s="1921"/>
      <c r="G1855" s="1921"/>
      <c r="H1855" s="1921"/>
      <c r="I1855" s="1921"/>
      <c r="J1855" s="1841" t="s">
        <v>3782</v>
      </c>
      <c r="K1855" s="1631"/>
      <c r="L1855" s="1841" t="str">
        <f>'Part I-Project Information'!$N$39</f>
        <v>Yes</v>
      </c>
      <c r="M1855" s="1895">
        <v>2</v>
      </c>
      <c r="N1855" s="2093" t="s">
        <v>1988</v>
      </c>
      <c r="O1855" s="1863">
        <f>'Part IX Scoring Criteria'!O207</f>
        <v>0</v>
      </c>
      <c r="P1855" s="1863"/>
      <c r="Q1855" s="2807" t="str">
        <f>IF(OR($O1855=$M1855,$O1855=0,$O1855=""),"","*CHECK!*")</f>
        <v/>
      </c>
      <c r="R1855" s="1654" t="s">
        <v>2706</v>
      </c>
    </row>
    <row r="1856" spans="1:24" ht="12.75" customHeight="1">
      <c r="A1856" s="1937"/>
      <c r="B1856" s="2854"/>
      <c r="C1856" s="1867" t="s">
        <v>4936</v>
      </c>
      <c r="D1856" s="1867"/>
      <c r="E1856" s="1867"/>
      <c r="F1856" s="1867"/>
      <c r="G1856" s="1867"/>
      <c r="H1856" s="1867"/>
      <c r="I1856" s="1899"/>
      <c r="J1856" s="1841" t="s">
        <v>3576</v>
      </c>
      <c r="K1856" s="1867"/>
      <c r="L1856" s="2078" t="str">
        <f>'Part I-Project Information'!$O$38</f>
        <v>233.10</v>
      </c>
      <c r="M1856" s="2078"/>
      <c r="N1856" s="1948"/>
      <c r="O1856" s="1948"/>
      <c r="P1856" s="1948"/>
      <c r="Q1856" s="2807"/>
      <c r="R1856" s="1654"/>
    </row>
    <row r="1857" spans="1:24">
      <c r="A1857" s="1937"/>
      <c r="B1857" s="1964"/>
      <c r="C1857" s="1867"/>
      <c r="D1857" s="1867"/>
      <c r="E1857" s="1867"/>
      <c r="F1857" s="1867"/>
      <c r="G1857" s="1867"/>
      <c r="H1857" s="1867"/>
      <c r="J1857" s="1841" t="s">
        <v>3375</v>
      </c>
      <c r="K1857" s="1631"/>
      <c r="L1857" s="521" t="str">
        <f>'Part IV-A-Uses of Funds'!$H$152</f>
        <v>DDA/QCT</v>
      </c>
      <c r="M1857" s="521"/>
    </row>
    <row r="1858" spans="1:24">
      <c r="A1858" s="1828" t="s">
        <v>1985</v>
      </c>
      <c r="B1858" s="1634" t="s">
        <v>4847</v>
      </c>
      <c r="D1858" s="1631"/>
      <c r="F1858" s="2855"/>
      <c r="K1858" s="1941"/>
      <c r="L1858" s="2817" t="str">
        <f>IF(OR($O1858=$M1858,$O1858=0,$O1858=""),"","* * Check Score! * *")</f>
        <v/>
      </c>
      <c r="M1858" s="1630">
        <v>2</v>
      </c>
      <c r="N1858" s="1937" t="s">
        <v>1985</v>
      </c>
      <c r="O1858" s="1863">
        <f>'Part IX Scoring Criteria'!O210</f>
        <v>0</v>
      </c>
      <c r="P1858" s="1863"/>
      <c r="Q1858" s="2807" t="str">
        <f>IF(OR($O1858=$M1858,$O1858=0,$O1858=""),"","*CHECK!*")</f>
        <v/>
      </c>
      <c r="R1858" s="1654" t="s">
        <v>2706</v>
      </c>
    </row>
    <row r="1859" spans="1:24" ht="18.75">
      <c r="A1859" s="1828"/>
      <c r="B1859" s="1993"/>
      <c r="C1859" s="521" t="s">
        <v>2794</v>
      </c>
      <c r="D1859" s="521"/>
      <c r="E1859" s="521"/>
      <c r="F1859" s="1630"/>
      <c r="G1859" s="1993"/>
      <c r="H1859" s="521"/>
      <c r="I1859" s="1993"/>
      <c r="J1859" s="521" t="str">
        <f>'Part I-Project Information'!$H$105</f>
        <v>N/A - 4% Bond</v>
      </c>
      <c r="K1859" s="1841"/>
      <c r="L1859" s="1993"/>
      <c r="M1859" s="1993"/>
      <c r="N1859" s="1993"/>
      <c r="O1859" s="1993"/>
      <c r="P1859" s="1993"/>
      <c r="Q1859" s="1976"/>
      <c r="R1859" s="1976"/>
      <c r="S1859" s="1976"/>
      <c r="T1859" s="2817" t="str">
        <f>IF(OR($O1858=$M1858,$O1858=0,$O1858=""),"","* * Check Score! * *")</f>
        <v/>
      </c>
      <c r="U1859" s="1976"/>
      <c r="V1859" s="2819"/>
      <c r="W1859" s="2819"/>
      <c r="X1859" s="1976"/>
    </row>
    <row r="1860" spans="1:24" ht="18.75">
      <c r="A1860" s="1941"/>
      <c r="B1860" s="2013" t="s">
        <v>3783</v>
      </c>
      <c r="C1860" s="521" t="s">
        <v>3861</v>
      </c>
      <c r="D1860" s="1993"/>
      <c r="E1860" s="1993"/>
      <c r="F1860" s="1993"/>
      <c r="G1860" s="1993"/>
      <c r="H1860" s="1993"/>
      <c r="I1860" s="1993"/>
      <c r="J1860" s="1867">
        <f>'Part IX Scoring Criteria'!J212</f>
        <v>0</v>
      </c>
      <c r="K1860" s="1867">
        <f>'Part IX Scoring Criteria'!K212</f>
        <v>0</v>
      </c>
      <c r="L1860" s="1867">
        <f>'Part IX Scoring Criteria'!L212</f>
        <v>0</v>
      </c>
      <c r="M1860" s="1867">
        <f>'Part IX Scoring Criteria'!M212</f>
        <v>0</v>
      </c>
      <c r="N1860" s="1867">
        <f>'Part IX Scoring Criteria'!N212</f>
        <v>0</v>
      </c>
      <c r="O1860" s="1867">
        <f>'Part IX Scoring Criteria'!O212</f>
        <v>0</v>
      </c>
      <c r="P1860" s="1867">
        <f>'Part IX Scoring Criteria'!P212</f>
        <v>0</v>
      </c>
      <c r="Q1860" s="1976"/>
      <c r="R1860" s="1976"/>
      <c r="S1860" s="1976"/>
      <c r="T1860" s="1976"/>
      <c r="U1860" s="1976"/>
      <c r="V1860" s="2819"/>
      <c r="W1860" s="2819"/>
      <c r="X1860" s="1976"/>
    </row>
    <row r="1861" spans="1:24" ht="18.75">
      <c r="A1861" s="1941"/>
      <c r="B1861" s="1937" t="s">
        <v>3784</v>
      </c>
      <c r="C1861" s="1841" t="s">
        <v>3862</v>
      </c>
      <c r="D1861" s="1993"/>
      <c r="E1861" s="1993"/>
      <c r="F1861" s="1993"/>
      <c r="G1861" s="1993"/>
      <c r="H1861" s="1993"/>
      <c r="I1861" s="1937" t="str">
        <f>IF($J$213="Government", "Additional documentation required - see QAP.","")</f>
        <v/>
      </c>
      <c r="J1861" s="521" t="str">
        <f>'Part IX Scoring Criteria'!J213</f>
        <v>&lt;Select unrelated 3rd party type&gt;</v>
      </c>
      <c r="K1861" s="521">
        <f>'Part IX Scoring Criteria'!K213</f>
        <v>0</v>
      </c>
      <c r="L1861" s="521">
        <f>'Part IX Scoring Criteria'!L213</f>
        <v>0</v>
      </c>
      <c r="M1861" s="1993"/>
      <c r="N1861" s="1993"/>
      <c r="O1861" s="1993"/>
      <c r="P1861" s="1993"/>
      <c r="Q1861" s="1976"/>
      <c r="R1861" s="1976"/>
      <c r="S1861" s="1976"/>
      <c r="T1861" s="1976"/>
      <c r="U1861" s="1976"/>
      <c r="V1861" s="2819"/>
      <c r="W1861" s="2819"/>
      <c r="X1861" s="1976"/>
    </row>
    <row r="1862" spans="1:24" ht="18.75" customHeight="1">
      <c r="A1862" s="1879"/>
      <c r="B1862" s="1937" t="s">
        <v>3785</v>
      </c>
      <c r="C1862" s="1841" t="s">
        <v>4852</v>
      </c>
      <c r="D1862" s="1631"/>
      <c r="E1862" s="1631"/>
      <c r="F1862" s="1631"/>
      <c r="G1862" s="1631"/>
      <c r="H1862" s="1631"/>
      <c r="I1862" s="1631"/>
      <c r="J1862" s="1895">
        <f>'Part IX Scoring Criteria'!J214</f>
        <v>0</v>
      </c>
      <c r="K1862" s="1867" t="s">
        <v>4849</v>
      </c>
      <c r="L1862" s="1867"/>
      <c r="M1862" s="1867"/>
      <c r="N1862" s="1867"/>
      <c r="O1862" s="1993"/>
      <c r="P1862" s="1993"/>
      <c r="V1862" s="2819"/>
      <c r="W1862" s="2819"/>
    </row>
    <row r="1863" spans="1:24" ht="18.75">
      <c r="A1863" s="1879"/>
      <c r="B1863" s="1937" t="s">
        <v>3787</v>
      </c>
      <c r="C1863" s="1841" t="s">
        <v>4848</v>
      </c>
      <c r="D1863" s="1631"/>
      <c r="E1863" s="1631"/>
      <c r="F1863" s="1631"/>
      <c r="G1863" s="1631"/>
      <c r="H1863" s="1631"/>
      <c r="I1863" s="1631"/>
      <c r="J1863" s="1895">
        <f>'Part IX Scoring Criteria'!J215</f>
        <v>0</v>
      </c>
      <c r="K1863" s="1867"/>
      <c r="L1863" s="1867"/>
      <c r="M1863" s="1867"/>
      <c r="N1863" s="1867"/>
      <c r="O1863" s="2856">
        <f>'Part IX Scoring Criteria'!O215</f>
        <v>0</v>
      </c>
      <c r="P1863" s="2812" t="s">
        <v>3790</v>
      </c>
      <c r="V1863" s="2819"/>
      <c r="W1863" s="2819"/>
    </row>
    <row r="1864" spans="1:24" ht="18.75">
      <c r="A1864" s="1879"/>
      <c r="B1864" s="1937" t="s">
        <v>3788</v>
      </c>
      <c r="C1864" s="1841" t="s">
        <v>4851</v>
      </c>
      <c r="D1864" s="1631"/>
      <c r="E1864" s="1631"/>
      <c r="F1864" s="1631"/>
      <c r="G1864" s="1631"/>
      <c r="H1864" s="1631"/>
      <c r="I1864" s="1631"/>
      <c r="J1864" s="1895">
        <f>'Part IX Scoring Criteria'!J216</f>
        <v>0</v>
      </c>
      <c r="L1864" s="1937" t="s">
        <v>4850</v>
      </c>
      <c r="N1864" s="1937"/>
      <c r="O1864" s="2857">
        <f>'Part IX Scoring Criteria'!O216</f>
        <v>0</v>
      </c>
      <c r="P1864" s="2857">
        <f>'Part IX Scoring Criteria'!P216</f>
        <v>0</v>
      </c>
      <c r="V1864" s="2819"/>
      <c r="W1864" s="2819"/>
    </row>
    <row r="1865" spans="1:24" ht="18.75">
      <c r="A1865" s="1879"/>
      <c r="G1865" s="1921"/>
      <c r="L1865" s="1913"/>
      <c r="N1865" s="1637"/>
      <c r="O1865" s="1637"/>
      <c r="P1865" s="1637"/>
      <c r="V1865" s="2819"/>
      <c r="W1865" s="2819"/>
    </row>
    <row r="1866" spans="1:24" ht="18.75" customHeight="1">
      <c r="A1866" s="2073" t="s">
        <v>4175</v>
      </c>
      <c r="B1866" s="1785" t="s">
        <v>4172</v>
      </c>
      <c r="C1866" s="1785"/>
      <c r="D1866" s="1890">
        <f>'Part IX Scoring Criteria'!D218</f>
        <v>0</v>
      </c>
      <c r="E1866" s="1890">
        <f>'Part IX Scoring Criteria'!E218</f>
        <v>0</v>
      </c>
      <c r="F1866" s="1890">
        <f>'Part IX Scoring Criteria'!F218</f>
        <v>0</v>
      </c>
      <c r="G1866" s="1890">
        <f>'Part IX Scoring Criteria'!G218</f>
        <v>0</v>
      </c>
      <c r="H1866" s="1890">
        <f>'Part IX Scoring Criteria'!H218</f>
        <v>0</v>
      </c>
      <c r="I1866" s="1890">
        <f>'Part IX Scoring Criteria'!I218</f>
        <v>0</v>
      </c>
      <c r="J1866" s="1890">
        <f>'Part IX Scoring Criteria'!J218</f>
        <v>0</v>
      </c>
      <c r="K1866" s="1890">
        <f>'Part IX Scoring Criteria'!K218</f>
        <v>0</v>
      </c>
      <c r="L1866" s="1890">
        <f>'Part IX Scoring Criteria'!L218</f>
        <v>0</v>
      </c>
      <c r="M1866" s="1890">
        <f>'Part IX Scoring Criteria'!M218</f>
        <v>0</v>
      </c>
      <c r="N1866" s="1890">
        <f>'Part IX Scoring Criteria'!N218</f>
        <v>0</v>
      </c>
      <c r="O1866" s="1890">
        <f>'Part IX Scoring Criteria'!O218</f>
        <v>0</v>
      </c>
      <c r="P1866" s="1890">
        <f>'Part IX Scoring Criteria'!P218</f>
        <v>0</v>
      </c>
      <c r="Q1866" s="2786"/>
      <c r="V1866" s="2819"/>
      <c r="W1866" s="2819"/>
    </row>
    <row r="1867" spans="1:24" ht="18.75" customHeight="1">
      <c r="A1867" s="2073"/>
      <c r="B1867" s="1785" t="s">
        <v>4173</v>
      </c>
      <c r="C1867" s="1785"/>
      <c r="D1867" s="1890">
        <f>'Part IX Scoring Criteria'!D219</f>
        <v>0</v>
      </c>
      <c r="E1867" s="1890">
        <f>'Part IX Scoring Criteria'!E219</f>
        <v>0</v>
      </c>
      <c r="F1867" s="1890">
        <f>'Part IX Scoring Criteria'!F219</f>
        <v>0</v>
      </c>
      <c r="G1867" s="1890">
        <f>'Part IX Scoring Criteria'!G219</f>
        <v>0</v>
      </c>
      <c r="H1867" s="1890">
        <f>'Part IX Scoring Criteria'!H219</f>
        <v>0</v>
      </c>
      <c r="I1867" s="1890">
        <f>'Part IX Scoring Criteria'!I219</f>
        <v>0</v>
      </c>
      <c r="J1867" s="1890">
        <f>'Part IX Scoring Criteria'!J219</f>
        <v>0</v>
      </c>
      <c r="K1867" s="1890">
        <f>'Part IX Scoring Criteria'!K219</f>
        <v>0</v>
      </c>
      <c r="L1867" s="1890">
        <f>'Part IX Scoring Criteria'!L219</f>
        <v>0</v>
      </c>
      <c r="M1867" s="1890">
        <f>'Part IX Scoring Criteria'!M219</f>
        <v>0</v>
      </c>
      <c r="N1867" s="1890">
        <f>'Part IX Scoring Criteria'!N219</f>
        <v>0</v>
      </c>
      <c r="O1867" s="1890">
        <f>'Part IX Scoring Criteria'!O219</f>
        <v>0</v>
      </c>
      <c r="P1867" s="1890">
        <f>'Part IX Scoring Criteria'!P219</f>
        <v>0</v>
      </c>
      <c r="Q1867" s="2786"/>
      <c r="V1867" s="2819"/>
      <c r="W1867" s="2819"/>
    </row>
    <row r="1868" spans="1:24" ht="18.75" customHeight="1">
      <c r="A1868" s="2073"/>
      <c r="B1868" s="1785" t="s">
        <v>4931</v>
      </c>
      <c r="C1868" s="1785"/>
      <c r="D1868" s="1890">
        <f>'Part IX Scoring Criteria'!D220</f>
        <v>0</v>
      </c>
      <c r="E1868" s="1890">
        <f>'Part IX Scoring Criteria'!E220</f>
        <v>0</v>
      </c>
      <c r="F1868" s="1890">
        <f>'Part IX Scoring Criteria'!F220</f>
        <v>0</v>
      </c>
      <c r="G1868" s="1890">
        <f>'Part IX Scoring Criteria'!G220</f>
        <v>0</v>
      </c>
      <c r="H1868" s="1890">
        <f>'Part IX Scoring Criteria'!H220</f>
        <v>0</v>
      </c>
      <c r="I1868" s="1890">
        <f>'Part IX Scoring Criteria'!I220</f>
        <v>0</v>
      </c>
      <c r="J1868" s="1890">
        <f>'Part IX Scoring Criteria'!J220</f>
        <v>0</v>
      </c>
      <c r="K1868" s="1890">
        <f>'Part IX Scoring Criteria'!K220</f>
        <v>0</v>
      </c>
      <c r="L1868" s="1890">
        <f>'Part IX Scoring Criteria'!L220</f>
        <v>0</v>
      </c>
      <c r="M1868" s="1890">
        <f>'Part IX Scoring Criteria'!M220</f>
        <v>0</v>
      </c>
      <c r="N1868" s="1890">
        <f>'Part IX Scoring Criteria'!N220</f>
        <v>0</v>
      </c>
      <c r="O1868" s="1890">
        <f>'Part IX Scoring Criteria'!O220</f>
        <v>0</v>
      </c>
      <c r="P1868" s="1890">
        <f>'Part IX Scoring Criteria'!P220</f>
        <v>0</v>
      </c>
      <c r="Q1868" s="2786"/>
      <c r="V1868" s="2819"/>
      <c r="W1868" s="2819"/>
    </row>
    <row r="1869" spans="1:24" ht="18.75">
      <c r="B1869" s="521" t="s">
        <v>3454</v>
      </c>
      <c r="G1869" s="521" t="s">
        <v>2629</v>
      </c>
      <c r="H1869" s="521"/>
      <c r="J1869" s="2171">
        <f>'Part IX Scoring Criteria'!J221</f>
        <v>0</v>
      </c>
      <c r="K1869" s="2171">
        <f>'Part IX Scoring Criteria'!K221</f>
        <v>0</v>
      </c>
      <c r="L1869" s="2074"/>
      <c r="M1869" s="2074"/>
      <c r="N1869" s="1637"/>
      <c r="O1869" s="1637"/>
      <c r="P1869" s="1637"/>
      <c r="V1869" s="2819"/>
      <c r="W1869" s="2819"/>
    </row>
    <row r="1870" spans="1:24" ht="18.75">
      <c r="A1870" s="1976"/>
      <c r="B1870" s="1976"/>
      <c r="C1870" s="521" t="s">
        <v>4589</v>
      </c>
      <c r="D1870" s="1899"/>
      <c r="E1870" s="1976"/>
      <c r="F1870" s="1976"/>
      <c r="G1870" s="2074">
        <f>'Part IV-A-Uses of Funds'!$G$132</f>
        <v>18093801</v>
      </c>
      <c r="H1870" s="2074"/>
      <c r="I1870" s="1976"/>
      <c r="J1870" s="2075">
        <f>'Part IX Scoring Criteria'!J222</f>
        <v>0</v>
      </c>
      <c r="K1870" s="2075">
        <f>'Part IX Scoring Criteria'!K222</f>
        <v>0</v>
      </c>
      <c r="L1870" s="2075">
        <f>IF($L1869=0,0,$L1869/$G$222)</f>
        <v>0</v>
      </c>
      <c r="M1870" s="2075"/>
      <c r="N1870" s="1976"/>
      <c r="O1870" s="1976"/>
      <c r="P1870" s="1976"/>
      <c r="Q1870" s="1976"/>
      <c r="R1870" s="1976"/>
      <c r="S1870" s="1976"/>
      <c r="T1870" s="1976"/>
      <c r="U1870" s="1976"/>
      <c r="V1870" s="2819"/>
      <c r="W1870" s="2819"/>
      <c r="X1870" s="1976"/>
    </row>
    <row r="1871" spans="1:24" ht="15">
      <c r="A1871" s="1631"/>
      <c r="B1871" s="1866" t="s">
        <v>3757</v>
      </c>
      <c r="C1871" s="1631"/>
      <c r="D1871" s="1634"/>
      <c r="E1871" s="1634"/>
      <c r="F1871" s="1634"/>
      <c r="G1871" s="1634"/>
      <c r="H1871" s="521"/>
      <c r="I1871" s="521"/>
      <c r="J1871" s="521"/>
      <c r="K1871" s="521"/>
      <c r="L1871" s="1993"/>
      <c r="M1871" s="1630"/>
      <c r="N1871" s="1630"/>
      <c r="O1871" s="1863"/>
      <c r="P1871" s="1630"/>
      <c r="Q1871" s="1993"/>
      <c r="R1871" s="1993"/>
      <c r="S1871" s="1993"/>
      <c r="T1871" s="1993"/>
      <c r="U1871" s="1993"/>
      <c r="V1871" s="1993"/>
      <c r="W1871" s="1993"/>
      <c r="X1871" s="1993"/>
    </row>
    <row r="1872" spans="1:24" ht="15">
      <c r="A1872" s="1900">
        <f>'Part IX Scoring Criteria'!A224</f>
        <v>0</v>
      </c>
      <c r="B1872" s="1900"/>
      <c r="C1872" s="1900"/>
      <c r="D1872" s="1900"/>
      <c r="E1872" s="1900"/>
      <c r="F1872" s="1900"/>
      <c r="G1872" s="1900"/>
      <c r="H1872" s="1900"/>
      <c r="I1872" s="1900"/>
      <c r="J1872" s="1900"/>
      <c r="K1872" s="1900"/>
      <c r="L1872" s="1900"/>
      <c r="M1872" s="1900"/>
      <c r="N1872" s="1900"/>
      <c r="O1872" s="1900"/>
      <c r="P1872" s="1900"/>
      <c r="Q1872" s="2786" t="s">
        <v>1254</v>
      </c>
      <c r="R1872" s="1976"/>
      <c r="S1872" s="1976"/>
      <c r="T1872" s="1976"/>
      <c r="U1872" s="1976"/>
      <c r="V1872" s="1976"/>
      <c r="W1872" s="1976"/>
      <c r="X1872" s="1976"/>
    </row>
    <row r="1873" spans="1:24" ht="15">
      <c r="A1873" s="1631"/>
      <c r="B1873" s="1866" t="s">
        <v>1866</v>
      </c>
      <c r="C1873" s="1631"/>
      <c r="D1873" s="1866"/>
      <c r="E1873" s="1834"/>
      <c r="F1873" s="1834"/>
      <c r="G1873" s="1834"/>
      <c r="H1873" s="1834"/>
      <c r="I1873" s="1834"/>
      <c r="J1873" s="1834"/>
      <c r="K1873" s="1834"/>
      <c r="L1873" s="1834"/>
      <c r="M1873" s="1834"/>
      <c r="N1873" s="1923"/>
      <c r="O1873" s="1923"/>
      <c r="P1873" s="1630"/>
      <c r="Q1873" s="2006"/>
      <c r="R1873" s="1993"/>
      <c r="S1873" s="1993"/>
      <c r="T1873" s="1993"/>
      <c r="U1873" s="1993"/>
      <c r="V1873" s="1993"/>
      <c r="W1873" s="1993"/>
      <c r="X1873" s="1993"/>
    </row>
    <row r="1874" spans="1:24" ht="15">
      <c r="A1874" s="1900"/>
      <c r="B1874" s="1900"/>
      <c r="C1874" s="1900"/>
      <c r="D1874" s="1900"/>
      <c r="E1874" s="1900"/>
      <c r="F1874" s="1900"/>
      <c r="G1874" s="1900"/>
      <c r="H1874" s="1900"/>
      <c r="I1874" s="1900"/>
      <c r="J1874" s="1900"/>
      <c r="K1874" s="1900"/>
      <c r="L1874" s="1900"/>
      <c r="M1874" s="1900"/>
      <c r="N1874" s="1900"/>
      <c r="O1874" s="1900"/>
      <c r="P1874" s="1900"/>
      <c r="Q1874" s="2786"/>
      <c r="R1874" s="1976"/>
      <c r="S1874" s="1976"/>
      <c r="T1874" s="1976"/>
      <c r="U1874" s="1976"/>
      <c r="V1874" s="1976"/>
      <c r="W1874" s="1976"/>
      <c r="X1874" s="1976"/>
    </row>
    <row r="1875" spans="1:24" ht="15">
      <c r="A1875" s="1631"/>
      <c r="B1875" s="1976"/>
      <c r="C1875" s="1899"/>
      <c r="D1875" s="1899"/>
      <c r="E1875" s="1899"/>
      <c r="F1875" s="1899"/>
      <c r="G1875" s="1899"/>
      <c r="H1875" s="1899"/>
      <c r="I1875" s="1899"/>
      <c r="J1875" s="1899"/>
      <c r="K1875" s="1899"/>
      <c r="L1875" s="1899"/>
      <c r="M1875" s="1899"/>
      <c r="N1875" s="2011"/>
      <c r="O1875" s="2011"/>
      <c r="P1875" s="1630"/>
      <c r="Q1875" s="1976"/>
      <c r="R1875" s="1976"/>
      <c r="S1875" s="1976"/>
      <c r="T1875" s="1976"/>
      <c r="U1875" s="1976"/>
      <c r="V1875" s="1976"/>
      <c r="W1875" s="1976"/>
      <c r="X1875" s="1976"/>
    </row>
    <row r="1876" spans="1:24" ht="15">
      <c r="A1876" s="2828" t="s">
        <v>292</v>
      </c>
      <c r="B1876" s="2764" t="s">
        <v>4021</v>
      </c>
      <c r="C1876" s="1899"/>
      <c r="D1876" s="1899"/>
      <c r="E1876" s="1899"/>
      <c r="F1876" s="1899"/>
      <c r="G1876" s="1899"/>
      <c r="H1876" s="1899"/>
      <c r="I1876" s="1899"/>
      <c r="J1876" s="1899"/>
      <c r="K1876" s="1976"/>
      <c r="L1876" s="1976"/>
      <c r="M1876" s="1630">
        <v>3</v>
      </c>
      <c r="N1876" s="2011"/>
      <c r="O1876" s="2011"/>
      <c r="P1876" s="1863"/>
      <c r="Q1876" s="1630" t="s">
        <v>441</v>
      </c>
      <c r="R1876" s="1654" t="s">
        <v>2706</v>
      </c>
      <c r="S1876" s="1976"/>
      <c r="T1876" s="1976"/>
      <c r="U1876" s="1976"/>
      <c r="V1876" s="1976"/>
      <c r="W1876" s="1976"/>
      <c r="X1876" s="1976"/>
    </row>
    <row r="1877" spans="1:24" ht="15">
      <c r="A1877" s="2828"/>
      <c r="B1877" s="1634" t="s">
        <v>4614</v>
      </c>
      <c r="C1877" s="1899"/>
      <c r="D1877" s="1899"/>
      <c r="E1877" s="1899"/>
      <c r="F1877" s="1899"/>
      <c r="G1877" s="1899"/>
      <c r="H1877" s="1899"/>
      <c r="I1877" s="1899"/>
      <c r="J1877" s="1899"/>
      <c r="K1877" s="1928"/>
      <c r="L1877" s="2858" t="str">
        <f>'Part IX Scoring Criteria'!L229</f>
        <v/>
      </c>
      <c r="M1877" s="1630"/>
      <c r="N1877" s="2011"/>
      <c r="O1877" s="1895">
        <f>'Part IX Scoring Criteria'!O229</f>
        <v>0</v>
      </c>
      <c r="P1877" s="1895"/>
      <c r="Q1877" s="1630"/>
      <c r="R1877" s="1654"/>
      <c r="S1877" s="1976"/>
      <c r="T1877" s="1976"/>
      <c r="U1877" s="1976"/>
      <c r="V1877" s="1976"/>
      <c r="W1877" s="1976"/>
      <c r="X1877" s="1976"/>
    </row>
    <row r="1878" spans="1:24" ht="15">
      <c r="A1878" s="2828"/>
      <c r="B1878" s="1841" t="s">
        <v>4023</v>
      </c>
      <c r="C1878" s="1899"/>
      <c r="D1878" s="1899"/>
      <c r="E1878" s="1899"/>
      <c r="F1878" s="1899"/>
      <c r="G1878" s="1899"/>
      <c r="H1878" s="1899"/>
      <c r="I1878" s="1899"/>
      <c r="J1878" s="1899"/>
      <c r="K1878" s="1928" t="s">
        <v>3246</v>
      </c>
      <c r="L1878" s="1928" t="s">
        <v>256</v>
      </c>
      <c r="M1878" s="1630"/>
      <c r="N1878" s="2011"/>
      <c r="O1878" s="2011"/>
      <c r="P1878" s="2011"/>
      <c r="Q1878" s="1630"/>
      <c r="R1878" s="1654"/>
      <c r="S1878" s="1976"/>
      <c r="T1878" s="1976"/>
      <c r="U1878" s="1976"/>
      <c r="V1878" s="1976"/>
      <c r="W1878" s="1976"/>
      <c r="X1878" s="1976"/>
    </row>
    <row r="1879" spans="1:24" ht="15">
      <c r="A1879" s="1828"/>
      <c r="B1879" s="1976"/>
      <c r="C1879" s="1216" t="s">
        <v>4859</v>
      </c>
      <c r="D1879" s="1976"/>
      <c r="E1879" s="1976"/>
      <c r="F1879" s="1976"/>
      <c r="G1879" s="1976"/>
      <c r="H1879" s="1976"/>
      <c r="I1879" s="1976"/>
      <c r="J1879" s="1976"/>
      <c r="K1879" s="2002">
        <f>$O$189</f>
        <v>0</v>
      </c>
      <c r="L1879" s="2002">
        <f>$P$189</f>
        <v>0</v>
      </c>
      <c r="M1879" s="1976"/>
      <c r="N1879" s="1937" t="s">
        <v>2435</v>
      </c>
      <c r="O1879" s="1895">
        <f>'Part IX Scoring Criteria'!O231</f>
        <v>0</v>
      </c>
      <c r="P1879" s="1895"/>
      <c r="Q1879" s="1976"/>
      <c r="R1879" s="2817"/>
      <c r="S1879" s="1976"/>
      <c r="T1879" s="1976"/>
      <c r="U1879" s="1976"/>
      <c r="V1879" s="1976"/>
      <c r="W1879" s="1976"/>
      <c r="X1879" s="1976"/>
    </row>
    <row r="1880" spans="1:24" ht="18.75">
      <c r="A1880" s="1828"/>
      <c r="B1880" s="1976"/>
      <c r="C1880" s="1216" t="s">
        <v>4860</v>
      </c>
      <c r="D1880" s="1976"/>
      <c r="E1880" s="1976"/>
      <c r="F1880" s="1976"/>
      <c r="G1880" s="1976"/>
      <c r="H1880" s="1976"/>
      <c r="I1880" s="1976"/>
      <c r="J1880" s="1976"/>
      <c r="K1880" s="2002">
        <f>$O$107</f>
        <v>0</v>
      </c>
      <c r="L1880" s="2002" t="str">
        <f>$P$107</f>
        <v>Other Non-Sr</v>
      </c>
      <c r="M1880" s="1976"/>
      <c r="N1880" s="1937" t="s">
        <v>2436</v>
      </c>
      <c r="O1880" s="1895">
        <f>'Part IX Scoring Criteria'!O232</f>
        <v>0</v>
      </c>
      <c r="P1880" s="1895"/>
      <c r="Q1880" s="1976"/>
      <c r="R1880" s="2819"/>
      <c r="S1880" s="2819"/>
      <c r="T1880" s="1976"/>
      <c r="U1880" s="1976"/>
      <c r="V1880" s="1976"/>
      <c r="W1880" s="1976"/>
      <c r="X1880" s="1976"/>
    </row>
    <row r="1881" spans="1:24" ht="18.75">
      <c r="A1881" s="1976"/>
      <c r="B1881" s="1976"/>
      <c r="C1881" s="1216" t="s">
        <v>4861</v>
      </c>
      <c r="D1881" s="1976"/>
      <c r="E1881" s="1976"/>
      <c r="F1881" s="1976"/>
      <c r="G1881" s="1976"/>
      <c r="H1881" s="1976"/>
      <c r="I1881" s="1976"/>
      <c r="J1881" s="1976"/>
      <c r="K1881" s="1976"/>
      <c r="L1881" s="1976"/>
      <c r="M1881" s="1976"/>
      <c r="N1881" s="1937" t="s">
        <v>2437</v>
      </c>
      <c r="O1881" s="1895">
        <f>'Part IX Scoring Criteria'!O233</f>
        <v>0</v>
      </c>
      <c r="P1881" s="1895"/>
      <c r="Q1881" s="1976"/>
      <c r="R1881" s="2819"/>
      <c r="S1881" s="2819"/>
      <c r="T1881" s="1976"/>
      <c r="U1881" s="1976"/>
      <c r="V1881" s="1976"/>
      <c r="W1881" s="1976"/>
      <c r="X1881" s="1976"/>
    </row>
    <row r="1882" spans="1:24" ht="18.75">
      <c r="A1882" s="1828"/>
      <c r="B1882" s="1976"/>
      <c r="C1882" s="1216" t="s">
        <v>4027</v>
      </c>
      <c r="D1882" s="1976"/>
      <c r="E1882" s="1976"/>
      <c r="F1882" s="1976"/>
      <c r="G1882" s="1976"/>
      <c r="H1882" s="1976"/>
      <c r="I1882" s="1976"/>
      <c r="J1882" s="1976"/>
      <c r="K1882" s="2840">
        <f>'Part I-Project Information'!F1686</f>
        <v>0</v>
      </c>
      <c r="L1882" s="2852"/>
      <c r="M1882" s="1976"/>
      <c r="N1882" s="1937" t="s">
        <v>2438</v>
      </c>
      <c r="O1882" s="1937"/>
      <c r="P1882" s="1895"/>
      <c r="Q1882" s="1976"/>
      <c r="R1882" s="2819"/>
      <c r="S1882" s="2819"/>
      <c r="T1882" s="1976"/>
      <c r="U1882" s="1976"/>
      <c r="V1882" s="1976"/>
      <c r="W1882" s="1976"/>
      <c r="X1882" s="1976"/>
    </row>
    <row r="1883" spans="1:24" ht="18.75">
      <c r="A1883" s="1828"/>
      <c r="B1883" s="1976"/>
      <c r="C1883" s="1216" t="s">
        <v>4953</v>
      </c>
      <c r="D1883" s="1976"/>
      <c r="E1883" s="1976"/>
      <c r="F1883" s="1976"/>
      <c r="G1883" s="1976"/>
      <c r="H1883" s="1976"/>
      <c r="I1883" s="1976"/>
      <c r="J1883" s="1976"/>
      <c r="K1883" s="2002">
        <f>$O$153</f>
        <v>0</v>
      </c>
      <c r="L1883" s="2002">
        <f>$P$153</f>
        <v>0</v>
      </c>
      <c r="M1883" s="1976"/>
      <c r="N1883" s="1937" t="s">
        <v>2439</v>
      </c>
      <c r="O1883" s="1895">
        <f>'Part IX Scoring Criteria'!O235</f>
        <v>0</v>
      </c>
      <c r="P1883" s="1895"/>
      <c r="Q1883" s="1976"/>
      <c r="R1883" s="2819"/>
      <c r="S1883" s="2819"/>
      <c r="T1883" s="1976"/>
      <c r="U1883" s="1976"/>
      <c r="V1883" s="1976"/>
      <c r="W1883" s="1976"/>
      <c r="X1883" s="1976"/>
    </row>
    <row r="1884" spans="1:24" ht="18.75">
      <c r="A1884" s="1828"/>
      <c r="B1884" s="1976"/>
      <c r="C1884" s="1216" t="s">
        <v>4952</v>
      </c>
      <c r="D1884" s="1976"/>
      <c r="E1884" s="1976"/>
      <c r="F1884" s="1976"/>
      <c r="G1884" s="1976"/>
      <c r="H1884" s="1976"/>
      <c r="I1884" s="1976"/>
      <c r="J1884" s="1976"/>
      <c r="K1884" s="2002">
        <f>$O$277</f>
        <v>0</v>
      </c>
      <c r="L1884" s="2002">
        <f>$P$277</f>
        <v>0</v>
      </c>
      <c r="M1884" s="1976"/>
      <c r="N1884" s="1937" t="s">
        <v>2438</v>
      </c>
      <c r="O1884" s="1895">
        <f>'Part IX Scoring Criteria'!O236</f>
        <v>0</v>
      </c>
      <c r="P1884" s="1895"/>
      <c r="Q1884" s="1976"/>
      <c r="R1884" s="2819"/>
      <c r="S1884" s="2819"/>
      <c r="T1884" s="1976"/>
      <c r="U1884" s="1976"/>
      <c r="V1884" s="1976"/>
      <c r="W1884" s="1976"/>
      <c r="X1884" s="1976"/>
    </row>
    <row r="1885" spans="1:24" ht="15">
      <c r="A1885" s="1631"/>
      <c r="B1885" s="1976"/>
      <c r="C1885" s="1899"/>
      <c r="D1885" s="1899"/>
      <c r="E1885" s="1899"/>
      <c r="F1885" s="1899"/>
      <c r="G1885" s="1899"/>
      <c r="H1885" s="1899"/>
      <c r="I1885" s="1899"/>
      <c r="J1885" s="1899"/>
      <c r="K1885" s="1899"/>
      <c r="L1885" s="1899"/>
      <c r="M1885" s="1899"/>
      <c r="N1885" s="2011"/>
      <c r="O1885" s="2011"/>
      <c r="P1885" s="1630"/>
      <c r="Q1885" s="1976"/>
      <c r="R1885" s="1976"/>
      <c r="S1885" s="1976"/>
      <c r="T1885" s="1976"/>
      <c r="U1885" s="1976"/>
      <c r="V1885" s="1976"/>
      <c r="W1885" s="1976"/>
      <c r="X1885" s="1976"/>
    </row>
    <row r="1886" spans="1:24">
      <c r="A1886" s="1828" t="s">
        <v>1983</v>
      </c>
      <c r="B1886" s="1634" t="s">
        <v>5129</v>
      </c>
      <c r="D1886" s="1631"/>
      <c r="G1886" s="1964" t="s">
        <v>3786</v>
      </c>
      <c r="Q1886" s="1689"/>
    </row>
    <row r="1887" spans="1:24" ht="12.75" customHeight="1">
      <c r="A1887" s="1937"/>
      <c r="B1887" s="521" t="s">
        <v>3866</v>
      </c>
      <c r="C1887" s="1631"/>
      <c r="D1887" s="521">
        <f>'Part IX Scoring Criteria'!D239</f>
        <v>0</v>
      </c>
      <c r="E1887" s="521">
        <f>'Part IX Scoring Criteria'!E239</f>
        <v>0</v>
      </c>
      <c r="F1887" s="521">
        <f>'Part IX Scoring Criteria'!F239</f>
        <v>0</v>
      </c>
      <c r="G1887" s="521">
        <f>'Part IX Scoring Criteria'!G239</f>
        <v>0</v>
      </c>
      <c r="H1887" s="521">
        <f>'Part IX Scoring Criteria'!H239</f>
        <v>0</v>
      </c>
      <c r="I1887" s="1841" t="s">
        <v>2704</v>
      </c>
      <c r="J1887" s="521">
        <f>'Part IX Scoring Criteria'!J239</f>
        <v>0</v>
      </c>
      <c r="K1887" s="521">
        <f>'Part IX Scoring Criteria'!K239</f>
        <v>0</v>
      </c>
      <c r="L1887" s="521">
        <f>'Part IX Scoring Criteria'!L239</f>
        <v>0</v>
      </c>
      <c r="M1887" s="521">
        <f>'Part IX Scoring Criteria'!M239</f>
        <v>0</v>
      </c>
      <c r="N1887" s="521">
        <f>'Part IX Scoring Criteria'!N239</f>
        <v>0</v>
      </c>
      <c r="O1887" s="1631"/>
      <c r="P1887" s="1631"/>
      <c r="Q1887" s="1689"/>
      <c r="R1887" s="1636" t="s">
        <v>5200</v>
      </c>
      <c r="S1887" s="1636"/>
      <c r="T1887" s="1631"/>
      <c r="U1887" s="1631"/>
      <c r="V1887" s="1631"/>
      <c r="W1887" s="1631"/>
      <c r="X1887" s="1631"/>
    </row>
    <row r="1888" spans="1:24" ht="18.75">
      <c r="A1888" s="1937"/>
      <c r="B1888" s="521" t="s">
        <v>2194</v>
      </c>
      <c r="C1888" s="1631"/>
      <c r="D1888" s="521">
        <f>'Part IX Scoring Criteria'!D240</f>
        <v>0</v>
      </c>
      <c r="E1888" s="521">
        <f>'Part IX Scoring Criteria'!E240</f>
        <v>0</v>
      </c>
      <c r="F1888" s="521">
        <f>'Part IX Scoring Criteria'!F240</f>
        <v>0</v>
      </c>
      <c r="G1888" s="521" t="s">
        <v>1721</v>
      </c>
      <c r="H1888" s="2172">
        <f>'Part IX Scoring Criteria'!H240</f>
        <v>0</v>
      </c>
      <c r="I1888" s="1841"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31"/>
      <c r="P1888" s="1631"/>
      <c r="Q1888" s="1689"/>
      <c r="R1888" s="1636"/>
      <c r="S1888" s="1636"/>
      <c r="T1888" s="1631"/>
      <c r="U1888" s="1631"/>
      <c r="V1888" s="2819"/>
      <c r="W1888" s="2819"/>
      <c r="X1888" s="1631"/>
    </row>
    <row r="1889" spans="1:24">
      <c r="A1889" s="1937"/>
      <c r="C1889" s="1921"/>
      <c r="D1889" s="1921"/>
      <c r="E1889" s="1921"/>
      <c r="F1889" s="1921"/>
      <c r="G1889" s="1921"/>
      <c r="H1889" s="1921"/>
      <c r="I1889" s="1921"/>
      <c r="J1889" s="1921"/>
      <c r="K1889" s="1921"/>
      <c r="L1889" s="1921"/>
      <c r="Q1889" s="1689"/>
      <c r="R1889" s="1636"/>
      <c r="S1889" s="1636"/>
    </row>
    <row r="1890" spans="1:24">
      <c r="A1890" s="1937"/>
      <c r="B1890" s="2854" t="s">
        <v>1986</v>
      </c>
      <c r="C1890" s="1921" t="s">
        <v>4029</v>
      </c>
      <c r="D1890" s="1921"/>
      <c r="E1890" s="1921"/>
      <c r="F1890" s="1921"/>
      <c r="G1890" s="1921"/>
      <c r="H1890" s="1921"/>
      <c r="I1890" s="1921"/>
      <c r="J1890" s="1921"/>
      <c r="K1890" s="1921"/>
      <c r="L1890" s="1921"/>
      <c r="M1890" s="1921"/>
      <c r="N1890" s="1921"/>
      <c r="O1890" s="1895" t="s">
        <v>2510</v>
      </c>
      <c r="P1890" s="1895" t="s">
        <v>2510</v>
      </c>
      <c r="Q1890" s="1921"/>
      <c r="R1890" s="1636"/>
      <c r="S1890" s="1636"/>
    </row>
    <row r="1891" spans="1:24" ht="18.75" customHeight="1">
      <c r="A1891" s="1895"/>
      <c r="B1891" s="1952"/>
      <c r="C1891" s="1867" t="s">
        <v>4591</v>
      </c>
      <c r="D1891" s="1867"/>
      <c r="E1891" s="1867"/>
      <c r="F1891" s="1867"/>
      <c r="G1891" s="1867"/>
      <c r="H1891" s="1867"/>
      <c r="I1891" s="1867"/>
      <c r="J1891" s="1867"/>
      <c r="K1891" s="1867"/>
      <c r="L1891" s="1867"/>
      <c r="M1891" s="1867"/>
      <c r="N1891" s="2001" t="s">
        <v>1986</v>
      </c>
      <c r="O1891" s="1948">
        <f>'Part IX Scoring Criteria'!O243</f>
        <v>0</v>
      </c>
      <c r="P1891" s="1948"/>
      <c r="Q1891" s="1921"/>
      <c r="R1891" s="1636"/>
      <c r="S1891" s="1636"/>
      <c r="T1891" s="1631"/>
      <c r="U1891" s="1631"/>
      <c r="V1891" s="2819"/>
      <c r="W1891" s="2819"/>
      <c r="X1891" s="1631"/>
    </row>
    <row r="1892" spans="1:24" ht="18.75" customHeight="1">
      <c r="A1892" s="1937"/>
      <c r="B1892" s="1937" t="s">
        <v>2435</v>
      </c>
      <c r="C1892" s="521" t="s">
        <v>4031</v>
      </c>
      <c r="D1892" s="521">
        <f>'Part IX Scoring Criteria'!D244</f>
        <v>0</v>
      </c>
      <c r="E1892" s="521">
        <f>'Part IX Scoring Criteria'!E244</f>
        <v>0</v>
      </c>
      <c r="F1892" s="521">
        <f>'Part IX Scoring Criteria'!F244</f>
        <v>0</v>
      </c>
      <c r="G1892" s="521">
        <f>'Part IX Scoring Criteria'!G244</f>
        <v>0</v>
      </c>
      <c r="H1892" s="521">
        <f>'Part IX Scoring Criteria'!H244</f>
        <v>0</v>
      </c>
      <c r="I1892" s="1841" t="s">
        <v>2704</v>
      </c>
      <c r="J1892" s="521">
        <f>'Part IX Scoring Criteria'!J244</f>
        <v>0</v>
      </c>
      <c r="K1892" s="521">
        <f>'Part IX Scoring Criteria'!K244</f>
        <v>0</v>
      </c>
      <c r="L1892" s="521">
        <f>'Part IX Scoring Criteria'!L244</f>
        <v>0</v>
      </c>
      <c r="M1892" s="521">
        <f>'Part IX Scoring Criteria'!M244</f>
        <v>0</v>
      </c>
      <c r="N1892" s="521">
        <f>'Part IX Scoring Criteria'!N244</f>
        <v>0</v>
      </c>
      <c r="O1892" s="1785" t="s">
        <v>4033</v>
      </c>
      <c r="P1892" s="1785"/>
      <c r="Q1892" s="1921"/>
      <c r="R1892" s="1636"/>
      <c r="S1892" s="1636"/>
      <c r="T1892" s="1631"/>
      <c r="U1892" s="1631"/>
      <c r="V1892" s="2819"/>
      <c r="W1892" s="2819"/>
      <c r="X1892" s="1631"/>
    </row>
    <row r="1893" spans="1:24" ht="18.75">
      <c r="A1893" s="1937"/>
      <c r="B1893" s="1631"/>
      <c r="C1893" s="521" t="s">
        <v>2194</v>
      </c>
      <c r="D1893" s="521">
        <f>'Part IX Scoring Criteria'!D245</f>
        <v>0</v>
      </c>
      <c r="E1893" s="521">
        <f>'Part IX Scoring Criteria'!E245</f>
        <v>0</v>
      </c>
      <c r="F1893" s="521">
        <f>'Part IX Scoring Criteria'!F245</f>
        <v>0</v>
      </c>
      <c r="G1893" s="521" t="s">
        <v>1721</v>
      </c>
      <c r="H1893" s="2172">
        <f>'Part IX Scoring Criteria'!H245</f>
        <v>0</v>
      </c>
      <c r="I1893" s="1841"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95">
        <f>'Part IX Scoring Criteria'!O245</f>
        <v>0</v>
      </c>
      <c r="P1893" s="1895"/>
      <c r="Q1893" s="1921"/>
      <c r="R1893" s="1636"/>
      <c r="S1893" s="1636"/>
      <c r="T1893" s="1631"/>
      <c r="U1893" s="1631"/>
      <c r="V1893" s="2819"/>
      <c r="W1893" s="2819"/>
      <c r="X1893" s="1631"/>
    </row>
    <row r="1894" spans="1:24" ht="18.75" customHeight="1">
      <c r="A1894" s="1937"/>
      <c r="B1894" s="1937" t="s">
        <v>2436</v>
      </c>
      <c r="C1894" s="521" t="s">
        <v>4032</v>
      </c>
      <c r="D1894" s="521">
        <f>'Part IX Scoring Criteria'!D246</f>
        <v>0</v>
      </c>
      <c r="E1894" s="521">
        <f>'Part IX Scoring Criteria'!E246</f>
        <v>0</v>
      </c>
      <c r="F1894" s="521">
        <f>'Part IX Scoring Criteria'!F246</f>
        <v>0</v>
      </c>
      <c r="G1894" s="521">
        <f>'Part IX Scoring Criteria'!G246</f>
        <v>0</v>
      </c>
      <c r="H1894" s="521">
        <f>'Part IX Scoring Criteria'!H246</f>
        <v>0</v>
      </c>
      <c r="I1894" s="1841" t="s">
        <v>2704</v>
      </c>
      <c r="J1894" s="521">
        <f>'Part IX Scoring Criteria'!J246</f>
        <v>0</v>
      </c>
      <c r="K1894" s="521">
        <f>'Part IX Scoring Criteria'!K246</f>
        <v>0</v>
      </c>
      <c r="L1894" s="521">
        <f>'Part IX Scoring Criteria'!L246</f>
        <v>0</v>
      </c>
      <c r="M1894" s="521">
        <f>'Part IX Scoring Criteria'!M246</f>
        <v>0</v>
      </c>
      <c r="N1894" s="521">
        <f>'Part IX Scoring Criteria'!N246</f>
        <v>0</v>
      </c>
      <c r="O1894" s="1785" t="s">
        <v>4033</v>
      </c>
      <c r="P1894" s="1785"/>
      <c r="Q1894" s="1921"/>
      <c r="R1894" s="1636"/>
      <c r="S1894" s="1636"/>
      <c r="T1894" s="1631"/>
      <c r="U1894" s="1631"/>
      <c r="V1894" s="2819"/>
      <c r="W1894" s="2819"/>
      <c r="X1894" s="1631"/>
    </row>
    <row r="1895" spans="1:24" ht="18.75">
      <c r="A1895" s="1937"/>
      <c r="B1895" s="1631"/>
      <c r="C1895" s="521" t="s">
        <v>2194</v>
      </c>
      <c r="D1895" s="521">
        <f>'Part IX Scoring Criteria'!D247</f>
        <v>0</v>
      </c>
      <c r="E1895" s="521">
        <f>'Part IX Scoring Criteria'!E247</f>
        <v>0</v>
      </c>
      <c r="F1895" s="521">
        <f>'Part IX Scoring Criteria'!F247</f>
        <v>0</v>
      </c>
      <c r="G1895" s="521" t="s">
        <v>1721</v>
      </c>
      <c r="H1895" s="2172">
        <f>'Part IX Scoring Criteria'!H247</f>
        <v>0</v>
      </c>
      <c r="I1895" s="1841"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95">
        <f>'Part IX Scoring Criteria'!O247</f>
        <v>0</v>
      </c>
      <c r="P1895" s="1895"/>
      <c r="Q1895" s="1921"/>
      <c r="R1895" s="1636"/>
      <c r="S1895" s="1636"/>
      <c r="T1895" s="1631"/>
      <c r="U1895" s="1631"/>
      <c r="V1895" s="2819"/>
      <c r="W1895" s="2819"/>
      <c r="X1895" s="1631"/>
    </row>
    <row r="1896" spans="1:24">
      <c r="A1896" s="1937"/>
      <c r="B1896" s="2854" t="s">
        <v>1988</v>
      </c>
      <c r="C1896" s="1921" t="s">
        <v>4034</v>
      </c>
      <c r="D1896" s="1921"/>
      <c r="E1896" s="1921"/>
      <c r="F1896" s="1921"/>
      <c r="G1896" s="1964" t="s">
        <v>3786</v>
      </c>
      <c r="H1896" s="1921"/>
      <c r="I1896" s="1921"/>
      <c r="J1896" s="1921"/>
      <c r="K1896" s="1921"/>
      <c r="L1896" s="1921"/>
      <c r="M1896" s="1921"/>
      <c r="N1896" s="1921"/>
      <c r="O1896" s="1895" t="s">
        <v>2510</v>
      </c>
      <c r="P1896" s="1895" t="s">
        <v>2510</v>
      </c>
      <c r="Q1896" s="1921"/>
      <c r="R1896" s="1636"/>
      <c r="S1896" s="1636"/>
    </row>
    <row r="1897" spans="1:24" ht="18.75" customHeight="1">
      <c r="A1897" s="1937"/>
      <c r="B1897" s="2076"/>
      <c r="C1897" s="1900" t="s">
        <v>4592</v>
      </c>
      <c r="D1897" s="1900"/>
      <c r="E1897" s="1900"/>
      <c r="F1897" s="1900"/>
      <c r="G1897" s="1900"/>
      <c r="H1897" s="1900"/>
      <c r="I1897" s="1900"/>
      <c r="J1897" s="1900"/>
      <c r="K1897" s="1900"/>
      <c r="L1897" s="1900"/>
      <c r="M1897" s="1900"/>
      <c r="N1897" s="2001" t="s">
        <v>1988</v>
      </c>
      <c r="O1897" s="1948">
        <f>'Part IX Scoring Criteria'!O249</f>
        <v>0</v>
      </c>
      <c r="P1897" s="1948"/>
      <c r="Q1897" s="1947"/>
      <c r="R1897" s="1636"/>
      <c r="S1897" s="1636"/>
      <c r="V1897" s="2819"/>
      <c r="W1897" s="2819"/>
    </row>
    <row r="1898" spans="1:24" ht="18.75">
      <c r="A1898" s="1937"/>
      <c r="B1898" s="1937" t="s">
        <v>2435</v>
      </c>
      <c r="C1898" s="1952" t="s">
        <v>4140</v>
      </c>
      <c r="D1898" s="1899"/>
      <c r="E1898" s="1899"/>
      <c r="F1898" s="1899"/>
      <c r="G1898" s="1899"/>
      <c r="H1898" s="1899"/>
      <c r="I1898" s="1899"/>
      <c r="J1898" s="1899"/>
      <c r="K1898" s="1899"/>
      <c r="L1898" s="1899"/>
      <c r="M1898" s="1899"/>
      <c r="N1898" s="1899"/>
      <c r="O1898" s="1899"/>
      <c r="P1898" s="1899"/>
      <c r="Q1898" s="1947"/>
      <c r="R1898" s="1636"/>
      <c r="S1898" s="1636"/>
      <c r="V1898" s="2819"/>
      <c r="W1898" s="2819"/>
    </row>
    <row r="1899" spans="1:24" ht="18.75">
      <c r="A1899" s="1937"/>
      <c r="B1899" s="1631"/>
      <c r="C1899" s="1890" t="str">
        <f>'Part IX Scoring Criteria'!C251</f>
        <v>1.)</v>
      </c>
      <c r="D1899" s="1890">
        <f>'Part IX Scoring Criteria'!D251</f>
        <v>0</v>
      </c>
      <c r="E1899" s="1890">
        <f>'Part IX Scoring Criteria'!E251</f>
        <v>0</v>
      </c>
      <c r="F1899" s="1890">
        <f>'Part IX Scoring Criteria'!F251</f>
        <v>0</v>
      </c>
      <c r="G1899" s="1890">
        <f>'Part IX Scoring Criteria'!G251</f>
        <v>0</v>
      </c>
      <c r="H1899" s="1890">
        <f>'Part IX Scoring Criteria'!H251</f>
        <v>0</v>
      </c>
      <c r="I1899" s="1890">
        <f>'Part IX Scoring Criteria'!I251</f>
        <v>0</v>
      </c>
      <c r="J1899" s="1890">
        <f>'Part IX Scoring Criteria'!J251</f>
        <v>0</v>
      </c>
      <c r="K1899" s="1890">
        <f>'Part IX Scoring Criteria'!K251</f>
        <v>0</v>
      </c>
      <c r="L1899" s="1890">
        <f>'Part IX Scoring Criteria'!L251</f>
        <v>0</v>
      </c>
      <c r="M1899" s="1890">
        <f>'Part IX Scoring Criteria'!M251</f>
        <v>0</v>
      </c>
      <c r="N1899" s="1890">
        <f>'Part IX Scoring Criteria'!N251</f>
        <v>0</v>
      </c>
      <c r="O1899" s="1890">
        <f>'Part IX Scoring Criteria'!O251</f>
        <v>0</v>
      </c>
      <c r="P1899" s="1890">
        <f>'Part IX Scoring Criteria'!P251</f>
        <v>0</v>
      </c>
      <c r="Q1899" s="2786"/>
      <c r="R1899" s="1636"/>
      <c r="S1899" s="1636"/>
      <c r="V1899" s="2819"/>
      <c r="W1899" s="2819"/>
    </row>
    <row r="1900" spans="1:24" ht="18.75">
      <c r="A1900" s="1937"/>
      <c r="B1900" s="2076"/>
      <c r="C1900" s="1890" t="str">
        <f>'Part IX Scoring Criteria'!C252</f>
        <v>2.)</v>
      </c>
      <c r="D1900" s="1890">
        <f>'Part IX Scoring Criteria'!D252</f>
        <v>0</v>
      </c>
      <c r="E1900" s="1890">
        <f>'Part IX Scoring Criteria'!E252</f>
        <v>0</v>
      </c>
      <c r="F1900" s="1890">
        <f>'Part IX Scoring Criteria'!F252</f>
        <v>0</v>
      </c>
      <c r="G1900" s="1890">
        <f>'Part IX Scoring Criteria'!G252</f>
        <v>0</v>
      </c>
      <c r="H1900" s="1890">
        <f>'Part IX Scoring Criteria'!H252</f>
        <v>0</v>
      </c>
      <c r="I1900" s="1890">
        <f>'Part IX Scoring Criteria'!I252</f>
        <v>0</v>
      </c>
      <c r="J1900" s="1890">
        <f>'Part IX Scoring Criteria'!J252</f>
        <v>0</v>
      </c>
      <c r="K1900" s="1890">
        <f>'Part IX Scoring Criteria'!K252</f>
        <v>0</v>
      </c>
      <c r="L1900" s="1890">
        <f>'Part IX Scoring Criteria'!L252</f>
        <v>0</v>
      </c>
      <c r="M1900" s="1890">
        <f>'Part IX Scoring Criteria'!M252</f>
        <v>0</v>
      </c>
      <c r="N1900" s="1890">
        <f>'Part IX Scoring Criteria'!N252</f>
        <v>0</v>
      </c>
      <c r="O1900" s="1890">
        <f>'Part IX Scoring Criteria'!O252</f>
        <v>0</v>
      </c>
      <c r="P1900" s="1890">
        <f>'Part IX Scoring Criteria'!P252</f>
        <v>0</v>
      </c>
      <c r="Q1900" s="1947"/>
      <c r="R1900" s="1636"/>
      <c r="S1900" s="1636"/>
      <c r="V1900" s="2819"/>
      <c r="W1900" s="2819"/>
    </row>
    <row r="1901" spans="1:24" ht="18.75">
      <c r="A1901" s="1937"/>
      <c r="B1901" s="2076"/>
      <c r="C1901" s="1890" t="str">
        <f>'Part IX Scoring Criteria'!C253</f>
        <v>3.)</v>
      </c>
      <c r="D1901" s="1890">
        <f>'Part IX Scoring Criteria'!D253</f>
        <v>0</v>
      </c>
      <c r="E1901" s="1890">
        <f>'Part IX Scoring Criteria'!E253</f>
        <v>0</v>
      </c>
      <c r="F1901" s="1890">
        <f>'Part IX Scoring Criteria'!F253</f>
        <v>0</v>
      </c>
      <c r="G1901" s="1890">
        <f>'Part IX Scoring Criteria'!G253</f>
        <v>0</v>
      </c>
      <c r="H1901" s="1890">
        <f>'Part IX Scoring Criteria'!H253</f>
        <v>0</v>
      </c>
      <c r="I1901" s="1890">
        <f>'Part IX Scoring Criteria'!I253</f>
        <v>0</v>
      </c>
      <c r="J1901" s="1890">
        <f>'Part IX Scoring Criteria'!J253</f>
        <v>0</v>
      </c>
      <c r="K1901" s="1890">
        <f>'Part IX Scoring Criteria'!K253</f>
        <v>0</v>
      </c>
      <c r="L1901" s="1890">
        <f>'Part IX Scoring Criteria'!L253</f>
        <v>0</v>
      </c>
      <c r="M1901" s="1890">
        <f>'Part IX Scoring Criteria'!M253</f>
        <v>0</v>
      </c>
      <c r="N1901" s="1890">
        <f>'Part IX Scoring Criteria'!N253</f>
        <v>0</v>
      </c>
      <c r="O1901" s="1890">
        <f>'Part IX Scoring Criteria'!O253</f>
        <v>0</v>
      </c>
      <c r="P1901" s="1890">
        <f>'Part IX Scoring Criteria'!P253</f>
        <v>0</v>
      </c>
      <c r="Q1901" s="1947"/>
      <c r="R1901" s="1636"/>
      <c r="S1901" s="1636"/>
      <c r="V1901" s="2819"/>
      <c r="W1901" s="2819"/>
    </row>
    <row r="1902" spans="1:24" ht="18.75" customHeight="1">
      <c r="A1902" s="1937"/>
      <c r="B1902" s="1937" t="s">
        <v>2436</v>
      </c>
      <c r="C1902" s="1952" t="s">
        <v>4138</v>
      </c>
      <c r="D1902" s="1899"/>
      <c r="E1902" s="1899"/>
      <c r="F1902" s="1899"/>
      <c r="G1902" s="1899"/>
      <c r="H1902" s="1899"/>
      <c r="I1902" s="1899"/>
      <c r="J1902" s="1899"/>
      <c r="K1902" s="1899"/>
      <c r="L1902" s="1900" t="s">
        <v>4142</v>
      </c>
      <c r="M1902" s="1900"/>
      <c r="N1902" s="1921" t="s">
        <v>4143</v>
      </c>
      <c r="O1902" s="1921"/>
      <c r="P1902" s="1921"/>
      <c r="Q1902" s="1947"/>
      <c r="R1902" s="1636"/>
      <c r="S1902" s="1636"/>
      <c r="V1902" s="2819"/>
      <c r="W1902" s="2819"/>
    </row>
    <row r="1903" spans="1:24" ht="18.75">
      <c r="A1903" s="1937"/>
      <c r="B1903" s="2076"/>
      <c r="C1903" s="1900" t="str">
        <f>'Part IX Scoring Criteria'!C255</f>
        <v>1.)</v>
      </c>
      <c r="D1903" s="1900">
        <f>'Part IX Scoring Criteria'!D255</f>
        <v>0</v>
      </c>
      <c r="E1903" s="1900">
        <f>'Part IX Scoring Criteria'!E255</f>
        <v>0</v>
      </c>
      <c r="F1903" s="1900">
        <f>'Part IX Scoring Criteria'!F255</f>
        <v>0</v>
      </c>
      <c r="G1903" s="1900">
        <f>'Part IX Scoring Criteria'!G255</f>
        <v>0</v>
      </c>
      <c r="H1903" s="1900">
        <f>'Part IX Scoring Criteria'!H255</f>
        <v>0</v>
      </c>
      <c r="I1903" s="1900">
        <f>'Part IX Scoring Criteria'!I255</f>
        <v>0</v>
      </c>
      <c r="J1903" s="1900">
        <f>'Part IX Scoring Criteria'!J255</f>
        <v>0</v>
      </c>
      <c r="K1903" s="1900">
        <f>'Part IX Scoring Criteria'!K255</f>
        <v>0</v>
      </c>
      <c r="L1903" s="1900">
        <f>'Part IX Scoring Criteria'!L255</f>
        <v>0</v>
      </c>
      <c r="M1903" s="1900">
        <f>'Part IX Scoring Criteria'!M255</f>
        <v>0</v>
      </c>
      <c r="N1903" s="1900">
        <f>'Part IX Scoring Criteria'!N255</f>
        <v>0</v>
      </c>
      <c r="O1903" s="1900">
        <f>'Part IX Scoring Criteria'!O255</f>
        <v>0</v>
      </c>
      <c r="P1903" s="1900">
        <f>'Part IX Scoring Criteria'!P255</f>
        <v>0</v>
      </c>
      <c r="Q1903" s="2786"/>
      <c r="R1903" s="1636"/>
      <c r="S1903" s="1636"/>
      <c r="V1903" s="2819"/>
      <c r="W1903" s="2819"/>
    </row>
    <row r="1904" spans="1:24" ht="18.75">
      <c r="A1904" s="1937"/>
      <c r="B1904" s="2076"/>
      <c r="C1904" s="1900" t="str">
        <f>'Part IX Scoring Criteria'!C256</f>
        <v>2.)</v>
      </c>
      <c r="D1904" s="1900">
        <f>'Part IX Scoring Criteria'!D256</f>
        <v>0</v>
      </c>
      <c r="E1904" s="1900">
        <f>'Part IX Scoring Criteria'!E256</f>
        <v>0</v>
      </c>
      <c r="F1904" s="1900">
        <f>'Part IX Scoring Criteria'!F256</f>
        <v>0</v>
      </c>
      <c r="G1904" s="1900">
        <f>'Part IX Scoring Criteria'!G256</f>
        <v>0</v>
      </c>
      <c r="H1904" s="1900">
        <f>'Part IX Scoring Criteria'!H256</f>
        <v>0</v>
      </c>
      <c r="I1904" s="1900">
        <f>'Part IX Scoring Criteria'!I256</f>
        <v>0</v>
      </c>
      <c r="J1904" s="1900">
        <f>'Part IX Scoring Criteria'!J256</f>
        <v>0</v>
      </c>
      <c r="K1904" s="1900">
        <f>'Part IX Scoring Criteria'!K256</f>
        <v>0</v>
      </c>
      <c r="L1904" s="1900">
        <f>'Part IX Scoring Criteria'!L256</f>
        <v>0</v>
      </c>
      <c r="M1904" s="1900">
        <f>'Part IX Scoring Criteria'!M256</f>
        <v>0</v>
      </c>
      <c r="N1904" s="1900">
        <f>'Part IX Scoring Criteria'!N256</f>
        <v>0</v>
      </c>
      <c r="O1904" s="1900">
        <f>'Part IX Scoring Criteria'!O256</f>
        <v>0</v>
      </c>
      <c r="P1904" s="1900">
        <f>'Part IX Scoring Criteria'!P256</f>
        <v>0</v>
      </c>
      <c r="Q1904" s="1947"/>
      <c r="R1904" s="1636"/>
      <c r="S1904" s="1636"/>
      <c r="V1904" s="2819"/>
      <c r="W1904" s="2819"/>
    </row>
    <row r="1905" spans="1:24" ht="18.75">
      <c r="A1905" s="1937"/>
      <c r="B1905" s="2076"/>
      <c r="C1905" s="1900" t="str">
        <f>'Part IX Scoring Criteria'!C257</f>
        <v>3.)</v>
      </c>
      <c r="D1905" s="1900">
        <f>'Part IX Scoring Criteria'!D257</f>
        <v>0</v>
      </c>
      <c r="E1905" s="1900">
        <f>'Part IX Scoring Criteria'!E257</f>
        <v>0</v>
      </c>
      <c r="F1905" s="1900">
        <f>'Part IX Scoring Criteria'!F257</f>
        <v>0</v>
      </c>
      <c r="G1905" s="1900">
        <f>'Part IX Scoring Criteria'!G257</f>
        <v>0</v>
      </c>
      <c r="H1905" s="1900">
        <f>'Part IX Scoring Criteria'!H257</f>
        <v>0</v>
      </c>
      <c r="I1905" s="1900">
        <f>'Part IX Scoring Criteria'!I257</f>
        <v>0</v>
      </c>
      <c r="J1905" s="1900">
        <f>'Part IX Scoring Criteria'!J257</f>
        <v>0</v>
      </c>
      <c r="K1905" s="1900">
        <f>'Part IX Scoring Criteria'!K257</f>
        <v>0</v>
      </c>
      <c r="L1905" s="1900">
        <f>'Part IX Scoring Criteria'!L257</f>
        <v>0</v>
      </c>
      <c r="M1905" s="1900">
        <f>'Part IX Scoring Criteria'!M257</f>
        <v>0</v>
      </c>
      <c r="N1905" s="1900">
        <f>'Part IX Scoring Criteria'!N257</f>
        <v>0</v>
      </c>
      <c r="O1905" s="1900">
        <f>'Part IX Scoring Criteria'!O257</f>
        <v>0</v>
      </c>
      <c r="P1905" s="1900">
        <f>'Part IX Scoring Criteria'!P257</f>
        <v>0</v>
      </c>
      <c r="Q1905" s="1947"/>
      <c r="R1905" s="1636"/>
      <c r="S1905" s="1636"/>
      <c r="V1905" s="2819"/>
      <c r="W1905" s="2819"/>
    </row>
    <row r="1906" spans="1:24">
      <c r="A1906" s="1937"/>
      <c r="B1906" s="2854" t="s">
        <v>2534</v>
      </c>
      <c r="C1906" s="1921" t="s">
        <v>4035</v>
      </c>
      <c r="D1906" s="1921"/>
      <c r="E1906" s="1921"/>
      <c r="F1906" s="1921"/>
      <c r="G1906" s="1921"/>
      <c r="H1906" s="1921"/>
      <c r="I1906" s="1921"/>
      <c r="J1906" s="1921"/>
      <c r="K1906" s="1921"/>
      <c r="L1906" s="1921"/>
      <c r="M1906" s="1921"/>
      <c r="N1906" s="1921"/>
      <c r="O1906" s="1895"/>
      <c r="P1906" s="1895"/>
      <c r="Q1906" s="1921"/>
      <c r="R1906" s="1636"/>
      <c r="S1906" s="1636"/>
    </row>
    <row r="1907" spans="1:24" ht="18.75" customHeight="1">
      <c r="A1907" s="1937"/>
      <c r="B1907" s="2077"/>
      <c r="C1907" s="1867" t="s">
        <v>4039</v>
      </c>
      <c r="D1907" s="1867"/>
      <c r="E1907" s="1867"/>
      <c r="F1907" s="1867"/>
      <c r="G1907" s="1867"/>
      <c r="H1907" s="1867"/>
      <c r="I1907" s="1867"/>
      <c r="J1907" s="1867"/>
      <c r="K1907" s="1867"/>
      <c r="L1907" s="1867"/>
      <c r="M1907" s="1867"/>
      <c r="N1907" s="2001" t="s">
        <v>2534</v>
      </c>
      <c r="O1907" s="1895">
        <f>'Part IX Scoring Criteria'!O259</f>
        <v>0</v>
      </c>
      <c r="P1907" s="1895"/>
      <c r="Q1907" s="1947"/>
      <c r="R1907" s="1631"/>
      <c r="S1907" s="1631"/>
      <c r="T1907" s="1631"/>
      <c r="U1907" s="1631"/>
      <c r="V1907" s="2819"/>
      <c r="W1907" s="2819"/>
      <c r="X1907" s="1631"/>
    </row>
    <row r="1908" spans="1:24">
      <c r="A1908" s="1828"/>
      <c r="B1908" s="2044" t="s">
        <v>1224</v>
      </c>
      <c r="C1908" s="521" t="s">
        <v>3789</v>
      </c>
      <c r="D1908" s="1631"/>
      <c r="Q1908" s="1630"/>
    </row>
    <row r="1909" spans="1:24" ht="18.75" customHeight="1">
      <c r="A1909" s="1937"/>
      <c r="B1909" s="2077"/>
      <c r="C1909" s="1900" t="s">
        <v>4041</v>
      </c>
      <c r="D1909" s="1900"/>
      <c r="E1909" s="1900"/>
      <c r="F1909" s="1900"/>
      <c r="G1909" s="1900"/>
      <c r="H1909" s="1900"/>
      <c r="I1909" s="1900"/>
      <c r="J1909" s="1900"/>
      <c r="K1909" s="1900"/>
      <c r="L1909" s="1900"/>
      <c r="M1909" s="1900"/>
      <c r="N1909" s="2001" t="s">
        <v>1224</v>
      </c>
      <c r="O1909" s="1948">
        <f>'Part IX Scoring Criteria'!O261</f>
        <v>0</v>
      </c>
      <c r="P1909" s="1948"/>
      <c r="Q1909" s="1947"/>
      <c r="R1909" s="1631"/>
      <c r="S1909" s="1631"/>
      <c r="T1909" s="1631"/>
      <c r="U1909" s="1631"/>
      <c r="V1909" s="2819"/>
      <c r="W1909" s="2819"/>
      <c r="X1909" s="1631"/>
    </row>
    <row r="1910" spans="1:24" ht="18.75">
      <c r="A1910" s="1937"/>
      <c r="B1910" s="2077"/>
      <c r="C1910" s="1899"/>
      <c r="D1910" s="1899"/>
      <c r="E1910" s="1899"/>
      <c r="F1910" s="1899"/>
      <c r="G1910" s="1952" t="s">
        <v>4954</v>
      </c>
      <c r="H1910" s="1899"/>
      <c r="I1910" s="1631"/>
      <c r="J1910" s="2060">
        <f>'Part IX Scoring Criteria'!J262</f>
        <v>0</v>
      </c>
      <c r="K1910" s="2060">
        <f>'Part IX Scoring Criteria'!K262</f>
        <v>0</v>
      </c>
      <c r="L1910" s="1899"/>
      <c r="M1910" s="1899"/>
      <c r="N1910" s="1899"/>
      <c r="O1910" s="1899"/>
      <c r="P1910" s="1899"/>
      <c r="Q1910" s="1947"/>
      <c r="R1910" s="1631"/>
      <c r="S1910" s="1631"/>
      <c r="T1910" s="1631"/>
      <c r="U1910" s="1631"/>
      <c r="V1910" s="2819"/>
      <c r="W1910" s="2819"/>
      <c r="X1910" s="1631"/>
    </row>
    <row r="1911" spans="1:24" ht="18.75" customHeight="1">
      <c r="A1911" s="1937"/>
      <c r="B1911" s="1937" t="s">
        <v>2435</v>
      </c>
      <c r="C1911" s="1867" t="s">
        <v>4042</v>
      </c>
      <c r="D1911" s="1867"/>
      <c r="E1911" s="1867"/>
      <c r="F1911" s="1867"/>
      <c r="G1911" s="1867"/>
      <c r="H1911" s="1867"/>
      <c r="I1911" s="1867"/>
      <c r="J1911" s="1867"/>
      <c r="K1911" s="1867"/>
      <c r="L1911" s="1867"/>
      <c r="M1911" s="1867"/>
      <c r="N1911" s="1937" t="s">
        <v>2435</v>
      </c>
      <c r="O1911" s="1895">
        <f>'Part IX Scoring Criteria'!O263</f>
        <v>0</v>
      </c>
      <c r="P1911" s="1895"/>
      <c r="Q1911" s="1947"/>
      <c r="R1911" s="1631"/>
      <c r="S1911" s="1631"/>
      <c r="T1911" s="1631"/>
      <c r="U1911" s="1631"/>
      <c r="V1911" s="2819"/>
      <c r="W1911" s="2819"/>
      <c r="X1911" s="1631"/>
    </row>
    <row r="1912" spans="1:24" ht="18.75" customHeight="1">
      <c r="A1912" s="1937"/>
      <c r="B1912" s="1937" t="s">
        <v>2436</v>
      </c>
      <c r="C1912" s="1867" t="s">
        <v>4853</v>
      </c>
      <c r="D1912" s="1867"/>
      <c r="E1912" s="1867"/>
      <c r="F1912" s="1867"/>
      <c r="G1912" s="1867"/>
      <c r="H1912" s="1867"/>
      <c r="I1912" s="1867"/>
      <c r="J1912" s="1867"/>
      <c r="K1912" s="1867"/>
      <c r="L1912" s="1867"/>
      <c r="M1912" s="1867"/>
      <c r="N1912" s="1937" t="s">
        <v>2436</v>
      </c>
      <c r="O1912" s="1895">
        <f>'Part IX Scoring Criteria'!O264</f>
        <v>0</v>
      </c>
      <c r="P1912" s="1895"/>
      <c r="Q1912" s="1947"/>
      <c r="R1912" s="1631"/>
      <c r="S1912" s="1631"/>
      <c r="T1912" s="1631"/>
      <c r="U1912" s="1631"/>
      <c r="V1912" s="2819"/>
      <c r="W1912" s="2819"/>
      <c r="X1912" s="1631"/>
    </row>
    <row r="1913" spans="1:24">
      <c r="A1913" s="1828"/>
      <c r="B1913" s="2044" t="s">
        <v>1225</v>
      </c>
      <c r="C1913" s="521" t="s">
        <v>4854</v>
      </c>
      <c r="D1913" s="1631"/>
      <c r="N1913" s="2001" t="s">
        <v>1225</v>
      </c>
      <c r="Q1913" s="1630"/>
    </row>
    <row r="1914" spans="1:24" ht="18.75" customHeight="1">
      <c r="A1914" s="1937"/>
      <c r="B1914" s="1937" t="s">
        <v>2435</v>
      </c>
      <c r="C1914" s="1867" t="s">
        <v>4855</v>
      </c>
      <c r="D1914" s="1867"/>
      <c r="E1914" s="1867"/>
      <c r="F1914" s="1867"/>
      <c r="G1914" s="1867"/>
      <c r="H1914" s="1867"/>
      <c r="I1914" s="1867"/>
      <c r="J1914" s="1867"/>
      <c r="K1914" s="1867"/>
      <c r="L1914" s="1867"/>
      <c r="M1914" s="1867"/>
      <c r="N1914" s="1937" t="s">
        <v>2435</v>
      </c>
      <c r="O1914" s="1895">
        <f>'Part IX Scoring Criteria'!O266</f>
        <v>0</v>
      </c>
      <c r="P1914" s="1895"/>
      <c r="Q1914" s="1947"/>
      <c r="R1914" s="1631"/>
      <c r="S1914" s="1631"/>
      <c r="T1914" s="1631"/>
      <c r="U1914" s="1631"/>
      <c r="V1914" s="2819"/>
      <c r="W1914" s="2819"/>
      <c r="X1914" s="1631"/>
    </row>
    <row r="1915" spans="1:24" ht="18.75" customHeight="1">
      <c r="A1915" s="1937"/>
      <c r="B1915" s="1937" t="s">
        <v>2436</v>
      </c>
      <c r="C1915" s="1867" t="s">
        <v>4856</v>
      </c>
      <c r="D1915" s="1867"/>
      <c r="E1915" s="1867"/>
      <c r="F1915" s="1867"/>
      <c r="G1915" s="1867"/>
      <c r="H1915" s="1867"/>
      <c r="I1915" s="1867"/>
      <c r="J1915" s="1867"/>
      <c r="K1915" s="1867"/>
      <c r="L1915" s="1867"/>
      <c r="M1915" s="1867"/>
      <c r="N1915" s="1937" t="s">
        <v>2436</v>
      </c>
      <c r="O1915" s="1895">
        <f>'Part IX Scoring Criteria'!O267</f>
        <v>0</v>
      </c>
      <c r="P1915" s="1895"/>
      <c r="Q1915" s="1947"/>
      <c r="R1915" s="1631"/>
      <c r="S1915" s="1631"/>
      <c r="T1915" s="1631"/>
      <c r="U1915" s="1631"/>
      <c r="V1915" s="2819"/>
      <c r="W1915" s="2819"/>
      <c r="X1915" s="1631"/>
    </row>
    <row r="1916" spans="1:24">
      <c r="A1916" s="1828" t="s">
        <v>1985</v>
      </c>
      <c r="B1916" s="1634" t="s">
        <v>5130</v>
      </c>
      <c r="D1916" s="1631"/>
      <c r="G1916" s="1964" t="s">
        <v>3786</v>
      </c>
      <c r="O1916" s="1895" t="s">
        <v>2510</v>
      </c>
      <c r="P1916" s="1895" t="s">
        <v>2510</v>
      </c>
      <c r="Q1916" s="1689"/>
    </row>
    <row r="1917" spans="1:24" ht="18.75" customHeight="1">
      <c r="B1917" s="2854" t="s">
        <v>1986</v>
      </c>
      <c r="C1917" s="1867" t="s">
        <v>4037</v>
      </c>
      <c r="D1917" s="1867"/>
      <c r="E1917" s="1867"/>
      <c r="F1917" s="1867"/>
      <c r="G1917" s="1867"/>
      <c r="H1917" s="1867"/>
      <c r="I1917" s="1867"/>
      <c r="J1917" s="1867"/>
      <c r="K1917" s="1867"/>
      <c r="L1917" s="1867"/>
      <c r="M1917" s="2079" t="s">
        <v>1985</v>
      </c>
      <c r="N1917" s="2001" t="s">
        <v>1986</v>
      </c>
      <c r="O1917" s="1948">
        <f>'Part IX Scoring Criteria'!O269</f>
        <v>0</v>
      </c>
      <c r="P1917" s="1948"/>
      <c r="Q1917" s="1689"/>
      <c r="V1917" s="2819"/>
      <c r="W1917" s="2819"/>
    </row>
    <row r="1918" spans="1:24" ht="18.75">
      <c r="A1918" s="1937"/>
      <c r="B1918" s="2854" t="s">
        <v>1988</v>
      </c>
      <c r="C1918" s="1841" t="s">
        <v>4857</v>
      </c>
      <c r="D1918" s="1867"/>
      <c r="E1918" s="1867"/>
      <c r="F1918" s="1867"/>
      <c r="G1918" s="1867"/>
      <c r="H1918" s="1867"/>
      <c r="I1918" s="1867"/>
      <c r="J1918" s="1867"/>
      <c r="K1918" s="1867"/>
      <c r="L1918" s="1867"/>
      <c r="M1918" s="1867"/>
      <c r="N1918" s="2001" t="s">
        <v>1988</v>
      </c>
      <c r="O1918" s="1895">
        <f>'Part IX Scoring Criteria'!O270</f>
        <v>0</v>
      </c>
      <c r="P1918" s="1895"/>
      <c r="Q1918" s="1947"/>
      <c r="R1918" s="1631"/>
      <c r="S1918" s="1631"/>
      <c r="T1918" s="1631"/>
      <c r="U1918" s="1631"/>
      <c r="V1918" s="2859"/>
      <c r="W1918" s="2859"/>
      <c r="X1918" s="1631"/>
    </row>
    <row r="1919" spans="1:24" ht="18.75">
      <c r="A1919" s="1937"/>
      <c r="B1919" s="2854" t="s">
        <v>2534</v>
      </c>
      <c r="C1919" s="1841" t="s">
        <v>4858</v>
      </c>
      <c r="D1919" s="1867"/>
      <c r="E1919" s="1867"/>
      <c r="F1919" s="1867"/>
      <c r="G1919" s="1867"/>
      <c r="H1919" s="1867"/>
      <c r="I1919" s="1867"/>
      <c r="J1919" s="1867"/>
      <c r="K1919" s="1867"/>
      <c r="L1919" s="1867"/>
      <c r="M1919" s="1867"/>
      <c r="N1919" s="2001" t="s">
        <v>2534</v>
      </c>
      <c r="O1919" s="1895">
        <f>'Part IX Scoring Criteria'!O271</f>
        <v>0</v>
      </c>
      <c r="P1919" s="1895"/>
      <c r="Q1919" s="1947"/>
      <c r="R1919" s="1631"/>
      <c r="S1919" s="1631"/>
      <c r="T1919" s="1631"/>
      <c r="U1919" s="1631"/>
      <c r="V1919" s="2859"/>
      <c r="W1919" s="2859"/>
      <c r="X1919" s="1631"/>
    </row>
    <row r="1920" spans="1:24" ht="15">
      <c r="A1920" s="1631"/>
      <c r="B1920" s="1866" t="s">
        <v>3757</v>
      </c>
      <c r="C1920" s="1631"/>
      <c r="D1920" s="1634"/>
      <c r="E1920" s="1634"/>
      <c r="F1920" s="1634"/>
      <c r="G1920" s="1634"/>
      <c r="H1920" s="521"/>
      <c r="I1920" s="521"/>
      <c r="J1920" s="1976"/>
      <c r="K1920" s="1976"/>
      <c r="L1920" s="1976"/>
      <c r="M1920" s="1630"/>
      <c r="N1920" s="1637"/>
      <c r="O1920" s="1863"/>
      <c r="P1920" s="1637"/>
      <c r="Q1920" s="1976"/>
      <c r="R1920" s="1976"/>
      <c r="S1920" s="1976"/>
      <c r="T1920" s="1976"/>
      <c r="U1920" s="1976"/>
      <c r="V1920" s="1976"/>
      <c r="W1920" s="1976"/>
      <c r="X1920" s="1976"/>
    </row>
    <row r="1921" spans="1:24" ht="15">
      <c r="A1921" s="1890">
        <f>'Part IX Scoring Criteria'!A273</f>
        <v>0</v>
      </c>
      <c r="B1921" s="1890"/>
      <c r="C1921" s="1890"/>
      <c r="D1921" s="1890"/>
      <c r="E1921" s="1890"/>
      <c r="F1921" s="1890"/>
      <c r="G1921" s="1890"/>
      <c r="H1921" s="1890"/>
      <c r="I1921" s="1890"/>
      <c r="J1921" s="1890"/>
      <c r="K1921" s="1890"/>
      <c r="L1921" s="1890"/>
      <c r="M1921" s="1890"/>
      <c r="N1921" s="1890"/>
      <c r="O1921" s="1890"/>
      <c r="P1921" s="1890"/>
      <c r="Q1921" s="2786" t="s">
        <v>1254</v>
      </c>
      <c r="R1921" s="1976"/>
      <c r="S1921" s="1976"/>
      <c r="T1921" s="1976"/>
      <c r="U1921" s="1976"/>
      <c r="V1921" s="1976"/>
      <c r="W1921" s="1976"/>
      <c r="X1921" s="1976"/>
    </row>
    <row r="1922" spans="1:24" ht="15">
      <c r="A1922" s="1631"/>
      <c r="B1922" s="1897" t="s">
        <v>1866</v>
      </c>
      <c r="C1922" s="1631"/>
      <c r="D1922" s="1897"/>
      <c r="E1922" s="1899"/>
      <c r="F1922" s="1899"/>
      <c r="G1922" s="1899"/>
      <c r="H1922" s="1899"/>
      <c r="I1922" s="1899"/>
      <c r="J1922" s="1899"/>
      <c r="K1922" s="1899"/>
      <c r="L1922" s="1899"/>
      <c r="M1922" s="1899"/>
      <c r="N1922" s="2011"/>
      <c r="O1922" s="2011"/>
      <c r="P1922" s="1630"/>
      <c r="Q1922" s="2006"/>
      <c r="R1922" s="1976"/>
      <c r="S1922" s="1976"/>
      <c r="T1922" s="1976"/>
      <c r="U1922" s="1976"/>
      <c r="V1922" s="1976"/>
      <c r="W1922" s="1976"/>
      <c r="X1922" s="1976"/>
    </row>
    <row r="1923" spans="1:24" ht="15">
      <c r="A1923" s="1890"/>
      <c r="B1923" s="1890"/>
      <c r="C1923" s="1890"/>
      <c r="D1923" s="1890"/>
      <c r="E1923" s="1890"/>
      <c r="F1923" s="1890"/>
      <c r="G1923" s="1890"/>
      <c r="H1923" s="1890"/>
      <c r="I1923" s="1890"/>
      <c r="J1923" s="1890"/>
      <c r="K1923" s="1890"/>
      <c r="L1923" s="1890"/>
      <c r="M1923" s="1890"/>
      <c r="N1923" s="1890"/>
      <c r="O1923" s="1890"/>
      <c r="P1923" s="1890"/>
      <c r="Q1923" s="2786"/>
      <c r="R1923" s="1976"/>
      <c r="S1923" s="1976"/>
      <c r="T1923" s="1976"/>
      <c r="U1923" s="1976"/>
      <c r="V1923" s="1976"/>
      <c r="W1923" s="1976"/>
      <c r="X1923" s="1976"/>
    </row>
    <row r="1924" spans="1:24">
      <c r="N1924" s="1637"/>
      <c r="O1924" s="1637"/>
      <c r="P1924" s="1637"/>
    </row>
    <row r="1925" spans="1:24" ht="15">
      <c r="A1925" s="2828" t="s">
        <v>426</v>
      </c>
      <c r="B1925" s="2764" t="s">
        <v>2786</v>
      </c>
      <c r="C1925" s="1993"/>
      <c r="D1925" s="1866"/>
      <c r="E1925" s="1866"/>
      <c r="F1925" s="1993"/>
      <c r="G1925" s="1652" t="s">
        <v>4183</v>
      </c>
      <c r="H1925" s="1993"/>
      <c r="I1925" s="1993"/>
      <c r="J1925" s="1993"/>
      <c r="K1925" s="1993"/>
      <c r="L1925" s="1993"/>
      <c r="M1925" s="1630">
        <v>6</v>
      </c>
      <c r="N1925" s="1630"/>
      <c r="O1925" s="1924">
        <f>'Part IX Scoring Criteria'!O277</f>
        <v>0</v>
      </c>
      <c r="P1925" s="1924">
        <f>P1927+P1936+P1941</f>
        <v>0</v>
      </c>
      <c r="Q1925" s="1630" t="s">
        <v>441</v>
      </c>
      <c r="R1925" s="1976"/>
      <c r="S1925" s="1993"/>
      <c r="T1925" s="1993"/>
      <c r="U1925" s="1993"/>
      <c r="V1925" s="1993"/>
      <c r="W1925" s="1993"/>
      <c r="X1925" s="1993"/>
    </row>
    <row r="1926" spans="1:24" ht="15">
      <c r="A1926" s="2828"/>
      <c r="B1926" s="2764"/>
      <c r="C1926" s="1993"/>
      <c r="D1926" s="1866"/>
      <c r="E1926" s="1866"/>
      <c r="F1926" s="1993"/>
      <c r="G1926" s="1652"/>
      <c r="H1926" s="1993"/>
      <c r="I1926" s="1993"/>
      <c r="J1926" s="1993"/>
      <c r="K1926" s="1993"/>
      <c r="L1926" s="1993"/>
      <c r="M1926" s="1895"/>
      <c r="N1926" s="1993"/>
      <c r="O1926" s="1993"/>
      <c r="P1926" s="1993"/>
      <c r="Q1926" s="1630"/>
      <c r="R1926" s="1976"/>
      <c r="S1926" s="1993"/>
      <c r="T1926" s="1993"/>
      <c r="U1926" s="1993"/>
      <c r="V1926" s="1993"/>
      <c r="W1926" s="1993"/>
      <c r="X1926" s="1993"/>
    </row>
    <row r="1927" spans="1:24" ht="15">
      <c r="A1927" s="2860" t="s">
        <v>3602</v>
      </c>
      <c r="B1927" s="1634" t="s">
        <v>4862</v>
      </c>
      <c r="C1927" s="1993"/>
      <c r="D1927" s="1866"/>
      <c r="E1927" s="1866"/>
      <c r="F1927" s="1993"/>
      <c r="G1927" s="1964" t="s">
        <v>4869</v>
      </c>
      <c r="H1927" s="1993"/>
      <c r="J1927" s="2071" t="str">
        <f>'Part I-Project Information'!$O$38</f>
        <v>233.10</v>
      </c>
      <c r="K1927" s="2071"/>
      <c r="L1927" s="1993"/>
      <c r="M1927" s="1630">
        <v>3</v>
      </c>
      <c r="N1927" s="2038"/>
      <c r="O1927" s="1924">
        <f>'Part IX Scoring Criteria'!O279</f>
        <v>0</v>
      </c>
      <c r="P1927" s="1630"/>
      <c r="Q1927" s="1630"/>
      <c r="R1927" s="1976"/>
      <c r="S1927" s="1993"/>
      <c r="T1927" s="1993"/>
      <c r="U1927" s="1993"/>
      <c r="V1927" s="1993"/>
      <c r="W1927" s="1993"/>
      <c r="X1927" s="1993"/>
    </row>
    <row r="1928" spans="1:24">
      <c r="A1928" s="2860"/>
      <c r="B1928" s="1634" t="s">
        <v>2794</v>
      </c>
      <c r="C1928" s="1486"/>
      <c r="D1928" s="1486"/>
      <c r="G1928" s="1634" t="str">
        <f>'Part I-Project Information'!$H$105</f>
        <v>N/A - 4% Bond</v>
      </c>
      <c r="M1928" s="1943" t="s">
        <v>4863</v>
      </c>
      <c r="N1928" s="2038"/>
      <c r="O1928" s="1943" t="s">
        <v>2510</v>
      </c>
      <c r="P1928" s="1943" t="s">
        <v>2510</v>
      </c>
    </row>
    <row r="1929" spans="1:24" ht="12.75" customHeight="1">
      <c r="A1929" s="2860"/>
      <c r="B1929" s="2044" t="s">
        <v>1986</v>
      </c>
      <c r="C1929" s="1216" t="s">
        <v>2685</v>
      </c>
      <c r="M1929" s="1637"/>
      <c r="N1929" s="2013" t="s">
        <v>1986</v>
      </c>
      <c r="O1929" s="1895">
        <f>'Part IX Scoring Criteria'!O281</f>
        <v>0</v>
      </c>
      <c r="P1929" s="1895"/>
      <c r="Q1929" s="2861" t="str">
        <f>IF(AND(O1929="Yes",O1932="Yes"),"Only 1 or 4 can be 'Yes'!","")</f>
        <v/>
      </c>
      <c r="R1929" s="2861"/>
    </row>
    <row r="1930" spans="1:24" ht="12.75" customHeight="1">
      <c r="B1930" s="2044" t="s">
        <v>1988</v>
      </c>
      <c r="C1930" s="1216" t="s">
        <v>2739</v>
      </c>
      <c r="G1930" s="1216" t="s">
        <v>2389</v>
      </c>
      <c r="H1930" s="2862" t="str">
        <f>'Part IX Scoring Criteria'!H282</f>
        <v>&lt; Select &gt;</v>
      </c>
      <c r="I1930" s="1216" t="s">
        <v>2740</v>
      </c>
      <c r="L1930" s="521" t="s">
        <v>2738</v>
      </c>
      <c r="M1930" s="521" t="str">
        <f>IF(O1930&gt;H1930,"CHECK ACTUAL PERCENT!!!","")</f>
        <v/>
      </c>
      <c r="N1930" s="2013" t="s">
        <v>1988</v>
      </c>
      <c r="O1930" s="2863">
        <f>'Part IX Scoring Criteria'!O282</f>
        <v>0</v>
      </c>
      <c r="P1930" s="2083"/>
      <c r="Q1930" s="2861"/>
      <c r="R1930" s="2861"/>
    </row>
    <row r="1931" spans="1:24" ht="12.75" customHeight="1">
      <c r="B1931" s="2044" t="s">
        <v>2534</v>
      </c>
      <c r="C1931" s="1216" t="s">
        <v>2390</v>
      </c>
      <c r="G1931" s="1216" t="s">
        <v>2391</v>
      </c>
      <c r="J1931" s="2084" t="s">
        <v>5067</v>
      </c>
      <c r="L1931" s="1841" t="s">
        <v>2732</v>
      </c>
      <c r="M1931" s="1631"/>
      <c r="N1931" s="2013" t="s">
        <v>2534</v>
      </c>
      <c r="O1931" s="1895" t="str">
        <f>'Part IX Scoring Criteria'!O283</f>
        <v>&lt;Select&gt;</v>
      </c>
      <c r="P1931" s="1895" t="s">
        <v>201</v>
      </c>
      <c r="Q1931" s="2861"/>
      <c r="R1931" s="2861"/>
    </row>
    <row r="1932" spans="1:24" ht="12.75" customHeight="1">
      <c r="A1932" s="1913"/>
      <c r="B1932" s="2854" t="s">
        <v>1224</v>
      </c>
      <c r="C1932" s="1900" t="s">
        <v>5201</v>
      </c>
      <c r="D1932" s="1900"/>
      <c r="E1932" s="1900"/>
      <c r="F1932" s="1900"/>
      <c r="G1932" s="1900"/>
      <c r="H1932" s="1900"/>
      <c r="I1932" s="1900"/>
      <c r="J1932" s="2084"/>
      <c r="K1932" s="2084" t="s">
        <v>4044</v>
      </c>
      <c r="L1932" s="1913"/>
      <c r="M1932" s="1633">
        <v>2</v>
      </c>
      <c r="N1932" s="2013" t="s">
        <v>1224</v>
      </c>
      <c r="O1932" s="1948">
        <f>'Part IX Scoring Criteria'!O284</f>
        <v>0</v>
      </c>
      <c r="P1932" s="1948"/>
      <c r="Q1932" s="2861"/>
      <c r="R1932" s="2861"/>
      <c r="S1932" s="1913"/>
      <c r="T1932" s="1913"/>
      <c r="U1932" s="1913"/>
      <c r="V1932" s="1913"/>
      <c r="W1932" s="1913"/>
      <c r="X1932" s="1913"/>
    </row>
    <row r="1933" spans="1:24">
      <c r="B1933" s="2093"/>
      <c r="C1933" s="1900"/>
      <c r="D1933" s="1900"/>
      <c r="E1933" s="1900"/>
      <c r="F1933" s="1900"/>
      <c r="G1933" s="1900"/>
      <c r="H1933" s="1900"/>
      <c r="I1933" s="1900"/>
      <c r="J1933" s="2084"/>
      <c r="K1933" s="2084"/>
      <c r="L1933" s="2085" t="s">
        <v>4100</v>
      </c>
      <c r="M1933" s="2085"/>
      <c r="O1933" s="1637"/>
      <c r="P1933" s="1637"/>
    </row>
    <row r="1934" spans="1:24">
      <c r="B1934" s="2093"/>
      <c r="C1934" s="1900"/>
      <c r="D1934" s="1900"/>
      <c r="E1934" s="1900"/>
      <c r="F1934" s="1900"/>
      <c r="G1934" s="1900"/>
      <c r="H1934" s="1900"/>
      <c r="I1934" s="1900"/>
      <c r="J1934" s="2864">
        <f>'Part IX Scoring Criteria'!J286</f>
        <v>0</v>
      </c>
      <c r="K1934" s="2865">
        <f>'Part IX Scoring Criteria'!K286</f>
        <v>0</v>
      </c>
      <c r="L1934" s="2814">
        <f>O1709</f>
        <v>0</v>
      </c>
      <c r="M1934" s="2866">
        <f>P1709</f>
        <v>0</v>
      </c>
      <c r="O1934" s="1637"/>
      <c r="P1934" s="1637"/>
    </row>
    <row r="1935" spans="1:24">
      <c r="A1935" s="1486"/>
      <c r="B1935" s="2044"/>
      <c r="C1935" s="1216"/>
      <c r="M1935" s="1630"/>
      <c r="N1935" s="1632"/>
      <c r="O1935" s="1630"/>
      <c r="P1935" s="1630"/>
    </row>
    <row r="1936" spans="1:24">
      <c r="A1936" s="1486" t="s">
        <v>749</v>
      </c>
      <c r="B1936" s="2044" t="s">
        <v>4864</v>
      </c>
      <c r="C1936" s="1216"/>
      <c r="G1936" s="1216" t="s">
        <v>4865</v>
      </c>
      <c r="M1936" s="1630">
        <v>2</v>
      </c>
      <c r="N1936" s="1828" t="s">
        <v>749</v>
      </c>
      <c r="O1936" s="1924">
        <f>'Part IX Scoring Criteria'!O288</f>
        <v>0</v>
      </c>
      <c r="P1936" s="1924">
        <f>IF(OR(AND(P1937&gt;=60,P1938&gt;=60,P1939&gt;=60),AND(P1937&lt;60,P1938&gt;=60,P1939&gt;=60),AND(P1937&gt;=60,P1938&lt;60,P1939&gt;=60),AND(P1937&gt;=60,P1938&gt;=60,P1939&lt;60)),$M$288,IF(OR(P1937&gt;=60,P1938&gt;=60,P1939&gt;=60),1,0))</f>
        <v>0</v>
      </c>
    </row>
    <row r="1937" spans="1:24">
      <c r="A1937" s="1486"/>
      <c r="B1937" s="2044" t="s">
        <v>1986</v>
      </c>
      <c r="C1937" s="521" t="s">
        <v>5062</v>
      </c>
      <c r="D1937" s="521"/>
      <c r="G1937" s="521" t="s">
        <v>4866</v>
      </c>
      <c r="H1937" s="1867"/>
      <c r="I1937" s="1867"/>
      <c r="J1937" s="1631"/>
      <c r="K1937" s="1631"/>
      <c r="L1937" s="1631"/>
      <c r="M1937" s="1631"/>
      <c r="N1937" s="2013" t="s">
        <v>1986</v>
      </c>
      <c r="O1937" s="2867">
        <f>'Part IX Scoring Criteria'!O289</f>
        <v>0</v>
      </c>
      <c r="P1937" s="2009"/>
    </row>
    <row r="1938" spans="1:24">
      <c r="A1938" s="1486"/>
      <c r="B1938" s="2044" t="s">
        <v>1988</v>
      </c>
      <c r="C1938" s="521" t="s">
        <v>5063</v>
      </c>
      <c r="D1938" s="521"/>
      <c r="G1938" s="521" t="s">
        <v>4867</v>
      </c>
      <c r="H1938" s="1867"/>
      <c r="I1938" s="1867"/>
      <c r="J1938" s="1631"/>
      <c r="K1938" s="1631"/>
      <c r="L1938" s="1631"/>
      <c r="M1938" s="1631"/>
      <c r="N1938" s="2013" t="s">
        <v>1988</v>
      </c>
      <c r="O1938" s="2867">
        <f>'Part IX Scoring Criteria'!O290</f>
        <v>0</v>
      </c>
      <c r="P1938" s="2009"/>
      <c r="R1938" s="742" t="s">
        <v>5073</v>
      </c>
    </row>
    <row r="1939" spans="1:24">
      <c r="A1939" s="1486"/>
      <c r="B1939" s="2044" t="s">
        <v>2534</v>
      </c>
      <c r="C1939" s="521" t="s">
        <v>5064</v>
      </c>
      <c r="D1939" s="521"/>
      <c r="G1939" s="521" t="s">
        <v>4868</v>
      </c>
      <c r="H1939" s="1867"/>
      <c r="I1939" s="1867"/>
      <c r="J1939" s="1631"/>
      <c r="K1939" s="1631"/>
      <c r="L1939" s="1631"/>
      <c r="M1939" s="1631"/>
      <c r="N1939" s="2013" t="s">
        <v>2534</v>
      </c>
      <c r="O1939" s="2867">
        <f>'Part IX Scoring Criteria'!O291</f>
        <v>0</v>
      </c>
      <c r="P1939" s="2009"/>
    </row>
    <row r="1940" spans="1:24">
      <c r="A1940" s="1486"/>
      <c r="B1940" s="2044"/>
      <c r="C1940" s="1216"/>
      <c r="M1940" s="1630"/>
      <c r="N1940" s="1632"/>
      <c r="O1940" s="1630"/>
      <c r="P1940" s="1630"/>
    </row>
    <row r="1941" spans="1:24">
      <c r="A1941" s="1486" t="s">
        <v>2115</v>
      </c>
      <c r="B1941" s="2044" t="s">
        <v>3603</v>
      </c>
      <c r="C1941" s="1216"/>
      <c r="G1941" s="1895" t="s">
        <v>3607</v>
      </c>
      <c r="H1941" s="2083">
        <f>'Part IX Scoring Criteria'!H293</f>
        <v>0</v>
      </c>
      <c r="J1941" s="1953" t="s">
        <v>4870</v>
      </c>
      <c r="K1941" s="2868" t="str">
        <f>'Part I-Project Information'!$K$94</f>
        <v>40% of Units at 60% of AMI</v>
      </c>
      <c r="L1941" s="2868"/>
      <c r="M1941" s="1630">
        <v>1</v>
      </c>
      <c r="N1941" s="1632" t="s">
        <v>2115</v>
      </c>
      <c r="O1941" s="1630">
        <f>'Part IX Scoring Criteria'!O293</f>
        <v>0</v>
      </c>
      <c r="P1941" s="1630">
        <f>IF(AND($G$280="Flexible",(P$279+P$288)&gt;=3,$H$293&gt;=10%,NOT($K$293="Income Averaging")),$M$293,IF(AND($G$280="Flexible",(P$279+P$288)&gt;=3,$H$293=0%,$K$293="Income Averaging"),$M$293,0))</f>
        <v>0</v>
      </c>
    </row>
    <row r="1942" spans="1:24">
      <c r="A1942" s="1486"/>
      <c r="B1942" s="2044"/>
      <c r="C1942" s="1216"/>
      <c r="M1942" s="1630"/>
      <c r="N1942" s="1632"/>
      <c r="O1942" s="1630"/>
      <c r="P1942" s="1630"/>
    </row>
    <row r="1943" spans="1:24" ht="15">
      <c r="A1943" s="1631"/>
      <c r="B1943" s="1897" t="s">
        <v>1866</v>
      </c>
      <c r="C1943" s="1631"/>
      <c r="D1943" s="1897"/>
      <c r="E1943" s="1899"/>
      <c r="F1943" s="1899"/>
      <c r="G1943" s="1899"/>
      <c r="H1943" s="1899"/>
      <c r="I1943" s="1899"/>
      <c r="J1943" s="1899"/>
      <c r="K1943" s="1899"/>
      <c r="L1943" s="1899"/>
      <c r="M1943" s="1899"/>
      <c r="N1943" s="2011"/>
      <c r="O1943" s="2011"/>
      <c r="P1943" s="1630"/>
      <c r="Q1943" s="2006"/>
      <c r="R1943" s="1976"/>
      <c r="S1943" s="1976"/>
      <c r="T1943" s="1976"/>
      <c r="U1943" s="1976"/>
      <c r="V1943" s="1976"/>
      <c r="W1943" s="1976"/>
      <c r="X1943" s="1976"/>
    </row>
    <row r="1944" spans="1:24" ht="15">
      <c r="A1944" s="1890"/>
      <c r="B1944" s="1890"/>
      <c r="C1944" s="1890"/>
      <c r="D1944" s="1890"/>
      <c r="E1944" s="1890"/>
      <c r="F1944" s="1890"/>
      <c r="G1944" s="1890"/>
      <c r="H1944" s="1890"/>
      <c r="I1944" s="1890"/>
      <c r="J1944" s="1890"/>
      <c r="K1944" s="1890"/>
      <c r="L1944" s="1890"/>
      <c r="M1944" s="1890"/>
      <c r="N1944" s="1890"/>
      <c r="O1944" s="1890"/>
      <c r="P1944" s="1890"/>
      <c r="Q1944" s="2786"/>
      <c r="R1944" s="1976"/>
      <c r="S1944" s="1976"/>
      <c r="T1944" s="1976"/>
      <c r="U1944" s="1976"/>
      <c r="V1944" s="1976"/>
      <c r="W1944" s="1976"/>
      <c r="X1944" s="1976"/>
    </row>
    <row r="1945" spans="1:24" ht="15">
      <c r="A1945" s="1631"/>
      <c r="B1945" s="1976"/>
      <c r="C1945" s="1976"/>
      <c r="D1945" s="521"/>
      <c r="E1945" s="521"/>
      <c r="F1945" s="1630"/>
      <c r="G1945" s="1630"/>
      <c r="H1945" s="1630"/>
      <c r="I1945" s="1630"/>
      <c r="J1945" s="1841"/>
      <c r="K1945" s="1841"/>
      <c r="L1945" s="1841"/>
      <c r="M1945" s="1895"/>
      <c r="N1945" s="1630"/>
      <c r="O1945" s="1637"/>
      <c r="P1945" s="1863"/>
      <c r="Q1945" s="1976"/>
      <c r="R1945" s="1976"/>
      <c r="S1945" s="1976"/>
      <c r="T1945" s="1976"/>
      <c r="U1945" s="1976"/>
      <c r="V1945" s="1976"/>
      <c r="W1945" s="1976"/>
      <c r="X1945" s="1976"/>
    </row>
    <row r="1946" spans="1:24" ht="15">
      <c r="A1946" s="2828" t="s">
        <v>362</v>
      </c>
      <c r="B1946" s="2764" t="s">
        <v>4047</v>
      </c>
      <c r="C1946" s="1993"/>
      <c r="D1946" s="1866"/>
      <c r="E1946" s="1866"/>
      <c r="F1946" s="1993"/>
      <c r="G1946" s="1993"/>
      <c r="H1946" s="1652"/>
      <c r="I1946" s="2090" t="s">
        <v>3802</v>
      </c>
      <c r="J1946" s="1993"/>
      <c r="K1946" s="1993"/>
      <c r="L1946" s="1993"/>
      <c r="M1946" s="1630">
        <v>10</v>
      </c>
      <c r="N1946" s="1630"/>
      <c r="O1946" s="1863">
        <f>'Part IX Scoring Criteria'!O298</f>
        <v>0</v>
      </c>
      <c r="P1946" s="1863">
        <f>IF(OR(P1947="Yes",P1948="Yes"),$M$298,0)</f>
        <v>0</v>
      </c>
      <c r="Q1946" s="1630" t="s">
        <v>441</v>
      </c>
      <c r="R1946" s="1976"/>
      <c r="S1946" s="1993"/>
      <c r="T1946" s="1993"/>
      <c r="U1946" s="1993"/>
      <c r="V1946" s="1993"/>
      <c r="W1946" s="1993"/>
      <c r="X1946" s="1993"/>
    </row>
    <row r="1947" spans="1:24">
      <c r="A1947" s="1633" t="s">
        <v>1983</v>
      </c>
      <c r="B1947" s="1952" t="s">
        <v>3793</v>
      </c>
      <c r="D1947" s="1952"/>
      <c r="E1947" s="1952"/>
      <c r="F1947" s="1952"/>
      <c r="G1947" s="1952"/>
      <c r="H1947" s="1952"/>
      <c r="I1947" s="1952"/>
      <c r="J1947" s="1952"/>
      <c r="K1947" s="1952"/>
      <c r="L1947" s="1952"/>
      <c r="M1947" s="2755" t="str">
        <f>IF(OR(SUM(T1947:T1948)&gt;1,SUM(U1947:U1948)&gt;1),"Only one category can be met by other means!","")</f>
        <v/>
      </c>
      <c r="N1947" s="1937" t="s">
        <v>1983</v>
      </c>
      <c r="O1947" s="1895">
        <f>'Part IX Scoring Criteria'!O299</f>
        <v>0</v>
      </c>
      <c r="P1947" s="1895"/>
      <c r="U1947" s="1943">
        <f>IF(L1947="Yes",1,0)</f>
        <v>0</v>
      </c>
    </row>
    <row r="1948" spans="1:24">
      <c r="A1948" s="1633" t="s">
        <v>1985</v>
      </c>
      <c r="B1948" s="1952" t="s">
        <v>3794</v>
      </c>
      <c r="D1948" s="1952"/>
      <c r="L1948" s="1952"/>
      <c r="M1948" s="2755"/>
      <c r="N1948" s="1937" t="s">
        <v>1985</v>
      </c>
      <c r="O1948" s="1895">
        <f>'Part IX Scoring Criteria'!O300</f>
        <v>0</v>
      </c>
      <c r="P1948" s="1895"/>
      <c r="U1948" s="1943">
        <f>IF(L1948="Yes",1,0)</f>
        <v>0</v>
      </c>
    </row>
    <row r="1949" spans="1:24" ht="15">
      <c r="A1949" s="1631"/>
      <c r="B1949" s="1866" t="s">
        <v>3757</v>
      </c>
      <c r="C1949" s="1631"/>
      <c r="D1949" s="1634"/>
      <c r="E1949" s="1634"/>
      <c r="F1949" s="1634"/>
      <c r="G1949" s="1634"/>
      <c r="H1949" s="521"/>
      <c r="I1949" s="521"/>
      <c r="J1949" s="521"/>
      <c r="K1949" s="521"/>
      <c r="L1949" s="1976"/>
      <c r="M1949" s="1630"/>
      <c r="N1949" s="1637"/>
      <c r="O1949" s="1863"/>
      <c r="P1949" s="1637"/>
      <c r="Q1949" s="1976"/>
      <c r="R1949" s="1976"/>
      <c r="S1949" s="1976"/>
      <c r="T1949" s="1976"/>
      <c r="U1949" s="1976"/>
      <c r="V1949" s="1976"/>
      <c r="W1949" s="1976"/>
      <c r="X1949" s="1976"/>
    </row>
    <row r="1950" spans="1:24" ht="15">
      <c r="A1950" s="1900">
        <f>'Part IX Scoring Criteria'!A302</f>
        <v>0</v>
      </c>
      <c r="B1950" s="1900"/>
      <c r="C1950" s="1900"/>
      <c r="D1950" s="1900"/>
      <c r="E1950" s="1900"/>
      <c r="F1950" s="1900"/>
      <c r="G1950" s="1900"/>
      <c r="H1950" s="1900"/>
      <c r="I1950" s="1900"/>
      <c r="J1950" s="1900"/>
      <c r="K1950" s="1900"/>
      <c r="L1950" s="1900"/>
      <c r="M1950" s="1900"/>
      <c r="N1950" s="1900"/>
      <c r="O1950" s="1900"/>
      <c r="P1950" s="1900"/>
      <c r="Q1950" s="2786" t="s">
        <v>1254</v>
      </c>
      <c r="R1950" s="1976"/>
      <c r="S1950" s="1976"/>
      <c r="T1950" s="1976"/>
      <c r="U1950" s="1976"/>
      <c r="V1950" s="1976"/>
      <c r="W1950" s="1976"/>
      <c r="X1950" s="1976"/>
    </row>
    <row r="1951" spans="1:24" ht="15">
      <c r="A1951" s="1631"/>
      <c r="B1951" s="1897" t="s">
        <v>1866</v>
      </c>
      <c r="C1951" s="1631"/>
      <c r="D1951" s="1897"/>
      <c r="E1951" s="1899"/>
      <c r="F1951" s="1899"/>
      <c r="G1951" s="1899"/>
      <c r="H1951" s="1899"/>
      <c r="I1951" s="1899"/>
      <c r="J1951" s="1899"/>
      <c r="K1951" s="1899"/>
      <c r="L1951" s="1899"/>
      <c r="M1951" s="1899"/>
      <c r="N1951" s="2011"/>
      <c r="O1951" s="2011"/>
      <c r="P1951" s="1630"/>
      <c r="Q1951" s="2006"/>
      <c r="R1951" s="1976"/>
      <c r="S1951" s="1976"/>
      <c r="T1951" s="1976"/>
      <c r="U1951" s="1976"/>
      <c r="V1951" s="1976"/>
      <c r="W1951" s="1976"/>
      <c r="X1951" s="1976"/>
    </row>
    <row r="1952" spans="1:24" ht="15">
      <c r="A1952" s="1890"/>
      <c r="B1952" s="1890"/>
      <c r="C1952" s="1890"/>
      <c r="D1952" s="1890"/>
      <c r="E1952" s="1890"/>
      <c r="F1952" s="1890"/>
      <c r="G1952" s="1890"/>
      <c r="H1952" s="1890"/>
      <c r="I1952" s="1890"/>
      <c r="J1952" s="1890"/>
      <c r="K1952" s="1890"/>
      <c r="L1952" s="1890"/>
      <c r="M1952" s="1890"/>
      <c r="N1952" s="1890"/>
      <c r="O1952" s="1890"/>
      <c r="P1952" s="1890"/>
      <c r="Q1952" s="2786"/>
      <c r="R1952" s="1976"/>
      <c r="S1952" s="1976"/>
      <c r="T1952" s="1976"/>
      <c r="U1952" s="1976"/>
      <c r="V1952" s="1976"/>
      <c r="W1952" s="1976"/>
      <c r="X1952" s="1976"/>
    </row>
    <row r="1953" spans="1:24" ht="15">
      <c r="A1953" s="1631"/>
      <c r="B1953" s="1976"/>
      <c r="C1953" s="1976"/>
      <c r="D1953" s="521"/>
      <c r="E1953" s="521"/>
      <c r="F1953" s="1630"/>
      <c r="G1953" s="1630"/>
      <c r="H1953" s="1630"/>
      <c r="I1953" s="1630"/>
      <c r="J1953" s="1841"/>
      <c r="K1953" s="1841"/>
      <c r="L1953" s="1841"/>
      <c r="M1953" s="1895"/>
      <c r="N1953" s="1630"/>
      <c r="O1953" s="1637"/>
      <c r="P1953" s="1863"/>
      <c r="Q1953" s="1976"/>
      <c r="R1953" s="1976"/>
      <c r="S1953" s="1976"/>
      <c r="T1953" s="1976"/>
      <c r="U1953" s="1976"/>
      <c r="V1953" s="1976"/>
      <c r="W1953" s="1976"/>
      <c r="X1953" s="1976"/>
    </row>
    <row r="1954" spans="1:24" ht="15">
      <c r="A1954" s="2828" t="s">
        <v>363</v>
      </c>
      <c r="B1954" s="2764" t="s">
        <v>2459</v>
      </c>
      <c r="C1954" s="1976"/>
      <c r="D1954" s="2012"/>
      <c r="E1954" s="2012"/>
      <c r="F1954" s="2012"/>
      <c r="G1954" s="1976"/>
      <c r="H1954" s="1842" t="s">
        <v>4874</v>
      </c>
      <c r="I1954" s="1976"/>
      <c r="J1954" s="521" t="s">
        <v>2794</v>
      </c>
      <c r="K1954" s="1634"/>
      <c r="L1954" s="521" t="str">
        <f>'Part I-Project Information'!$H$105</f>
        <v>N/A - 4% Bond</v>
      </c>
      <c r="M1954" s="1630">
        <v>4</v>
      </c>
      <c r="N1954" s="1630"/>
      <c r="O1954" s="1630">
        <f>'Part IX Scoring Criteria'!O306</f>
        <v>0</v>
      </c>
      <c r="P1954" s="1630">
        <f>IF(AND($L$306="Flexible",P1955=$M1955),$M1955,IF(AND($L$306="Flexible",P1964&gt;0),P1964,IF(AND($L$306="Rural",P1968&gt;0),P1968,0)))</f>
        <v>0</v>
      </c>
      <c r="Q1954" s="1630" t="s">
        <v>441</v>
      </c>
      <c r="R1954" s="1976"/>
      <c r="S1954" s="1976"/>
      <c r="T1954" s="1976"/>
      <c r="U1954" s="1976"/>
      <c r="V1954" s="1976"/>
      <c r="W1954" s="1976"/>
      <c r="X1954" s="1976"/>
    </row>
    <row r="1955" spans="1:24">
      <c r="A1955" s="1633" t="s">
        <v>1983</v>
      </c>
      <c r="B1955" s="1634" t="s">
        <v>4595</v>
      </c>
      <c r="D1955" s="1631"/>
      <c r="E1955" s="1631"/>
      <c r="F1955" s="1631"/>
      <c r="H1955" s="521" t="s">
        <v>3684</v>
      </c>
      <c r="I1955" s="1216"/>
      <c r="J1955" s="521" t="str">
        <f>'Part I-Project Information'!$O$34</f>
        <v>Yes - no Master Plan</v>
      </c>
      <c r="K1955" s="521"/>
      <c r="L1955" s="1964">
        <f>'Part I-Project Information'!$O$35</f>
        <v>0</v>
      </c>
      <c r="M1955" s="1630">
        <v>3</v>
      </c>
      <c r="N1955" s="1937" t="s">
        <v>1983</v>
      </c>
      <c r="O1955" s="1863">
        <f>'Part IX Scoring Criteria'!O307</f>
        <v>0</v>
      </c>
      <c r="P1955" s="1863"/>
      <c r="Q1955" s="2807" t="str">
        <f>IF(OR($O1955=$M1955,$O1955=0,$O1955=""),"","*CHECK!*")</f>
        <v/>
      </c>
      <c r="R1955" s="1689" t="s">
        <v>2706</v>
      </c>
    </row>
    <row r="1956" spans="1:24" ht="12.75" customHeight="1">
      <c r="A1956" s="1216"/>
      <c r="B1956" s="2854" t="s">
        <v>1986</v>
      </c>
      <c r="C1956" s="1900" t="s">
        <v>5131</v>
      </c>
      <c r="D1956" s="1900"/>
      <c r="E1956" s="1900"/>
      <c r="F1956" s="1900"/>
      <c r="G1956" s="1900"/>
      <c r="H1956" s="1900"/>
      <c r="I1956" s="1900"/>
      <c r="J1956" s="1900"/>
      <c r="K1956" s="1900"/>
      <c r="L1956" s="1900"/>
      <c r="M1956" s="1900"/>
      <c r="N1956" s="2001" t="s">
        <v>1986</v>
      </c>
      <c r="O1956" s="1948">
        <f>'Part IX Scoring Criteria'!O308</f>
        <v>0</v>
      </c>
      <c r="P1956" s="1948"/>
      <c r="Q1956" s="1900" t="s">
        <v>5202</v>
      </c>
      <c r="R1956" s="1900"/>
      <c r="S1956" s="1900"/>
      <c r="T1956" s="1900"/>
      <c r="U1956" s="1900"/>
      <c r="V1956" s="1900"/>
      <c r="W1956" s="1900"/>
      <c r="X1956" s="1900"/>
    </row>
    <row r="1957" spans="1:24">
      <c r="A1957" s="521"/>
      <c r="B1957" s="2044"/>
      <c r="C1957" s="521" t="s">
        <v>3808</v>
      </c>
      <c r="D1957" s="521"/>
      <c r="E1957" s="521"/>
      <c r="F1957" s="521"/>
      <c r="G1957" s="521"/>
      <c r="H1957" s="521"/>
      <c r="I1957" s="1937" t="s">
        <v>4875</v>
      </c>
      <c r="J1957" s="1841">
        <f>'Part IX Scoring Criteria'!J309</f>
        <v>0</v>
      </c>
      <c r="K1957" s="1841" t="s">
        <v>2301</v>
      </c>
      <c r="L1957" s="521">
        <f>'Part IX Scoring Criteria'!L309</f>
        <v>0</v>
      </c>
      <c r="M1957" s="521">
        <f>'Part IX Scoring Criteria'!M309</f>
        <v>0</v>
      </c>
      <c r="N1957" s="521">
        <f>'Part IX Scoring Criteria'!N309</f>
        <v>0</v>
      </c>
      <c r="O1957" s="521">
        <f>'Part IX Scoring Criteria'!O309</f>
        <v>0</v>
      </c>
      <c r="P1957" s="521">
        <f>'Part IX Scoring Criteria'!P309</f>
        <v>0</v>
      </c>
      <c r="Q1957" s="1900"/>
      <c r="R1957" s="1900"/>
      <c r="S1957" s="1900"/>
      <c r="T1957" s="521"/>
      <c r="U1957" s="521"/>
      <c r="V1957" s="521"/>
      <c r="W1957" s="521"/>
      <c r="X1957" s="521"/>
    </row>
    <row r="1958" spans="1:24">
      <c r="A1958" s="521"/>
      <c r="B1958" s="2044"/>
      <c r="C1958" s="521" t="s">
        <v>3863</v>
      </c>
      <c r="D1958" s="521"/>
      <c r="E1958" s="521"/>
      <c r="F1958" s="521"/>
      <c r="G1958" s="521"/>
      <c r="H1958" s="521"/>
      <c r="I1958" s="1937" t="s">
        <v>4875</v>
      </c>
      <c r="J1958" s="1841">
        <f>'Part IX Scoring Criteria'!J310</f>
        <v>0</v>
      </c>
      <c r="K1958" s="1841" t="s">
        <v>2301</v>
      </c>
      <c r="L1958" s="521">
        <f>'Part IX Scoring Criteria'!L310</f>
        <v>0</v>
      </c>
      <c r="M1958" s="521">
        <f>'Part IX Scoring Criteria'!M310</f>
        <v>0</v>
      </c>
      <c r="N1958" s="521">
        <f>'Part IX Scoring Criteria'!N310</f>
        <v>0</v>
      </c>
      <c r="O1958" s="521">
        <f>'Part IX Scoring Criteria'!O310</f>
        <v>0</v>
      </c>
      <c r="P1958" s="521">
        <f>'Part IX Scoring Criteria'!P310</f>
        <v>0</v>
      </c>
      <c r="Q1958" s="1900"/>
      <c r="R1958" s="1900"/>
      <c r="S1958" s="1900"/>
      <c r="T1958" s="521"/>
      <c r="U1958" s="521"/>
      <c r="V1958" s="521"/>
      <c r="W1958" s="521"/>
      <c r="X1958" s="521"/>
    </row>
    <row r="1959" spans="1:24">
      <c r="A1959" s="521"/>
      <c r="B1959" s="2044" t="s">
        <v>1988</v>
      </c>
      <c r="C1959" s="521" t="s">
        <v>963</v>
      </c>
      <c r="D1959" s="521"/>
      <c r="E1959" s="521"/>
      <c r="F1959" s="521"/>
      <c r="G1959" s="521"/>
      <c r="H1959" s="521"/>
      <c r="I1959" s="521"/>
      <c r="J1959" s="521"/>
      <c r="K1959" s="521"/>
      <c r="L1959" s="521"/>
      <c r="M1959" s="1630"/>
      <c r="N1959" s="2013" t="s">
        <v>1988</v>
      </c>
      <c r="O1959" s="1895">
        <f>'Part IX Scoring Criteria'!O311</f>
        <v>0</v>
      </c>
      <c r="P1959" s="1895"/>
      <c r="Q1959" s="1900"/>
      <c r="R1959" s="1900"/>
      <c r="S1959" s="1900"/>
      <c r="T1959" s="521"/>
      <c r="U1959" s="521"/>
      <c r="V1959" s="521"/>
      <c r="W1959" s="521"/>
      <c r="X1959" s="521"/>
    </row>
    <row r="1960" spans="1:24">
      <c r="A1960" s="521"/>
      <c r="B1960" s="2044" t="s">
        <v>2534</v>
      </c>
      <c r="C1960" s="521" t="s">
        <v>964</v>
      </c>
      <c r="D1960" s="521"/>
      <c r="E1960" s="521"/>
      <c r="F1960" s="521"/>
      <c r="G1960" s="521"/>
      <c r="H1960" s="521"/>
      <c r="I1960" s="521"/>
      <c r="J1960" s="521"/>
      <c r="K1960" s="521"/>
      <c r="L1960" s="521"/>
      <c r="M1960" s="1630"/>
      <c r="N1960" s="2013" t="s">
        <v>2534</v>
      </c>
      <c r="O1960" s="1895">
        <f>'Part IX Scoring Criteria'!O312</f>
        <v>0</v>
      </c>
      <c r="P1960" s="1895"/>
      <c r="Q1960" s="1900"/>
      <c r="R1960" s="1900"/>
      <c r="S1960" s="1900"/>
      <c r="T1960" s="521"/>
      <c r="U1960" s="521"/>
      <c r="V1960" s="521"/>
      <c r="W1960" s="521"/>
      <c r="X1960" s="521"/>
    </row>
    <row r="1961" spans="1:24">
      <c r="A1961" s="521"/>
      <c r="B1961" s="2044" t="s">
        <v>1224</v>
      </c>
      <c r="C1961" s="521" t="s">
        <v>4880</v>
      </c>
      <c r="D1961" s="521"/>
      <c r="E1961" s="521"/>
      <c r="F1961" s="521"/>
      <c r="G1961" s="521"/>
      <c r="H1961" s="521"/>
      <c r="I1961" s="521"/>
      <c r="J1961" s="521"/>
      <c r="K1961" s="521"/>
      <c r="L1961" s="521"/>
      <c r="M1961" s="1630"/>
      <c r="N1961" s="2013" t="s">
        <v>1224</v>
      </c>
      <c r="O1961" s="1895">
        <f>'Part IX Scoring Criteria'!O313</f>
        <v>0</v>
      </c>
      <c r="P1961" s="1895"/>
      <c r="Q1961" s="1900"/>
      <c r="R1961" s="1900"/>
      <c r="S1961" s="1900"/>
      <c r="T1961" s="521"/>
      <c r="U1961" s="521"/>
      <c r="V1961" s="521"/>
      <c r="W1961" s="521"/>
      <c r="X1961" s="521"/>
    </row>
    <row r="1962" spans="1:24">
      <c r="A1962" s="1937"/>
      <c r="B1962" s="2044" t="s">
        <v>1225</v>
      </c>
      <c r="C1962" s="521" t="s">
        <v>965</v>
      </c>
      <c r="D1962" s="521"/>
      <c r="E1962" s="521"/>
      <c r="F1962" s="521"/>
      <c r="G1962" s="521"/>
      <c r="H1962" s="521"/>
      <c r="I1962" s="521"/>
      <c r="J1962" s="521"/>
      <c r="K1962" s="521"/>
      <c r="L1962" s="521"/>
      <c r="M1962" s="1630"/>
      <c r="N1962" s="2013" t="s">
        <v>1225</v>
      </c>
      <c r="O1962" s="1895">
        <f>'Part IX Scoring Criteria'!O314</f>
        <v>0</v>
      </c>
      <c r="P1962" s="1895"/>
      <c r="Q1962" s="1900"/>
      <c r="R1962" s="1900"/>
      <c r="S1962" s="1900"/>
      <c r="T1962" s="521"/>
      <c r="U1962" s="521"/>
      <c r="V1962" s="521"/>
      <c r="W1962" s="521"/>
      <c r="X1962" s="521"/>
    </row>
    <row r="1963" spans="1:24">
      <c r="A1963" s="1633" t="s">
        <v>1985</v>
      </c>
      <c r="B1963" s="1634" t="s">
        <v>4597</v>
      </c>
      <c r="C1963" s="1631"/>
      <c r="D1963" s="1631"/>
      <c r="E1963" s="1631"/>
      <c r="F1963" s="1631"/>
      <c r="G1963" s="1631"/>
      <c r="H1963" s="1842" t="s">
        <v>4876</v>
      </c>
      <c r="I1963" s="1631"/>
      <c r="J1963" s="1631"/>
      <c r="K1963" s="1631"/>
      <c r="L1963" s="1631"/>
      <c r="M1963" s="1631"/>
      <c r="N1963" s="1631"/>
      <c r="O1963" s="1631"/>
      <c r="P1963" s="1631"/>
      <c r="Q1963" s="1631"/>
      <c r="R1963" s="1631"/>
      <c r="S1963" s="1631"/>
      <c r="T1963" s="1631"/>
      <c r="U1963" s="1631"/>
      <c r="V1963" s="1631"/>
      <c r="W1963" s="1631"/>
      <c r="X1963" s="1631"/>
    </row>
    <row r="1964" spans="1:24">
      <c r="A1964" s="1633"/>
      <c r="B1964" s="1484" t="s">
        <v>4881</v>
      </c>
      <c r="C1964" s="1484"/>
      <c r="D1964" s="1484"/>
      <c r="E1964" s="1484"/>
      <c r="F1964" s="1484"/>
      <c r="G1964" s="1484"/>
      <c r="H1964" s="1484"/>
      <c r="I1964" s="1484"/>
      <c r="J1964" s="1484"/>
      <c r="K1964" s="1484"/>
      <c r="L1964" s="1484"/>
      <c r="M1964" s="1630">
        <v>3</v>
      </c>
      <c r="N1964" s="1937" t="s">
        <v>1985</v>
      </c>
      <c r="O1964" s="1863">
        <f>'Part IX Scoring Criteria'!O316</f>
        <v>0</v>
      </c>
      <c r="P1964" s="1863">
        <f>IF(AND(P1965&gt;0,P1966&gt;0),"choose",IF($L$306="Flexible", MIN($M$316, SUM(P1965:P1966)), 0))</f>
        <v>0</v>
      </c>
      <c r="Q1964" s="1631"/>
      <c r="R1964" s="1631"/>
      <c r="S1964" s="1631"/>
      <c r="T1964" s="1631"/>
      <c r="U1964" s="1631"/>
      <c r="V1964" s="1631"/>
      <c r="W1964" s="1631"/>
      <c r="X1964" s="1631"/>
    </row>
    <row r="1965" spans="1:24">
      <c r="A1965" s="1631"/>
      <c r="B1965" s="2044" t="s">
        <v>1986</v>
      </c>
      <c r="C1965" s="521" t="s">
        <v>5132</v>
      </c>
      <c r="D1965" s="1631"/>
      <c r="E1965" s="1631"/>
      <c r="F1965" s="1631"/>
      <c r="G1965" s="1631"/>
      <c r="H1965" s="1631"/>
      <c r="I1965" s="1631"/>
      <c r="J1965" s="1631"/>
      <c r="K1965" s="1631"/>
      <c r="L1965" s="2817" t="str">
        <f>IF(OR($O1965=$M1965,$O1965=0,$O1965=""),"","* * Check Score! * *")</f>
        <v/>
      </c>
      <c r="M1965" s="1630">
        <v>3</v>
      </c>
      <c r="N1965" s="2093" t="s">
        <v>1986</v>
      </c>
      <c r="O1965" s="1863">
        <f>'Part IX Scoring Criteria'!O317</f>
        <v>0</v>
      </c>
      <c r="P1965" s="1863"/>
      <c r="Q1965" s="2807" t="str">
        <f>IF(OR($O1965=$M1965,$O1965=0,$O1965=""),"","*CHECK!*")</f>
        <v/>
      </c>
      <c r="R1965" s="1689" t="s">
        <v>2706</v>
      </c>
      <c r="S1965" s="1631"/>
      <c r="T1965" s="1631"/>
      <c r="U1965" s="1631"/>
      <c r="V1965" s="1631"/>
      <c r="W1965" s="1631"/>
      <c r="X1965" s="1631"/>
    </row>
    <row r="1966" spans="1:24">
      <c r="A1966" s="1895"/>
      <c r="B1966" s="2854" t="s">
        <v>1988</v>
      </c>
      <c r="C1966" s="1216" t="s">
        <v>5133</v>
      </c>
      <c r="D1966" s="1631"/>
      <c r="E1966" s="1631"/>
      <c r="F1966" s="1631"/>
      <c r="G1966" s="1841"/>
      <c r="H1966" s="1842"/>
      <c r="I1966" s="1841"/>
      <c r="L1966" s="2817" t="str">
        <f>IF(OR($O1966=$M1966,$O1966=0,$O1966=""),"","* * Check Score! * *")</f>
        <v/>
      </c>
      <c r="M1966" s="1637">
        <v>2</v>
      </c>
      <c r="N1966" s="2093" t="s">
        <v>1988</v>
      </c>
      <c r="O1966" s="1863">
        <f>'Part IX Scoring Criteria'!O318</f>
        <v>0</v>
      </c>
      <c r="P1966" s="1863"/>
      <c r="Q1966" s="2807" t="str">
        <f>IF(OR($O1966=$M1966,$O1966=0,$O1966=""),"","*CHECK!*")</f>
        <v/>
      </c>
      <c r="R1966" s="1689" t="s">
        <v>2706</v>
      </c>
    </row>
    <row r="1967" spans="1:24">
      <c r="A1967" s="1633" t="s">
        <v>749</v>
      </c>
      <c r="B1967" s="1634" t="s">
        <v>4600</v>
      </c>
      <c r="C1967" s="1631"/>
      <c r="D1967" s="1631"/>
      <c r="E1967" s="1631"/>
      <c r="F1967" s="1631"/>
      <c r="G1967" s="1631"/>
      <c r="H1967" s="1842" t="s">
        <v>4877</v>
      </c>
      <c r="I1967" s="1631"/>
      <c r="J1967" s="1631"/>
      <c r="K1967" s="1631"/>
      <c r="L1967" s="1631"/>
      <c r="M1967" s="1631"/>
      <c r="N1967" s="1631"/>
      <c r="O1967" s="1631"/>
      <c r="P1967" s="1631"/>
      <c r="Q1967" s="1631"/>
      <c r="R1967" s="1631"/>
      <c r="S1967" s="1631"/>
      <c r="T1967" s="1631"/>
      <c r="U1967" s="1631"/>
      <c r="V1967" s="1631"/>
      <c r="W1967" s="1631"/>
      <c r="X1967" s="1631"/>
    </row>
    <row r="1968" spans="1:24">
      <c r="A1968" s="1633"/>
      <c r="B1968" s="1634" t="s">
        <v>3611</v>
      </c>
      <c r="C1968" s="1631"/>
      <c r="D1968" s="1631"/>
      <c r="E1968" s="1631"/>
      <c r="F1968" s="1631"/>
      <c r="G1968" s="1631"/>
      <c r="H1968" s="1842"/>
      <c r="I1968" s="1631"/>
      <c r="J1968" s="1631"/>
      <c r="K1968" s="1631"/>
      <c r="L1968" s="1631"/>
      <c r="M1968" s="1630">
        <v>4</v>
      </c>
      <c r="N1968" s="1937" t="s">
        <v>749</v>
      </c>
      <c r="O1968" s="1863">
        <f>'Part IX Scoring Criteria'!O320</f>
        <v>0</v>
      </c>
      <c r="P1968" s="1863">
        <f>IF($L$306="Rural", MIN($M$320, SUM(P1969:P1971)), 0)</f>
        <v>0</v>
      </c>
      <c r="Q1968" s="1631"/>
      <c r="R1968" s="1631"/>
      <c r="S1968" s="1631"/>
      <c r="T1968" s="1631"/>
      <c r="U1968" s="1631"/>
      <c r="V1968" s="1631"/>
      <c r="W1968" s="1631"/>
      <c r="X1968" s="1631"/>
    </row>
    <row r="1969" spans="1:24">
      <c r="A1969" s="1631"/>
      <c r="B1969" s="2044" t="s">
        <v>1986</v>
      </c>
      <c r="C1969" s="1216" t="s">
        <v>3610</v>
      </c>
      <c r="D1969" s="1631"/>
      <c r="E1969" s="1631"/>
      <c r="F1969" s="1631"/>
      <c r="G1969" s="1631"/>
      <c r="H1969" s="1631"/>
      <c r="I1969" s="1631"/>
      <c r="J1969" s="1631"/>
      <c r="K1969" s="1636" t="str">
        <f>IF(OR(AND(O1969&gt;0,O1971&gt;0), AND(O1970&gt;0,O1971&gt;0), AND(O1969&gt;0,O1970&gt;0)),"Choose option 1 or 2 or 3!!!","")</f>
        <v/>
      </c>
      <c r="L1969" s="1636"/>
      <c r="M1969" s="1630">
        <v>4</v>
      </c>
      <c r="N1969" s="2093" t="s">
        <v>1986</v>
      </c>
      <c r="O1969" s="1863">
        <f>'Part IX Scoring Criteria'!O321</f>
        <v>0</v>
      </c>
      <c r="P1969" s="1863"/>
      <c r="Q1969" s="2807" t="str">
        <f>IF(OR($O1969=$M1969,$O1969=0,$O1969=""),"","*CHECK!*")</f>
        <v/>
      </c>
      <c r="R1969" s="1689" t="s">
        <v>2706</v>
      </c>
      <c r="S1969" s="1631"/>
      <c r="T1969" s="1631"/>
      <c r="U1969" s="1631"/>
      <c r="V1969" s="1631"/>
      <c r="W1969" s="1631"/>
      <c r="X1969" s="1631"/>
    </row>
    <row r="1970" spans="1:24">
      <c r="A1970" s="1895"/>
      <c r="B1970" s="2854" t="s">
        <v>1988</v>
      </c>
      <c r="C1970" s="521" t="s">
        <v>5134</v>
      </c>
      <c r="D1970" s="1631"/>
      <c r="E1970" s="1631"/>
      <c r="F1970" s="1631"/>
      <c r="G1970" s="1841"/>
      <c r="H1970" s="1842"/>
      <c r="I1970" s="1841"/>
      <c r="K1970" s="1636"/>
      <c r="L1970" s="1636"/>
      <c r="M1970" s="1637">
        <v>3</v>
      </c>
      <c r="N1970" s="2093" t="s">
        <v>1988</v>
      </c>
      <c r="O1970" s="1863">
        <f>'Part IX Scoring Criteria'!O322</f>
        <v>0</v>
      </c>
      <c r="P1970" s="1863"/>
      <c r="Q1970" s="2807" t="str">
        <f>IF(OR($O1970=$M1970,$O1970=0,$O1970=""),"","*CHECK!*")</f>
        <v/>
      </c>
      <c r="R1970" s="1689" t="s">
        <v>2706</v>
      </c>
    </row>
    <row r="1971" spans="1:24">
      <c r="A1971" s="1895"/>
      <c r="B1971" s="2854" t="s">
        <v>2534</v>
      </c>
      <c r="C1971" s="1216" t="s">
        <v>5135</v>
      </c>
      <c r="D1971" s="1631"/>
      <c r="E1971" s="1631"/>
      <c r="F1971" s="1631"/>
      <c r="G1971" s="1841"/>
      <c r="H1971" s="1842"/>
      <c r="I1971" s="1841"/>
      <c r="K1971" s="1636"/>
      <c r="L1971" s="1636"/>
      <c r="M1971" s="1637">
        <v>2</v>
      </c>
      <c r="N1971" s="2093" t="s">
        <v>2534</v>
      </c>
      <c r="O1971" s="1863">
        <f>'Part IX Scoring Criteria'!O323</f>
        <v>0</v>
      </c>
      <c r="P1971" s="1863"/>
      <c r="Q1971" s="2807" t="str">
        <f>IF(OR($O1971=$M1971,$O1971=0,$O1971=""),"","*CHECK!*")</f>
        <v/>
      </c>
      <c r="R1971" s="1689" t="s">
        <v>2706</v>
      </c>
    </row>
    <row r="1972" spans="1:24" ht="15">
      <c r="A1972" s="1631"/>
      <c r="B1972" s="1866" t="s">
        <v>3757</v>
      </c>
      <c r="C1972" s="1631"/>
      <c r="D1972" s="1634"/>
      <c r="E1972" s="1634"/>
      <c r="F1972" s="1634"/>
      <c r="G1972" s="1634"/>
      <c r="H1972" s="521"/>
      <c r="I1972" s="521"/>
      <c r="J1972" s="521"/>
      <c r="K1972" s="521"/>
      <c r="L1972" s="1976"/>
      <c r="M1972" s="1630"/>
      <c r="N1972" s="1637"/>
      <c r="O1972" s="1863"/>
      <c r="P1972" s="1637"/>
      <c r="Q1972" s="1976"/>
      <c r="R1972" s="1976"/>
      <c r="S1972" s="1976"/>
      <c r="T1972" s="1976"/>
      <c r="U1972" s="1976"/>
      <c r="V1972" s="1976"/>
      <c r="W1972" s="1976"/>
      <c r="X1972" s="1976"/>
    </row>
    <row r="1973" spans="1:24" ht="15">
      <c r="A1973" s="1900">
        <f>'Part IX Scoring Criteria'!A325</f>
        <v>0</v>
      </c>
      <c r="B1973" s="1900"/>
      <c r="C1973" s="1900"/>
      <c r="D1973" s="1900"/>
      <c r="E1973" s="1900"/>
      <c r="F1973" s="1900"/>
      <c r="G1973" s="1900"/>
      <c r="H1973" s="1900"/>
      <c r="I1973" s="1900"/>
      <c r="J1973" s="1900"/>
      <c r="K1973" s="1900"/>
      <c r="L1973" s="1900"/>
      <c r="M1973" s="1900"/>
      <c r="N1973" s="1900"/>
      <c r="O1973" s="1900"/>
      <c r="P1973" s="1900"/>
      <c r="Q1973" s="2786" t="s">
        <v>1254</v>
      </c>
      <c r="R1973" s="1976"/>
      <c r="S1973" s="1976"/>
      <c r="T1973" s="1976"/>
      <c r="U1973" s="1976"/>
      <c r="V1973" s="1976"/>
      <c r="W1973" s="1976"/>
      <c r="X1973" s="1976"/>
    </row>
    <row r="1974" spans="1:24" ht="15">
      <c r="A1974" s="1976"/>
      <c r="B1974" s="1897" t="s">
        <v>1866</v>
      </c>
      <c r="C1974" s="1631"/>
      <c r="D1974" s="1897"/>
      <c r="E1974" s="1899"/>
      <c r="F1974" s="1899"/>
      <c r="G1974" s="1899"/>
      <c r="H1974" s="1899"/>
      <c r="I1974" s="1899"/>
      <c r="J1974" s="1899"/>
      <c r="K1974" s="1899"/>
      <c r="L1974" s="1899"/>
      <c r="M1974" s="1899"/>
      <c r="N1974" s="2011"/>
      <c r="O1974" s="2011"/>
      <c r="P1974" s="1630"/>
      <c r="Q1974" s="2006"/>
      <c r="R1974" s="1976"/>
      <c r="S1974" s="1976"/>
      <c r="T1974" s="1976"/>
      <c r="U1974" s="1976"/>
      <c r="V1974" s="1976"/>
      <c r="W1974" s="1976"/>
      <c r="X1974" s="1976"/>
    </row>
    <row r="1975" spans="1:24" ht="15">
      <c r="A1975" s="1900"/>
      <c r="B1975" s="1900"/>
      <c r="C1975" s="1900"/>
      <c r="D1975" s="1900"/>
      <c r="E1975" s="1900"/>
      <c r="F1975" s="1900"/>
      <c r="G1975" s="1900"/>
      <c r="H1975" s="1900"/>
      <c r="I1975" s="1900"/>
      <c r="J1975" s="1900"/>
      <c r="K1975" s="1900"/>
      <c r="L1975" s="1900"/>
      <c r="M1975" s="1900"/>
      <c r="N1975" s="1900"/>
      <c r="O1975" s="1900"/>
      <c r="P1975" s="1900"/>
      <c r="Q1975" s="2786"/>
      <c r="R1975" s="1976"/>
      <c r="S1975" s="1976"/>
      <c r="T1975" s="1976"/>
      <c r="U1975" s="1976"/>
      <c r="V1975" s="1976"/>
      <c r="W1975" s="1976"/>
      <c r="X1975" s="1976"/>
    </row>
    <row r="1976" spans="1:24" ht="18.75">
      <c r="N1976" s="1637"/>
      <c r="O1976" s="1637"/>
      <c r="P1976" s="1637"/>
      <c r="T1976" s="2819"/>
      <c r="U1976" s="2819"/>
    </row>
    <row r="1977" spans="1:24" ht="18.75">
      <c r="A1977" s="2828" t="s">
        <v>364</v>
      </c>
      <c r="B1977" s="2764" t="s">
        <v>2827</v>
      </c>
      <c r="C1977" s="1976"/>
      <c r="D1977" s="2012"/>
      <c r="E1977" s="2012"/>
      <c r="F1977" s="2012"/>
      <c r="G1977" s="1976"/>
      <c r="H1977" s="1842" t="s">
        <v>400</v>
      </c>
      <c r="I1977" s="1976"/>
      <c r="J1977" s="1976"/>
      <c r="K1977" s="1634"/>
      <c r="L1977" s="1976"/>
      <c r="M1977" s="1630">
        <v>4</v>
      </c>
      <c r="N1977" s="1630"/>
      <c r="O1977" s="1863">
        <f>'Part IX Scoring Criteria'!O329</f>
        <v>0</v>
      </c>
      <c r="P1977" s="1863">
        <f>IF(AND(P1978&gt;0,P1982&gt;0),"AorB?",MIN($M1977,SUM(P1978,P1982,P1984)))</f>
        <v>0</v>
      </c>
      <c r="Q1977" s="1630" t="s">
        <v>441</v>
      </c>
      <c r="R1977" s="1976"/>
      <c r="S1977" s="1976"/>
      <c r="T1977" s="2819"/>
      <c r="U1977" s="2819"/>
      <c r="V1977" s="1976"/>
      <c r="W1977" s="1976"/>
      <c r="X1977" s="1976"/>
    </row>
    <row r="1978" spans="1:24" ht="18.75">
      <c r="A1978" s="1828" t="s">
        <v>1983</v>
      </c>
      <c r="B1978" s="1634" t="s">
        <v>2233</v>
      </c>
      <c r="C1978" s="1993"/>
      <c r="D1978" s="1842"/>
      <c r="E1978" s="1842"/>
      <c r="F1978" s="1972"/>
      <c r="H1978" s="1993"/>
      <c r="I1978" s="1993"/>
      <c r="J1978" s="1993"/>
      <c r="K1978" s="1993"/>
      <c r="L1978" s="2817"/>
      <c r="M1978" s="1630">
        <v>3</v>
      </c>
      <c r="N1978" s="1937" t="s">
        <v>1983</v>
      </c>
      <c r="O1978" s="1863">
        <f>'Part IX Scoring Criteria'!O330</f>
        <v>0</v>
      </c>
      <c r="P1978" s="1863">
        <f>IF(OR(AND(P1979="Yes",P1980="Yes",P1981="Yes"),AND(P1979="Yes",P1981="Yes"),AND(P1980="Yes",P1981="Yes"),AND(P1979="Yes",P1980="Yes")),"choose",IF(P1979="Yes",$M$331,IF(P1980="Yes",$M$332, IF(P1981="Yes",$M$333,0))))</f>
        <v>0</v>
      </c>
      <c r="Q1978" s="2807"/>
      <c r="R1978" s="1689"/>
      <c r="S1978" s="1993"/>
      <c r="T1978" s="2819"/>
      <c r="U1978" s="2819"/>
      <c r="V1978" s="1993"/>
      <c r="W1978" s="1993"/>
      <c r="X1978" s="1993"/>
    </row>
    <row r="1979" spans="1:24" ht="18.75">
      <c r="A1979" s="1828"/>
      <c r="B1979" s="2044" t="s">
        <v>1986</v>
      </c>
      <c r="C1979" s="1841" t="s">
        <v>4882</v>
      </c>
      <c r="D1979" s="1842"/>
      <c r="E1979" s="1842"/>
      <c r="F1979" s="1972"/>
      <c r="H1979" s="1993"/>
      <c r="I1979" s="1993"/>
      <c r="J1979" s="1993"/>
      <c r="K1979" s="1993"/>
      <c r="L1979" s="2817"/>
      <c r="M1979" s="1630">
        <v>3</v>
      </c>
      <c r="N1979" s="2093" t="s">
        <v>1986</v>
      </c>
      <c r="O1979" s="1895">
        <f>'Part IX Scoring Criteria'!O331</f>
        <v>0</v>
      </c>
      <c r="P1979" s="1895"/>
      <c r="Q1979" s="2807"/>
      <c r="R1979" s="1689"/>
      <c r="S1979" s="1993"/>
      <c r="T1979" s="2819"/>
      <c r="U1979" s="2819"/>
      <c r="V1979" s="1993"/>
      <c r="W1979" s="1993"/>
      <c r="X1979" s="1993"/>
    </row>
    <row r="1980" spans="1:24" ht="18.75">
      <c r="A1980" s="1828"/>
      <c r="B1980" s="2854" t="s">
        <v>1988</v>
      </c>
      <c r="C1980" s="1841" t="s">
        <v>4883</v>
      </c>
      <c r="D1980" s="1842"/>
      <c r="E1980" s="1842"/>
      <c r="F1980" s="1972"/>
      <c r="H1980" s="1993"/>
      <c r="I1980" s="1993"/>
      <c r="J1980" s="1993"/>
      <c r="K1980" s="1993"/>
      <c r="L1980" s="2817"/>
      <c r="M1980" s="1630">
        <v>2</v>
      </c>
      <c r="N1980" s="2093" t="s">
        <v>1988</v>
      </c>
      <c r="O1980" s="1895">
        <f>'Part IX Scoring Criteria'!O332</f>
        <v>0</v>
      </c>
      <c r="P1980" s="1895"/>
      <c r="Q1980" s="2807"/>
      <c r="R1980" s="1689"/>
      <c r="S1980" s="1993"/>
      <c r="T1980" s="2819"/>
      <c r="U1980" s="2819"/>
      <c r="V1980" s="1993"/>
      <c r="W1980" s="1993"/>
      <c r="X1980" s="1993"/>
    </row>
    <row r="1981" spans="1:24" ht="18.75">
      <c r="A1981" s="1828"/>
      <c r="B1981" s="2854" t="s">
        <v>2534</v>
      </c>
      <c r="C1981" s="1841" t="s">
        <v>4884</v>
      </c>
      <c r="D1981" s="1842"/>
      <c r="E1981" s="1842"/>
      <c r="F1981" s="1972"/>
      <c r="H1981" s="1993"/>
      <c r="I1981" s="1993"/>
      <c r="J1981" s="1993"/>
      <c r="K1981" s="1937"/>
      <c r="L1981" s="1993"/>
      <c r="M1981" s="1630">
        <v>1</v>
      </c>
      <c r="N1981" s="2093" t="s">
        <v>2534</v>
      </c>
      <c r="O1981" s="1895">
        <f>'Part IX Scoring Criteria'!O333</f>
        <v>0</v>
      </c>
      <c r="P1981" s="1895"/>
      <c r="Q1981" s="1993"/>
      <c r="R1981" s="1845"/>
      <c r="S1981" s="1993"/>
      <c r="T1981" s="2819"/>
      <c r="U1981" s="2819"/>
      <c r="V1981" s="1993"/>
      <c r="W1981" s="1993"/>
      <c r="X1981" s="1993"/>
    </row>
    <row r="1982" spans="1:24" ht="18.75">
      <c r="A1982" s="1828" t="s">
        <v>1985</v>
      </c>
      <c r="B1982" s="1634" t="s">
        <v>2234</v>
      </c>
      <c r="C1982" s="1976"/>
      <c r="D1982" s="521"/>
      <c r="E1982" s="1976"/>
      <c r="F1982" s="1976"/>
      <c r="G1982" s="1976"/>
      <c r="H1982" s="1976"/>
      <c r="I1982" s="1976"/>
      <c r="J1982" s="1976"/>
      <c r="K1982" s="521"/>
      <c r="L1982" s="2817" t="str">
        <f>IF(OR($O1982=$M1982,$O1982=0,$O1982=""),"","* * Check Score! * *")</f>
        <v/>
      </c>
      <c r="M1982" s="1630">
        <v>1</v>
      </c>
      <c r="N1982" s="1937" t="s">
        <v>1985</v>
      </c>
      <c r="O1982" s="1863">
        <f>'Part IX Scoring Criteria'!O334</f>
        <v>0</v>
      </c>
      <c r="P1982" s="1863">
        <f>IF(P1983="Yes",$M$334,0)</f>
        <v>0</v>
      </c>
      <c r="Q1982" s="2807" t="str">
        <f>IF(OR($O1982=$M1982,$O1982=0,$O1982=""),"","*CHECK!*")</f>
        <v/>
      </c>
      <c r="R1982" s="1689" t="s">
        <v>2706</v>
      </c>
      <c r="S1982" s="1976"/>
      <c r="T1982" s="2819"/>
      <c r="U1982" s="2819"/>
      <c r="V1982" s="1976"/>
      <c r="W1982" s="1976"/>
      <c r="X1982" s="1976"/>
    </row>
    <row r="1983" spans="1:24" ht="18.75" customHeight="1">
      <c r="A1983" s="2869"/>
      <c r="B1983" s="1867" t="s">
        <v>4886</v>
      </c>
      <c r="C1983" s="1867"/>
      <c r="D1983" s="1867"/>
      <c r="E1983" s="1867"/>
      <c r="F1983" s="1867"/>
      <c r="G1983" s="1867"/>
      <c r="H1983" s="1867"/>
      <c r="I1983" s="1867"/>
      <c r="J1983" s="1867"/>
      <c r="K1983" s="1867"/>
      <c r="L1983" s="1867"/>
      <c r="M1983" s="1630"/>
      <c r="N1983" s="1937"/>
      <c r="O1983" s="1948">
        <f>'Part IX Scoring Criteria'!O335</f>
        <v>0</v>
      </c>
      <c r="P1983" s="1948"/>
      <c r="Q1983" s="1845"/>
      <c r="R1983" s="2817"/>
      <c r="S1983" s="1976"/>
      <c r="T1983" s="2819"/>
      <c r="U1983" s="2819"/>
      <c r="V1983" s="1976"/>
      <c r="W1983" s="1976"/>
      <c r="X1983" s="1976"/>
    </row>
    <row r="1984" spans="1:24" ht="18.75">
      <c r="A1984" s="1828" t="s">
        <v>749</v>
      </c>
      <c r="B1984" s="1634" t="s">
        <v>4885</v>
      </c>
      <c r="C1984" s="1976"/>
      <c r="D1984" s="521"/>
      <c r="E1984" s="1976"/>
      <c r="F1984" s="1976"/>
      <c r="G1984" s="1976"/>
      <c r="H1984" s="1652"/>
      <c r="I1984" s="1976"/>
      <c r="J1984" s="1976"/>
      <c r="K1984" s="521"/>
      <c r="L1984" s="2817"/>
      <c r="M1984" s="1630">
        <v>1</v>
      </c>
      <c r="N1984" s="1937" t="s">
        <v>749</v>
      </c>
      <c r="O1984" s="1863">
        <f>'Part IX Scoring Criteria'!O336</f>
        <v>0</v>
      </c>
      <c r="P1984" s="1863">
        <f>IF(P1978=0,0,IF(P1985="Yes",$M$336,0))</f>
        <v>0</v>
      </c>
      <c r="Q1984" s="2807" t="str">
        <f>IF(OR($O1984=$M1984,$O1984=0,$O1984=""),"","*CHECK!*")</f>
        <v/>
      </c>
      <c r="R1984" s="1689" t="s">
        <v>2706</v>
      </c>
      <c r="S1984" s="1976"/>
      <c r="T1984" s="2819"/>
      <c r="U1984" s="2819"/>
      <c r="V1984" s="1976"/>
      <c r="W1984" s="1976"/>
      <c r="X1984" s="1976"/>
    </row>
    <row r="1985" spans="1:24" ht="18.75" customHeight="1">
      <c r="A1985" s="1976"/>
      <c r="B1985" s="1900" t="s">
        <v>5203</v>
      </c>
      <c r="C1985" s="1900"/>
      <c r="D1985" s="1900"/>
      <c r="E1985" s="1900"/>
      <c r="F1985" s="1900"/>
      <c r="G1985" s="1900"/>
      <c r="H1985" s="1900"/>
      <c r="I1985" s="1900"/>
      <c r="J1985" s="1900"/>
      <c r="K1985" s="1900"/>
      <c r="L1985" s="1900"/>
      <c r="M1985" s="1630"/>
      <c r="N1985" s="1937"/>
      <c r="O1985" s="1948">
        <f>'Part IX Scoring Criteria'!O337</f>
        <v>0</v>
      </c>
      <c r="P1985" s="1948"/>
      <c r="Q1985" s="1845"/>
      <c r="R1985" s="2817"/>
      <c r="S1985" s="1976"/>
      <c r="T1985" s="2819"/>
      <c r="U1985" s="2819"/>
      <c r="V1985" s="1976"/>
      <c r="W1985" s="1976"/>
      <c r="X1985" s="1976"/>
    </row>
    <row r="1986" spans="1:24" ht="18.75" customHeight="1">
      <c r="A1986" s="1976"/>
      <c r="B1986" s="1900" t="s">
        <v>5039</v>
      </c>
      <c r="C1986" s="1900"/>
      <c r="D1986" s="1900"/>
      <c r="E1986" s="1900"/>
      <c r="F1986" s="1900"/>
      <c r="G1986" s="1900"/>
      <c r="H1986" s="1900"/>
      <c r="I1986" s="1900"/>
      <c r="J1986" s="1900"/>
      <c r="K1986" s="1900"/>
      <c r="L1986" s="1900"/>
      <c r="M1986" s="1630"/>
      <c r="N1986" s="1630"/>
      <c r="O1986" s="1630"/>
      <c r="P1986" s="1630"/>
      <c r="Q1986" s="1845"/>
      <c r="R1986" s="2817"/>
      <c r="S1986" s="1976"/>
      <c r="T1986" s="2819"/>
      <c r="U1986" s="2819"/>
      <c r="V1986" s="1976"/>
      <c r="W1986" s="1976"/>
      <c r="X1986" s="1976"/>
    </row>
    <row r="1987" spans="1:24" ht="15">
      <c r="A1987" s="1631"/>
      <c r="B1987" s="1897" t="s">
        <v>1866</v>
      </c>
      <c r="C1987" s="1631"/>
      <c r="D1987" s="1897"/>
      <c r="E1987" s="1899"/>
      <c r="F1987" s="1899"/>
      <c r="G1987" s="1899"/>
      <c r="H1987" s="1899"/>
      <c r="I1987" s="1899"/>
      <c r="J1987" s="1899"/>
      <c r="K1987" s="1899"/>
      <c r="L1987" s="1899"/>
      <c r="M1987" s="1899"/>
      <c r="N1987" s="2011"/>
      <c r="O1987" s="2011"/>
      <c r="P1987" s="1630"/>
      <c r="Q1987" s="2006"/>
      <c r="R1987" s="1976"/>
      <c r="S1987" s="1976"/>
      <c r="T1987" s="1976"/>
      <c r="U1987" s="1976"/>
      <c r="V1987" s="1976"/>
      <c r="W1987" s="1976"/>
      <c r="X1987" s="1976"/>
    </row>
    <row r="1988" spans="1:24" ht="15">
      <c r="A1988" s="1900"/>
      <c r="B1988" s="1900"/>
      <c r="C1988" s="1900"/>
      <c r="D1988" s="1900"/>
      <c r="E1988" s="1900"/>
      <c r="F1988" s="1900"/>
      <c r="G1988" s="1900"/>
      <c r="H1988" s="1900"/>
      <c r="I1988" s="1900"/>
      <c r="J1988" s="1900"/>
      <c r="K1988" s="1900"/>
      <c r="L1988" s="1900"/>
      <c r="M1988" s="1900"/>
      <c r="N1988" s="1900"/>
      <c r="O1988" s="1900"/>
      <c r="P1988" s="1900"/>
      <c r="Q1988" s="2786"/>
      <c r="R1988" s="1976"/>
      <c r="S1988" s="1976"/>
      <c r="T1988" s="1976"/>
      <c r="U1988" s="1976"/>
      <c r="V1988" s="1976"/>
      <c r="W1988" s="1976"/>
      <c r="X1988" s="1976"/>
    </row>
    <row r="1989" spans="1:24" ht="15">
      <c r="A1989" s="1631"/>
      <c r="B1989" s="1631"/>
      <c r="C1989" s="1899"/>
      <c r="D1989" s="1899"/>
      <c r="E1989" s="1899"/>
      <c r="F1989" s="1899"/>
      <c r="G1989" s="1899"/>
      <c r="H1989" s="1899"/>
      <c r="I1989" s="1899"/>
      <c r="J1989" s="1899"/>
      <c r="K1989" s="1899"/>
      <c r="L1989" s="1899"/>
      <c r="M1989" s="1899"/>
      <c r="N1989" s="2011"/>
      <c r="O1989" s="2011"/>
      <c r="P1989" s="1630"/>
      <c r="Q1989" s="1976"/>
      <c r="R1989" s="1976"/>
      <c r="S1989" s="1976"/>
      <c r="T1989" s="1976"/>
      <c r="U1989" s="1976"/>
      <c r="V1989" s="1976"/>
      <c r="W1989" s="1976"/>
      <c r="X1989" s="1976"/>
    </row>
    <row r="1990" spans="1:24" ht="15">
      <c r="A1990" s="2869" t="s">
        <v>1726</v>
      </c>
      <c r="B1990" s="2764" t="s">
        <v>4055</v>
      </c>
      <c r="C1990" s="1955"/>
      <c r="D1990" s="1955"/>
      <c r="E1990" s="521"/>
      <c r="F1990" s="1976"/>
      <c r="G1990" s="1216"/>
      <c r="H1990" s="1976"/>
      <c r="I1990" s="1976"/>
      <c r="J1990" s="1976"/>
      <c r="K1990" s="1976"/>
      <c r="L1990" s="1976"/>
      <c r="M1990" s="1630">
        <v>2</v>
      </c>
      <c r="N1990" s="1630"/>
      <c r="O1990" s="1630"/>
      <c r="P1990" s="1630">
        <f>P1991+P1999</f>
        <v>0</v>
      </c>
      <c r="Q1990" s="1630" t="s">
        <v>441</v>
      </c>
      <c r="R1990" s="1976"/>
      <c r="S1990" s="1976"/>
      <c r="T1990" s="1976"/>
      <c r="U1990" s="1976"/>
      <c r="V1990" s="1976"/>
      <c r="W1990" s="1976"/>
      <c r="X1990" s="1976"/>
    </row>
    <row r="1991" spans="1:24" ht="15">
      <c r="A1991" s="1828" t="s">
        <v>1983</v>
      </c>
      <c r="B1991" s="1634" t="s">
        <v>4056</v>
      </c>
      <c r="C1991" s="1955"/>
      <c r="D1991" s="1955"/>
      <c r="E1991" s="521"/>
      <c r="F1991" s="1976"/>
      <c r="G1991" s="1849">
        <f>'Part VIII-Threshold Criteria'!I2009</f>
        <v>0</v>
      </c>
      <c r="H1991" s="1976"/>
      <c r="I1991" s="1976"/>
      <c r="J1991" s="1841" t="s">
        <v>2686</v>
      </c>
      <c r="K1991" s="1976"/>
      <c r="L1991" s="521"/>
      <c r="M1991" s="1976"/>
      <c r="N1991" s="1937" t="s">
        <v>1983</v>
      </c>
      <c r="O1991" s="1633" t="str">
        <f>'Part I-Project Information'!$H$100</f>
        <v>No</v>
      </c>
      <c r="P1991" s="1630"/>
      <c r="Q1991" s="1630"/>
      <c r="R1991" s="1689" t="s">
        <v>2706</v>
      </c>
      <c r="S1991" s="1976"/>
      <c r="T1991" s="1976"/>
      <c r="U1991" s="1976"/>
      <c r="V1991" s="1976"/>
      <c r="W1991" s="1976"/>
      <c r="X1991" s="1976"/>
    </row>
    <row r="1992" spans="1:24" ht="15">
      <c r="A1992" s="1828"/>
      <c r="B1992" s="2093" t="s">
        <v>1986</v>
      </c>
      <c r="C1992" s="521" t="s">
        <v>4958</v>
      </c>
      <c r="D1992" s="1631"/>
      <c r="E1992" s="1993"/>
      <c r="F1992" s="1993"/>
      <c r="G1992" s="1993"/>
      <c r="H1992" s="1993"/>
      <c r="I1992" s="1993"/>
      <c r="J1992" s="1993"/>
      <c r="K1992" s="1993"/>
      <c r="L1992" s="1993"/>
      <c r="M1992" s="1993"/>
      <c r="N1992" s="2093" t="s">
        <v>4960</v>
      </c>
      <c r="O1992" s="1895">
        <f>'Part IX Scoring Criteria'!O344</f>
        <v>0</v>
      </c>
      <c r="P1992" s="1895"/>
      <c r="Q1992" s="1993"/>
      <c r="R1992" s="2817"/>
      <c r="S1992" s="1993"/>
      <c r="T1992" s="1993"/>
      <c r="U1992" s="1993"/>
      <c r="V1992" s="1993"/>
      <c r="W1992" s="1993"/>
      <c r="X1992" s="1993"/>
    </row>
    <row r="1993" spans="1:24" ht="15">
      <c r="A1993" s="1828"/>
      <c r="B1993" s="2093"/>
      <c r="C1993" s="521" t="s">
        <v>4959</v>
      </c>
      <c r="D1993" s="1631"/>
      <c r="E1993" s="1993"/>
      <c r="F1993" s="1993"/>
      <c r="G1993" s="1993"/>
      <c r="H1993" s="1993"/>
      <c r="I1993" s="1993"/>
      <c r="J1993" s="1993"/>
      <c r="K1993" s="1993"/>
      <c r="L1993" s="1993"/>
      <c r="M1993" s="1993"/>
      <c r="N1993" s="2093" t="s">
        <v>4961</v>
      </c>
      <c r="O1993" s="1895">
        <f>'Part IX Scoring Criteria'!O345</f>
        <v>0</v>
      </c>
      <c r="P1993" s="1895"/>
      <c r="Q1993" s="1993"/>
      <c r="R1993" s="2817"/>
      <c r="S1993" s="1993"/>
      <c r="T1993" s="1993"/>
      <c r="U1993" s="1993"/>
      <c r="V1993" s="1993"/>
      <c r="W1993" s="1993"/>
      <c r="X1993" s="1993"/>
    </row>
    <row r="1994" spans="1:24" ht="15">
      <c r="A1994" s="1828"/>
      <c r="B1994" s="2093" t="s">
        <v>1988</v>
      </c>
      <c r="C1994" s="521" t="s">
        <v>4073</v>
      </c>
      <c r="D1994" s="1631"/>
      <c r="E1994" s="1993"/>
      <c r="F1994" s="1993"/>
      <c r="G1994" s="1993"/>
      <c r="H1994" s="1993"/>
      <c r="I1994" s="1993"/>
      <c r="J1994" s="1993"/>
      <c r="K1994" s="1993"/>
      <c r="L1994" s="1993"/>
      <c r="M1994" s="1993"/>
      <c r="N1994" s="2093" t="s">
        <v>1988</v>
      </c>
      <c r="O1994" s="1895">
        <f>'Part IX Scoring Criteria'!O346</f>
        <v>0</v>
      </c>
      <c r="P1994" s="1895"/>
      <c r="Q1994" s="1993"/>
      <c r="R1994" s="2817"/>
      <c r="S1994" s="1993"/>
      <c r="T1994" s="1993"/>
      <c r="U1994" s="1993"/>
      <c r="V1994" s="1993"/>
      <c r="W1994" s="1993"/>
      <c r="X1994" s="1993"/>
    </row>
    <row r="1995" spans="1:24" ht="15">
      <c r="A1995" s="1828"/>
      <c r="B1995" s="2093" t="s">
        <v>2534</v>
      </c>
      <c r="C1995" s="521" t="s">
        <v>4962</v>
      </c>
      <c r="D1995" s="1631"/>
      <c r="E1995" s="1993"/>
      <c r="F1995" s="1993"/>
      <c r="G1995" s="1993"/>
      <c r="H1995" s="1993"/>
      <c r="I1995" s="1993"/>
      <c r="J1995" s="1993"/>
      <c r="K1995" s="1993"/>
      <c r="L1995" s="1993"/>
      <c r="M1995" s="1993"/>
      <c r="N1995" s="2093" t="s">
        <v>2534</v>
      </c>
      <c r="O1995" s="1895">
        <f>'Part IX Scoring Criteria'!O347</f>
        <v>0</v>
      </c>
      <c r="P1995" s="1895"/>
      <c r="Q1995" s="1993"/>
      <c r="R1995" s="2817"/>
      <c r="S1995" s="1993"/>
      <c r="T1995" s="1993"/>
      <c r="U1995" s="1993"/>
      <c r="V1995" s="1993"/>
      <c r="W1995" s="1993"/>
      <c r="X1995" s="1993"/>
    </row>
    <row r="1996" spans="1:24" ht="15">
      <c r="A1996" s="1993"/>
      <c r="B1996" s="2093" t="s">
        <v>1224</v>
      </c>
      <c r="C1996" s="521" t="s">
        <v>4887</v>
      </c>
      <c r="D1996" s="1631"/>
      <c r="E1996" s="1993"/>
      <c r="F1996" s="1993"/>
      <c r="G1996" s="1993"/>
      <c r="H1996" s="1993"/>
      <c r="I1996" s="1993"/>
      <c r="J1996" s="1993"/>
      <c r="K1996" s="1993"/>
      <c r="L1996" s="1993"/>
      <c r="M1996" s="1993"/>
      <c r="N1996" s="2093" t="s">
        <v>1224</v>
      </c>
      <c r="O1996" s="1895">
        <f>'Part IX Scoring Criteria'!O348</f>
        <v>0</v>
      </c>
      <c r="P1996" s="1895"/>
      <c r="Q1996" s="1993"/>
      <c r="R1996" s="2817"/>
      <c r="S1996" s="1993"/>
      <c r="T1996" s="1993"/>
      <c r="U1996" s="1993"/>
      <c r="V1996" s="1993"/>
      <c r="W1996" s="1993"/>
      <c r="X1996" s="1993"/>
    </row>
    <row r="1997" spans="1:24" ht="15">
      <c r="A1997" s="1828"/>
      <c r="B1997" s="2093" t="s">
        <v>1225</v>
      </c>
      <c r="C1997" s="521" t="s">
        <v>4888</v>
      </c>
      <c r="D1997" s="1631"/>
      <c r="E1997" s="1993"/>
      <c r="F1997" s="1993"/>
      <c r="G1997" s="1993"/>
      <c r="H1997" s="1993"/>
      <c r="I1997" s="1993"/>
      <c r="J1997" s="1993"/>
      <c r="K1997" s="1993"/>
      <c r="L1997" s="1993"/>
      <c r="M1997" s="1993"/>
      <c r="N1997" s="2093" t="s">
        <v>1225</v>
      </c>
      <c r="O1997" s="1895">
        <f>'Part IX Scoring Criteria'!O349</f>
        <v>0</v>
      </c>
      <c r="P1997" s="1895"/>
      <c r="Q1997" s="1993"/>
      <c r="R1997" s="2817"/>
      <c r="S1997" s="1993"/>
      <c r="T1997" s="1993"/>
      <c r="U1997" s="1993"/>
      <c r="V1997" s="1993"/>
      <c r="W1997" s="1993"/>
      <c r="X1997" s="1993"/>
    </row>
    <row r="1998" spans="1:24" ht="15">
      <c r="A1998" s="1828"/>
      <c r="B1998" s="2093" t="s">
        <v>1881</v>
      </c>
      <c r="C1998" s="521" t="s">
        <v>4074</v>
      </c>
      <c r="D1998" s="1631"/>
      <c r="E1998" s="1993"/>
      <c r="F1998" s="1993"/>
      <c r="G1998" s="1993"/>
      <c r="H1998" s="1993"/>
      <c r="I1998" s="1993"/>
      <c r="J1998" s="1993"/>
      <c r="K1998" s="1993"/>
      <c r="L1998" s="1993"/>
      <c r="M1998" s="1993"/>
      <c r="N1998" s="2093" t="s">
        <v>1881</v>
      </c>
      <c r="O1998" s="1895">
        <f>'Part IX Scoring Criteria'!O350</f>
        <v>0</v>
      </c>
      <c r="P1998" s="1895"/>
      <c r="Q1998" s="1993"/>
      <c r="R1998" s="2817"/>
      <c r="S1998" s="1993"/>
      <c r="T1998" s="1993"/>
      <c r="U1998" s="1993"/>
      <c r="V1998" s="1993"/>
      <c r="W1998" s="1993"/>
      <c r="X1998" s="1993"/>
    </row>
    <row r="1999" spans="1:24" ht="15">
      <c r="A1999" s="1828" t="s">
        <v>1985</v>
      </c>
      <c r="B1999" s="1634" t="s">
        <v>4057</v>
      </c>
      <c r="C1999" s="1955"/>
      <c r="D1999" s="1955"/>
      <c r="E1999" s="521"/>
      <c r="F1999" s="1976"/>
      <c r="G1999" s="1849">
        <f>'Part I-Project Information'!D1813</f>
        <v>0</v>
      </c>
      <c r="H1999" s="1976"/>
      <c r="I1999" s="1849"/>
      <c r="J1999" s="1976"/>
      <c r="K1999" s="1976"/>
      <c r="L1999" s="1943"/>
      <c r="M1999" s="1943"/>
      <c r="N1999" s="1937" t="s">
        <v>1985</v>
      </c>
      <c r="O1999" s="1976"/>
      <c r="P1999" s="1630"/>
      <c r="Q1999" s="1630"/>
      <c r="R1999" s="1689" t="s">
        <v>2706</v>
      </c>
      <c r="S1999" s="1976"/>
      <c r="T1999" s="1976"/>
      <c r="U1999" s="1976"/>
      <c r="V1999" s="1976"/>
      <c r="W1999" s="1976"/>
      <c r="X1999" s="1976"/>
    </row>
    <row r="2000" spans="1:24" ht="15">
      <c r="A2000" s="2869"/>
      <c r="B2000" s="2093" t="s">
        <v>1986</v>
      </c>
      <c r="C2000" s="521" t="s">
        <v>4958</v>
      </c>
      <c r="D2000" s="521"/>
      <c r="E2000" s="521"/>
      <c r="F2000" s="1993"/>
      <c r="G2000" s="1993"/>
      <c r="H2000" s="1993"/>
      <c r="I2000" s="1993"/>
      <c r="J2000" s="1993"/>
      <c r="K2000" s="1993"/>
      <c r="L2000" s="1993"/>
      <c r="M2000" s="1630"/>
      <c r="N2000" s="2093" t="s">
        <v>4960</v>
      </c>
      <c r="O2000" s="1895">
        <f>'Part IX Scoring Criteria'!O352</f>
        <v>0</v>
      </c>
      <c r="P2000" s="1895"/>
      <c r="Q2000" s="1630"/>
      <c r="R2000" s="1993"/>
      <c r="S2000" s="1993"/>
      <c r="T2000" s="1993"/>
      <c r="U2000" s="1993"/>
      <c r="V2000" s="1993"/>
      <c r="W2000" s="1993"/>
      <c r="X2000" s="1993"/>
    </row>
    <row r="2001" spans="1:24" ht="15">
      <c r="A2001" s="1828"/>
      <c r="B2001" s="2093"/>
      <c r="C2001" s="521" t="s">
        <v>4963</v>
      </c>
      <c r="D2001" s="1631"/>
      <c r="E2001" s="1993"/>
      <c r="F2001" s="1993"/>
      <c r="G2001" s="1993"/>
      <c r="H2001" s="1993"/>
      <c r="I2001" s="1993"/>
      <c r="J2001" s="1993"/>
      <c r="K2001" s="1993"/>
      <c r="L2001" s="1993"/>
      <c r="M2001" s="1993"/>
      <c r="N2001" s="2093" t="s">
        <v>4961</v>
      </c>
      <c r="O2001" s="1895">
        <f>'Part IX Scoring Criteria'!O353</f>
        <v>0</v>
      </c>
      <c r="P2001" s="1895"/>
      <c r="Q2001" s="1993"/>
      <c r="R2001" s="2817"/>
      <c r="S2001" s="1993"/>
      <c r="T2001" s="1993"/>
      <c r="U2001" s="1993"/>
      <c r="V2001" s="1993"/>
      <c r="W2001" s="1993"/>
      <c r="X2001" s="1993"/>
    </row>
    <row r="2002" spans="1:24" ht="15">
      <c r="A2002" s="1828"/>
      <c r="B2002" s="2093" t="s">
        <v>1988</v>
      </c>
      <c r="C2002" s="521" t="s">
        <v>4086</v>
      </c>
      <c r="D2002" s="1631"/>
      <c r="E2002" s="1993"/>
      <c r="F2002" s="1993"/>
      <c r="G2002" s="1993"/>
      <c r="H2002" s="1993"/>
      <c r="I2002" s="1993"/>
      <c r="J2002" s="1993"/>
      <c r="K2002" s="1993"/>
      <c r="L2002" s="1993"/>
      <c r="M2002" s="1993"/>
      <c r="N2002" s="2093" t="s">
        <v>1988</v>
      </c>
      <c r="O2002" s="1895">
        <f>'Part IX Scoring Criteria'!O354</f>
        <v>0</v>
      </c>
      <c r="P2002" s="1895"/>
      <c r="Q2002" s="1993"/>
      <c r="R2002" s="2817"/>
      <c r="S2002" s="1993"/>
      <c r="T2002" s="1993"/>
      <c r="U2002" s="1993"/>
      <c r="V2002" s="1993"/>
      <c r="W2002" s="1993"/>
      <c r="X2002" s="1993"/>
    </row>
    <row r="2003" spans="1:24" ht="15">
      <c r="A2003" s="1993"/>
      <c r="B2003" s="2093" t="s">
        <v>2534</v>
      </c>
      <c r="C2003" s="521" t="s">
        <v>4074</v>
      </c>
      <c r="D2003" s="1631"/>
      <c r="E2003" s="1993"/>
      <c r="F2003" s="1993"/>
      <c r="G2003" s="1993"/>
      <c r="H2003" s="1993"/>
      <c r="I2003" s="1993"/>
      <c r="J2003" s="1993"/>
      <c r="K2003" s="1993"/>
      <c r="L2003" s="1993"/>
      <c r="M2003" s="1993"/>
      <c r="N2003" s="2093" t="s">
        <v>2534</v>
      </c>
      <c r="O2003" s="1895">
        <f>'Part IX Scoring Criteria'!O355</f>
        <v>0</v>
      </c>
      <c r="P2003" s="1895"/>
      <c r="Q2003" s="1993"/>
      <c r="R2003" s="2817"/>
      <c r="S2003" s="1993"/>
      <c r="T2003" s="1993"/>
      <c r="U2003" s="1993"/>
      <c r="V2003" s="1993"/>
      <c r="W2003" s="1993"/>
      <c r="X2003" s="1993"/>
    </row>
    <row r="2004" spans="1:24" ht="15">
      <c r="A2004" s="1976"/>
      <c r="B2004" s="1897" t="s">
        <v>1866</v>
      </c>
      <c r="C2004" s="1631"/>
      <c r="D2004" s="1897"/>
      <c r="E2004" s="1899"/>
      <c r="F2004" s="1899"/>
      <c r="G2004" s="1899"/>
      <c r="H2004" s="1899"/>
      <c r="I2004" s="1899"/>
      <c r="J2004" s="1899"/>
      <c r="K2004" s="1899"/>
      <c r="L2004" s="1899"/>
      <c r="M2004" s="1899"/>
      <c r="N2004" s="2011"/>
      <c r="O2004" s="2011"/>
      <c r="P2004" s="1630"/>
      <c r="Q2004" s="2006"/>
      <c r="R2004" s="1976"/>
      <c r="S2004" s="1976"/>
      <c r="T2004" s="1976"/>
      <c r="U2004" s="1976"/>
      <c r="V2004" s="1976"/>
      <c r="W2004" s="1976"/>
      <c r="X2004" s="1976"/>
    </row>
    <row r="2005" spans="1:24" ht="15">
      <c r="A2005" s="1900"/>
      <c r="B2005" s="1900"/>
      <c r="C2005" s="1900"/>
      <c r="D2005" s="1900"/>
      <c r="E2005" s="1900"/>
      <c r="F2005" s="1900"/>
      <c r="G2005" s="1900"/>
      <c r="H2005" s="1900"/>
      <c r="I2005" s="1900"/>
      <c r="J2005" s="1900"/>
      <c r="K2005" s="1900"/>
      <c r="L2005" s="1900"/>
      <c r="M2005" s="1900"/>
      <c r="N2005" s="1900"/>
      <c r="O2005" s="1900"/>
      <c r="P2005" s="1900"/>
      <c r="Q2005" s="2786"/>
      <c r="R2005" s="1976"/>
      <c r="S2005" s="1976"/>
      <c r="T2005" s="1976"/>
      <c r="U2005" s="1976"/>
      <c r="V2005" s="1976"/>
      <c r="W2005" s="1976"/>
      <c r="X2005" s="1976"/>
    </row>
    <row r="2006" spans="1:24">
      <c r="N2006" s="1637"/>
      <c r="O2006" s="1637"/>
      <c r="P2006" s="1637"/>
    </row>
    <row r="2007" spans="1:24" ht="15">
      <c r="A2007" s="2869" t="s">
        <v>2782</v>
      </c>
      <c r="B2007" s="2764" t="s">
        <v>4058</v>
      </c>
      <c r="C2007" s="1976"/>
      <c r="D2007" s="1976"/>
      <c r="E2007" s="1976"/>
      <c r="F2007" s="1976"/>
      <c r="G2007" s="1976"/>
      <c r="H2007" s="1937" t="s">
        <v>3577</v>
      </c>
      <c r="I2007" s="1841" t="str">
        <f>'Part I-Project Information'!$H$105</f>
        <v>N/A - 4% Bond</v>
      </c>
      <c r="J2007" s="1841"/>
      <c r="K2007" s="1976"/>
      <c r="L2007" s="2817" t="str">
        <f>IF(OR($O2007=$M2007,$O2007=0,$O2007=""),"","* * Check Score! * *")</f>
        <v/>
      </c>
      <c r="M2007" s="1630">
        <v>1</v>
      </c>
      <c r="N2007" s="2870"/>
      <c r="O2007" s="1630">
        <f>'Part IX Scoring Criteria'!O359</f>
        <v>0</v>
      </c>
      <c r="P2007" s="1630"/>
      <c r="Q2007" s="1630" t="s">
        <v>441</v>
      </c>
      <c r="R2007" s="1976"/>
      <c r="S2007" s="1976"/>
      <c r="T2007" s="1976"/>
      <c r="U2007" s="1976"/>
      <c r="V2007" s="1976"/>
      <c r="W2007" s="1976"/>
      <c r="X2007" s="1976"/>
    </row>
    <row r="2008" spans="1:24" ht="15">
      <c r="A2008" s="1976"/>
      <c r="B2008" s="1976"/>
      <c r="C2008" s="1900"/>
      <c r="D2008" s="1900"/>
      <c r="E2008" s="1900"/>
      <c r="F2008" s="1900"/>
      <c r="G2008" s="1900"/>
      <c r="H2008" s="1900"/>
      <c r="I2008" s="1921" t="s">
        <v>4889</v>
      </c>
      <c r="J2008" s="1921"/>
      <c r="K2008" s="1921"/>
      <c r="L2008" s="1921"/>
      <c r="M2008" s="1921"/>
      <c r="N2008" s="1921"/>
      <c r="O2008" s="1921"/>
      <c r="P2008" s="1921"/>
      <c r="Q2008" s="1976"/>
      <c r="R2008" s="2817"/>
      <c r="S2008" s="1976"/>
      <c r="T2008" s="1976"/>
      <c r="U2008" s="1976"/>
      <c r="V2008" s="1976"/>
      <c r="W2008" s="1976"/>
      <c r="X2008" s="1976"/>
    </row>
    <row r="2009" spans="1:24" ht="15" customHeight="1">
      <c r="A2009" s="1900"/>
      <c r="B2009" s="1900" t="s">
        <v>5136</v>
      </c>
      <c r="C2009" s="1900"/>
      <c r="D2009" s="1900"/>
      <c r="E2009" s="1900"/>
      <c r="F2009" s="1900"/>
      <c r="G2009" s="1900"/>
      <c r="H2009" s="1900"/>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6"/>
      <c r="R2009" s="2817"/>
      <c r="S2009" s="1976"/>
      <c r="T2009" s="1976"/>
      <c r="U2009" s="1976"/>
      <c r="V2009" s="1976"/>
      <c r="W2009" s="1976"/>
      <c r="X2009" s="1976"/>
    </row>
    <row r="2010" spans="1:24" ht="15">
      <c r="A2010" s="1900"/>
      <c r="B2010" s="1900"/>
      <c r="C2010" s="1900"/>
      <c r="D2010" s="1900"/>
      <c r="E2010" s="1900"/>
      <c r="F2010" s="1900"/>
      <c r="G2010" s="1900"/>
      <c r="H2010" s="1900"/>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6"/>
      <c r="R2010" s="2817"/>
      <c r="S2010" s="1976"/>
      <c r="T2010" s="1976"/>
      <c r="U2010" s="1976"/>
      <c r="V2010" s="1976"/>
      <c r="W2010" s="1976"/>
      <c r="X2010" s="1976"/>
    </row>
    <row r="2011" spans="1:24" ht="15">
      <c r="A2011" s="1899"/>
      <c r="B2011" s="1900"/>
      <c r="C2011" s="1900"/>
      <c r="D2011" s="1900"/>
      <c r="E2011" s="1900"/>
      <c r="F2011" s="1900"/>
      <c r="G2011" s="1900"/>
      <c r="H2011" s="1900"/>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6"/>
      <c r="R2011" s="2817"/>
      <c r="S2011" s="1976"/>
      <c r="T2011" s="1976"/>
      <c r="U2011" s="1976"/>
      <c r="V2011" s="1976"/>
      <c r="W2011" s="1976"/>
      <c r="X2011" s="1976"/>
    </row>
    <row r="2012" spans="1:24" ht="15">
      <c r="A2012" s="1631"/>
      <c r="B2012" s="1866" t="s">
        <v>3757</v>
      </c>
      <c r="C2012" s="1631"/>
      <c r="D2012" s="1634"/>
      <c r="E2012" s="1634"/>
      <c r="F2012" s="1634"/>
      <c r="G2012" s="1634"/>
      <c r="H2012" s="521"/>
      <c r="I2012" s="521"/>
      <c r="J2012" s="521"/>
      <c r="K2012" s="521"/>
      <c r="L2012" s="1993"/>
      <c r="M2012" s="1630"/>
      <c r="N2012" s="1630"/>
      <c r="O2012" s="1863"/>
      <c r="P2012" s="1630"/>
      <c r="Q2012" s="1993"/>
      <c r="R2012" s="1993"/>
      <c r="S2012" s="1993"/>
      <c r="T2012" s="1993"/>
      <c r="U2012" s="1993"/>
      <c r="V2012" s="1993"/>
      <c r="W2012" s="1993"/>
      <c r="X2012" s="1993"/>
    </row>
    <row r="2013" spans="1:24" ht="15">
      <c r="A2013" s="1900">
        <f>'Part IX Scoring Criteria'!A365</f>
        <v>0</v>
      </c>
      <c r="B2013" s="1900"/>
      <c r="C2013" s="1900"/>
      <c r="D2013" s="1900"/>
      <c r="E2013" s="1900"/>
      <c r="F2013" s="1900"/>
      <c r="G2013" s="1900"/>
      <c r="H2013" s="1900"/>
      <c r="I2013" s="1900"/>
      <c r="J2013" s="1900"/>
      <c r="K2013" s="1900"/>
      <c r="L2013" s="1900"/>
      <c r="M2013" s="1900"/>
      <c r="N2013" s="1900"/>
      <c r="O2013" s="1900"/>
      <c r="P2013" s="1900"/>
      <c r="Q2013" s="2786" t="s">
        <v>1254</v>
      </c>
      <c r="R2013" s="1976"/>
      <c r="S2013" s="1976"/>
      <c r="T2013" s="1976"/>
      <c r="U2013" s="1976"/>
      <c r="V2013" s="1976"/>
      <c r="W2013" s="1976"/>
      <c r="X2013" s="1976"/>
    </row>
    <row r="2014" spans="1:24" ht="15">
      <c r="A2014" s="1631"/>
      <c r="B2014" s="1866" t="s">
        <v>1866</v>
      </c>
      <c r="C2014" s="1631"/>
      <c r="D2014" s="1866"/>
      <c r="E2014" s="1834"/>
      <c r="F2014" s="1834"/>
      <c r="G2014" s="1834"/>
      <c r="H2014" s="1834"/>
      <c r="I2014" s="1834"/>
      <c r="J2014" s="1834"/>
      <c r="K2014" s="1834"/>
      <c r="L2014" s="1834"/>
      <c r="M2014" s="1834"/>
      <c r="N2014" s="1923"/>
      <c r="O2014" s="1923"/>
      <c r="P2014" s="1630"/>
      <c r="Q2014" s="2006"/>
      <c r="R2014" s="1993"/>
      <c r="S2014" s="1993"/>
      <c r="T2014" s="1993"/>
      <c r="U2014" s="1993"/>
      <c r="V2014" s="1993"/>
      <c r="W2014" s="1993"/>
      <c r="X2014" s="1993"/>
    </row>
    <row r="2015" spans="1:24" ht="15">
      <c r="A2015" s="1900"/>
      <c r="B2015" s="1900"/>
      <c r="C2015" s="1900"/>
      <c r="D2015" s="1900"/>
      <c r="E2015" s="1900"/>
      <c r="F2015" s="1900"/>
      <c r="G2015" s="1900"/>
      <c r="H2015" s="1900"/>
      <c r="I2015" s="1900"/>
      <c r="J2015" s="1900"/>
      <c r="K2015" s="1900"/>
      <c r="L2015" s="1900"/>
      <c r="M2015" s="1900"/>
      <c r="N2015" s="1900"/>
      <c r="O2015" s="1900"/>
      <c r="P2015" s="1900"/>
      <c r="Q2015" s="2786"/>
      <c r="R2015" s="1976"/>
      <c r="S2015" s="1976"/>
      <c r="T2015" s="1976"/>
      <c r="U2015" s="1976"/>
      <c r="V2015" s="1976"/>
      <c r="W2015" s="1976"/>
      <c r="X2015" s="1976"/>
    </row>
    <row r="2016" spans="1:24" ht="15">
      <c r="A2016" s="1631"/>
      <c r="B2016" s="1976"/>
      <c r="C2016" s="1899"/>
      <c r="D2016" s="1899"/>
      <c r="E2016" s="1899"/>
      <c r="F2016" s="1899"/>
      <c r="G2016" s="1899"/>
      <c r="H2016" s="1899"/>
      <c r="I2016" s="1899"/>
      <c r="J2016" s="1899"/>
      <c r="K2016" s="1899"/>
      <c r="L2016" s="1899"/>
      <c r="M2016" s="1899"/>
      <c r="N2016" s="2011"/>
      <c r="O2016" s="2011"/>
      <c r="P2016" s="1630"/>
      <c r="Q2016" s="1976"/>
      <c r="R2016" s="1976"/>
      <c r="S2016" s="1976"/>
      <c r="T2016" s="1976"/>
      <c r="U2016" s="1976"/>
      <c r="V2016" s="1976"/>
      <c r="W2016" s="1976"/>
      <c r="X2016" s="1976"/>
    </row>
    <row r="2017" spans="1:24" ht="15">
      <c r="A2017" s="2828" t="s">
        <v>2251</v>
      </c>
      <c r="B2017" s="2764" t="s">
        <v>1672</v>
      </c>
      <c r="C2017" s="1976"/>
      <c r="D2017" s="1955"/>
      <c r="E2017" s="1955"/>
      <c r="F2017" s="1976"/>
      <c r="G2017" s="521"/>
      <c r="H2017" s="1976"/>
      <c r="I2017" s="521"/>
      <c r="J2017" s="521"/>
      <c r="K2017" s="1976"/>
      <c r="L2017" s="1895"/>
      <c r="M2017" s="1630">
        <v>1</v>
      </c>
      <c r="N2017" s="2870"/>
      <c r="O2017" s="1863">
        <f>'Part IX Scoring Criteria'!O369</f>
        <v>0</v>
      </c>
      <c r="P2017" s="1863">
        <f>IF(AND(NOT($I$370="&lt; Select applicable GICH &gt;"),OR(P2019="Yes",P2020="Yes"),P2022="Yes",P2023="Yes",P2024="Yes"),$M$369,0)</f>
        <v>0</v>
      </c>
      <c r="Q2017" s="1630" t="s">
        <v>441</v>
      </c>
      <c r="R2017" s="1976"/>
      <c r="S2017" s="1976"/>
      <c r="T2017" s="1976"/>
      <c r="U2017" s="1976"/>
      <c r="V2017" s="1976"/>
      <c r="W2017" s="1976"/>
      <c r="X2017" s="1976"/>
    </row>
    <row r="2018" spans="1:24" ht="15">
      <c r="A2018" s="1828"/>
      <c r="B2018" s="1841" t="s">
        <v>3615</v>
      </c>
      <c r="C2018" s="1976"/>
      <c r="D2018" s="1955"/>
      <c r="E2018" s="1955"/>
      <c r="F2018" s="1976"/>
      <c r="G2018" s="521"/>
      <c r="H2018" s="1976"/>
      <c r="I2018" s="521" t="str">
        <f>'Part IX Scoring Criteria'!I370</f>
        <v>&lt; Select applicable GICH &gt;</v>
      </c>
      <c r="J2018" s="521">
        <f>'Part IX Scoring Criteria'!J370</f>
        <v>0</v>
      </c>
      <c r="K2018" s="521">
        <f>'Part IX Scoring Criteria'!K370</f>
        <v>0</v>
      </c>
      <c r="L2018" s="521">
        <f>'Part IX Scoring Criteria'!L370</f>
        <v>0</v>
      </c>
      <c r="M2018" s="1630"/>
      <c r="N2018" s="2870"/>
      <c r="O2018" s="1976"/>
      <c r="P2018" s="1976"/>
      <c r="Q2018" s="2807"/>
      <c r="R2018" s="1689" t="s">
        <v>2706</v>
      </c>
      <c r="S2018" s="1976"/>
      <c r="T2018" s="1976"/>
      <c r="U2018" s="1976"/>
      <c r="V2018" s="1976"/>
      <c r="W2018" s="1976"/>
      <c r="X2018" s="1976"/>
    </row>
    <row r="2019" spans="1:24" ht="15">
      <c r="A2019" s="1828"/>
      <c r="B2019" s="2093" t="s">
        <v>1986</v>
      </c>
      <c r="C2019" s="1216" t="s">
        <v>4905</v>
      </c>
      <c r="D2019" s="1955"/>
      <c r="E2019" s="1216" t="s">
        <v>4906</v>
      </c>
      <c r="F2019" s="1976"/>
      <c r="G2019" s="521"/>
      <c r="H2019" s="1976"/>
      <c r="I2019" s="521"/>
      <c r="J2019" s="1216"/>
      <c r="K2019" s="1216"/>
      <c r="L2019" s="1216"/>
      <c r="M2019" s="1895"/>
      <c r="N2019" s="2018"/>
      <c r="O2019" s="1895">
        <f>'Part IX Scoring Criteria'!O371</f>
        <v>0</v>
      </c>
      <c r="P2019" s="1895"/>
      <c r="Q2019" s="2871"/>
      <c r="R2019" s="1689"/>
      <c r="S2019" s="1976"/>
      <c r="T2019" s="1976"/>
      <c r="U2019" s="1976"/>
      <c r="V2019" s="1976"/>
      <c r="W2019" s="1976"/>
      <c r="X2019" s="1976"/>
    </row>
    <row r="2020" spans="1:24" ht="15">
      <c r="A2020" s="1828"/>
      <c r="B2020" s="1895"/>
      <c r="C2020" s="1216"/>
      <c r="D2020" s="1955"/>
      <c r="E2020" s="1955" t="s">
        <v>4907</v>
      </c>
      <c r="F2020" s="1976"/>
      <c r="G2020" s="521"/>
      <c r="H2020" s="521"/>
      <c r="I2020" s="1216"/>
      <c r="J2020" s="1216"/>
      <c r="K2020" s="1216"/>
      <c r="L2020" s="2018"/>
      <c r="M2020" s="1863">
        <f>'Part IX Scoring Criteria'!M372</f>
        <v>0</v>
      </c>
      <c r="N2020" s="2018"/>
      <c r="O2020" s="1895">
        <f>'Part IX Scoring Criteria'!O372</f>
        <v>0</v>
      </c>
      <c r="P2020" s="1895"/>
      <c r="Q2020" s="2871"/>
      <c r="R2020" s="1689"/>
      <c r="S2020" s="1976"/>
      <c r="T2020" s="1976"/>
      <c r="U2020" s="1976"/>
      <c r="V2020" s="1976"/>
      <c r="W2020" s="1976"/>
      <c r="X2020" s="1976"/>
    </row>
    <row r="2021" spans="1:24" ht="15">
      <c r="A2021" s="1976"/>
      <c r="B2021" s="2093" t="s">
        <v>1988</v>
      </c>
      <c r="C2021" s="1841" t="s">
        <v>5204</v>
      </c>
      <c r="D2021" s="1993"/>
      <c r="E2021" s="1955"/>
      <c r="F2021" s="521"/>
      <c r="G2021" s="521"/>
      <c r="H2021" s="1976"/>
      <c r="I2021" s="1976"/>
      <c r="J2021" s="1976"/>
      <c r="K2021" s="1976"/>
      <c r="L2021" s="1976"/>
      <c r="M2021" s="1976"/>
      <c r="N2021" s="1937" t="s">
        <v>1983</v>
      </c>
      <c r="O2021" s="1943" t="s">
        <v>2510</v>
      </c>
      <c r="P2021" s="1943" t="s">
        <v>2510</v>
      </c>
      <c r="Q2021" s="1976"/>
      <c r="R2021" s="1976"/>
      <c r="S2021" s="1976"/>
      <c r="T2021" s="1976"/>
      <c r="U2021" s="1976"/>
      <c r="V2021" s="1976"/>
      <c r="W2021" s="1976"/>
      <c r="X2021" s="1976"/>
    </row>
    <row r="2022" spans="1:24">
      <c r="A2022" s="521"/>
      <c r="B2022" s="1937" t="s">
        <v>2435</v>
      </c>
      <c r="C2022" s="1841" t="s">
        <v>4059</v>
      </c>
      <c r="D2022" s="521"/>
      <c r="E2022" s="521"/>
      <c r="F2022" s="521"/>
      <c r="G2022" s="521"/>
      <c r="H2022" s="521"/>
      <c r="I2022" s="521"/>
      <c r="J2022" s="521"/>
      <c r="K2022" s="521"/>
      <c r="L2022" s="521"/>
      <c r="M2022" s="521"/>
      <c r="N2022" s="1937" t="s">
        <v>2435</v>
      </c>
      <c r="O2022" s="1895">
        <f>'Part IX Scoring Criteria'!O374</f>
        <v>0</v>
      </c>
      <c r="P2022" s="1895"/>
      <c r="Q2022" s="521"/>
      <c r="R2022" s="521"/>
      <c r="S2022" s="521"/>
      <c r="T2022" s="521"/>
      <c r="U2022" s="521"/>
      <c r="V2022" s="521"/>
      <c r="W2022" s="521"/>
      <c r="X2022" s="521"/>
    </row>
    <row r="2023" spans="1:24">
      <c r="A2023" s="521"/>
      <c r="B2023" s="1944" t="s">
        <v>2436</v>
      </c>
      <c r="C2023" s="1841" t="s">
        <v>4060</v>
      </c>
      <c r="D2023" s="521"/>
      <c r="E2023" s="521"/>
      <c r="F2023" s="521"/>
      <c r="G2023" s="521"/>
      <c r="H2023" s="521"/>
      <c r="I2023" s="521"/>
      <c r="J2023" s="521"/>
      <c r="K2023" s="521"/>
      <c r="L2023" s="521"/>
      <c r="M2023" s="521"/>
      <c r="N2023" s="1944" t="s">
        <v>2436</v>
      </c>
      <c r="O2023" s="1895">
        <f>'Part IX Scoring Criteria'!O375</f>
        <v>0</v>
      </c>
      <c r="P2023" s="1895"/>
      <c r="Q2023" s="521"/>
      <c r="R2023" s="521"/>
      <c r="S2023" s="521"/>
      <c r="T2023" s="521"/>
      <c r="U2023" s="521"/>
      <c r="V2023" s="521"/>
      <c r="W2023" s="521"/>
      <c r="X2023" s="521"/>
    </row>
    <row r="2024" spans="1:24">
      <c r="A2024" s="521"/>
      <c r="B2024" s="1937" t="s">
        <v>2437</v>
      </c>
      <c r="C2024" s="1841" t="s">
        <v>4890</v>
      </c>
      <c r="D2024" s="521"/>
      <c r="E2024" s="521"/>
      <c r="F2024" s="521"/>
      <c r="G2024" s="521"/>
      <c r="H2024" s="521"/>
      <c r="I2024" s="521"/>
      <c r="J2024" s="521"/>
      <c r="K2024" s="521"/>
      <c r="L2024" s="521"/>
      <c r="M2024" s="521"/>
      <c r="N2024" s="1937" t="s">
        <v>2437</v>
      </c>
      <c r="O2024" s="1895">
        <f>'Part IX Scoring Criteria'!O376</f>
        <v>0</v>
      </c>
      <c r="P2024" s="1895"/>
      <c r="Q2024" s="521"/>
      <c r="R2024" s="521"/>
      <c r="S2024" s="521"/>
      <c r="T2024" s="521"/>
      <c r="U2024" s="521"/>
      <c r="V2024" s="521"/>
      <c r="W2024" s="521"/>
      <c r="X2024" s="521"/>
    </row>
    <row r="2025" spans="1:24">
      <c r="A2025" s="1216"/>
      <c r="B2025" s="2040" t="s">
        <v>3616</v>
      </c>
      <c r="C2025" s="1216"/>
      <c r="D2025" s="521"/>
      <c r="E2025" s="521"/>
      <c r="F2025" s="521"/>
      <c r="G2025" s="521"/>
      <c r="H2025" s="521"/>
      <c r="I2025" s="521"/>
      <c r="J2025" s="521"/>
      <c r="K2025" s="521"/>
      <c r="L2025" s="521"/>
      <c r="M2025" s="521"/>
      <c r="N2025" s="1937"/>
      <c r="O2025" s="1937"/>
      <c r="P2025" s="1937"/>
      <c r="Q2025" s="1216"/>
      <c r="R2025" s="1216"/>
      <c r="S2025" s="1216"/>
      <c r="T2025" s="1216"/>
      <c r="U2025" s="1216"/>
      <c r="V2025" s="1216"/>
      <c r="W2025" s="1216"/>
      <c r="X2025" s="1216"/>
    </row>
    <row r="2026" spans="1:24">
      <c r="A2026" s="1216"/>
      <c r="B2026" s="2040"/>
      <c r="C2026" s="1216"/>
      <c r="D2026" s="521"/>
      <c r="E2026" s="521"/>
      <c r="F2026" s="521"/>
      <c r="G2026" s="521"/>
      <c r="H2026" s="521"/>
      <c r="I2026" s="521"/>
      <c r="J2026" s="521"/>
      <c r="K2026" s="521"/>
      <c r="L2026" s="521"/>
      <c r="M2026" s="521"/>
      <c r="N2026" s="1937"/>
      <c r="O2026" s="1937"/>
      <c r="P2026" s="1937"/>
      <c r="Q2026" s="1216"/>
      <c r="R2026" s="1216"/>
      <c r="S2026" s="1216"/>
      <c r="T2026" s="1216"/>
      <c r="U2026" s="1216"/>
      <c r="V2026" s="1216"/>
      <c r="W2026" s="1216"/>
      <c r="X2026" s="1216"/>
    </row>
    <row r="2027" spans="1:24" ht="15">
      <c r="A2027" s="1631"/>
      <c r="B2027" s="1866" t="s">
        <v>3757</v>
      </c>
      <c r="C2027" s="1631"/>
      <c r="D2027" s="1634"/>
      <c r="E2027" s="1634"/>
      <c r="F2027" s="1634"/>
      <c r="G2027" s="1634"/>
      <c r="H2027" s="521"/>
      <c r="I2027" s="521"/>
      <c r="J2027" s="521"/>
      <c r="K2027" s="521"/>
      <c r="L2027" s="1993"/>
      <c r="M2027" s="1630"/>
      <c r="N2027" s="1630"/>
      <c r="O2027" s="1863"/>
      <c r="P2027" s="1630"/>
      <c r="Q2027" s="1993"/>
      <c r="R2027" s="1993"/>
      <c r="S2027" s="1993"/>
      <c r="T2027" s="1993"/>
      <c r="U2027" s="1993"/>
      <c r="V2027" s="1993"/>
      <c r="W2027" s="1993"/>
      <c r="X2027" s="1993"/>
    </row>
    <row r="2028" spans="1:24" ht="15">
      <c r="A2028" s="1900">
        <f>'Part IX Scoring Criteria'!A380</f>
        <v>0</v>
      </c>
      <c r="B2028" s="1900"/>
      <c r="C2028" s="1900"/>
      <c r="D2028" s="1900"/>
      <c r="E2028" s="1900"/>
      <c r="F2028" s="1900"/>
      <c r="G2028" s="1900"/>
      <c r="H2028" s="1900"/>
      <c r="I2028" s="1900"/>
      <c r="J2028" s="1900"/>
      <c r="K2028" s="1900"/>
      <c r="L2028" s="1900"/>
      <c r="M2028" s="1900"/>
      <c r="N2028" s="1900"/>
      <c r="O2028" s="1900"/>
      <c r="P2028" s="1900"/>
      <c r="Q2028" s="2786" t="s">
        <v>1254</v>
      </c>
      <c r="R2028" s="1976"/>
      <c r="S2028" s="1976"/>
      <c r="T2028" s="1976"/>
      <c r="U2028" s="1976"/>
      <c r="V2028" s="1976"/>
      <c r="W2028" s="1976"/>
      <c r="X2028" s="1976"/>
    </row>
    <row r="2029" spans="1:24" ht="15">
      <c r="A2029" s="1631"/>
      <c r="B2029" s="1866" t="s">
        <v>1866</v>
      </c>
      <c r="C2029" s="1631"/>
      <c r="D2029" s="1866"/>
      <c r="E2029" s="1834"/>
      <c r="F2029" s="1834"/>
      <c r="G2029" s="1834"/>
      <c r="H2029" s="1834"/>
      <c r="I2029" s="1834"/>
      <c r="J2029" s="1834"/>
      <c r="K2029" s="1834"/>
      <c r="L2029" s="1834"/>
      <c r="M2029" s="1834"/>
      <c r="N2029" s="1923"/>
      <c r="O2029" s="1923"/>
      <c r="P2029" s="1630"/>
      <c r="Q2029" s="2006"/>
      <c r="R2029" s="1993"/>
      <c r="S2029" s="1993"/>
      <c r="T2029" s="1993"/>
      <c r="U2029" s="1993"/>
      <c r="V2029" s="1993"/>
      <c r="W2029" s="1993"/>
      <c r="X2029" s="1993"/>
    </row>
    <row r="2030" spans="1:24" ht="15">
      <c r="A2030" s="1900"/>
      <c r="B2030" s="1900"/>
      <c r="C2030" s="1900"/>
      <c r="D2030" s="1900"/>
      <c r="E2030" s="1900"/>
      <c r="F2030" s="1900"/>
      <c r="G2030" s="1900"/>
      <c r="H2030" s="1900"/>
      <c r="I2030" s="1900"/>
      <c r="J2030" s="1900"/>
      <c r="K2030" s="1900"/>
      <c r="L2030" s="1900"/>
      <c r="M2030" s="1900"/>
      <c r="N2030" s="1900"/>
      <c r="O2030" s="1900"/>
      <c r="P2030" s="1900"/>
      <c r="Q2030" s="2786"/>
      <c r="R2030" s="1976"/>
      <c r="S2030" s="1976"/>
      <c r="T2030" s="1976"/>
      <c r="U2030" s="1976"/>
      <c r="V2030" s="1976"/>
      <c r="W2030" s="1976"/>
      <c r="X2030" s="1976"/>
    </row>
    <row r="2031" spans="1:24">
      <c r="N2031" s="1637"/>
      <c r="O2031" s="1637"/>
      <c r="P2031" s="1637"/>
    </row>
    <row r="2032" spans="1:24" ht="15">
      <c r="A2032" s="2828" t="s">
        <v>4104</v>
      </c>
      <c r="B2032" s="2764" t="s">
        <v>4065</v>
      </c>
      <c r="C2032" s="1976"/>
      <c r="D2032" s="1955"/>
      <c r="E2032" s="1955"/>
      <c r="F2032" s="521"/>
      <c r="G2032" s="521"/>
      <c r="H2032" s="1634" t="s">
        <v>2794</v>
      </c>
      <c r="I2032" s="1976"/>
      <c r="J2032" s="1634" t="str">
        <f>'Part I-Project Information'!$H$105</f>
        <v>N/A - 4% Bond</v>
      </c>
      <c r="K2032" s="1976"/>
      <c r="L2032" s="2817" t="str">
        <f>IF(OR($O2032=$M2032,$O2032=$M2039,$O2032=$M2059,$O2032=0,$O2032=""),"","* * Check Score! * *")</f>
        <v/>
      </c>
      <c r="M2032" s="1863">
        <v>4</v>
      </c>
      <c r="N2032" s="1630"/>
      <c r="O2032" s="1863">
        <f>'Part IX Scoring Criteria'!O384</f>
        <v>0</v>
      </c>
      <c r="P2032" s="1863">
        <f>P2039+P2059</f>
        <v>0</v>
      </c>
      <c r="Q2032" s="1630" t="s">
        <v>441</v>
      </c>
      <c r="R2032" s="1976"/>
      <c r="S2032" s="1976"/>
      <c r="T2032" s="1976"/>
      <c r="U2032" s="1976"/>
      <c r="V2032" s="1976"/>
      <c r="W2032" s="1976"/>
      <c r="X2032" s="1976"/>
    </row>
    <row r="2033" spans="1:24" ht="15">
      <c r="A2033" s="1631"/>
      <c r="B2033" s="1841" t="s">
        <v>5205</v>
      </c>
      <c r="C2033" s="1976"/>
      <c r="D2033" s="1976"/>
      <c r="E2033" s="1955"/>
      <c r="F2033" s="521"/>
      <c r="G2033" s="521"/>
      <c r="H2033" s="521"/>
      <c r="I2033" s="521"/>
      <c r="J2033" s="1976"/>
      <c r="K2033" s="1895"/>
      <c r="L2033" s="2096"/>
      <c r="M2033" s="1976"/>
      <c r="N2033" s="1976"/>
      <c r="O2033" s="1895" t="s">
        <v>2510</v>
      </c>
      <c r="P2033" s="1895" t="s">
        <v>2510</v>
      </c>
      <c r="Q2033" s="1976"/>
      <c r="R2033" s="1976"/>
      <c r="S2033" s="1976"/>
      <c r="T2033" s="1976"/>
      <c r="U2033" s="1976"/>
      <c r="V2033" s="1976"/>
      <c r="W2033" s="1976"/>
      <c r="X2033" s="1976"/>
    </row>
    <row r="2034" spans="1:24" ht="15" customHeight="1">
      <c r="A2034" s="1216"/>
      <c r="B2034" s="1937" t="s">
        <v>2435</v>
      </c>
      <c r="C2034" s="521" t="s">
        <v>2828</v>
      </c>
      <c r="D2034" s="1216"/>
      <c r="E2034" s="1955"/>
      <c r="F2034" s="521"/>
      <c r="G2034" s="521"/>
      <c r="H2034" s="521"/>
      <c r="I2034" s="521"/>
      <c r="J2034" s="1976"/>
      <c r="K2034" s="1895"/>
      <c r="L2034" s="1900" t="str">
        <f>IF(OR(O2034="No",O2034="",O2035="No",O2035="",O2036="No",O2036="",O2037="No",O2037=""),"Unmet criterion results in no points!","")</f>
        <v/>
      </c>
      <c r="M2034" s="1900"/>
      <c r="N2034" s="1937" t="s">
        <v>2435</v>
      </c>
      <c r="O2034" s="1895">
        <f>'Part IX Scoring Criteria'!O386</f>
        <v>0</v>
      </c>
      <c r="P2034" s="1895"/>
      <c r="Q2034" s="1216"/>
      <c r="R2034" s="1900" t="str">
        <f>IF(OR(P2034="No",P2034="",P2035="No",P2035="",P2036="No",P2036="",P2037="No",P2037=""),"Unmet criterion results in no points!","")</f>
        <v>Unmet criterion results in no points!</v>
      </c>
      <c r="S2034" s="1900" t="e">
        <f>IF(OR(V2034="No",V2034="",V2035="No",V2035="",V2036="No",V2036="",V2037="No",V2037="",#REF!="No",#REF!="",#REF!="No",#REF!=""),"Unmet criterion results in no points!","")</f>
        <v>#REF!</v>
      </c>
      <c r="T2034" s="1216"/>
      <c r="U2034" s="1216"/>
      <c r="V2034" s="1216"/>
      <c r="W2034" s="1216"/>
      <c r="X2034" s="1216"/>
    </row>
    <row r="2035" spans="1:24">
      <c r="A2035" s="1216"/>
      <c r="B2035" s="1937" t="s">
        <v>2436</v>
      </c>
      <c r="C2035" s="521" t="s">
        <v>3811</v>
      </c>
      <c r="D2035" s="1216"/>
      <c r="E2035" s="1216"/>
      <c r="F2035" s="1216"/>
      <c r="G2035" s="1216"/>
      <c r="H2035" s="1216"/>
      <c r="I2035" s="1216"/>
      <c r="J2035" s="1216"/>
      <c r="K2035" s="1216"/>
      <c r="L2035" s="1900"/>
      <c r="M2035" s="1900"/>
      <c r="N2035" s="1937" t="s">
        <v>2436</v>
      </c>
      <c r="O2035" s="1895">
        <f>'Part IX Scoring Criteria'!O387</f>
        <v>0</v>
      </c>
      <c r="P2035" s="1895"/>
      <c r="Q2035" s="1216"/>
      <c r="R2035" s="1900"/>
      <c r="S2035" s="1900"/>
      <c r="T2035" s="1216"/>
      <c r="U2035" s="1216"/>
      <c r="V2035" s="1216"/>
      <c r="W2035" s="1216"/>
      <c r="X2035" s="1216"/>
    </row>
    <row r="2036" spans="1:24">
      <c r="A2036" s="1216"/>
      <c r="B2036" s="1937" t="s">
        <v>2437</v>
      </c>
      <c r="C2036" s="521" t="s">
        <v>3810</v>
      </c>
      <c r="D2036" s="1216"/>
      <c r="E2036" s="1216"/>
      <c r="F2036" s="1216"/>
      <c r="G2036" s="1216"/>
      <c r="H2036" s="1216"/>
      <c r="I2036" s="1216"/>
      <c r="J2036" s="1216"/>
      <c r="K2036" s="1216"/>
      <c r="L2036" s="1900"/>
      <c r="M2036" s="1900"/>
      <c r="N2036" s="1937" t="s">
        <v>2437</v>
      </c>
      <c r="O2036" s="1895">
        <f>'Part IX Scoring Criteria'!O388</f>
        <v>0</v>
      </c>
      <c r="P2036" s="1895"/>
      <c r="Q2036" s="1216"/>
      <c r="R2036" s="1900"/>
      <c r="S2036" s="1900"/>
      <c r="T2036" s="1216"/>
      <c r="U2036" s="1216"/>
      <c r="V2036" s="1216"/>
      <c r="W2036" s="1216"/>
      <c r="X2036" s="1216"/>
    </row>
    <row r="2037" spans="1:24" ht="12.75" customHeight="1">
      <c r="A2037" s="1216"/>
      <c r="B2037" s="1944" t="s">
        <v>2438</v>
      </c>
      <c r="C2037" s="1900" t="s">
        <v>4891</v>
      </c>
      <c r="D2037" s="1900"/>
      <c r="E2037" s="1900"/>
      <c r="F2037" s="1900"/>
      <c r="G2037" s="1900"/>
      <c r="H2037" s="1900"/>
      <c r="I2037" s="1900"/>
      <c r="J2037" s="1900"/>
      <c r="K2037" s="1900"/>
      <c r="L2037" s="1900"/>
      <c r="M2037" s="1900"/>
      <c r="N2037" s="1944" t="s">
        <v>2438</v>
      </c>
      <c r="O2037" s="1948">
        <f>'Part IX Scoring Criteria'!O389</f>
        <v>0</v>
      </c>
      <c r="P2037" s="1948"/>
      <c r="Q2037" s="1216"/>
      <c r="R2037" s="1216"/>
      <c r="S2037" s="1216"/>
      <c r="T2037" s="1216"/>
      <c r="U2037" s="1216"/>
      <c r="V2037" s="1216"/>
      <c r="W2037" s="1216"/>
      <c r="X2037" s="1216"/>
    </row>
    <row r="2038" spans="1:24">
      <c r="C2038" s="1900"/>
      <c r="D2038" s="1900"/>
      <c r="E2038" s="1900"/>
      <c r="F2038" s="1900"/>
      <c r="G2038" s="1900"/>
      <c r="H2038" s="1900"/>
      <c r="I2038" s="1900"/>
      <c r="J2038" s="1900"/>
      <c r="K2038" s="1900"/>
      <c r="L2038" s="1900"/>
      <c r="M2038" s="1900"/>
      <c r="N2038" s="1637"/>
      <c r="O2038" s="1637"/>
      <c r="P2038" s="1637"/>
    </row>
    <row r="2039" spans="1:24">
      <c r="A2039" s="2872" t="s">
        <v>1983</v>
      </c>
      <c r="B2039" s="1634" t="s">
        <v>4067</v>
      </c>
      <c r="L2039" s="2817" t="str">
        <f>IF(OR($O2039=$M2039,$O2039=0,$O2039=""),"","* * Check Score! * *")</f>
        <v/>
      </c>
      <c r="M2039" s="1633">
        <v>3</v>
      </c>
      <c r="N2039" s="1937" t="s">
        <v>1983</v>
      </c>
      <c r="O2039" s="1863">
        <f>'Part IX Scoring Criteria'!O391</f>
        <v>0</v>
      </c>
      <c r="P2039" s="1863"/>
      <c r="Q2039" s="2807" t="str">
        <f>IF(OR($O2039=$M2039,$O2039=0,$O2039=""),"","*CHECK!*")</f>
        <v/>
      </c>
      <c r="R2039" s="1689" t="s">
        <v>2706</v>
      </c>
    </row>
    <row r="2040" spans="1:24">
      <c r="A2040" s="2872"/>
      <c r="B2040" s="2854" t="s">
        <v>1986</v>
      </c>
      <c r="C2040" s="1921" t="s">
        <v>4894</v>
      </c>
      <c r="D2040" s="1921"/>
      <c r="E2040" s="1921"/>
      <c r="F2040" s="1921"/>
      <c r="G2040" s="1921"/>
      <c r="H2040" s="1921"/>
      <c r="I2040" s="1921"/>
    </row>
    <row r="2041" spans="1:24">
      <c r="A2041" s="2872"/>
      <c r="B2041" s="2021"/>
      <c r="C2041" s="1921" t="s">
        <v>4893</v>
      </c>
      <c r="D2041" s="1921"/>
      <c r="E2041" s="1921"/>
      <c r="F2041" s="1921"/>
      <c r="G2041" s="1921"/>
      <c r="H2041" s="1921"/>
      <c r="I2041" s="1921"/>
      <c r="J2041" s="2039" t="s">
        <v>1990</v>
      </c>
      <c r="K2041" s="2039"/>
      <c r="M2041" s="2039" t="s">
        <v>1990</v>
      </c>
      <c r="N2041" s="2039"/>
      <c r="O2041" s="2039"/>
      <c r="P2041" s="2039"/>
    </row>
    <row r="2042" spans="1:24" ht="15">
      <c r="A2042" s="1941"/>
      <c r="B2042" s="1937" t="s">
        <v>2435</v>
      </c>
      <c r="C2042" s="521" t="s">
        <v>1482</v>
      </c>
      <c r="D2042" s="1976"/>
      <c r="E2042" s="1976"/>
      <c r="F2042" s="1976"/>
      <c r="G2042" s="1976"/>
      <c r="H2042" s="1976"/>
      <c r="I2042" s="1937" t="s">
        <v>2435</v>
      </c>
      <c r="J2042" s="1862">
        <f>'Part IX Scoring Criteria'!J394</f>
        <v>0</v>
      </c>
      <c r="K2042" s="1862">
        <f>'Part IX Scoring Criteria'!K394</f>
        <v>0</v>
      </c>
      <c r="L2042" s="1937" t="s">
        <v>2435</v>
      </c>
      <c r="M2042" s="1862"/>
      <c r="N2042" s="1862"/>
      <c r="O2042" s="1862"/>
      <c r="P2042" s="1862"/>
      <c r="Q2042" s="1976"/>
      <c r="R2042" s="2817"/>
      <c r="S2042" s="1976"/>
      <c r="T2042" s="1976"/>
      <c r="U2042" s="1976"/>
      <c r="V2042" s="1976"/>
      <c r="W2042" s="1976"/>
      <c r="X2042" s="1976"/>
    </row>
    <row r="2043" spans="1:24">
      <c r="A2043" s="1879"/>
      <c r="B2043" s="1944" t="s">
        <v>2436</v>
      </c>
      <c r="C2043" s="521" t="s">
        <v>3622</v>
      </c>
      <c r="I2043" s="1944" t="s">
        <v>2436</v>
      </c>
      <c r="J2043" s="1862">
        <f>'Part IX Scoring Criteria'!J395</f>
        <v>0</v>
      </c>
      <c r="K2043" s="1862">
        <f>'Part IX Scoring Criteria'!K395</f>
        <v>0</v>
      </c>
      <c r="L2043" s="1944" t="s">
        <v>2436</v>
      </c>
      <c r="M2043" s="1862"/>
      <c r="N2043" s="1862"/>
      <c r="O2043" s="1862"/>
      <c r="P2043" s="1862"/>
      <c r="R2043" s="2817"/>
    </row>
    <row r="2044" spans="1:24">
      <c r="B2044" s="1937" t="s">
        <v>2437</v>
      </c>
      <c r="C2044" s="521" t="s">
        <v>2626</v>
      </c>
      <c r="I2044" s="1937" t="s">
        <v>2437</v>
      </c>
      <c r="J2044" s="1862">
        <f>'Part IX Scoring Criteria'!J396</f>
        <v>0</v>
      </c>
      <c r="K2044" s="1862">
        <f>'Part IX Scoring Criteria'!K396</f>
        <v>0</v>
      </c>
      <c r="L2044" s="1937" t="s">
        <v>2437</v>
      </c>
      <c r="M2044" s="1862"/>
      <c r="N2044" s="1862"/>
      <c r="O2044" s="1862"/>
      <c r="P2044" s="1862"/>
      <c r="R2044" s="2817"/>
    </row>
    <row r="2045" spans="1:24">
      <c r="A2045" s="1879"/>
      <c r="B2045" s="1937" t="s">
        <v>2438</v>
      </c>
      <c r="C2045" s="521" t="s">
        <v>3461</v>
      </c>
      <c r="I2045" s="1937" t="s">
        <v>2438</v>
      </c>
      <c r="J2045" s="1862">
        <f>'Part IX Scoring Criteria'!J397</f>
        <v>0</v>
      </c>
      <c r="K2045" s="1862">
        <f>'Part IX Scoring Criteria'!K397</f>
        <v>0</v>
      </c>
      <c r="L2045" s="1937" t="s">
        <v>2438</v>
      </c>
      <c r="M2045" s="1862"/>
      <c r="N2045" s="1862"/>
      <c r="O2045" s="1862"/>
      <c r="P2045" s="1862"/>
      <c r="R2045" s="2817"/>
    </row>
    <row r="2046" spans="1:24" ht="15">
      <c r="A2046" s="1941"/>
      <c r="B2046" s="1944" t="s">
        <v>2439</v>
      </c>
      <c r="C2046" s="521" t="s">
        <v>2731</v>
      </c>
      <c r="D2046" s="1976"/>
      <c r="E2046" s="1976"/>
      <c r="F2046" s="1976"/>
      <c r="G2046" s="1976"/>
      <c r="H2046" s="1976"/>
      <c r="I2046" s="1944" t="s">
        <v>2439</v>
      </c>
      <c r="J2046" s="1862">
        <f>'Part IX Scoring Criteria'!J398</f>
        <v>0</v>
      </c>
      <c r="K2046" s="1862">
        <f>'Part IX Scoring Criteria'!K398</f>
        <v>0</v>
      </c>
      <c r="L2046" s="1944" t="s">
        <v>2439</v>
      </c>
      <c r="M2046" s="1862"/>
      <c r="N2046" s="1862"/>
      <c r="O2046" s="1862"/>
      <c r="P2046" s="1862"/>
      <c r="Q2046" s="1976"/>
      <c r="R2046" s="2817"/>
      <c r="S2046" s="1976"/>
      <c r="T2046" s="1976"/>
      <c r="U2046" s="1976"/>
      <c r="V2046" s="1976"/>
      <c r="W2046" s="1976"/>
      <c r="X2046" s="1976"/>
    </row>
    <row r="2047" spans="1:24">
      <c r="B2047" s="1937" t="s">
        <v>2455</v>
      </c>
      <c r="C2047" s="521" t="s">
        <v>1481</v>
      </c>
      <c r="I2047" s="1937" t="s">
        <v>2455</v>
      </c>
      <c r="J2047" s="1862">
        <f>'Part IX Scoring Criteria'!J399</f>
        <v>0</v>
      </c>
      <c r="K2047" s="1862">
        <f>'Part IX Scoring Criteria'!K399</f>
        <v>0</v>
      </c>
      <c r="L2047" s="1937" t="s">
        <v>2455</v>
      </c>
      <c r="M2047" s="1862"/>
      <c r="N2047" s="1862"/>
      <c r="O2047" s="1862"/>
      <c r="P2047" s="1862"/>
      <c r="R2047" s="2817"/>
    </row>
    <row r="2048" spans="1:24">
      <c r="A2048" s="1879"/>
      <c r="B2048" s="1937" t="s">
        <v>2456</v>
      </c>
      <c r="C2048" s="521" t="s">
        <v>3620</v>
      </c>
      <c r="I2048" s="1937" t="s">
        <v>2456</v>
      </c>
      <c r="J2048" s="1862">
        <f>'Part IX Scoring Criteria'!J400</f>
        <v>0</v>
      </c>
      <c r="K2048" s="1862">
        <f>'Part IX Scoring Criteria'!K400</f>
        <v>0</v>
      </c>
      <c r="L2048" s="1937" t="s">
        <v>2456</v>
      </c>
      <c r="M2048" s="1862"/>
      <c r="N2048" s="1862"/>
      <c r="O2048" s="1862"/>
      <c r="P2048" s="1862"/>
      <c r="R2048" s="2817"/>
    </row>
    <row r="2049" spans="1:24">
      <c r="B2049" s="1937" t="s">
        <v>2457</v>
      </c>
      <c r="C2049" s="521" t="s">
        <v>5094</v>
      </c>
      <c r="I2049" s="1937" t="s">
        <v>2457</v>
      </c>
      <c r="J2049" s="1862">
        <f>'Part IX Scoring Criteria'!J401</f>
        <v>0</v>
      </c>
      <c r="K2049" s="1862">
        <f>'Part IX Scoring Criteria'!K401</f>
        <v>0</v>
      </c>
      <c r="L2049" s="1937" t="s">
        <v>2457</v>
      </c>
      <c r="M2049" s="1862"/>
      <c r="N2049" s="1862"/>
      <c r="O2049" s="1862"/>
      <c r="P2049" s="1862"/>
      <c r="R2049" s="2817"/>
    </row>
    <row r="2050" spans="1:24">
      <c r="B2050" s="1937" t="s">
        <v>2458</v>
      </c>
      <c r="C2050" s="521" t="s">
        <v>4896</v>
      </c>
      <c r="I2050" s="1937" t="s">
        <v>2458</v>
      </c>
      <c r="J2050" s="1862">
        <f>'Part IX Scoring Criteria'!J402</f>
        <v>0</v>
      </c>
      <c r="K2050" s="1862">
        <f>'Part IX Scoring Criteria'!K402</f>
        <v>0</v>
      </c>
      <c r="L2050" s="1937" t="s">
        <v>2458</v>
      </c>
      <c r="M2050" s="1862"/>
      <c r="N2050" s="1862"/>
      <c r="O2050" s="1862"/>
      <c r="P2050" s="1862"/>
      <c r="R2050" s="2817"/>
    </row>
    <row r="2051" spans="1:24">
      <c r="B2051" s="1937" t="s">
        <v>3623</v>
      </c>
      <c r="C2051" s="521" t="s">
        <v>4897</v>
      </c>
      <c r="I2051" s="1937" t="s">
        <v>3623</v>
      </c>
      <c r="J2051" s="1862">
        <f>'Part IX Scoring Criteria'!J403</f>
        <v>0</v>
      </c>
      <c r="K2051" s="1862">
        <f>'Part IX Scoring Criteria'!K403</f>
        <v>0</v>
      </c>
      <c r="L2051" s="1937" t="s">
        <v>3623</v>
      </c>
      <c r="M2051" s="1862"/>
      <c r="N2051" s="1862"/>
      <c r="O2051" s="1862"/>
      <c r="P2051" s="1862"/>
      <c r="R2051" s="2817"/>
    </row>
    <row r="2052" spans="1:24">
      <c r="B2052" s="2098" t="s">
        <v>5137</v>
      </c>
      <c r="H2052" s="1841" t="s">
        <v>2628</v>
      </c>
      <c r="J2052" s="1862">
        <f>SUM(J2042:K2051)</f>
        <v>0</v>
      </c>
      <c r="K2052" s="1862"/>
      <c r="M2052" s="1862">
        <f>SUM($M2042:$M2051)</f>
        <v>0</v>
      </c>
      <c r="N2052" s="1862"/>
      <c r="O2052" s="1862"/>
      <c r="P2052" s="1862"/>
      <c r="R2052" s="2817"/>
    </row>
    <row r="2053" spans="1:24" ht="15">
      <c r="A2053" s="1631"/>
      <c r="B2053" s="1976"/>
      <c r="C2053" s="1976"/>
      <c r="D2053" s="521"/>
      <c r="E2053" s="521"/>
      <c r="F2053" s="1630"/>
      <c r="G2053" s="1652"/>
      <c r="H2053" s="1956"/>
      <c r="I2053" s="1976"/>
      <c r="J2053" s="1647"/>
      <c r="K2053" s="1647"/>
      <c r="L2053" s="1652"/>
      <c r="M2053" s="1647"/>
      <c r="N2053" s="1647"/>
      <c r="O2053" s="2099"/>
      <c r="P2053" s="1647"/>
      <c r="Q2053" s="1976"/>
      <c r="R2053" s="1976"/>
      <c r="S2053" s="1976"/>
      <c r="T2053" s="1976"/>
      <c r="U2053" s="1976"/>
      <c r="V2053" s="1976"/>
      <c r="W2053" s="1976"/>
      <c r="X2053" s="1976"/>
    </row>
    <row r="2054" spans="1:24">
      <c r="B2054" s="2873" t="s">
        <v>1988</v>
      </c>
      <c r="C2054" s="1486" t="s">
        <v>2627</v>
      </c>
      <c r="M2054" s="1647"/>
      <c r="N2054" s="1647"/>
      <c r="P2054" s="1647"/>
    </row>
    <row r="2055" spans="1:24" ht="15" customHeight="1">
      <c r="A2055" s="1631"/>
      <c r="B2055" s="1976"/>
      <c r="C2055" s="1785" t="s">
        <v>5206</v>
      </c>
      <c r="D2055" s="1785"/>
      <c r="E2055" s="1785"/>
      <c r="F2055" s="1841" t="s">
        <v>4940</v>
      </c>
      <c r="G2055" s="1976"/>
      <c r="I2055" s="1823">
        <f>'Part IX Scoring Criteria'!I407</f>
        <v>0</v>
      </c>
      <c r="J2055" s="1862">
        <f>'Part IV-A-Uses of Funds'!$G$132</f>
        <v>18093801</v>
      </c>
      <c r="K2055" s="1862"/>
      <c r="L2055" s="1652"/>
      <c r="M2055" s="1647"/>
      <c r="N2055" s="1647"/>
      <c r="O2055" s="2099"/>
      <c r="P2055" s="1647"/>
      <c r="Q2055" s="1976"/>
      <c r="R2055" s="1976"/>
      <c r="S2055" s="1976"/>
      <c r="T2055" s="1976"/>
      <c r="U2055" s="1976"/>
      <c r="V2055" s="1976"/>
      <c r="W2055" s="1976"/>
      <c r="X2055" s="1976"/>
    </row>
    <row r="2056" spans="1:24">
      <c r="C2056" s="1785"/>
      <c r="D2056" s="1785"/>
      <c r="E2056" s="1785"/>
      <c r="F2056" s="1964" t="s">
        <v>4939</v>
      </c>
      <c r="I2056" s="2874">
        <f>'Part IX Scoring Criteria'!I408</f>
        <v>0</v>
      </c>
      <c r="J2056" s="2100">
        <f>IF($J2055=0,0,$J2052/$J2055)</f>
        <v>0</v>
      </c>
      <c r="K2056" s="2100"/>
      <c r="M2056" s="2100">
        <f>'Part IX Scoring Criteria'!M408</f>
        <v>0</v>
      </c>
      <c r="N2056" s="2100">
        <f>'Part IX Scoring Criteria'!N408</f>
        <v>0</v>
      </c>
      <c r="O2056" s="2100">
        <f>'Part IX Scoring Criteria'!O408</f>
        <v>0</v>
      </c>
      <c r="P2056" s="2100">
        <f>'Part IX Scoring Criteria'!P408</f>
        <v>0</v>
      </c>
    </row>
    <row r="2057" spans="1:24" ht="15">
      <c r="A2057" s="1976"/>
      <c r="B2057" s="1976"/>
      <c r="C2057" s="1785"/>
      <c r="D2057" s="1785"/>
      <c r="E2057" s="1785"/>
      <c r="F2057" s="1955" t="s">
        <v>4938</v>
      </c>
      <c r="G2057" s="1976"/>
      <c r="H2057" s="1976"/>
      <c r="I2057" s="1823">
        <f>'Part IX Scoring Criteria'!I409</f>
        <v>0</v>
      </c>
      <c r="J2057" s="1846">
        <f>'Part IX Scoring Criteria'!J409</f>
        <v>0</v>
      </c>
      <c r="K2057" s="1846">
        <f>'Part IX Scoring Criteria'!K409</f>
        <v>0</v>
      </c>
      <c r="L2057" s="1634"/>
      <c r="M2057" s="1846">
        <f>'Part IX Scoring Criteria'!M409</f>
        <v>0</v>
      </c>
      <c r="N2057" s="1846">
        <f>'Part IX Scoring Criteria'!N409</f>
        <v>0</v>
      </c>
      <c r="O2057" s="1846">
        <f>'Part IX Scoring Criteria'!O409</f>
        <v>0</v>
      </c>
      <c r="P2057" s="1846">
        <f>'Part IX Scoring Criteria'!P409</f>
        <v>0</v>
      </c>
      <c r="Q2057" s="1976"/>
      <c r="R2057" s="1976"/>
      <c r="S2057" s="1976"/>
      <c r="T2057" s="1976"/>
      <c r="U2057" s="1976"/>
      <c r="V2057" s="1976"/>
      <c r="W2057" s="1976"/>
      <c r="X2057" s="1976"/>
    </row>
    <row r="2058" spans="1:24">
      <c r="N2058" s="1637"/>
      <c r="O2058" s="1637"/>
      <c r="P2058" s="1637"/>
    </row>
    <row r="2059" spans="1:24" ht="18.75">
      <c r="A2059" s="1828" t="s">
        <v>1985</v>
      </c>
      <c r="B2059" s="2040" t="s">
        <v>3624</v>
      </c>
      <c r="C2059" s="1993"/>
      <c r="D2059" s="521"/>
      <c r="E2059" s="521"/>
      <c r="F2059" s="1630"/>
      <c r="G2059" s="1993"/>
      <c r="H2059" s="521"/>
      <c r="I2059" s="1630"/>
      <c r="J2059" s="1841"/>
      <c r="K2059" s="1841"/>
      <c r="L2059" s="2817" t="str">
        <f>IF(OR($O2059=$M2059,$O2059=0,$O2059=""),"","* * Check Score! * *")</f>
        <v/>
      </c>
      <c r="M2059" s="1633">
        <v>1</v>
      </c>
      <c r="N2059" s="1937" t="s">
        <v>1985</v>
      </c>
      <c r="O2059" s="1863">
        <f>'Part IX Scoring Criteria'!O411</f>
        <v>0</v>
      </c>
      <c r="P2059" s="1863"/>
      <c r="Q2059" s="1630" t="s">
        <v>441</v>
      </c>
      <c r="R2059" s="1689" t="s">
        <v>2706</v>
      </c>
      <c r="S2059" s="1993"/>
      <c r="T2059" s="1993"/>
      <c r="U2059" s="1993"/>
      <c r="V2059" s="2819"/>
      <c r="W2059" s="2819"/>
      <c r="X2059" s="1993"/>
    </row>
    <row r="2060" spans="1:24" ht="18.75" customHeight="1">
      <c r="A2060" s="1828"/>
      <c r="B2060" s="1944" t="s">
        <v>2435</v>
      </c>
      <c r="C2060" s="1900" t="s">
        <v>4069</v>
      </c>
      <c r="D2060" s="1900"/>
      <c r="E2060" s="1900"/>
      <c r="F2060" s="1900"/>
      <c r="G2060" s="1900"/>
      <c r="H2060" s="1900"/>
      <c r="I2060" s="1900"/>
      <c r="J2060" s="1900"/>
      <c r="K2060" s="1900"/>
      <c r="L2060" s="1900"/>
      <c r="M2060" s="1900"/>
      <c r="N2060" s="1944" t="s">
        <v>2435</v>
      </c>
      <c r="O2060" s="1948">
        <f>'Part IX Scoring Criteria'!O412</f>
        <v>0</v>
      </c>
      <c r="P2060" s="1948"/>
      <c r="Q2060" s="1976"/>
      <c r="R2060" s="1976"/>
      <c r="S2060" s="1976"/>
      <c r="T2060" s="1976"/>
      <c r="U2060" s="1976"/>
      <c r="V2060" s="2819"/>
      <c r="W2060" s="2819"/>
      <c r="X2060" s="1976"/>
    </row>
    <row r="2061" spans="1:24" ht="18.75">
      <c r="A2061" s="1828"/>
      <c r="B2061" s="1937" t="s">
        <v>2436</v>
      </c>
      <c r="C2061" s="521" t="s">
        <v>3803</v>
      </c>
      <c r="D2061" s="521"/>
      <c r="E2061" s="521"/>
      <c r="F2061" s="521"/>
      <c r="G2061" s="521"/>
      <c r="H2061" s="521"/>
      <c r="I2061" s="521"/>
      <c r="J2061" s="521"/>
      <c r="K2061" s="521"/>
      <c r="L2061" s="1976"/>
      <c r="M2061" s="521"/>
      <c r="N2061" s="1944" t="s">
        <v>2436</v>
      </c>
      <c r="O2061" s="1895">
        <f>'Part IX Scoring Criteria'!O413</f>
        <v>0</v>
      </c>
      <c r="P2061" s="1895"/>
      <c r="Q2061" s="1976"/>
      <c r="R2061" s="1976"/>
      <c r="S2061" s="1976"/>
      <c r="T2061" s="1976"/>
      <c r="U2061" s="1976"/>
      <c r="V2061" s="2819"/>
      <c r="W2061" s="2819"/>
      <c r="X2061" s="1976"/>
    </row>
    <row r="2062" spans="1:24">
      <c r="B2062" s="1937" t="s">
        <v>2437</v>
      </c>
      <c r="C2062" s="1216" t="s">
        <v>4899</v>
      </c>
      <c r="N2062" s="1937" t="s">
        <v>2437</v>
      </c>
      <c r="O2062" s="1895">
        <f>'Part IX Scoring Criteria'!O414</f>
        <v>0</v>
      </c>
      <c r="P2062" s="1895"/>
    </row>
    <row r="2063" spans="1:24">
      <c r="B2063" s="1866" t="s">
        <v>3757</v>
      </c>
      <c r="N2063" s="1637"/>
      <c r="O2063" s="1637"/>
      <c r="P2063" s="1637"/>
    </row>
    <row r="2064" spans="1:24" ht="15">
      <c r="A2064" s="1900">
        <f>'Part IX Scoring Criteria'!A416</f>
        <v>0</v>
      </c>
      <c r="B2064" s="1900"/>
      <c r="C2064" s="1900"/>
      <c r="D2064" s="1900"/>
      <c r="E2064" s="1900"/>
      <c r="F2064" s="1900"/>
      <c r="G2064" s="1900"/>
      <c r="H2064" s="1900"/>
      <c r="I2064" s="1900"/>
      <c r="J2064" s="1900"/>
      <c r="K2064" s="1900"/>
      <c r="L2064" s="1900"/>
      <c r="M2064" s="1900"/>
      <c r="N2064" s="1900"/>
      <c r="O2064" s="1900"/>
      <c r="P2064" s="1900"/>
      <c r="Q2064" s="2786" t="s">
        <v>1254</v>
      </c>
      <c r="R2064" s="1976"/>
      <c r="S2064" s="1976"/>
      <c r="T2064" s="1976"/>
      <c r="U2064" s="1976"/>
      <c r="V2064" s="1976"/>
      <c r="W2064" s="1976"/>
      <c r="X2064" s="1976"/>
    </row>
    <row r="2065" spans="1:24" ht="15">
      <c r="A2065" s="1631"/>
      <c r="B2065" s="1671" t="s">
        <v>1866</v>
      </c>
      <c r="C2065" s="1631"/>
      <c r="D2065" s="1866"/>
      <c r="E2065" s="1834"/>
      <c r="F2065" s="1834"/>
      <c r="G2065" s="1834"/>
      <c r="H2065" s="1834"/>
      <c r="I2065" s="1834"/>
      <c r="J2065" s="1834"/>
      <c r="K2065" s="1834"/>
      <c r="L2065" s="1834"/>
      <c r="M2065" s="1834"/>
      <c r="N2065" s="1923"/>
      <c r="O2065" s="1923"/>
      <c r="P2065" s="1630"/>
      <c r="Q2065" s="2006"/>
      <c r="R2065" s="1993"/>
      <c r="S2065" s="1993"/>
      <c r="T2065" s="1993"/>
      <c r="U2065" s="1993"/>
      <c r="V2065" s="1993"/>
      <c r="W2065" s="1993"/>
      <c r="X2065" s="1993"/>
    </row>
    <row r="2066" spans="1:24" ht="15">
      <c r="A2066" s="1900"/>
      <c r="B2066" s="1900"/>
      <c r="C2066" s="1900"/>
      <c r="D2066" s="1900"/>
      <c r="E2066" s="1900"/>
      <c r="F2066" s="1900"/>
      <c r="G2066" s="1900"/>
      <c r="H2066" s="1900"/>
      <c r="I2066" s="1900"/>
      <c r="J2066" s="1900"/>
      <c r="K2066" s="1900"/>
      <c r="L2066" s="1900"/>
      <c r="M2066" s="1900"/>
      <c r="N2066" s="1900"/>
      <c r="O2066" s="1900"/>
      <c r="P2066" s="1900"/>
      <c r="Q2066" s="2786"/>
      <c r="R2066" s="1976"/>
      <c r="S2066" s="1976"/>
      <c r="T2066" s="1976"/>
      <c r="U2066" s="1976"/>
      <c r="V2066" s="1976"/>
      <c r="W2066" s="1976"/>
      <c r="X2066" s="1976"/>
    </row>
    <row r="2067" spans="1:24" ht="15">
      <c r="A2067" s="1631"/>
      <c r="B2067" s="1631"/>
      <c r="C2067" s="1899"/>
      <c r="D2067" s="1899"/>
      <c r="E2067" s="1899"/>
      <c r="F2067" s="1899"/>
      <c r="G2067" s="1899"/>
      <c r="H2067" s="1899"/>
      <c r="I2067" s="1899"/>
      <c r="J2067" s="1899"/>
      <c r="K2067" s="1899"/>
      <c r="L2067" s="1899"/>
      <c r="M2067" s="1899"/>
      <c r="N2067" s="2011"/>
      <c r="O2067" s="2011"/>
      <c r="P2067" s="1630"/>
      <c r="Q2067" s="1976"/>
      <c r="R2067" s="1976"/>
      <c r="S2067" s="1976"/>
      <c r="T2067" s="1976"/>
      <c r="U2067" s="1976"/>
      <c r="V2067" s="1976"/>
      <c r="W2067" s="1976"/>
      <c r="X2067" s="1976"/>
    </row>
    <row r="2068" spans="1:24" ht="15">
      <c r="A2068" s="2828" t="s">
        <v>4105</v>
      </c>
      <c r="B2068" s="2764" t="s">
        <v>2721</v>
      </c>
      <c r="C2068" s="1976"/>
      <c r="D2068" s="1841"/>
      <c r="E2068" s="1976"/>
      <c r="F2068" s="1976"/>
      <c r="G2068" s="1842" t="s">
        <v>3391</v>
      </c>
      <c r="H2068" s="1976"/>
      <c r="I2068" s="1976"/>
      <c r="J2068" s="521"/>
      <c r="K2068" s="521"/>
      <c r="L2068" s="521"/>
      <c r="M2068" s="1630">
        <v>2</v>
      </c>
      <c r="N2068" s="1937"/>
      <c r="O2068" s="1630">
        <f>'Part IX Scoring Criteria'!O420</f>
        <v>0</v>
      </c>
      <c r="P2068" s="1630">
        <f>MIN($M2068,P2072+P2079)</f>
        <v>0</v>
      </c>
      <c r="Q2068" s="1630" t="s">
        <v>441</v>
      </c>
      <c r="R2068" s="2817" t="str">
        <f>IF(OR($O2072=$M2068,$O2072=0,$O2072=""),"","* * Check Score! * *")</f>
        <v/>
      </c>
      <c r="S2068" s="1976"/>
      <c r="T2068" s="1976"/>
      <c r="U2068" s="1976"/>
      <c r="V2068" s="1976"/>
      <c r="W2068" s="1976"/>
      <c r="X2068" s="1976"/>
    </row>
    <row r="2069" spans="1:24" ht="15">
      <c r="A2069" s="2028"/>
      <c r="B2069" s="2021"/>
      <c r="C2069" s="2028"/>
      <c r="D2069" s="2028"/>
      <c r="E2069" s="2028"/>
      <c r="F2069" s="1948"/>
      <c r="G2069" s="1633"/>
      <c r="H2069" s="2028"/>
      <c r="I2069" s="2028"/>
      <c r="J2069" s="2028"/>
      <c r="K2069" s="2028"/>
      <c r="L2069" s="2028"/>
      <c r="M2069" s="2030"/>
      <c r="N2069" s="2030"/>
      <c r="O2069" s="2030"/>
      <c r="P2069" s="2030"/>
      <c r="Q2069" s="1652"/>
      <c r="R2069" s="2028"/>
      <c r="S2069" s="2028"/>
      <c r="T2069" s="2028"/>
      <c r="U2069" s="2028"/>
      <c r="V2069" s="2028"/>
      <c r="W2069" s="2028"/>
      <c r="X2069" s="2028"/>
    </row>
    <row r="2070" spans="1:24" ht="15">
      <c r="A2070" s="2869"/>
      <c r="B2070" s="2044" t="s">
        <v>3462</v>
      </c>
      <c r="C2070" s="2028"/>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21" t="s">
        <v>2832</v>
      </c>
      <c r="K2070" s="2028"/>
      <c r="L2070" s="1823">
        <f>'Part III-Sources of Funds'!$I$51</f>
        <v>0</v>
      </c>
      <c r="M2070" s="2030"/>
      <c r="N2070" s="2030"/>
      <c r="O2070" s="2030"/>
      <c r="P2070" s="2030"/>
      <c r="Q2070" s="1652"/>
      <c r="R2070" s="2028"/>
      <c r="S2070" s="2028"/>
      <c r="T2070" s="2028"/>
      <c r="U2070" s="2028"/>
      <c r="V2070" s="2028"/>
      <c r="W2070" s="2028"/>
      <c r="X2070" s="2028"/>
    </row>
    <row r="2071" spans="1:24" ht="15">
      <c r="A2071" s="2028"/>
      <c r="B2071" s="2021"/>
      <c r="C2071" s="2028"/>
      <c r="D2071" s="2028"/>
      <c r="E2071" s="2028"/>
      <c r="F2071" s="2028"/>
      <c r="G2071" s="2028"/>
      <c r="H2071" s="2028"/>
      <c r="I2071" s="2028"/>
      <c r="J2071" s="2028"/>
      <c r="K2071" s="2028"/>
      <c r="L2071" s="2028"/>
      <c r="M2071" s="2030"/>
      <c r="N2071" s="2030"/>
      <c r="O2071" s="2030"/>
      <c r="P2071" s="2030"/>
      <c r="Q2071" s="1652"/>
      <c r="R2071" s="2028"/>
      <c r="S2071" s="2028"/>
      <c r="T2071" s="2028"/>
      <c r="U2071" s="2028"/>
      <c r="V2071" s="2028"/>
      <c r="W2071" s="2028"/>
      <c r="X2071" s="2028"/>
    </row>
    <row r="2072" spans="1:24" ht="15">
      <c r="A2072" s="2836" t="s">
        <v>1983</v>
      </c>
      <c r="B2072" s="521" t="s">
        <v>5207</v>
      </c>
      <c r="C2072" s="1921"/>
      <c r="D2072" s="1921"/>
      <c r="E2072" s="1921"/>
      <c r="F2072" s="1921"/>
      <c r="G2072" s="1921"/>
      <c r="H2072" s="1921"/>
      <c r="I2072" s="1921"/>
      <c r="J2072" s="2028"/>
      <c r="K2072" s="2028"/>
      <c r="L2072" s="2028"/>
      <c r="M2072" s="2030">
        <v>2</v>
      </c>
      <c r="N2072" s="1944" t="s">
        <v>1983</v>
      </c>
      <c r="O2072" s="1863">
        <f>'Part IX Scoring Criteria'!O424</f>
        <v>0</v>
      </c>
      <c r="P2072" s="1863"/>
      <c r="Q2072" s="2807" t="str">
        <f>IF(OR($O2072=$M2072,$O2072=0,$O2072=""),"","*CHECK!*")</f>
        <v/>
      </c>
      <c r="R2072" s="1689" t="s">
        <v>2706</v>
      </c>
      <c r="S2072" s="2028"/>
      <c r="T2072" s="2028"/>
      <c r="U2072" s="2028"/>
      <c r="V2072" s="2028"/>
      <c r="W2072" s="2028"/>
      <c r="X2072" s="2028"/>
    </row>
    <row r="2073" spans="1:24" ht="15" customHeight="1">
      <c r="A2073" s="2030"/>
      <c r="B2073" s="1867" t="s">
        <v>4198</v>
      </c>
      <c r="C2073" s="1867"/>
      <c r="D2073" s="1867"/>
      <c r="E2073" s="1867"/>
      <c r="F2073" s="1867"/>
      <c r="G2073" s="1867"/>
      <c r="H2073" s="1867"/>
      <c r="I2073" s="1867"/>
      <c r="J2073" s="1867"/>
      <c r="K2073" s="1867"/>
      <c r="L2073" s="1867"/>
      <c r="M2073" s="1890" t="s">
        <v>5208</v>
      </c>
      <c r="N2073" s="1890"/>
      <c r="O2073" s="2028"/>
      <c r="P2073" s="2028"/>
      <c r="Q2073" s="1652"/>
      <c r="R2073" s="2028"/>
      <c r="S2073" s="2028"/>
      <c r="T2073" s="2028"/>
      <c r="U2073" s="2028"/>
      <c r="V2073" s="2028"/>
      <c r="W2073" s="2028"/>
      <c r="X2073" s="2028"/>
    </row>
    <row r="2074" spans="1:24" ht="15">
      <c r="A2074" s="2028"/>
      <c r="B2074" s="1867"/>
      <c r="C2074" s="1867"/>
      <c r="D2074" s="1867"/>
      <c r="E2074" s="1867"/>
      <c r="F2074" s="1867"/>
      <c r="G2074" s="1867"/>
      <c r="H2074" s="1867"/>
      <c r="I2074" s="1867"/>
      <c r="J2074" s="1867"/>
      <c r="K2074" s="1867"/>
      <c r="L2074" s="1867"/>
      <c r="M2074" s="1890"/>
      <c r="N2074" s="1890"/>
      <c r="O2074" s="2152">
        <f>'Part VI-Revenues &amp; Expenses'!$O$111</f>
        <v>0</v>
      </c>
      <c r="P2074" s="2152"/>
      <c r="Q2074" s="1652"/>
      <c r="R2074" s="2028"/>
      <c r="S2074" s="2028"/>
      <c r="T2074" s="2028"/>
      <c r="U2074" s="2028"/>
      <c r="V2074" s="2028"/>
      <c r="W2074" s="2028"/>
      <c r="X2074" s="2028"/>
    </row>
    <row r="2075" spans="1:24" ht="15">
      <c r="A2075" s="2028"/>
      <c r="B2075" s="1867"/>
      <c r="C2075" s="1867"/>
      <c r="D2075" s="1867"/>
      <c r="E2075" s="1867"/>
      <c r="F2075" s="1867"/>
      <c r="G2075" s="1867"/>
      <c r="H2075" s="1867"/>
      <c r="I2075" s="1867"/>
      <c r="J2075" s="1867"/>
      <c r="K2075" s="1867"/>
      <c r="L2075" s="1867"/>
      <c r="M2075" s="1689" t="s">
        <v>2830</v>
      </c>
      <c r="N2075" s="2030"/>
      <c r="O2075" s="2152">
        <f>'Part VI-Revenues &amp; Expenses'!$O$67</f>
        <v>84</v>
      </c>
      <c r="P2075" s="2152"/>
      <c r="Q2075" s="1652"/>
      <c r="R2075" s="2028"/>
      <c r="S2075" s="2028"/>
      <c r="T2075" s="2028"/>
      <c r="U2075" s="2028"/>
      <c r="V2075" s="2028"/>
      <c r="W2075" s="2028"/>
      <c r="X2075" s="2028"/>
    </row>
    <row r="2076" spans="1:24" ht="15">
      <c r="A2076" s="2028"/>
      <c r="B2076" s="1867"/>
      <c r="C2076" s="1867"/>
      <c r="D2076" s="1867"/>
      <c r="E2076" s="1867"/>
      <c r="F2076" s="1867"/>
      <c r="G2076" s="1867"/>
      <c r="H2076" s="1867"/>
      <c r="I2076" s="1867"/>
      <c r="J2076" s="1867"/>
      <c r="K2076" s="1867"/>
      <c r="L2076" s="1867"/>
      <c r="M2076" s="1689" t="s">
        <v>2831</v>
      </c>
      <c r="N2076" s="2030"/>
      <c r="O2076" s="2875">
        <f>IF(O2075=0,0,O2074/O2075)</f>
        <v>0</v>
      </c>
      <c r="P2076" s="2875"/>
      <c r="Q2076" s="1652"/>
      <c r="R2076" s="2028"/>
      <c r="S2076" s="2028"/>
      <c r="T2076" s="2028"/>
      <c r="U2076" s="2028"/>
      <c r="V2076" s="2028"/>
      <c r="W2076" s="2028"/>
      <c r="X2076" s="2028"/>
    </row>
    <row r="2077" spans="1:24" ht="15.75" customHeight="1">
      <c r="A2077" s="1955"/>
      <c r="B2077" s="1890" t="str">
        <f>'Part IX Scoring Criteria'!B429</f>
        <v>&lt;&lt; Enter here Applicant's Narrative of how building will be reused. Adjust row height as needed. &gt;&gt;</v>
      </c>
      <c r="C2077" s="1890">
        <f>'Part IX Scoring Criteria'!C429</f>
        <v>0</v>
      </c>
      <c r="D2077" s="1890">
        <f>'Part IX Scoring Criteria'!D429</f>
        <v>0</v>
      </c>
      <c r="E2077" s="1890">
        <f>'Part IX Scoring Criteria'!E429</f>
        <v>0</v>
      </c>
      <c r="F2077" s="1890">
        <f>'Part IX Scoring Criteria'!F429</f>
        <v>0</v>
      </c>
      <c r="G2077" s="1890">
        <f>'Part IX Scoring Criteria'!G429</f>
        <v>0</v>
      </c>
      <c r="H2077" s="1890">
        <f>'Part IX Scoring Criteria'!H429</f>
        <v>0</v>
      </c>
      <c r="I2077" s="1890">
        <f>'Part IX Scoring Criteria'!I429</f>
        <v>0</v>
      </c>
      <c r="J2077" s="1890">
        <f>'Part IX Scoring Criteria'!J429</f>
        <v>0</v>
      </c>
      <c r="K2077" s="1890">
        <f>'Part IX Scoring Criteria'!K429</f>
        <v>0</v>
      </c>
      <c r="L2077" s="1890">
        <f>'Part IX Scoring Criteria'!L429</f>
        <v>0</v>
      </c>
      <c r="M2077" s="1890">
        <f>'Part IX Scoring Criteria'!M429</f>
        <v>0</v>
      </c>
      <c r="N2077" s="1890">
        <f>'Part IX Scoring Criteria'!N429</f>
        <v>0</v>
      </c>
      <c r="O2077" s="1890">
        <f>'Part IX Scoring Criteria'!O429</f>
        <v>0</v>
      </c>
      <c r="P2077" s="1890">
        <f>'Part IX Scoring Criteria'!P429</f>
        <v>0</v>
      </c>
      <c r="Q2077" s="2786" t="s">
        <v>1254</v>
      </c>
      <c r="R2077" s="2786"/>
      <c r="S2077" s="2786"/>
      <c r="T2077" s="1976"/>
      <c r="U2077" s="1976"/>
      <c r="V2077" s="1976"/>
      <c r="W2077" s="1976"/>
      <c r="X2077" s="1976"/>
    </row>
    <row r="2078" spans="1:24" ht="15">
      <c r="A2078" s="1895"/>
      <c r="B2078" s="2021"/>
      <c r="C2078" s="2028"/>
      <c r="D2078" s="2028"/>
      <c r="E2078" s="2028"/>
      <c r="F2078" s="1948"/>
      <c r="G2078" s="1633"/>
      <c r="H2078" s="2028"/>
      <c r="I2078" s="2028"/>
      <c r="J2078" s="2028"/>
      <c r="K2078" s="2028"/>
      <c r="L2078" s="2028"/>
      <c r="M2078" s="2030"/>
      <c r="N2078" s="2030"/>
      <c r="O2078" s="2030"/>
      <c r="P2078" s="2030"/>
      <c r="Q2078" s="1652"/>
      <c r="R2078" s="2028"/>
      <c r="S2078" s="2028"/>
      <c r="T2078" s="2028"/>
      <c r="U2078" s="2028"/>
      <c r="V2078" s="2028"/>
      <c r="W2078" s="2028"/>
      <c r="X2078" s="2028"/>
    </row>
    <row r="2079" spans="1:24" ht="15">
      <c r="A2079" s="2876" t="s">
        <v>5209</v>
      </c>
      <c r="B2079" s="1921" t="s">
        <v>3357</v>
      </c>
      <c r="C2079" s="1921"/>
      <c r="D2079" s="2028"/>
      <c r="E2079" s="2028"/>
      <c r="F2079" s="2028"/>
      <c r="G2079" s="2028"/>
      <c r="H2079" s="1921"/>
      <c r="I2079" s="2028"/>
      <c r="J2079" s="2028"/>
      <c r="K2079" s="2028"/>
      <c r="L2079" s="2028"/>
      <c r="M2079" s="2030">
        <v>2</v>
      </c>
      <c r="N2079" s="1944" t="s">
        <v>1985</v>
      </c>
      <c r="O2079" s="1863">
        <f>'Part IX Scoring Criteria'!O431</f>
        <v>0</v>
      </c>
      <c r="P2079" s="1863"/>
      <c r="Q2079" s="2807" t="str">
        <f>IF(OR($O2079=$M2079,$O2079=0,$O2079=""),"","*CHECK!*")</f>
        <v/>
      </c>
      <c r="R2079" s="1689" t="s">
        <v>2706</v>
      </c>
      <c r="S2079" s="2028"/>
      <c r="T2079" s="2028"/>
      <c r="U2079" s="2028"/>
      <c r="V2079" s="2028"/>
      <c r="W2079" s="2028"/>
      <c r="X2079" s="2028"/>
    </row>
    <row r="2080" spans="1:24" ht="15" customHeight="1">
      <c r="A2080" s="2876"/>
      <c r="B2080" s="1900" t="s">
        <v>5138</v>
      </c>
      <c r="C2080" s="1900"/>
      <c r="D2080" s="1900"/>
      <c r="E2080" s="1900"/>
      <c r="F2080" s="1900"/>
      <c r="G2080" s="1900"/>
      <c r="H2080" s="1900"/>
      <c r="I2080" s="1900"/>
      <c r="J2080" s="1900"/>
      <c r="K2080" s="1900"/>
      <c r="L2080" s="1900"/>
      <c r="M2080" s="2055" t="s">
        <v>4902</v>
      </c>
      <c r="N2080" s="2028"/>
      <c r="O2080" s="2152">
        <f>'Part VI-Revenues &amp; Expenses'!$O$113</f>
        <v>0</v>
      </c>
      <c r="P2080" s="2152"/>
      <c r="Q2080" s="1652"/>
      <c r="R2080" s="2028"/>
      <c r="S2080" s="2028"/>
      <c r="T2080" s="2028"/>
      <c r="U2080" s="2028"/>
      <c r="V2080" s="2028"/>
      <c r="W2080" s="2028"/>
      <c r="X2080" s="2028"/>
    </row>
    <row r="2081" spans="1:24" ht="15">
      <c r="A2081" s="2876"/>
      <c r="B2081" s="1900"/>
      <c r="C2081" s="1900"/>
      <c r="D2081" s="1900"/>
      <c r="E2081" s="1900"/>
      <c r="F2081" s="1900"/>
      <c r="G2081" s="1900"/>
      <c r="H2081" s="1900"/>
      <c r="I2081" s="1900"/>
      <c r="J2081" s="1900"/>
      <c r="K2081" s="1900"/>
      <c r="L2081" s="1900"/>
      <c r="M2081" s="2101" t="s">
        <v>2830</v>
      </c>
      <c r="N2081" s="2030"/>
      <c r="O2081" s="2152">
        <f>'Part VI-Revenues &amp; Expenses'!$O$67</f>
        <v>84</v>
      </c>
      <c r="P2081" s="2152"/>
      <c r="Q2081" s="1652"/>
      <c r="R2081" s="2028"/>
      <c r="S2081" s="2028"/>
      <c r="T2081" s="2028"/>
      <c r="U2081" s="2028"/>
      <c r="V2081" s="2028"/>
      <c r="W2081" s="2028"/>
      <c r="X2081" s="2028"/>
    </row>
    <row r="2082" spans="1:24" ht="15">
      <c r="A2082" s="2876"/>
      <c r="B2082" s="1900"/>
      <c r="C2082" s="1900"/>
      <c r="D2082" s="1900"/>
      <c r="E2082" s="1900"/>
      <c r="F2082" s="1900"/>
      <c r="G2082" s="1900"/>
      <c r="H2082" s="1900"/>
      <c r="I2082" s="1900"/>
      <c r="J2082" s="1900"/>
      <c r="K2082" s="1900"/>
      <c r="L2082" s="1900"/>
      <c r="M2082" s="1689" t="s">
        <v>2831</v>
      </c>
      <c r="N2082" s="2030"/>
      <c r="O2082" s="2875">
        <f>IF(O2081=0,0,L2068/O2081)</f>
        <v>0</v>
      </c>
      <c r="P2082" s="2875"/>
      <c r="Q2082" s="1652"/>
      <c r="R2082" s="2028"/>
      <c r="S2082" s="2028"/>
      <c r="T2082" s="2028"/>
      <c r="U2082" s="2028"/>
      <c r="V2082" s="2028"/>
      <c r="W2082" s="2028"/>
      <c r="X2082" s="2028"/>
    </row>
    <row r="2083" spans="1:24" ht="15">
      <c r="A2083" s="1631"/>
      <c r="B2083" s="1866" t="s">
        <v>3757</v>
      </c>
      <c r="C2083" s="1631"/>
      <c r="D2083" s="1634"/>
      <c r="E2083" s="1634"/>
      <c r="F2083" s="1634"/>
      <c r="G2083" s="1634"/>
      <c r="H2083" s="521"/>
      <c r="I2083" s="521"/>
      <c r="J2083" s="521"/>
      <c r="K2083" s="521"/>
      <c r="L2083" s="1976"/>
      <c r="M2083" s="1630"/>
      <c r="N2083" s="1637"/>
      <c r="O2083" s="1863"/>
      <c r="P2083" s="1637"/>
      <c r="Q2083" s="1976"/>
      <c r="R2083" s="1976"/>
      <c r="S2083" s="1976"/>
      <c r="T2083" s="1976"/>
      <c r="U2083" s="1976"/>
      <c r="V2083" s="1976"/>
      <c r="W2083" s="1976"/>
      <c r="X2083" s="1976"/>
    </row>
    <row r="2084" spans="1:24" ht="15">
      <c r="A2084" s="1900">
        <f>'Part IX Scoring Criteria'!A436</f>
        <v>0</v>
      </c>
      <c r="B2084" s="1900"/>
      <c r="C2084" s="1900"/>
      <c r="D2084" s="1900"/>
      <c r="E2084" s="1900"/>
      <c r="F2084" s="1900"/>
      <c r="G2084" s="1900"/>
      <c r="H2084" s="1900"/>
      <c r="I2084" s="1900"/>
      <c r="J2084" s="1900"/>
      <c r="K2084" s="1900"/>
      <c r="L2084" s="1900"/>
      <c r="M2084" s="1900"/>
      <c r="N2084" s="1900"/>
      <c r="O2084" s="1900"/>
      <c r="P2084" s="1900"/>
      <c r="Q2084" s="2786" t="s">
        <v>1254</v>
      </c>
      <c r="R2084" s="2786"/>
      <c r="S2084" s="1976"/>
      <c r="T2084" s="1976"/>
      <c r="U2084" s="1976"/>
      <c r="V2084" s="1976"/>
      <c r="W2084" s="1976"/>
      <c r="X2084" s="1976"/>
    </row>
    <row r="2085" spans="1:24" ht="15">
      <c r="A2085" s="1976"/>
      <c r="B2085" s="1897" t="s">
        <v>1866</v>
      </c>
      <c r="C2085" s="1631"/>
      <c r="D2085" s="1897"/>
      <c r="E2085" s="1899"/>
      <c r="F2085" s="1899"/>
      <c r="G2085" s="1899"/>
      <c r="H2085" s="1899"/>
      <c r="I2085" s="1899"/>
      <c r="J2085" s="1899"/>
      <c r="K2085" s="1899"/>
      <c r="L2085" s="1899"/>
      <c r="M2085" s="1899"/>
      <c r="N2085" s="2011"/>
      <c r="O2085" s="2011"/>
      <c r="P2085" s="1630"/>
      <c r="Q2085" s="2006"/>
      <c r="R2085" s="1976"/>
      <c r="S2085" s="1976"/>
      <c r="T2085" s="1976"/>
      <c r="U2085" s="1976"/>
      <c r="V2085" s="1976"/>
      <c r="W2085" s="1976"/>
      <c r="X2085" s="1976"/>
    </row>
    <row r="2086" spans="1:24" ht="15">
      <c r="A2086" s="1900"/>
      <c r="B2086" s="1900"/>
      <c r="C2086" s="1900"/>
      <c r="D2086" s="1900"/>
      <c r="E2086" s="1900"/>
      <c r="F2086" s="1900"/>
      <c r="G2086" s="1900"/>
      <c r="H2086" s="1900"/>
      <c r="I2086" s="1900"/>
      <c r="J2086" s="1900"/>
      <c r="K2086" s="1900"/>
      <c r="L2086" s="1900"/>
      <c r="M2086" s="1900"/>
      <c r="N2086" s="1900"/>
      <c r="O2086" s="1900"/>
      <c r="P2086" s="1900"/>
      <c r="Q2086" s="2786"/>
      <c r="R2086" s="1976"/>
      <c r="S2086" s="1976"/>
      <c r="T2086" s="1976"/>
      <c r="U2086" s="1976"/>
      <c r="V2086" s="1976"/>
      <c r="W2086" s="1976"/>
      <c r="X2086" s="1976"/>
    </row>
    <row r="2087" spans="1:24" ht="15">
      <c r="A2087" s="1631"/>
      <c r="B2087" s="1631"/>
      <c r="C2087" s="1899"/>
      <c r="D2087" s="1899"/>
      <c r="E2087" s="1899"/>
      <c r="F2087" s="1899"/>
      <c r="G2087" s="1899"/>
      <c r="H2087" s="1899"/>
      <c r="I2087" s="1899"/>
      <c r="J2087" s="1899"/>
      <c r="K2087" s="1899"/>
      <c r="L2087" s="1899"/>
      <c r="M2087" s="1899"/>
      <c r="N2087" s="2011"/>
      <c r="O2087" s="2011"/>
      <c r="P2087" s="1630"/>
      <c r="Q2087" s="1976"/>
      <c r="R2087" s="1976"/>
      <c r="S2087" s="1976"/>
      <c r="T2087" s="1976"/>
      <c r="U2087" s="1976"/>
      <c r="V2087" s="1976"/>
      <c r="W2087" s="1976"/>
      <c r="X2087" s="1976"/>
    </row>
    <row r="2088" spans="1:24" ht="15">
      <c r="A2088" s="2869" t="s">
        <v>4103</v>
      </c>
      <c r="B2088" s="2764" t="s">
        <v>1673</v>
      </c>
      <c r="C2088" s="1993"/>
      <c r="D2088" s="1866"/>
      <c r="E2088" s="1866"/>
      <c r="F2088" s="521"/>
      <c r="G2088" s="521"/>
      <c r="H2088" s="1993"/>
      <c r="I2088" s="521"/>
      <c r="J2088" s="521"/>
      <c r="K2088" s="521"/>
      <c r="L2088" s="2817" t="str">
        <f>IF(OR($O2088=$M2088,$O2088&lt;=0,$O2088=""),"","* * Check Score! * *")</f>
        <v/>
      </c>
      <c r="M2088" s="1630">
        <v>10</v>
      </c>
      <c r="N2088" s="1630"/>
      <c r="O2088" s="1863">
        <f>'Part IX Scoring Criteria'!O440</f>
        <v>10</v>
      </c>
      <c r="P2088" s="1863">
        <f>MIN($M$440,P2090-P2091+P2092)</f>
        <v>10</v>
      </c>
      <c r="Q2088" s="1630" t="s">
        <v>441</v>
      </c>
      <c r="R2088" s="1993"/>
      <c r="S2088" s="1993"/>
      <c r="T2088" s="1993"/>
      <c r="U2088" s="1993"/>
      <c r="V2088" s="1993"/>
      <c r="W2088" s="1993"/>
      <c r="X2088" s="1993"/>
    </row>
    <row r="2089" spans="1:24" ht="15">
      <c r="A2089" s="2869"/>
      <c r="B2089" s="2764"/>
      <c r="C2089" s="1993"/>
      <c r="D2089" s="1866"/>
      <c r="E2089" s="1866"/>
      <c r="F2089" s="521"/>
      <c r="G2089" s="521"/>
      <c r="H2089" s="1993"/>
      <c r="I2089" s="521"/>
      <c r="J2089" s="521"/>
      <c r="K2089" s="521"/>
      <c r="L2089" s="2817"/>
      <c r="M2089" s="1630"/>
      <c r="N2089" s="1630"/>
      <c r="O2089" s="1630"/>
      <c r="P2089" s="1630"/>
      <c r="Q2089" s="1630"/>
      <c r="R2089" s="1993"/>
      <c r="S2089" s="1993"/>
      <c r="T2089" s="1993"/>
      <c r="U2089" s="1993"/>
      <c r="V2089" s="1993"/>
      <c r="W2089" s="1993"/>
      <c r="X2089" s="1993"/>
    </row>
    <row r="2090" spans="1:24" ht="15">
      <c r="A2090" s="2869"/>
      <c r="B2090" s="521" t="s">
        <v>3658</v>
      </c>
      <c r="C2090" s="1993"/>
      <c r="D2090" s="1866"/>
      <c r="E2090" s="1866"/>
      <c r="F2090" s="521"/>
      <c r="G2090" s="521"/>
      <c r="H2090" s="1993"/>
      <c r="I2090" s="521"/>
      <c r="J2090" s="521"/>
      <c r="K2090" s="521"/>
      <c r="L2090" s="2817"/>
      <c r="M2090" s="1630"/>
      <c r="N2090" s="1630"/>
      <c r="O2090" s="1863">
        <f>'Part IX Scoring Criteria'!O442</f>
        <v>10</v>
      </c>
      <c r="P2090" s="1863">
        <v>10</v>
      </c>
      <c r="Q2090" s="1630"/>
      <c r="R2090" s="1993"/>
      <c r="S2090" s="1993"/>
      <c r="T2090" s="1993"/>
      <c r="U2090" s="1993"/>
      <c r="V2090" s="1993"/>
      <c r="W2090" s="1993"/>
      <c r="X2090" s="1993"/>
    </row>
    <row r="2091" spans="1:24" ht="15">
      <c r="A2091" s="2869"/>
      <c r="B2091" s="521" t="s">
        <v>3659</v>
      </c>
      <c r="C2091" s="1993"/>
      <c r="D2091" s="1866"/>
      <c r="E2091" s="1866"/>
      <c r="F2091" s="521"/>
      <c r="G2091" s="521"/>
      <c r="H2091" s="1993"/>
      <c r="I2091" s="521"/>
      <c r="J2091" s="521"/>
      <c r="K2091" s="521"/>
      <c r="L2091" s="2817"/>
      <c r="M2091" s="1630"/>
      <c r="N2091" s="1630"/>
      <c r="O2091" s="1863">
        <f>'Part IX Scoring Criteria'!O443</f>
        <v>0</v>
      </c>
      <c r="P2091" s="1863"/>
      <c r="Q2091" s="1630"/>
      <c r="R2091" s="1993"/>
      <c r="S2091" s="1993"/>
      <c r="T2091" s="1993"/>
      <c r="U2091" s="1993"/>
      <c r="V2091" s="1993"/>
      <c r="W2091" s="1993"/>
      <c r="X2091" s="1993"/>
    </row>
    <row r="2092" spans="1:24" ht="15">
      <c r="A2092" s="2869"/>
      <c r="B2092" s="521" t="s">
        <v>3660</v>
      </c>
      <c r="C2092" s="1993"/>
      <c r="D2092" s="1866"/>
      <c r="E2092" s="1866"/>
      <c r="F2092" s="521"/>
      <c r="G2092" s="521"/>
      <c r="H2092" s="1993"/>
      <c r="I2092" s="521"/>
      <c r="J2092" s="521"/>
      <c r="K2092" s="521"/>
      <c r="L2092" s="2817"/>
      <c r="M2092" s="1630"/>
      <c r="N2092" s="1630"/>
      <c r="O2092" s="1863">
        <f>'Part IX Scoring Criteria'!O444</f>
        <v>0</v>
      </c>
      <c r="P2092" s="1863"/>
      <c r="Q2092" s="1630"/>
      <c r="R2092" s="1993"/>
      <c r="S2092" s="1993"/>
      <c r="T2092" s="1993"/>
      <c r="U2092" s="1993"/>
      <c r="V2092" s="1993"/>
      <c r="W2092" s="1993"/>
      <c r="X2092" s="1993"/>
    </row>
    <row r="2093" spans="1:24" ht="15">
      <c r="A2093" s="1866"/>
      <c r="B2093" s="1866" t="s">
        <v>1866</v>
      </c>
      <c r="C2093" s="1631"/>
      <c r="D2093" s="1866"/>
      <c r="E2093" s="1834"/>
      <c r="F2093" s="1834"/>
      <c r="G2093" s="1834"/>
      <c r="H2093" s="1834"/>
      <c r="I2093" s="1834"/>
      <c r="J2093" s="1834"/>
      <c r="K2093" s="1834"/>
      <c r="L2093" s="1834"/>
      <c r="M2093" s="1834"/>
      <c r="N2093" s="1923"/>
      <c r="O2093" s="1923"/>
      <c r="P2093" s="1630"/>
      <c r="Q2093" s="1993"/>
      <c r="R2093" s="1993"/>
      <c r="S2093" s="1993"/>
      <c r="T2093" s="1993"/>
      <c r="U2093" s="1993"/>
      <c r="V2093" s="1993"/>
      <c r="W2093" s="1993"/>
      <c r="X2093" s="1993"/>
    </row>
    <row r="2094" spans="1:24" ht="15">
      <c r="A2094" s="1900"/>
      <c r="B2094" s="1900"/>
      <c r="C2094" s="1900"/>
      <c r="D2094" s="1900"/>
      <c r="E2094" s="1900"/>
      <c r="F2094" s="1900"/>
      <c r="G2094" s="1900"/>
      <c r="H2094" s="1900"/>
      <c r="I2094" s="1900"/>
      <c r="J2094" s="1900"/>
      <c r="K2094" s="1900"/>
      <c r="L2094" s="1900"/>
      <c r="M2094" s="1900"/>
      <c r="N2094" s="1900"/>
      <c r="O2094" s="1900"/>
      <c r="P2094" s="1900"/>
      <c r="Q2094" s="2786"/>
      <c r="R2094" s="2786"/>
      <c r="S2094" s="1976"/>
      <c r="T2094" s="1976"/>
      <c r="U2094" s="1976"/>
      <c r="V2094" s="1976"/>
      <c r="W2094" s="1976"/>
      <c r="X2094" s="1976"/>
    </row>
    <row r="2095" spans="1:24" ht="15">
      <c r="A2095" s="2869"/>
      <c r="B2095" s="1631"/>
      <c r="C2095" s="1899"/>
      <c r="D2095" s="1899"/>
      <c r="E2095" s="1899"/>
      <c r="F2095" s="1899"/>
      <c r="G2095" s="1899"/>
      <c r="H2095" s="1899"/>
      <c r="I2095" s="1899"/>
      <c r="J2095" s="1899"/>
      <c r="K2095" s="1899"/>
      <c r="L2095" s="1899"/>
      <c r="M2095" s="1899"/>
      <c r="N2095" s="2011"/>
      <c r="O2095" s="2011"/>
      <c r="P2095" s="1630"/>
      <c r="Q2095" s="1976"/>
      <c r="R2095" s="1976"/>
      <c r="S2095" s="1976"/>
      <c r="T2095" s="1976"/>
      <c r="U2095" s="1976"/>
      <c r="V2095" s="1976"/>
      <c r="W2095" s="1976"/>
      <c r="X2095" s="1976"/>
    </row>
    <row r="2096" spans="1:24" ht="15">
      <c r="A2096" s="2869"/>
      <c r="B2096" s="2107"/>
      <c r="C2096" s="1631"/>
      <c r="F2096" s="1976"/>
      <c r="G2096" s="1972" t="s">
        <v>427</v>
      </c>
      <c r="H2096" s="1631"/>
      <c r="I2096" s="1972"/>
      <c r="J2096" s="1972"/>
      <c r="K2096" s="1972"/>
      <c r="L2096" s="1993"/>
      <c r="M2096" s="2110">
        <f>M1670+M1695+M1709+M1719+M1755+M1801+M1837+M1876+M1925+M1946+M1954+M1977+M1990+M2007+M2017+M2032+M2068+M2088</f>
        <v>92</v>
      </c>
      <c r="N2096" s="2110"/>
      <c r="O2096" s="2110">
        <f>'Part IX Scoring Criteria'!O448</f>
        <v>20</v>
      </c>
      <c r="P2096" s="2110">
        <f>-P1656+P1670+P1695+P1709+P1719+P1755+P1801+P1837+P1876+P1925+P1946+P1954+P1977+P1990+P2007+P2017+P2032+P2068+P2088</f>
        <v>20</v>
      </c>
      <c r="Q2096" s="1631"/>
      <c r="R2096" s="1631"/>
      <c r="S2096" s="1631"/>
      <c r="T2096" s="1631"/>
      <c r="U2096" s="1631"/>
      <c r="V2096" s="1631"/>
      <c r="W2096" s="1631"/>
      <c r="X2096" s="1631"/>
    </row>
    <row r="2097" spans="1:24" ht="15">
      <c r="A2097" s="1976"/>
      <c r="B2097" s="2107"/>
      <c r="C2097" s="1976"/>
      <c r="F2097" s="2822"/>
      <c r="G2097" s="2822"/>
      <c r="H2097" s="1634" t="s">
        <v>4193</v>
      </c>
      <c r="I2097" s="1631"/>
      <c r="J2097" s="2111"/>
      <c r="K2097" s="2111"/>
      <c r="L2097" s="1976"/>
      <c r="N2097" s="1630"/>
      <c r="O2097" s="1630"/>
      <c r="P2097" s="2002">
        <f>P1876</f>
        <v>0</v>
      </c>
      <c r="Q2097" s="1631"/>
      <c r="R2097" s="1631"/>
      <c r="S2097" s="1631"/>
      <c r="T2097" s="1631"/>
      <c r="U2097" s="1631"/>
      <c r="V2097" s="1631"/>
      <c r="W2097" s="1631"/>
      <c r="X2097" s="1631"/>
    </row>
    <row r="2098" spans="1:24" ht="15">
      <c r="A2098" s="1976"/>
      <c r="B2098" s="2107"/>
      <c r="C2098" s="1976"/>
      <c r="F2098" s="2822"/>
      <c r="G2098" s="2822"/>
      <c r="H2098" s="1634" t="s">
        <v>4194</v>
      </c>
      <c r="I2098" s="1631"/>
      <c r="J2098" s="2111"/>
      <c r="K2098" s="2111"/>
      <c r="L2098" s="1976"/>
      <c r="N2098" s="1630"/>
      <c r="O2098" s="2002"/>
      <c r="P2098" s="2002">
        <f>P1990</f>
        <v>0</v>
      </c>
      <c r="Q2098" s="1631"/>
      <c r="R2098" s="1631"/>
      <c r="S2098" s="1631"/>
      <c r="T2098" s="1631"/>
      <c r="U2098" s="1631"/>
      <c r="V2098" s="1631"/>
      <c r="W2098" s="1631"/>
      <c r="X2098" s="1631"/>
    </row>
    <row r="2099" spans="1:24" ht="15">
      <c r="A2099" s="1631"/>
      <c r="B2099" s="1976"/>
      <c r="C2099" s="1976"/>
      <c r="D2099" s="521"/>
      <c r="E2099" s="521"/>
      <c r="F2099" s="1630"/>
      <c r="G2099" s="1976"/>
      <c r="H2099" s="1634" t="s">
        <v>4201</v>
      </c>
      <c r="I2099" s="1630"/>
      <c r="J2099" s="1841"/>
      <c r="K2099" s="1841"/>
      <c r="L2099" s="1841"/>
      <c r="M2099" s="1895"/>
      <c r="N2099" s="1630"/>
      <c r="O2099" s="1637"/>
      <c r="P2099" s="1863">
        <f>P2096-P2097-P2098</f>
        <v>20</v>
      </c>
      <c r="Q2099" s="1976"/>
      <c r="R2099" s="1976"/>
      <c r="S2099" s="1976"/>
      <c r="T2099" s="1976"/>
      <c r="U2099" s="1976"/>
      <c r="V2099" s="1976"/>
      <c r="W2099" s="1976"/>
      <c r="X2099" s="1976"/>
    </row>
    <row r="2100" spans="1:24" ht="15">
      <c r="A2100" s="1976"/>
      <c r="B2100" s="2107"/>
      <c r="C2100" s="1976"/>
      <c r="F2100" s="1841"/>
      <c r="G2100" s="1841"/>
      <c r="H2100" s="2822"/>
      <c r="I2100" s="2822"/>
      <c r="J2100" s="2111"/>
      <c r="K2100" s="2111"/>
      <c r="L2100" s="1976"/>
      <c r="N2100" s="1630"/>
      <c r="O2100" s="1630"/>
      <c r="P2100" s="1863"/>
    </row>
    <row r="2101" spans="1:24" ht="15" customHeight="1">
      <c r="A2101" s="2877" t="s">
        <v>3689</v>
      </c>
      <c r="B2101" s="2877"/>
      <c r="C2101" s="2877"/>
      <c r="D2101" s="2877"/>
      <c r="E2101" s="2877"/>
      <c r="F2101" s="2877"/>
      <c r="G2101" s="2877"/>
      <c r="H2101" s="2877"/>
      <c r="I2101" s="2877"/>
      <c r="J2101" s="2877"/>
      <c r="K2101" s="2877"/>
      <c r="L2101" s="2877"/>
      <c r="M2101" s="2877"/>
      <c r="N2101" s="2877"/>
      <c r="O2101" s="2877"/>
      <c r="P2101" s="2877"/>
      <c r="Q2101" s="1976"/>
      <c r="R2101" s="1976"/>
      <c r="S2101" s="1976"/>
      <c r="T2101" s="1976"/>
      <c r="U2101" s="1976"/>
      <c r="V2101" s="1976"/>
      <c r="W2101" s="1976"/>
      <c r="X2101" s="1976"/>
    </row>
    <row r="2102" spans="1:24" ht="15">
      <c r="A2102" s="1900">
        <f>'Part IX Scoring Criteria'!A454</f>
        <v>0</v>
      </c>
      <c r="B2102" s="1900"/>
      <c r="C2102" s="1900"/>
      <c r="D2102" s="1900"/>
      <c r="E2102" s="1900"/>
      <c r="F2102" s="1900"/>
      <c r="G2102" s="1900"/>
      <c r="H2102" s="1900"/>
      <c r="I2102" s="1900"/>
      <c r="J2102" s="1900"/>
      <c r="K2102" s="1900"/>
      <c r="L2102" s="1900"/>
      <c r="M2102" s="1900"/>
      <c r="N2102" s="1900"/>
      <c r="O2102" s="1900"/>
      <c r="P2102" s="1900"/>
      <c r="Q2102" s="2786" t="s">
        <v>1254</v>
      </c>
      <c r="R2102" s="2786"/>
      <c r="S2102" s="1976"/>
      <c r="T2102" s="1976"/>
      <c r="U2102" s="1976"/>
      <c r="V2102" s="1976"/>
      <c r="W2102" s="1976"/>
      <c r="X2102" s="1976"/>
    </row>
  </sheetData>
  <sheetProtection algorithmName="SHA-512" hashValue="AICFbNPwk1Uesy1FnBwm0zlyx0Nmfb7LGvr5JTUrkJ4hOKjzvABtI4/lX6EpTsM0/T7JlwOzQPyHZPVKXHQADg==" saltValue="oH7bGf8Fe4CRDMQUYus47Q==" spinCount="100000" sheet="1" objects="1" scenarios="1"/>
  <hyperlinks>
    <hyperlink ref="N66" r:id="rId1"/>
    <hyperlink ref="N67" r:id="rId2"/>
    <hyperlink ref="N230" r:id="rId3"/>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742" bestFit="1" customWidth="1"/>
    <col min="8" max="8" width="12.140625" style="742" bestFit="1" customWidth="1"/>
    <col min="9" max="10" width="14.140625" style="742" bestFit="1" customWidth="1"/>
    <col min="11" max="14" width="9.140625" style="742" bestFit="1" customWidth="1"/>
    <col min="15" max="16" width="12.140625" style="742" bestFit="1" customWidth="1"/>
    <col min="17" max="278" width="9.140625" style="742" bestFit="1" customWidth="1"/>
    <col min="279" max="16384" width="9.140625" style="742"/>
  </cols>
  <sheetData>
    <row r="1" spans="1:16" ht="15.75">
      <c r="A1" s="1643" t="s">
        <v>979</v>
      </c>
    </row>
    <row r="2" spans="1:16" ht="16.5">
      <c r="A2" s="1644" t="str">
        <f>'Part I-Project Information'!F34</f>
        <v>Stone Terrace Phase II</v>
      </c>
    </row>
    <row r="3" spans="1:16" ht="16.5">
      <c r="A3" s="1644" t="str">
        <f>CONCATENATE('Part I-Project Information'!F38,", ", 'Part I-Project Information'!J39," County")</f>
        <v>Stonecrest, DeKalb County</v>
      </c>
    </row>
    <row r="5" spans="1:16" ht="12.75" customHeight="1">
      <c r="A5" s="1682" t="str">
        <f>'Project Narrative'!$A$5</f>
        <v>Stone Terrace is a proposed new construction affordable community consisting of 84 units.  It is located in the newly formed city of Stone Crest which is on the eastern side of the Atlanta MSA.  The project will be a high quailty affordable housing community built in the garden style.   The community will have a mix of one, two, three, and four bedroom units all targeting to families earning 60% of the area median income or less.  The property is part of a larger planned development that will eventually contain a mix of residential and commercial properties.  Given the sites easy access to I20, the growing need for affordable housing, and the high quaily construction, we believe Stone Terrace will be a very succesful project that tenants will love to call home.</v>
      </c>
    </row>
    <row r="6" spans="1:16">
      <c r="A6" s="1682"/>
    </row>
    <row r="7" spans="1:16">
      <c r="A7" s="1682"/>
    </row>
    <row r="8" spans="1:16">
      <c r="A8" s="1682"/>
    </row>
    <row r="9" spans="1:16">
      <c r="A9" s="1682"/>
    </row>
    <row r="10" spans="1:16">
      <c r="A10" s="1682"/>
    </row>
    <row r="11" spans="1:16">
      <c r="A11" s="1682"/>
    </row>
    <row r="12" spans="1:16">
      <c r="A12" s="1628" t="str">
        <f>CONCATENATE("PART ONE - PROJECT INFORMATION"," - ",$O$6," ",$F$34,", ",'Part I-Project Information'!F49,", ",'Part I-Project Information'!J50," County")</f>
        <v>PART ONE - PROJECT INFORMATION -  282035824, 300382693,  County</v>
      </c>
      <c r="B12" s="1628"/>
      <c r="C12" s="1628"/>
      <c r="D12" s="1628"/>
      <c r="E12" s="1628"/>
      <c r="F12" s="1628"/>
      <c r="G12" s="1628"/>
      <c r="H12" s="1628"/>
      <c r="I12" s="1628"/>
      <c r="J12" s="1628"/>
      <c r="K12" s="1628"/>
      <c r="L12" s="1628"/>
      <c r="M12" s="1628"/>
      <c r="N12" s="1628"/>
      <c r="O12" s="1628"/>
      <c r="P12" s="1628"/>
    </row>
    <row r="13" spans="1:16">
      <c r="A13" s="1645"/>
      <c r="B13" s="1645"/>
      <c r="C13" s="1645"/>
      <c r="D13" s="1645"/>
      <c r="E13" s="1645"/>
      <c r="F13" s="1645"/>
      <c r="G13" s="1645"/>
      <c r="H13" s="1645"/>
      <c r="I13" s="1645"/>
      <c r="J13" s="1645"/>
      <c r="K13" s="1645"/>
      <c r="L13" s="1645"/>
      <c r="M13" s="1645"/>
      <c r="N13" s="1645"/>
      <c r="O13" s="1645"/>
      <c r="P13" s="1645"/>
    </row>
    <row r="14" spans="1:16" ht="12.75" customHeight="1">
      <c r="A14" s="1646" t="s">
        <v>4463</v>
      </c>
      <c r="B14" s="1646"/>
      <c r="C14" s="1646"/>
      <c r="D14" s="1646"/>
      <c r="E14" s="1646"/>
      <c r="F14" s="1646"/>
      <c r="G14" s="1646"/>
      <c r="H14" s="1646"/>
      <c r="I14" s="1646"/>
      <c r="J14" s="1646"/>
      <c r="K14" s="1646"/>
      <c r="L14" s="1646"/>
      <c r="M14" s="1646"/>
      <c r="N14" s="1646"/>
      <c r="O14" s="1646"/>
      <c r="P14" s="1646"/>
    </row>
    <row r="15" spans="1:16">
      <c r="A15" s="1645"/>
      <c r="B15" s="1645"/>
      <c r="C15" s="1645"/>
      <c r="D15" s="1645"/>
      <c r="E15" s="1645"/>
      <c r="F15" s="1645"/>
      <c r="G15" s="1645"/>
      <c r="H15" s="1645"/>
      <c r="I15" s="1645"/>
      <c r="J15" s="1645"/>
      <c r="K15" s="1645"/>
      <c r="L15" s="1645"/>
      <c r="M15" s="1645"/>
      <c r="N15" s="1645"/>
      <c r="O15" s="1645"/>
      <c r="P15" s="1645"/>
    </row>
    <row r="16" spans="1:16" ht="13.5">
      <c r="A16" s="1647"/>
      <c r="B16" s="1648" t="s">
        <v>2364</v>
      </c>
      <c r="C16" s="1647"/>
      <c r="D16" s="1647"/>
      <c r="E16" s="1647"/>
      <c r="F16" s="1645"/>
      <c r="G16" s="1649" t="s">
        <v>4485</v>
      </c>
      <c r="H16" s="1647"/>
      <c r="I16" s="1647"/>
      <c r="J16" s="1647"/>
      <c r="K16" s="1647"/>
      <c r="L16" s="1645"/>
      <c r="M16" s="1647"/>
      <c r="N16" s="1647"/>
      <c r="O16" s="1647"/>
      <c r="P16" s="1650" t="s">
        <v>3872</v>
      </c>
    </row>
    <row r="17" spans="1:16" ht="14.25" customHeight="1">
      <c r="A17" s="1647"/>
      <c r="B17" s="1631"/>
      <c r="C17" s="1631"/>
      <c r="D17" s="1631"/>
      <c r="E17" s="1631"/>
      <c r="F17" s="1645"/>
      <c r="G17" s="1649" t="s">
        <v>4486</v>
      </c>
      <c r="H17" s="1651"/>
      <c r="I17" s="1651"/>
      <c r="J17" s="1651"/>
      <c r="K17" s="1647"/>
      <c r="L17" s="1647"/>
      <c r="M17" s="1647"/>
      <c r="N17" s="1647"/>
      <c r="O17" s="1628" t="str">
        <f>'Part I-Project Information'!$O$6</f>
        <v>2019-5</v>
      </c>
      <c r="P17" s="1628"/>
    </row>
    <row r="18" spans="1:16">
      <c r="A18" s="1647"/>
      <c r="B18" s="1631"/>
      <c r="C18" s="1631"/>
      <c r="D18" s="1631"/>
      <c r="E18" s="1631"/>
      <c r="F18" s="1628"/>
      <c r="G18" s="1652" t="s">
        <v>3318</v>
      </c>
      <c r="H18" s="1651"/>
      <c r="I18" s="1651"/>
      <c r="J18" s="1651"/>
      <c r="K18" s="1647"/>
      <c r="L18" s="1647"/>
      <c r="M18" s="1647"/>
      <c r="N18" s="1647"/>
      <c r="O18" s="1647"/>
      <c r="P18" s="1647"/>
    </row>
    <row r="19" spans="1:16">
      <c r="A19" s="1645"/>
      <c r="B19" s="1628"/>
      <c r="C19" s="1628"/>
      <c r="D19" s="1628"/>
      <c r="E19" s="1651"/>
      <c r="F19" s="1647"/>
      <c r="G19" s="1647"/>
      <c r="H19" s="1651"/>
      <c r="I19" s="1651"/>
      <c r="J19" s="1647"/>
      <c r="K19" s="1647"/>
      <c r="L19" s="1647"/>
      <c r="M19" s="1651"/>
      <c r="N19" s="1647"/>
      <c r="O19" s="1647"/>
      <c r="P19" s="1647"/>
    </row>
    <row r="20" spans="1:16">
      <c r="A20" s="1628" t="s">
        <v>616</v>
      </c>
      <c r="B20" s="1628" t="s">
        <v>2375</v>
      </c>
      <c r="C20" s="1647"/>
      <c r="D20" s="1653"/>
      <c r="E20" s="1651"/>
      <c r="F20" s="1654" t="s">
        <v>3800</v>
      </c>
      <c r="G20" s="1647"/>
      <c r="H20" s="1647"/>
      <c r="I20" s="1655">
        <f>'Part IV-A-Uses of Funds'!$J$175</f>
        <v>660058</v>
      </c>
      <c r="J20" s="1655"/>
      <c r="K20" s="1647"/>
      <c r="L20" s="1647" t="s">
        <v>3801</v>
      </c>
      <c r="M20" s="1647"/>
      <c r="N20" s="1647"/>
      <c r="O20" s="1656">
        <f>'Part III-Sources of Funds'!$H$5</f>
        <v>0</v>
      </c>
      <c r="P20" s="1656"/>
    </row>
    <row r="21" spans="1:16">
      <c r="A21" s="1628"/>
      <c r="B21" s="1628"/>
      <c r="C21" s="1647"/>
      <c r="D21" s="1653"/>
      <c r="E21" s="1651"/>
      <c r="F21" s="1651"/>
      <c r="G21" s="1647"/>
      <c r="H21" s="1647"/>
      <c r="I21" s="1648"/>
      <c r="J21" s="1647"/>
      <c r="K21" s="1647"/>
      <c r="L21" s="1647"/>
      <c r="M21" s="1647"/>
      <c r="N21" s="1657"/>
      <c r="O21" s="1647"/>
      <c r="P21" s="1647"/>
    </row>
    <row r="22" spans="1:16" ht="13.5">
      <c r="A22" s="1648" t="s">
        <v>740</v>
      </c>
      <c r="B22" s="1628" t="s">
        <v>2040</v>
      </c>
      <c r="C22" s="1647"/>
      <c r="D22" s="1647"/>
      <c r="E22" s="1647"/>
      <c r="F22" s="1710" t="str">
        <f>'Part I-Project Information'!$F$11</f>
        <v>4% Credit/TE Bond</v>
      </c>
      <c r="G22" s="1710"/>
      <c r="H22" s="1710"/>
      <c r="I22" s="2114" t="s">
        <v>3715</v>
      </c>
      <c r="J22" s="1628" t="s">
        <v>4487</v>
      </c>
      <c r="K22" s="1628"/>
      <c r="L22" s="1651"/>
      <c r="M22" s="1647"/>
      <c r="N22" s="1647"/>
      <c r="O22" s="1647" t="str">
        <f>'Part I-Project Information'!$O$11</f>
        <v>2019PA-538</v>
      </c>
      <c r="P22" s="1647"/>
    </row>
    <row r="23" spans="1:16" ht="13.5" customHeight="1">
      <c r="A23" s="1645"/>
      <c r="B23" s="1658" t="s">
        <v>4464</v>
      </c>
      <c r="C23" s="1658"/>
      <c r="D23" s="1658"/>
      <c r="E23" s="1647"/>
      <c r="F23" s="1647"/>
      <c r="G23" s="1647"/>
      <c r="H23" s="1651"/>
      <c r="I23" s="1647"/>
      <c r="J23" s="1654" t="s">
        <v>2733</v>
      </c>
      <c r="K23" s="1648"/>
      <c r="L23" s="1647"/>
      <c r="M23" s="1651"/>
      <c r="N23" s="1647"/>
      <c r="O23" s="1710" t="str">
        <f>'Part I-Project Information'!$O$12</f>
        <v>No</v>
      </c>
      <c r="P23" s="1710"/>
    </row>
    <row r="24" spans="1:16" ht="12.75" customHeight="1">
      <c r="A24" s="1645"/>
      <c r="B24" s="1658"/>
      <c r="C24" s="1658"/>
      <c r="D24" s="1658"/>
      <c r="E24" s="1647"/>
      <c r="F24" s="1647"/>
      <c r="G24" s="1647"/>
      <c r="H24" s="1651"/>
      <c r="I24" s="1647"/>
      <c r="J24" s="1654"/>
      <c r="K24" s="1648"/>
      <c r="L24" s="1647"/>
      <c r="M24" s="1651"/>
      <c r="N24" s="1647"/>
      <c r="O24" s="1647"/>
      <c r="P24" s="1647"/>
    </row>
    <row r="25" spans="1:16">
      <c r="A25" s="1645"/>
      <c r="B25" s="1658"/>
      <c r="C25" s="1658"/>
      <c r="D25" s="1658"/>
      <c r="E25" s="1647"/>
      <c r="F25" s="1729" t="str">
        <f>'Part I-Project Information'!$F$14</f>
        <v>No</v>
      </c>
      <c r="G25" s="1654" t="s">
        <v>3798</v>
      </c>
      <c r="K25" s="1647"/>
      <c r="L25" s="1647"/>
      <c r="M25" s="1647"/>
      <c r="N25" s="1647"/>
      <c r="O25" s="1647"/>
      <c r="P25" s="1647"/>
    </row>
    <row r="26" spans="1:16">
      <c r="A26" s="1645"/>
      <c r="B26" s="1647" t="s">
        <v>3873</v>
      </c>
      <c r="C26" s="1647"/>
      <c r="D26" s="1628"/>
      <c r="E26" s="1647"/>
      <c r="F26" s="2023">
        <f>'Part I-Project Information'!$F$15</f>
        <v>0</v>
      </c>
      <c r="G26" s="2023"/>
      <c r="H26" s="2023"/>
      <c r="I26" s="2023"/>
      <c r="J26" s="2023"/>
      <c r="K26" s="2023"/>
      <c r="L26" s="1647" t="s">
        <v>3797</v>
      </c>
      <c r="M26" s="1647"/>
      <c r="N26" s="1647"/>
      <c r="O26" s="1647">
        <f>'Part I-Project Information'!$O$15</f>
        <v>0</v>
      </c>
      <c r="P26" s="1647"/>
    </row>
    <row r="27" spans="1:16">
      <c r="A27" s="1645"/>
      <c r="B27" s="1647" t="s">
        <v>3799</v>
      </c>
      <c r="C27" s="1647"/>
      <c r="D27" s="1647"/>
      <c r="E27" s="1647"/>
      <c r="F27" s="1729">
        <f>'Part I-Project Information'!F16</f>
        <v>0</v>
      </c>
      <c r="G27" s="1647" t="s">
        <v>3855</v>
      </c>
      <c r="H27" s="1651"/>
      <c r="I27" s="1652"/>
      <c r="J27" s="1654"/>
      <c r="K27" s="1647"/>
      <c r="L27" s="1647"/>
      <c r="M27" s="1851" t="str">
        <f>'Part I-Project Information'!N16</f>
        <v>&lt;&lt; Select Designation &gt;&gt;</v>
      </c>
      <c r="N27" s="1851"/>
      <c r="O27" s="1851"/>
      <c r="P27" s="1851"/>
    </row>
    <row r="28" spans="1:16">
      <c r="A28" s="1647"/>
      <c r="B28" s="1647"/>
      <c r="C28" s="1647"/>
      <c r="D28" s="1647"/>
      <c r="E28" s="1647"/>
      <c r="F28" s="1647"/>
      <c r="G28" s="1647"/>
      <c r="H28" s="1647"/>
      <c r="I28" s="1653"/>
      <c r="J28" s="1653"/>
      <c r="K28" s="1653"/>
      <c r="L28" s="1653"/>
      <c r="M28" s="1653"/>
      <c r="N28" s="1653"/>
      <c r="O28" s="1653"/>
      <c r="P28" s="1653"/>
    </row>
    <row r="29" spans="1:16">
      <c r="A29" s="1648" t="s">
        <v>742</v>
      </c>
      <c r="B29" s="1628" t="s">
        <v>1473</v>
      </c>
      <c r="C29" s="1647"/>
      <c r="D29" s="1654"/>
      <c r="E29" s="1651"/>
      <c r="F29" s="1647"/>
      <c r="G29" s="1651"/>
      <c r="H29" s="1651"/>
      <c r="I29" s="1651"/>
      <c r="J29" s="1647"/>
      <c r="K29" s="1647"/>
      <c r="L29" s="1657"/>
      <c r="M29" s="1647"/>
      <c r="N29" s="1647"/>
      <c r="O29" s="1647"/>
      <c r="P29" s="1647"/>
    </row>
    <row r="30" spans="1:16">
      <c r="A30" s="1648"/>
      <c r="B30" s="1651"/>
      <c r="C30" s="1628"/>
      <c r="D30" s="1654"/>
      <c r="E30" s="1651"/>
      <c r="F30" s="1647"/>
      <c r="G30" s="1651"/>
      <c r="H30" s="1651"/>
      <c r="I30" s="1651"/>
      <c r="J30" s="1647"/>
      <c r="K30" s="1657"/>
      <c r="L30" s="1657"/>
      <c r="M30" s="1647"/>
      <c r="N30" s="1647"/>
      <c r="O30" s="1645"/>
      <c r="P30" s="1647"/>
    </row>
    <row r="31" spans="1:16">
      <c r="A31" s="1647"/>
      <c r="B31" s="1647" t="s">
        <v>3882</v>
      </c>
      <c r="C31" s="1647"/>
      <c r="D31" s="1647"/>
      <c r="E31" s="1647"/>
      <c r="F31" s="1647" t="str">
        <f>'Part I-Project Information'!F20</f>
        <v>Flatiron Partners, LLC</v>
      </c>
      <c r="G31" s="1647">
        <f>'Part I-Project Information'!G20</f>
        <v>0</v>
      </c>
      <c r="H31" s="1647">
        <f>'Part I-Project Information'!H20</f>
        <v>0</v>
      </c>
      <c r="I31" s="1647" t="s">
        <v>1797</v>
      </c>
      <c r="J31" s="1647" t="str">
        <f>'Part I-Project Information'!J20</f>
        <v>Charles F. Irick, Jr.</v>
      </c>
      <c r="K31" s="1647">
        <f>'Part I-Project Information'!K20</f>
        <v>0</v>
      </c>
      <c r="L31" s="1647">
        <f>'Part I-Project Information'!L20</f>
        <v>0</v>
      </c>
      <c r="M31" s="1654" t="s">
        <v>1980</v>
      </c>
      <c r="N31" s="1647" t="str">
        <f>'Part I-Project Information'!N20</f>
        <v>Principal</v>
      </c>
      <c r="O31" s="1647">
        <f>'Part I-Project Information'!O20</f>
        <v>0</v>
      </c>
      <c r="P31" s="1647">
        <f>'Part I-Project Information'!P20</f>
        <v>0</v>
      </c>
    </row>
    <row r="32" spans="1:16" ht="12.75" customHeight="1">
      <c r="A32" s="1647"/>
      <c r="B32" s="1654" t="s">
        <v>1981</v>
      </c>
      <c r="C32" s="1647"/>
      <c r="D32" s="1647"/>
      <c r="E32" s="1647"/>
      <c r="F32" s="1647" t="str">
        <f>'Part I-Project Information'!F21</f>
        <v>1714 East Boulevard</v>
      </c>
      <c r="G32" s="1647">
        <f>'Part I-Project Information'!G21</f>
        <v>0</v>
      </c>
      <c r="H32" s="1647">
        <f>'Part I-Project Information'!H21</f>
        <v>0</v>
      </c>
      <c r="I32" s="1647">
        <f>'Part I-Project Information'!I21</f>
        <v>0</v>
      </c>
      <c r="J32" s="1647">
        <f>'Part I-Project Information'!J21</f>
        <v>0</v>
      </c>
      <c r="K32" s="1647">
        <f>'Part I-Project Information'!K21</f>
        <v>0</v>
      </c>
      <c r="L32" s="1647">
        <f>'Part I-Project Information'!L21</f>
        <v>0</v>
      </c>
      <c r="M32" s="1659" t="s">
        <v>3881</v>
      </c>
      <c r="N32" s="1659"/>
      <c r="O32" s="1659"/>
      <c r="P32" s="1659"/>
    </row>
    <row r="33" spans="1:16" ht="12.75" customHeight="1">
      <c r="A33" s="1647"/>
      <c r="B33" s="1654" t="s">
        <v>618</v>
      </c>
      <c r="C33" s="1647"/>
      <c r="D33" s="1647"/>
      <c r="E33" s="1647"/>
      <c r="F33" s="1647" t="str">
        <f>'Part I-Project Information'!F22</f>
        <v>Charlotte</v>
      </c>
      <c r="G33" s="1647">
        <f>'Part I-Project Information'!G22</f>
        <v>0</v>
      </c>
      <c r="H33" s="1647">
        <f>'Part I-Project Information'!H22</f>
        <v>0</v>
      </c>
      <c r="I33" s="1654" t="s">
        <v>1799</v>
      </c>
      <c r="J33" s="1680" t="str">
        <f>'Part I-Project Information'!J22</f>
        <v>NC</v>
      </c>
      <c r="K33" s="1647"/>
      <c r="L33" s="1647"/>
      <c r="M33" s="1659"/>
      <c r="N33" s="1659"/>
      <c r="O33" s="1659"/>
      <c r="P33" s="1659"/>
    </row>
    <row r="34" spans="1:16">
      <c r="A34" s="1647"/>
      <c r="B34" s="1654" t="s">
        <v>2229</v>
      </c>
      <c r="C34" s="1647"/>
      <c r="D34" s="1647"/>
      <c r="E34" s="1647"/>
      <c r="F34" s="2115">
        <f>'Part I-Project Information'!F23</f>
        <v>282035824</v>
      </c>
      <c r="G34" s="2115">
        <f>'Part I-Project Information'!G23</f>
        <v>0</v>
      </c>
      <c r="H34" s="2115">
        <f>'Part I-Project Information'!H23</f>
        <v>0</v>
      </c>
      <c r="I34" s="1654" t="s">
        <v>1720</v>
      </c>
      <c r="J34" s="2116">
        <f>'Part I-Project Information'!J23</f>
        <v>7043359112</v>
      </c>
      <c r="K34" s="2116">
        <f>'Part I-Project Information'!K23</f>
        <v>0</v>
      </c>
      <c r="L34" s="1651" t="s">
        <v>1719</v>
      </c>
      <c r="M34" s="1651">
        <f>'Part I-Project Information'!M23</f>
        <v>0</v>
      </c>
      <c r="N34" s="1654" t="s">
        <v>1721</v>
      </c>
      <c r="O34" s="2116">
        <f>'Part I-Project Information'!O23</f>
        <v>7043359112</v>
      </c>
      <c r="P34" s="2116">
        <f>'Part I-Project Information'!P23</f>
        <v>0</v>
      </c>
    </row>
    <row r="35" spans="1:16">
      <c r="A35" s="1647"/>
      <c r="B35" s="1654" t="s">
        <v>1984</v>
      </c>
      <c r="C35" s="1647"/>
      <c r="D35" s="1647"/>
      <c r="E35" s="1647"/>
      <c r="F35" s="1647" t="str">
        <f>'Part I-Project Information'!F24</f>
        <v>cirick@flatironenterprises.com</v>
      </c>
      <c r="G35" s="1647">
        <f>'Part I-Project Information'!G24</f>
        <v>0</v>
      </c>
      <c r="H35" s="1647">
        <f>'Part I-Project Information'!H24</f>
        <v>0</v>
      </c>
      <c r="I35" s="1647">
        <f>'Part I-Project Information'!I24</f>
        <v>0</v>
      </c>
      <c r="J35" s="1647">
        <f>'Part I-Project Information'!J24</f>
        <v>0</v>
      </c>
      <c r="K35" s="1647">
        <f>'Part I-Project Information'!K24</f>
        <v>0</v>
      </c>
      <c r="L35" s="1647"/>
      <c r="M35" s="1647"/>
      <c r="N35" s="1654" t="s">
        <v>1979</v>
      </c>
      <c r="O35" s="2116">
        <f>'Part I-Project Information'!O24</f>
        <v>8032694235</v>
      </c>
      <c r="P35" s="2116">
        <f>'Part I-Project Information'!P24</f>
        <v>0</v>
      </c>
    </row>
    <row r="36" spans="1:16">
      <c r="A36" s="1645"/>
      <c r="B36" s="1628" t="s">
        <v>4071</v>
      </c>
      <c r="C36" s="1653"/>
      <c r="D36" s="1647"/>
      <c r="E36" s="1647"/>
      <c r="F36" s="1647"/>
      <c r="G36" s="1647"/>
      <c r="H36" s="1651"/>
      <c r="I36" s="1647"/>
      <c r="J36" s="1653"/>
      <c r="K36" s="1647"/>
      <c r="L36" s="1647"/>
      <c r="M36" s="1647"/>
      <c r="N36" s="1647"/>
      <c r="O36" s="1647"/>
      <c r="P36" s="1660"/>
    </row>
    <row r="37" spans="1:16">
      <c r="A37" s="1647"/>
      <c r="B37" s="1647" t="s">
        <v>3882</v>
      </c>
      <c r="C37" s="1647"/>
      <c r="D37" s="1647"/>
      <c r="E37" s="1647"/>
      <c r="F37" s="1647">
        <f>'Part I-Project Information'!F26</f>
        <v>0</v>
      </c>
      <c r="G37" s="1647">
        <f>'Part I-Project Information'!G26</f>
        <v>0</v>
      </c>
      <c r="H37" s="1647">
        <f>'Part I-Project Information'!H26</f>
        <v>0</v>
      </c>
      <c r="I37" s="1647" t="s">
        <v>1797</v>
      </c>
      <c r="J37" s="1647">
        <f>'Part I-Project Information'!J26</f>
        <v>0</v>
      </c>
      <c r="K37" s="1647">
        <f>'Part I-Project Information'!K26</f>
        <v>0</v>
      </c>
      <c r="L37" s="1647">
        <f>'Part I-Project Information'!L26</f>
        <v>0</v>
      </c>
      <c r="M37" s="1654" t="s">
        <v>1980</v>
      </c>
      <c r="N37" s="1647">
        <f>'Part I-Project Information'!N26</f>
        <v>0</v>
      </c>
      <c r="O37" s="1647">
        <f>'Part I-Project Information'!O26</f>
        <v>0</v>
      </c>
      <c r="P37" s="1647">
        <f>'Part I-Project Information'!P26</f>
        <v>0</v>
      </c>
    </row>
    <row r="38" spans="1:16" ht="12.75" customHeight="1">
      <c r="A38" s="1647"/>
      <c r="B38" s="1654" t="s">
        <v>1981</v>
      </c>
      <c r="C38" s="1647"/>
      <c r="D38" s="1647"/>
      <c r="E38" s="1647"/>
      <c r="F38" s="1647">
        <f>'Part I-Project Information'!F27</f>
        <v>0</v>
      </c>
      <c r="G38" s="1647">
        <f>'Part I-Project Information'!G27</f>
        <v>0</v>
      </c>
      <c r="H38" s="1647">
        <f>'Part I-Project Information'!H27</f>
        <v>0</v>
      </c>
      <c r="I38" s="1647">
        <f>'Part I-Project Information'!I27</f>
        <v>0</v>
      </c>
      <c r="J38" s="1647">
        <f>'Part I-Project Information'!J27</f>
        <v>0</v>
      </c>
      <c r="K38" s="1647">
        <f>'Part I-Project Information'!K27</f>
        <v>0</v>
      </c>
      <c r="L38" s="1647">
        <f>'Part I-Project Information'!L27</f>
        <v>0</v>
      </c>
      <c r="M38" s="1659" t="s">
        <v>3881</v>
      </c>
      <c r="N38" s="1659"/>
      <c r="O38" s="1659"/>
      <c r="P38" s="1659"/>
    </row>
    <row r="39" spans="1:16" ht="12.75" customHeight="1">
      <c r="A39" s="1647"/>
      <c r="B39" s="1654" t="s">
        <v>618</v>
      </c>
      <c r="C39" s="1647"/>
      <c r="D39" s="1647"/>
      <c r="E39" s="1647"/>
      <c r="F39" s="1647">
        <f>'Part I-Project Information'!F28</f>
        <v>0</v>
      </c>
      <c r="G39" s="1647">
        <f>'Part I-Project Information'!G28</f>
        <v>0</v>
      </c>
      <c r="H39" s="1647">
        <f>'Part I-Project Information'!H28</f>
        <v>0</v>
      </c>
      <c r="I39" s="1654" t="s">
        <v>1799</v>
      </c>
      <c r="J39" s="1680">
        <f>'Part I-Project Information'!J28</f>
        <v>0</v>
      </c>
      <c r="K39" s="1647"/>
      <c r="L39" s="1647"/>
      <c r="M39" s="1659"/>
      <c r="N39" s="1659"/>
      <c r="O39" s="1659"/>
      <c r="P39" s="1659"/>
    </row>
    <row r="40" spans="1:16">
      <c r="A40" s="1647"/>
      <c r="B40" s="1654" t="s">
        <v>2229</v>
      </c>
      <c r="C40" s="1647"/>
      <c r="D40" s="1647"/>
      <c r="E40" s="1647"/>
      <c r="F40" s="2115">
        <f>'Part I-Project Information'!F29</f>
        <v>0</v>
      </c>
      <c r="G40" s="2115">
        <f>'Part I-Project Information'!G29</f>
        <v>0</v>
      </c>
      <c r="H40" s="2115">
        <f>'Part I-Project Information'!H29</f>
        <v>0</v>
      </c>
      <c r="I40" s="1654" t="s">
        <v>1720</v>
      </c>
      <c r="J40" s="2116">
        <f>'Part I-Project Information'!J29</f>
        <v>0</v>
      </c>
      <c r="K40" s="2116">
        <f>'Part I-Project Information'!K29</f>
        <v>0</v>
      </c>
      <c r="L40" s="1651" t="s">
        <v>1719</v>
      </c>
      <c r="M40" s="1651">
        <f>'Part I-Project Information'!M29</f>
        <v>0</v>
      </c>
      <c r="N40" s="1654" t="s">
        <v>1721</v>
      </c>
      <c r="O40" s="2116">
        <f>'Part I-Project Information'!O29</f>
        <v>0</v>
      </c>
      <c r="P40" s="2116">
        <f>'Part I-Project Information'!P29</f>
        <v>0</v>
      </c>
    </row>
    <row r="41" spans="1:16">
      <c r="A41" s="1647"/>
      <c r="B41" s="1654" t="s">
        <v>1984</v>
      </c>
      <c r="C41" s="1647"/>
      <c r="D41" s="1647"/>
      <c r="E41" s="1647"/>
      <c r="F41" s="1647">
        <f>'Part I-Project Information'!F30</f>
        <v>0</v>
      </c>
      <c r="G41" s="1647">
        <f>'Part I-Project Information'!G30</f>
        <v>0</v>
      </c>
      <c r="H41" s="1647">
        <f>'Part I-Project Information'!H30</f>
        <v>0</v>
      </c>
      <c r="I41" s="1647">
        <f>'Part I-Project Information'!I30</f>
        <v>0</v>
      </c>
      <c r="J41" s="1647">
        <f>'Part I-Project Information'!J30</f>
        <v>0</v>
      </c>
      <c r="K41" s="1647">
        <f>'Part I-Project Information'!K30</f>
        <v>0</v>
      </c>
      <c r="L41" s="1647"/>
      <c r="M41" s="1647"/>
      <c r="N41" s="1654" t="s">
        <v>1979</v>
      </c>
      <c r="O41" s="2116">
        <f>'Part I-Project Information'!O30</f>
        <v>0</v>
      </c>
      <c r="P41" s="2116">
        <f>'Part I-Project Information'!P30</f>
        <v>0</v>
      </c>
    </row>
    <row r="42" spans="1:16">
      <c r="A42" s="1645"/>
      <c r="B42" s="1645"/>
      <c r="C42" s="1653"/>
      <c r="D42" s="1647"/>
      <c r="E42" s="1647"/>
      <c r="F42" s="1647"/>
      <c r="G42" s="1647"/>
      <c r="H42" s="1651"/>
      <c r="I42" s="1647"/>
      <c r="J42" s="1653"/>
      <c r="K42" s="1647"/>
      <c r="L42" s="1647"/>
      <c r="M42" s="1647"/>
      <c r="N42" s="1647"/>
      <c r="O42" s="1647"/>
      <c r="P42" s="1660"/>
    </row>
    <row r="43" spans="1:16">
      <c r="A43" s="1648" t="s">
        <v>1792</v>
      </c>
      <c r="B43" s="1628" t="s">
        <v>1474</v>
      </c>
      <c r="C43" s="1647"/>
      <c r="D43" s="1653"/>
      <c r="E43" s="1651"/>
      <c r="F43" s="1651"/>
      <c r="G43" s="1654"/>
      <c r="H43" s="1651"/>
      <c r="I43" s="1651"/>
      <c r="J43" s="1651"/>
      <c r="K43" s="1647"/>
      <c r="L43" s="1657"/>
      <c r="M43" s="1657"/>
      <c r="N43" s="1647"/>
      <c r="O43" s="1647"/>
      <c r="P43" s="1647"/>
    </row>
    <row r="44" spans="1:16">
      <c r="A44" s="1648"/>
      <c r="B44" s="1628"/>
      <c r="C44" s="1647"/>
      <c r="D44" s="1653"/>
      <c r="E44" s="1651"/>
      <c r="F44" s="1651"/>
      <c r="G44" s="1654"/>
      <c r="H44" s="1651"/>
      <c r="I44" s="1651"/>
      <c r="J44" s="1651"/>
      <c r="K44" s="1647"/>
      <c r="L44" s="1657"/>
      <c r="M44" s="1647"/>
      <c r="N44" s="1647"/>
      <c r="O44" s="1647"/>
      <c r="P44" s="1647"/>
    </row>
    <row r="45" spans="1:16">
      <c r="A45" s="1628"/>
      <c r="B45" s="1647" t="s">
        <v>617</v>
      </c>
      <c r="C45" s="1647"/>
      <c r="D45" s="1628"/>
      <c r="E45" s="1647"/>
      <c r="F45" s="2023" t="str">
        <f>'Part I-Project Information'!F34</f>
        <v>Stone Terrace Phase II</v>
      </c>
      <c r="G45" s="2023">
        <f>'Part I-Project Information'!G34</f>
        <v>0</v>
      </c>
      <c r="H45" s="2023">
        <f>'Part I-Project Information'!H34</f>
        <v>0</v>
      </c>
      <c r="I45" s="2023">
        <f>'Part I-Project Information'!I34</f>
        <v>0</v>
      </c>
      <c r="J45" s="2023">
        <f>'Part I-Project Information'!J34</f>
        <v>0</v>
      </c>
      <c r="K45" s="2023">
        <f>'Part I-Project Information'!K34</f>
        <v>0</v>
      </c>
      <c r="L45" s="1654" t="s">
        <v>2192</v>
      </c>
      <c r="M45" s="1647"/>
      <c r="N45" s="1647"/>
      <c r="O45" s="1647" t="str">
        <f>'Part I-Project Information'!O34</f>
        <v>Yes - no Master Plan</v>
      </c>
      <c r="P45" s="1647">
        <f>'Part I-Project Information'!P34</f>
        <v>0</v>
      </c>
    </row>
    <row r="46" spans="1:16">
      <c r="A46" s="1650"/>
      <c r="B46" s="1647" t="s">
        <v>2699</v>
      </c>
      <c r="C46" s="1647"/>
      <c r="D46" s="1657"/>
      <c r="E46" s="1647"/>
      <c r="F46" s="1647" t="str">
        <f>'Part I-Project Information'!F35</f>
        <v>6659 Chupp Road</v>
      </c>
      <c r="G46" s="1647">
        <f>'Part I-Project Information'!G35</f>
        <v>0</v>
      </c>
      <c r="H46" s="1647">
        <f>'Part I-Project Information'!H35</f>
        <v>0</v>
      </c>
      <c r="I46" s="1647">
        <f>'Part I-Project Information'!I35</f>
        <v>0</v>
      </c>
      <c r="J46" s="1647">
        <f>'Part I-Project Information'!J35</f>
        <v>0</v>
      </c>
      <c r="K46" s="1647">
        <f>'Part I-Project Information'!K35</f>
        <v>0</v>
      </c>
      <c r="L46" s="1647" t="s">
        <v>3683</v>
      </c>
      <c r="M46" s="1647"/>
      <c r="N46" s="1647"/>
      <c r="O46" s="1647">
        <f>'Part I-Project Information'!O35</f>
        <v>0</v>
      </c>
      <c r="P46" s="1647">
        <f>'Part I-Project Information'!P35</f>
        <v>0</v>
      </c>
    </row>
    <row r="47" spans="1:16">
      <c r="A47" s="1650"/>
      <c r="B47" s="1647" t="s">
        <v>4488</v>
      </c>
      <c r="C47" s="1647"/>
      <c r="D47" s="1657"/>
      <c r="E47" s="1647"/>
      <c r="F47" s="1647">
        <f>'Part I-Project Information'!F36</f>
        <v>0</v>
      </c>
      <c r="G47" s="1647">
        <f>'Part I-Project Information'!G36</f>
        <v>0</v>
      </c>
      <c r="H47" s="1647">
        <f>'Part I-Project Information'!H36</f>
        <v>0</v>
      </c>
      <c r="I47" s="1647">
        <f>'Part I-Project Information'!I36</f>
        <v>0</v>
      </c>
      <c r="J47" s="1647">
        <f>'Part I-Project Information'!J36</f>
        <v>0</v>
      </c>
      <c r="K47" s="1647">
        <f>'Part I-Project Information'!K36</f>
        <v>0</v>
      </c>
      <c r="L47" s="1654" t="s">
        <v>2050</v>
      </c>
      <c r="M47" s="1647"/>
      <c r="N47" s="1651" t="str">
        <f>'Part I-Project Information'!N36</f>
        <v>No</v>
      </c>
      <c r="O47" s="1651" t="s">
        <v>3682</v>
      </c>
      <c r="P47" s="1651">
        <f>'Part I-Project Information'!P36</f>
        <v>0</v>
      </c>
    </row>
    <row r="48" spans="1:16">
      <c r="A48" s="1650"/>
      <c r="B48" s="1647" t="s">
        <v>3738</v>
      </c>
      <c r="C48" s="1647"/>
      <c r="D48" s="1657"/>
      <c r="E48" s="1647"/>
      <c r="F48" s="1647" t="s">
        <v>3717</v>
      </c>
      <c r="G48" s="2117">
        <f>'Part I-Project Information'!G37</f>
        <v>33.704946999999997</v>
      </c>
      <c r="H48" s="2117">
        <f>'Part I-Project Information'!H37</f>
        <v>0</v>
      </c>
      <c r="I48" s="1651" t="s">
        <v>3718</v>
      </c>
      <c r="J48" s="2117">
        <f>'Part I-Project Information'!J37</f>
        <v>-84.122478999999998</v>
      </c>
      <c r="K48" s="2117">
        <f>'Part I-Project Information'!K37</f>
        <v>0</v>
      </c>
      <c r="L48" s="1654" t="s">
        <v>2283</v>
      </c>
      <c r="M48" s="1647"/>
      <c r="N48" s="1647"/>
      <c r="O48" s="2118">
        <f>'Part I-Project Information'!O37</f>
        <v>0</v>
      </c>
      <c r="P48" s="2118">
        <f>'Part I-Project Information'!P37</f>
        <v>0</v>
      </c>
    </row>
    <row r="49" spans="1:16" ht="16.5">
      <c r="A49" s="1645"/>
      <c r="B49" s="1647" t="s">
        <v>618</v>
      </c>
      <c r="C49" s="1647"/>
      <c r="D49" s="1647"/>
      <c r="E49" s="1647"/>
      <c r="F49" s="1647" t="str">
        <f>'Part I-Project Information'!F38</f>
        <v>Stonecrest</v>
      </c>
      <c r="G49" s="1647">
        <f>'Part I-Project Information'!G38</f>
        <v>0</v>
      </c>
      <c r="H49" s="1647">
        <f>'Part I-Project Information'!H38</f>
        <v>0</v>
      </c>
      <c r="I49" s="1661" t="s">
        <v>4489</v>
      </c>
      <c r="J49" s="2115">
        <f>'Part I-Project Information'!J38</f>
        <v>300587633</v>
      </c>
      <c r="K49" s="2115">
        <f>'Part I-Project Information'!K38</f>
        <v>0</v>
      </c>
      <c r="L49" s="1628" t="str">
        <f>IF(AND(NOT(F45=""),NOT(F49="Select from list"),J49=""),"Enter Zip!","")</f>
        <v/>
      </c>
      <c r="M49" s="1662" t="s">
        <v>2906</v>
      </c>
      <c r="N49" s="1647"/>
      <c r="O49" s="2119" t="str">
        <f>'Part I-Project Information'!O38</f>
        <v>233.10</v>
      </c>
      <c r="P49" s="2120">
        <f>'Part I-Project Information'!P38</f>
        <v>0</v>
      </c>
    </row>
    <row r="50" spans="1:16">
      <c r="A50" s="1645"/>
      <c r="B50" s="1647" t="s">
        <v>3569</v>
      </c>
      <c r="C50" s="1647"/>
      <c r="D50" s="1647"/>
      <c r="E50" s="1647"/>
      <c r="F50" s="1647" t="str">
        <f>'Part I-Project Information'!F39</f>
        <v>Within City Limits</v>
      </c>
      <c r="G50" s="1647">
        <f>'Part I-Project Information'!G39</f>
        <v>0</v>
      </c>
      <c r="H50" s="1647">
        <f>'Part I-Project Information'!H39</f>
        <v>0</v>
      </c>
      <c r="I50" s="1663" t="s">
        <v>619</v>
      </c>
      <c r="J50" s="2023" t="str">
        <f>'Part I-Project Information'!J39</f>
        <v>DeKalb</v>
      </c>
      <c r="K50" s="2023">
        <f>'Part I-Project Information'!K39</f>
        <v>0</v>
      </c>
      <c r="L50" s="1647"/>
      <c r="M50" s="1654" t="s">
        <v>451</v>
      </c>
      <c r="N50" s="1664" t="str">
        <f>'Part I-Project Information'!N39</f>
        <v>Yes</v>
      </c>
      <c r="O50" s="1651" t="s">
        <v>452</v>
      </c>
      <c r="P50" s="1664">
        <f>'Part I-Project Information'!P39</f>
        <v>0</v>
      </c>
    </row>
    <row r="51" spans="1:16">
      <c r="A51" s="1645"/>
      <c r="B51" s="1628"/>
      <c r="C51" s="1647" t="s">
        <v>1558</v>
      </c>
      <c r="D51" s="1647"/>
      <c r="E51" s="1647"/>
      <c r="F51" s="1654">
        <f>'Part I-Project Information'!F40</f>
        <v>0</v>
      </c>
      <c r="G51" s="1647" t="s">
        <v>2781</v>
      </c>
      <c r="H51" s="1647"/>
      <c r="I51" s="1651" t="str">
        <f>'Part I-Project Information'!I40</f>
        <v>No</v>
      </c>
      <c r="J51" s="1651" t="s">
        <v>2801</v>
      </c>
      <c r="K51" s="1651" t="str">
        <f>'Part I-Project Information'!K40</f>
        <v>Urban</v>
      </c>
      <c r="L51" s="1647"/>
      <c r="M51" s="1654" t="s">
        <v>2611</v>
      </c>
      <c r="N51" s="1645" t="str">
        <f>'Part I-Project Information'!N40</f>
        <v>MSA</v>
      </c>
      <c r="O51" s="1647" t="str">
        <f>'Part I-Project Information'!O40</f>
        <v>Atlanta-Sandy Springs-Marietta</v>
      </c>
      <c r="P51" s="1647">
        <f>'Part I-Project Information'!P40</f>
        <v>0</v>
      </c>
    </row>
    <row r="52" spans="1:16">
      <c r="A52" s="1645"/>
      <c r="B52" s="1628"/>
      <c r="C52" s="1628"/>
      <c r="D52" s="1647"/>
      <c r="E52" s="1647"/>
      <c r="F52" s="1647"/>
      <c r="G52" s="1647"/>
      <c r="H52" s="1647"/>
      <c r="I52" s="1654"/>
      <c r="J52" s="1647"/>
      <c r="K52" s="1647"/>
      <c r="L52" s="1664"/>
      <c r="M52" s="1664"/>
      <c r="N52" s="1664"/>
      <c r="O52" s="1664"/>
      <c r="P52" s="1664"/>
    </row>
    <row r="53" spans="1:16" ht="13.5">
      <c r="A53" s="1645"/>
      <c r="B53" s="1647"/>
      <c r="C53" s="1647" t="s">
        <v>4490</v>
      </c>
      <c r="D53" s="1647"/>
      <c r="E53" s="1647"/>
      <c r="F53" s="1665" t="s">
        <v>2762</v>
      </c>
      <c r="G53" s="1665"/>
      <c r="H53" s="1647" t="s">
        <v>736</v>
      </c>
      <c r="I53" s="1647"/>
      <c r="J53" s="1647" t="s">
        <v>737</v>
      </c>
      <c r="K53" s="1647"/>
      <c r="L53" s="1666" t="s">
        <v>4491</v>
      </c>
      <c r="M53" s="1647"/>
      <c r="N53" s="1647"/>
      <c r="O53" s="1647"/>
      <c r="P53" s="1647"/>
    </row>
    <row r="54" spans="1:16">
      <c r="A54" s="1645"/>
      <c r="B54" s="1647" t="s">
        <v>4492</v>
      </c>
      <c r="C54" s="1647"/>
      <c r="D54" s="1628"/>
      <c r="E54" s="1647"/>
      <c r="F54" s="2121">
        <f>'Part I-Project Information'!F43</f>
        <v>4</v>
      </c>
      <c r="G54" s="2121">
        <f>'Part I-Project Information'!G43</f>
        <v>0</v>
      </c>
      <c r="H54" s="2121">
        <f>'Part I-Project Information'!H43</f>
        <v>92</v>
      </c>
      <c r="I54" s="2121">
        <f>'Part I-Project Information'!I43</f>
        <v>0</v>
      </c>
      <c r="J54" s="2121">
        <f>'Part I-Project Information'!J43</f>
        <v>43</v>
      </c>
      <c r="K54" s="2121">
        <f>'Part I-Project Information'!K43</f>
        <v>0</v>
      </c>
      <c r="L54" s="1652" t="s">
        <v>1283</v>
      </c>
      <c r="M54" s="1647"/>
      <c r="N54" s="1667" t="s">
        <v>1284</v>
      </c>
      <c r="O54" s="1667"/>
      <c r="P54" s="1667"/>
    </row>
    <row r="55" spans="1:16">
      <c r="A55" s="1645"/>
      <c r="B55" s="1654" t="s">
        <v>738</v>
      </c>
      <c r="C55" s="1647"/>
      <c r="D55" s="1647"/>
      <c r="E55" s="1647"/>
      <c r="F55" s="2121">
        <f>'Part I-Project Information'!F44</f>
        <v>0</v>
      </c>
      <c r="G55" s="2121">
        <f>'Part I-Project Information'!G44</f>
        <v>0</v>
      </c>
      <c r="H55" s="2121">
        <f>'Part I-Project Information'!H44</f>
        <v>0</v>
      </c>
      <c r="I55" s="2121">
        <f>'Part I-Project Information'!I44</f>
        <v>0</v>
      </c>
      <c r="J55" s="2121">
        <f>'Part I-Project Information'!J44</f>
        <v>0</v>
      </c>
      <c r="K55" s="2121">
        <f>'Part I-Project Information'!K44</f>
        <v>0</v>
      </c>
      <c r="L55" s="1652" t="s">
        <v>2760</v>
      </c>
      <c r="M55" s="1647"/>
      <c r="N55" s="1668" t="s">
        <v>2759</v>
      </c>
      <c r="O55" s="1668"/>
      <c r="P55" s="1647"/>
    </row>
    <row r="56" spans="1:16">
      <c r="A56" s="1645"/>
      <c r="B56" s="1647"/>
      <c r="C56" s="1647"/>
      <c r="D56" s="1647"/>
      <c r="E56" s="1647"/>
      <c r="F56" s="1647"/>
      <c r="G56" s="1647"/>
      <c r="H56" s="1647"/>
      <c r="I56" s="1664"/>
      <c r="J56" s="1664"/>
      <c r="K56" s="1664"/>
      <c r="L56" s="1647"/>
      <c r="M56" s="1647"/>
      <c r="N56" s="1647"/>
      <c r="O56" s="1647"/>
      <c r="P56" s="1647"/>
    </row>
    <row r="57" spans="1:16">
      <c r="A57" s="1645"/>
      <c r="B57" s="1628" t="s">
        <v>637</v>
      </c>
      <c r="C57" s="1647"/>
      <c r="D57" s="1647"/>
      <c r="E57" s="1647"/>
      <c r="F57" s="1779" t="str">
        <f>'Part I-Project Information'!F46</f>
        <v>City of Stonecrest</v>
      </c>
      <c r="G57" s="1779">
        <f>'Part I-Project Information'!G46</f>
        <v>0</v>
      </c>
      <c r="H57" s="1779">
        <f>'Part I-Project Information'!H46</f>
        <v>0</v>
      </c>
      <c r="I57" s="1779">
        <f>'Part I-Project Information'!I46</f>
        <v>0</v>
      </c>
      <c r="J57" s="1779">
        <f>'Part I-Project Information'!J46</f>
        <v>0</v>
      </c>
      <c r="K57" s="1779">
        <f>'Part I-Project Information'!K46</f>
        <v>0</v>
      </c>
      <c r="L57" s="1669" t="s">
        <v>2704</v>
      </c>
      <c r="M57" s="1647" t="str">
        <f>'Part I-Project Information'!M46</f>
        <v>http://www.stonecrestga.gov/</v>
      </c>
      <c r="N57" s="1647">
        <f>'Part I-Project Information'!N46</f>
        <v>0</v>
      </c>
      <c r="O57" s="1647">
        <f>'Part I-Project Information'!O46</f>
        <v>0</v>
      </c>
      <c r="P57" s="1647">
        <f>'Part I-Project Information'!P46</f>
        <v>0</v>
      </c>
    </row>
    <row r="58" spans="1:16">
      <c r="A58" s="1645"/>
      <c r="B58" s="1647" t="s">
        <v>638</v>
      </c>
      <c r="C58" s="1647"/>
      <c r="D58" s="1647"/>
      <c r="E58" s="1647"/>
      <c r="F58" s="1779" t="str">
        <f>'Part I-Project Information'!F47</f>
        <v>Jason Lary</v>
      </c>
      <c r="G58" s="1779">
        <f>'Part I-Project Information'!G47</f>
        <v>0</v>
      </c>
      <c r="H58" s="1779">
        <f>'Part I-Project Information'!H47</f>
        <v>0</v>
      </c>
      <c r="I58" s="1651" t="s">
        <v>1980</v>
      </c>
      <c r="J58" s="1647" t="str">
        <f>'Part I-Project Information'!J47</f>
        <v>Mayor</v>
      </c>
      <c r="K58" s="1647">
        <f>'Part I-Project Information'!K47</f>
        <v>0</v>
      </c>
      <c r="L58" s="1669"/>
      <c r="M58" s="1647"/>
      <c r="N58" s="1647"/>
      <c r="O58" s="1647"/>
      <c r="P58" s="1647"/>
    </row>
    <row r="59" spans="1:16">
      <c r="A59" s="1645"/>
      <c r="B59" s="1647" t="s">
        <v>1981</v>
      </c>
      <c r="C59" s="1647"/>
      <c r="D59" s="1647"/>
      <c r="E59" s="1647"/>
      <c r="F59" s="1779" t="str">
        <f>'Part I-Project Information'!F48</f>
        <v>3120 Stonecrest Boulevard</v>
      </c>
      <c r="G59" s="1779">
        <f>'Part I-Project Information'!G48</f>
        <v>0</v>
      </c>
      <c r="H59" s="1779">
        <f>'Part I-Project Information'!H48</f>
        <v>0</v>
      </c>
      <c r="I59" s="1779">
        <f>'Part I-Project Information'!I48</f>
        <v>0</v>
      </c>
      <c r="J59" s="1779">
        <f>'Part I-Project Information'!J48</f>
        <v>0</v>
      </c>
      <c r="K59" s="1779">
        <f>'Part I-Project Information'!K48</f>
        <v>0</v>
      </c>
      <c r="L59" s="1654" t="s">
        <v>618</v>
      </c>
      <c r="M59" s="1779" t="str">
        <f>'Part I-Project Information'!M48</f>
        <v>Stonecrest</v>
      </c>
      <c r="N59" s="1779">
        <f>'Part I-Project Information'!N48</f>
        <v>0</v>
      </c>
      <c r="O59" s="1779">
        <f>'Part I-Project Information'!O48</f>
        <v>0</v>
      </c>
      <c r="P59" s="1779">
        <f>'Part I-Project Information'!P48</f>
        <v>0</v>
      </c>
    </row>
    <row r="60" spans="1:16">
      <c r="A60" s="1645"/>
      <c r="B60" s="1654" t="s">
        <v>2229</v>
      </c>
      <c r="C60" s="1647"/>
      <c r="D60" s="1647"/>
      <c r="E60" s="1647"/>
      <c r="F60" s="2115">
        <f>'Part I-Project Information'!F49</f>
        <v>300382693</v>
      </c>
      <c r="G60" s="2115">
        <f>'Part I-Project Information'!G49</f>
        <v>0</v>
      </c>
      <c r="H60" s="1651" t="s">
        <v>1982</v>
      </c>
      <c r="I60" s="2116">
        <f>'Part I-Project Information'!I49</f>
        <v>7702240200</v>
      </c>
      <c r="J60" s="2116">
        <f>'Part I-Project Information'!J49</f>
        <v>0</v>
      </c>
      <c r="K60" s="2116">
        <f>'Part I-Project Information'!K49</f>
        <v>0</v>
      </c>
      <c r="L60" s="1654" t="s">
        <v>1800</v>
      </c>
      <c r="M60" s="1779" t="str">
        <f>'Part I-Project Information'!M49</f>
        <v>jlary@stonecrestga.gov</v>
      </c>
      <c r="N60" s="1779">
        <f>'Part I-Project Information'!N49</f>
        <v>0</v>
      </c>
      <c r="O60" s="1779">
        <f>'Part I-Project Information'!O49</f>
        <v>0</v>
      </c>
      <c r="P60" s="1779">
        <f>'Part I-Project Information'!P49</f>
        <v>0</v>
      </c>
    </row>
    <row r="61" spans="1:16">
      <c r="A61" s="1645"/>
      <c r="B61" s="1645"/>
      <c r="C61" s="1670"/>
      <c r="D61" s="1661"/>
      <c r="E61" s="1661"/>
      <c r="F61" s="1651"/>
      <c r="G61" s="1651"/>
      <c r="H61" s="1651"/>
      <c r="I61" s="1651"/>
      <c r="J61" s="1661"/>
      <c r="K61" s="1651"/>
      <c r="L61" s="1651"/>
      <c r="M61" s="1647"/>
      <c r="N61" s="1647"/>
      <c r="O61" s="1647"/>
      <c r="P61" s="1660"/>
    </row>
    <row r="62" spans="1:16">
      <c r="A62" s="1645"/>
      <c r="B62" s="1645"/>
      <c r="C62" s="1670"/>
      <c r="D62" s="1661"/>
      <c r="E62" s="1661"/>
      <c r="F62" s="1651"/>
      <c r="G62" s="1651"/>
      <c r="H62" s="1651"/>
      <c r="I62" s="1651"/>
      <c r="J62" s="1661"/>
      <c r="K62" s="1651"/>
      <c r="L62" s="1651"/>
      <c r="M62" s="1647"/>
      <c r="N62" s="1647"/>
      <c r="O62" s="1647"/>
      <c r="P62" s="1660"/>
    </row>
    <row r="63" spans="1:16">
      <c r="A63" s="1648" t="s">
        <v>1794</v>
      </c>
      <c r="B63" s="1628" t="s">
        <v>1475</v>
      </c>
      <c r="C63" s="1647"/>
      <c r="D63" s="1647"/>
      <c r="E63" s="1647"/>
      <c r="F63" s="1671"/>
      <c r="G63" s="1647"/>
      <c r="H63" s="1647"/>
      <c r="I63" s="1654"/>
      <c r="J63" s="1647"/>
      <c r="K63" s="1647"/>
      <c r="L63" s="1647"/>
      <c r="M63" s="1647"/>
      <c r="N63" s="1647"/>
      <c r="O63" s="1647"/>
      <c r="P63" s="1647"/>
    </row>
    <row r="64" spans="1:16">
      <c r="A64" s="1645"/>
      <c r="B64" s="1628"/>
      <c r="C64" s="1628"/>
      <c r="D64" s="1647"/>
      <c r="E64" s="1647"/>
      <c r="F64" s="1647"/>
      <c r="G64" s="1647"/>
      <c r="H64" s="1647"/>
      <c r="I64" s="1654"/>
      <c r="J64" s="1647"/>
      <c r="K64" s="1647"/>
      <c r="L64" s="1647"/>
      <c r="M64" s="1647"/>
      <c r="N64" s="1647"/>
      <c r="O64" s="1647"/>
      <c r="P64" s="1647"/>
    </row>
    <row r="65" spans="1:16">
      <c r="A65" s="1645"/>
      <c r="B65" s="1645" t="s">
        <v>1983</v>
      </c>
      <c r="C65" s="1628" t="s">
        <v>4493</v>
      </c>
      <c r="D65" s="1647"/>
      <c r="E65" s="1647"/>
      <c r="F65" s="1647"/>
      <c r="G65" s="1647"/>
      <c r="H65" s="1647"/>
      <c r="I65" s="1647"/>
      <c r="J65" s="1647"/>
      <c r="K65" s="1652"/>
      <c r="L65" s="1647"/>
      <c r="M65" s="1667"/>
      <c r="N65" s="1667"/>
      <c r="O65" s="1667"/>
      <c r="P65" s="1667"/>
    </row>
    <row r="66" spans="1:16" ht="13.5">
      <c r="A66" s="1653"/>
      <c r="B66" s="1645"/>
      <c r="C66" s="1647" t="s">
        <v>2295</v>
      </c>
      <c r="D66" s="1647"/>
      <c r="E66" s="1647"/>
      <c r="F66" s="1653"/>
      <c r="G66" s="1653"/>
      <c r="H66" s="1672">
        <f>'Part VI-Revenues &amp; Expenses'!$O$103</f>
        <v>84</v>
      </c>
      <c r="I66" s="1653"/>
      <c r="J66" s="1653"/>
      <c r="K66" s="1654" t="s">
        <v>3674</v>
      </c>
      <c r="L66" s="1647"/>
      <c r="M66" s="1673" t="s">
        <v>3673</v>
      </c>
      <c r="N66" s="1672">
        <f>'Part VI-Revenues &amp; Expenses'!$O$110</f>
        <v>0</v>
      </c>
      <c r="O66" s="1674" t="s">
        <v>3357</v>
      </c>
      <c r="P66" s="1672">
        <f>'Part VI-Revenues &amp; Expenses'!$O$111</f>
        <v>0</v>
      </c>
    </row>
    <row r="67" spans="1:16">
      <c r="A67" s="1645"/>
      <c r="B67" s="1645"/>
      <c r="C67" s="1675" t="s">
        <v>347</v>
      </c>
      <c r="D67" s="1647"/>
      <c r="E67" s="1647"/>
      <c r="F67" s="1647"/>
      <c r="G67" s="1647"/>
      <c r="H67" s="1672">
        <f>'Part VI-Revenues &amp; Expenses'!$O$109</f>
        <v>0</v>
      </c>
      <c r="I67" s="1647"/>
      <c r="J67" s="1647"/>
      <c r="K67" s="1675" t="s">
        <v>366</v>
      </c>
      <c r="L67" s="1647"/>
      <c r="M67" s="1647"/>
      <c r="N67" s="1647"/>
      <c r="O67" s="1647"/>
      <c r="P67" s="1672">
        <f>'Part VI-Revenues &amp; Expenses'!$O$113</f>
        <v>0</v>
      </c>
    </row>
    <row r="68" spans="1:16">
      <c r="A68" s="1647"/>
      <c r="B68" s="1645"/>
      <c r="C68" s="1654" t="s">
        <v>346</v>
      </c>
      <c r="D68" s="1647"/>
      <c r="E68" s="1647"/>
      <c r="F68" s="1647"/>
      <c r="G68" s="1647"/>
      <c r="H68" s="1672">
        <f>'Part VI-Revenues &amp; Expenses'!$O$106</f>
        <v>0</v>
      </c>
      <c r="I68" s="1676" t="s">
        <v>2910</v>
      </c>
      <c r="J68" s="1647"/>
      <c r="K68" s="1647" t="s">
        <v>348</v>
      </c>
      <c r="L68" s="1647"/>
      <c r="M68" s="1647"/>
      <c r="N68" s="1647"/>
      <c r="O68" s="1647"/>
      <c r="P68" s="2122">
        <f>'Part I-Project Information'!P56</f>
        <v>0</v>
      </c>
    </row>
    <row r="69" spans="1:16">
      <c r="A69" s="1645"/>
      <c r="B69" s="1647"/>
      <c r="C69" s="1647"/>
      <c r="D69" s="1647"/>
      <c r="E69" s="1647"/>
      <c r="F69" s="1647"/>
      <c r="G69" s="1647"/>
      <c r="H69" s="1647"/>
      <c r="I69" s="1647"/>
      <c r="J69" s="1647"/>
      <c r="K69" s="1647"/>
      <c r="L69" s="1647"/>
      <c r="M69" s="1647"/>
      <c r="N69" s="1647"/>
      <c r="O69" s="1647"/>
      <c r="P69" s="1647"/>
    </row>
    <row r="70" spans="1:16">
      <c r="A70" s="1645"/>
      <c r="B70" s="1645" t="s">
        <v>1985</v>
      </c>
      <c r="C70" s="1628" t="s">
        <v>2296</v>
      </c>
      <c r="D70" s="1647"/>
      <c r="E70" s="1647"/>
      <c r="F70" s="1647"/>
      <c r="G70" s="1647"/>
      <c r="H70" s="1651">
        <f>'Part I-Project Information'!H58</f>
        <v>0</v>
      </c>
      <c r="I70" s="1647"/>
      <c r="J70" s="1647"/>
      <c r="K70" s="1647"/>
      <c r="L70" s="1647"/>
      <c r="M70" s="1647"/>
      <c r="N70" s="1647"/>
      <c r="O70" s="1667"/>
      <c r="P70" s="1652"/>
    </row>
    <row r="71" spans="1:16">
      <c r="A71" s="1645"/>
      <c r="B71" s="1647"/>
      <c r="C71" s="1647"/>
      <c r="D71" s="1647"/>
      <c r="E71" s="1647"/>
      <c r="F71" s="1647"/>
      <c r="G71" s="1647"/>
      <c r="H71" s="1647"/>
      <c r="I71" s="1647"/>
      <c r="J71" s="1652"/>
      <c r="K71" s="1677"/>
      <c r="L71" s="1652"/>
      <c r="M71" s="1677"/>
      <c r="N71" s="1677"/>
      <c r="O71" s="1677"/>
      <c r="P71" s="1677"/>
    </row>
    <row r="72" spans="1:16">
      <c r="A72" s="1645"/>
      <c r="B72" s="1650" t="s">
        <v>749</v>
      </c>
      <c r="C72" s="1628" t="s">
        <v>2276</v>
      </c>
      <c r="D72" s="1647"/>
      <c r="E72" s="1647"/>
      <c r="F72" s="1647"/>
      <c r="G72" s="1647"/>
      <c r="H72" s="1647"/>
      <c r="I72" s="1678" t="s">
        <v>3565</v>
      </c>
      <c r="J72" s="1650" t="s">
        <v>2115</v>
      </c>
      <c r="K72" s="1679" t="s">
        <v>2302</v>
      </c>
      <c r="L72" s="1647"/>
      <c r="M72" s="1647"/>
      <c r="N72" s="1647"/>
      <c r="O72" s="1647"/>
      <c r="P72" s="1651"/>
    </row>
    <row r="73" spans="1:16">
      <c r="A73" s="1645"/>
      <c r="B73" s="1680"/>
      <c r="C73" s="1653" t="s">
        <v>2277</v>
      </c>
      <c r="D73" s="1647"/>
      <c r="E73" s="1647"/>
      <c r="F73" s="1647"/>
      <c r="G73" s="1647"/>
      <c r="H73" s="1681">
        <f>SUM(H74:H75)</f>
        <v>0</v>
      </c>
      <c r="I73" s="1681">
        <f>SUM(I74:I75)</f>
        <v>0</v>
      </c>
      <c r="J73" s="1645"/>
      <c r="K73" s="1653" t="s">
        <v>2773</v>
      </c>
      <c r="L73" s="1647"/>
      <c r="M73" s="1647"/>
      <c r="N73" s="1647"/>
      <c r="O73" s="1647"/>
      <c r="P73" s="1681">
        <f>'Part VI-Revenues &amp; Expenses'!$O$152</f>
        <v>85704</v>
      </c>
    </row>
    <row r="74" spans="1:16">
      <c r="A74" s="1645"/>
      <c r="B74" s="1653"/>
      <c r="C74" s="1647"/>
      <c r="D74" s="1665" t="s">
        <v>385</v>
      </c>
      <c r="E74" s="1647"/>
      <c r="F74" s="1647"/>
      <c r="G74" s="1647"/>
      <c r="H74" s="1681">
        <f>'Part VI-Revenues &amp; Expenses'!$O$62</f>
        <v>0</v>
      </c>
      <c r="I74" s="1681">
        <f>'Part VI-Revenues &amp; Expenses'!$O$84</f>
        <v>0</v>
      </c>
      <c r="J74" s="1647"/>
      <c r="K74" s="1653" t="s">
        <v>2774</v>
      </c>
      <c r="L74" s="1647"/>
      <c r="M74" s="1647"/>
      <c r="N74" s="1647"/>
      <c r="O74" s="1647"/>
      <c r="P74" s="1681">
        <f>'Part VI-Revenues &amp; Expenses'!$O$153</f>
        <v>0</v>
      </c>
    </row>
    <row r="75" spans="1:16">
      <c r="A75" s="1645"/>
      <c r="B75" s="1647"/>
      <c r="C75" s="1647"/>
      <c r="D75" s="1665" t="s">
        <v>1821</v>
      </c>
      <c r="E75" s="1665"/>
      <c r="F75" s="1647"/>
      <c r="G75" s="1647"/>
      <c r="H75" s="1681">
        <f>'Part VI-Revenues &amp; Expenses'!$O$56</f>
        <v>0</v>
      </c>
      <c r="I75" s="1681">
        <f>'Part VI-Revenues &amp; Expenses'!$O$83</f>
        <v>0</v>
      </c>
      <c r="J75" s="1647"/>
      <c r="K75" s="1653" t="s">
        <v>2775</v>
      </c>
      <c r="L75" s="1647"/>
      <c r="M75" s="1647"/>
      <c r="N75" s="1647"/>
      <c r="O75" s="1647"/>
      <c r="P75" s="1681">
        <f>P73+P74</f>
        <v>85704</v>
      </c>
    </row>
    <row r="76" spans="1:16">
      <c r="A76" s="1645"/>
      <c r="B76" s="1647"/>
      <c r="C76" s="1653" t="s">
        <v>253</v>
      </c>
      <c r="D76" s="1647"/>
      <c r="E76" s="1647"/>
      <c r="F76" s="1647"/>
      <c r="G76" s="1647"/>
      <c r="H76" s="1681">
        <f>'Part VI-Revenues &amp; Expenses'!$O$64</f>
        <v>0</v>
      </c>
      <c r="I76" s="1647"/>
      <c r="J76" s="1645"/>
      <c r="K76" s="1653" t="s">
        <v>2776</v>
      </c>
      <c r="L76" s="1647"/>
      <c r="M76" s="1647"/>
      <c r="N76" s="1647"/>
      <c r="O76" s="1647"/>
      <c r="P76" s="1681">
        <f>'Part VI-Revenues &amp; Expenses'!$O$155</f>
        <v>0</v>
      </c>
    </row>
    <row r="77" spans="1:16">
      <c r="A77" s="1645"/>
      <c r="B77" s="1647"/>
      <c r="C77" s="1653" t="s">
        <v>2407</v>
      </c>
      <c r="D77" s="1647"/>
      <c r="E77" s="1647"/>
      <c r="F77" s="1647"/>
      <c r="G77" s="1647"/>
      <c r="H77" s="1681">
        <f>H73+H76</f>
        <v>0</v>
      </c>
      <c r="I77" s="1647"/>
      <c r="J77" s="1645"/>
      <c r="K77" s="1653" t="s">
        <v>1420</v>
      </c>
      <c r="L77" s="1647"/>
      <c r="M77" s="1647"/>
      <c r="N77" s="1647"/>
      <c r="O77" s="1647"/>
      <c r="P77" s="1681">
        <f>+P75+P76</f>
        <v>85704</v>
      </c>
    </row>
    <row r="78" spans="1:16">
      <c r="A78" s="1645"/>
      <c r="B78" s="1647"/>
      <c r="C78" s="1653" t="s">
        <v>2408</v>
      </c>
      <c r="D78" s="1647"/>
      <c r="E78" s="1647"/>
      <c r="F78" s="1647"/>
      <c r="G78" s="1647"/>
      <c r="H78" s="1681">
        <f>'Part VI-Revenues &amp; Expenses'!$O$66</f>
        <v>0</v>
      </c>
      <c r="I78" s="1647"/>
      <c r="J78" s="1645"/>
      <c r="K78" s="1647"/>
      <c r="L78" s="1647"/>
      <c r="M78" s="1647"/>
      <c r="N78" s="1647"/>
      <c r="O78" s="1647"/>
      <c r="P78" s="1647"/>
    </row>
    <row r="79" spans="1:16">
      <c r="A79" s="1645"/>
      <c r="B79" s="1647"/>
      <c r="C79" s="1653" t="s">
        <v>1793</v>
      </c>
      <c r="D79" s="1647"/>
      <c r="E79" s="1647"/>
      <c r="F79" s="1647"/>
      <c r="G79" s="1647"/>
      <c r="H79" s="1681">
        <f>+H77+H78</f>
        <v>0</v>
      </c>
      <c r="I79" s="1647"/>
      <c r="J79" s="1647"/>
      <c r="K79" s="1647"/>
      <c r="L79" s="1647"/>
      <c r="M79" s="1647"/>
      <c r="N79" s="1647"/>
      <c r="O79" s="1647"/>
      <c r="P79" s="1647"/>
    </row>
    <row r="80" spans="1:16">
      <c r="A80" s="1645"/>
      <c r="B80" s="1647"/>
      <c r="C80" s="1647"/>
      <c r="D80" s="1647"/>
      <c r="E80" s="1647"/>
      <c r="F80" s="1647"/>
      <c r="G80" s="1647"/>
      <c r="H80" s="1647"/>
      <c r="I80" s="1651"/>
      <c r="J80" s="1647"/>
      <c r="K80" s="1647"/>
      <c r="L80" s="1651"/>
      <c r="M80" s="1651"/>
      <c r="N80" s="1647"/>
      <c r="O80" s="1647"/>
      <c r="P80" s="1660"/>
    </row>
    <row r="81" spans="1:16">
      <c r="A81" s="1645"/>
      <c r="B81" s="1645" t="s">
        <v>1735</v>
      </c>
      <c r="C81" s="1628" t="s">
        <v>2297</v>
      </c>
      <c r="D81" s="1665" t="s">
        <v>1996</v>
      </c>
      <c r="E81" s="1647"/>
      <c r="F81" s="1647"/>
      <c r="G81" s="1647"/>
      <c r="H81" s="1681">
        <f>'Part I-Project Information'!H74</f>
        <v>8</v>
      </c>
      <c r="I81" s="1647"/>
      <c r="J81" s="1647"/>
      <c r="K81" s="1653" t="s">
        <v>4063</v>
      </c>
      <c r="L81" s="1647"/>
      <c r="M81" s="1647"/>
      <c r="N81" s="1647"/>
      <c r="O81" s="1647"/>
      <c r="P81" s="1681">
        <f>'Part I-Project Information'!P74</f>
        <v>0</v>
      </c>
    </row>
    <row r="82" spans="1:16">
      <c r="A82" s="1645"/>
      <c r="B82" s="1645"/>
      <c r="C82" s="1647"/>
      <c r="D82" s="1680" t="s">
        <v>1997</v>
      </c>
      <c r="E82" s="1647"/>
      <c r="F82" s="1647"/>
      <c r="G82" s="1647"/>
      <c r="H82" s="1681">
        <f>'Part I-Project Information'!H75</f>
        <v>1</v>
      </c>
      <c r="I82" s="1647"/>
      <c r="J82" s="1647"/>
      <c r="K82" s="1653" t="s">
        <v>252</v>
      </c>
      <c r="L82" s="1647"/>
      <c r="M82" s="1647"/>
      <c r="N82" s="1647"/>
      <c r="O82" s="1647"/>
      <c r="P82" s="1681">
        <f>+P77+P81</f>
        <v>85704</v>
      </c>
    </row>
    <row r="83" spans="1:16">
      <c r="A83" s="1645"/>
      <c r="B83" s="1645"/>
      <c r="C83" s="1647"/>
      <c r="D83" s="1680" t="s">
        <v>1998</v>
      </c>
      <c r="E83" s="1647"/>
      <c r="F83" s="1647"/>
      <c r="G83" s="1647"/>
      <c r="H83" s="1681">
        <f>+H81+H82</f>
        <v>9</v>
      </c>
      <c r="I83" s="1647"/>
      <c r="J83" s="1647"/>
      <c r="K83" s="1647"/>
      <c r="L83" s="1647"/>
      <c r="M83" s="1647"/>
      <c r="N83" s="1647"/>
      <c r="O83" s="1647"/>
      <c r="P83" s="1647"/>
    </row>
    <row r="84" spans="1:16">
      <c r="A84" s="1645"/>
      <c r="B84" s="1645"/>
      <c r="C84" s="1647"/>
      <c r="D84" s="1647"/>
      <c r="E84" s="1647"/>
      <c r="F84" s="1647"/>
      <c r="G84" s="1651"/>
      <c r="H84" s="1647"/>
      <c r="I84" s="1653"/>
      <c r="J84" s="1647"/>
      <c r="K84" s="1647"/>
      <c r="L84" s="1647"/>
      <c r="M84" s="1647"/>
      <c r="N84" s="1647"/>
      <c r="O84" s="1647"/>
      <c r="P84" s="1660"/>
    </row>
    <row r="85" spans="1:16" ht="12.75" customHeight="1">
      <c r="A85" s="1645"/>
      <c r="B85" s="1645" t="s">
        <v>1736</v>
      </c>
      <c r="C85" s="1628" t="s">
        <v>2843</v>
      </c>
      <c r="D85" s="1647"/>
      <c r="E85" s="1647"/>
      <c r="F85" s="1647"/>
      <c r="G85" s="1647"/>
      <c r="H85" s="1681">
        <f>'Part I-Project Information'!H78</f>
        <v>0</v>
      </c>
      <c r="I85" s="1647"/>
      <c r="J85" s="1647"/>
      <c r="K85" s="1682" t="s">
        <v>3856</v>
      </c>
      <c r="L85" s="1682"/>
      <c r="M85" s="1682"/>
      <c r="N85" s="1682"/>
      <c r="O85" s="1682"/>
      <c r="P85" s="1682"/>
    </row>
    <row r="86" spans="1:16">
      <c r="A86" s="1645"/>
      <c r="B86" s="1645"/>
      <c r="C86" s="1653"/>
      <c r="D86" s="1647"/>
      <c r="E86" s="1647"/>
      <c r="F86" s="1647"/>
      <c r="G86" s="1651"/>
      <c r="H86" s="1647"/>
      <c r="I86" s="1653"/>
      <c r="J86" s="1653"/>
      <c r="K86" s="1682"/>
      <c r="L86" s="1682"/>
      <c r="M86" s="1682"/>
      <c r="N86" s="1682"/>
      <c r="O86" s="1682"/>
      <c r="P86" s="1682"/>
    </row>
    <row r="87" spans="1:16">
      <c r="A87" s="1645" t="s">
        <v>530</v>
      </c>
      <c r="B87" s="1683" t="s">
        <v>1191</v>
      </c>
      <c r="C87" s="1647"/>
      <c r="D87" s="1683"/>
      <c r="E87" s="1683"/>
      <c r="F87" s="1647"/>
      <c r="G87" s="1651"/>
      <c r="H87" s="1647"/>
      <c r="I87" s="1647"/>
      <c r="J87" s="1647"/>
      <c r="K87" s="1682"/>
      <c r="L87" s="1682"/>
      <c r="M87" s="1682"/>
      <c r="N87" s="1682"/>
      <c r="O87" s="1682"/>
      <c r="P87" s="1682"/>
    </row>
    <row r="88" spans="1:16">
      <c r="A88" s="1645"/>
      <c r="B88" s="1647"/>
      <c r="C88" s="1684"/>
      <c r="D88" s="1684"/>
      <c r="E88" s="1684"/>
      <c r="F88" s="1647"/>
      <c r="G88" s="1651"/>
      <c r="H88" s="1647"/>
      <c r="I88" s="1647"/>
      <c r="J88" s="1647"/>
      <c r="K88" s="1647"/>
      <c r="L88" s="1647"/>
      <c r="M88" s="1647"/>
      <c r="N88" s="1647"/>
      <c r="O88" s="1647"/>
      <c r="P88" s="1660"/>
    </row>
    <row r="89" spans="1:16">
      <c r="A89" s="1645"/>
      <c r="B89" s="1645" t="s">
        <v>1983</v>
      </c>
      <c r="C89" s="1648" t="s">
        <v>4494</v>
      </c>
      <c r="D89" s="1684"/>
      <c r="E89" s="1684"/>
      <c r="F89" s="1647"/>
      <c r="G89" s="1651"/>
      <c r="H89" s="1665" t="str">
        <f>'Part I-Project Information'!H82</f>
        <v>Family</v>
      </c>
      <c r="I89" s="1665">
        <f>'Part I-Project Information'!I82</f>
        <v>0</v>
      </c>
      <c r="J89" s="1647"/>
      <c r="K89" s="1647" t="s">
        <v>1772</v>
      </c>
      <c r="L89" s="1647"/>
      <c r="M89" s="1647">
        <f>'Part I-Project Information'!M82</f>
        <v>0</v>
      </c>
      <c r="N89" s="1647">
        <f>'Part I-Project Information'!N82</f>
        <v>0</v>
      </c>
      <c r="O89" s="1647">
        <f>'Part I-Project Information'!O82</f>
        <v>0</v>
      </c>
      <c r="P89" s="1647">
        <f>'Part I-Project Information'!P82</f>
        <v>0</v>
      </c>
    </row>
    <row r="90" spans="1:16">
      <c r="A90" s="1645"/>
      <c r="B90" s="1645"/>
      <c r="C90" s="1647"/>
      <c r="D90" s="1680"/>
      <c r="E90" s="1680"/>
      <c r="F90" s="1680"/>
      <c r="G90" s="1680"/>
      <c r="H90" s="1647"/>
      <c r="I90" s="1651"/>
      <c r="J90" s="1647"/>
      <c r="K90" s="1654"/>
      <c r="L90" s="1654"/>
      <c r="M90" s="1651"/>
      <c r="N90" s="1647"/>
      <c r="O90" s="1647"/>
      <c r="P90" s="1660"/>
    </row>
    <row r="91" spans="1:16" ht="12.75" customHeight="1">
      <c r="A91" s="1645"/>
      <c r="B91" s="1645"/>
      <c r="C91" s="1647"/>
      <c r="D91" s="1647"/>
      <c r="E91" s="1684"/>
      <c r="F91" s="1647"/>
      <c r="G91" s="1647"/>
      <c r="H91" s="1682" t="s">
        <v>3876</v>
      </c>
      <c r="I91" s="1682"/>
      <c r="J91" s="1647"/>
      <c r="K91" s="1685" t="s">
        <v>2911</v>
      </c>
      <c r="L91" s="1681">
        <f>'Part I-Project Information'!M84</f>
        <v>240</v>
      </c>
      <c r="M91" s="1685" t="s">
        <v>2912</v>
      </c>
      <c r="N91" s="1681">
        <f>'Part I-Project Information'!O84</f>
        <v>0</v>
      </c>
      <c r="O91" s="1647"/>
      <c r="P91" s="1657" t="s">
        <v>3878</v>
      </c>
    </row>
    <row r="92" spans="1:16">
      <c r="A92" s="1645"/>
      <c r="B92" s="1645"/>
      <c r="C92" s="1647"/>
      <c r="D92" s="1654"/>
      <c r="E92" s="1684"/>
      <c r="F92" s="1647"/>
      <c r="G92" s="1647"/>
      <c r="H92" s="1682"/>
      <c r="I92" s="1682"/>
      <c r="J92" s="1647"/>
      <c r="K92" s="1657" t="s">
        <v>2913</v>
      </c>
      <c r="L92" s="1681">
        <f>'Part I-Project Information'!M85</f>
        <v>0</v>
      </c>
      <c r="M92" s="1657" t="s">
        <v>3877</v>
      </c>
      <c r="N92" s="1681">
        <f>'Part I-Project Information'!O85</f>
        <v>0</v>
      </c>
      <c r="O92" s="1647"/>
      <c r="P92" s="1681">
        <f>'Part I-Project Information'!P85</f>
        <v>0</v>
      </c>
    </row>
    <row r="93" spans="1:16">
      <c r="A93" s="1645"/>
      <c r="B93" s="1645"/>
      <c r="C93" s="1647"/>
      <c r="D93" s="1680"/>
      <c r="E93" s="1680"/>
      <c r="F93" s="1680"/>
      <c r="G93" s="1680"/>
      <c r="H93" s="1647"/>
      <c r="I93" s="1651"/>
      <c r="J93" s="1647"/>
      <c r="K93" s="1654"/>
      <c r="L93" s="1654"/>
      <c r="M93" s="1651"/>
      <c r="N93" s="1647"/>
      <c r="O93" s="1647"/>
      <c r="P93" s="1660"/>
    </row>
    <row r="94" spans="1:16">
      <c r="A94" s="1645"/>
      <c r="B94" s="1645" t="s">
        <v>1985</v>
      </c>
      <c r="C94" s="1628" t="s">
        <v>1411</v>
      </c>
      <c r="D94" s="1647"/>
      <c r="E94" s="1665"/>
      <c r="F94" s="1680" t="s">
        <v>796</v>
      </c>
      <c r="G94" s="1647"/>
      <c r="H94" s="1681">
        <f>'Part VIII-Threshold Criteria'!K306</f>
        <v>12</v>
      </c>
      <c r="I94" s="1647"/>
      <c r="J94" s="1647"/>
      <c r="K94" s="1647" t="s">
        <v>520</v>
      </c>
      <c r="L94" s="1647"/>
      <c r="M94" s="1647"/>
      <c r="N94" s="1686">
        <f>IF('Part VI-Revenues &amp; Expenses'!$O$67=0,0,H94/'Part VI-Revenues &amp; Expenses'!$O$67)</f>
        <v>0.14285714285714285</v>
      </c>
      <c r="O94" s="1657" t="s">
        <v>3696</v>
      </c>
      <c r="P94" s="1687">
        <f>'DCA Underwriting Assumptions'!$Q$139</f>
        <v>0.05</v>
      </c>
    </row>
    <row r="95" spans="1:16">
      <c r="A95" s="1645"/>
      <c r="B95" s="1645"/>
      <c r="C95" s="1647"/>
      <c r="D95" s="1680" t="s">
        <v>2841</v>
      </c>
      <c r="E95" s="1680"/>
      <c r="F95" s="1680" t="s">
        <v>796</v>
      </c>
      <c r="G95" s="1647"/>
      <c r="H95" s="1681" t="e">
        <f>'Part VIII-Threshold Criteria'!#REF!</f>
        <v>#REF!</v>
      </c>
      <c r="I95" s="1647"/>
      <c r="J95" s="1647"/>
      <c r="K95" s="1647" t="s">
        <v>2842</v>
      </c>
      <c r="L95" s="1647"/>
      <c r="M95" s="1647"/>
      <c r="N95" s="1686" t="e">
        <f>IF(H94=0,0,H95/H94)</f>
        <v>#REF!</v>
      </c>
      <c r="O95" s="1657" t="s">
        <v>3696</v>
      </c>
      <c r="P95" s="1687">
        <f>'DCA Underwriting Assumptions'!$Q$140</f>
        <v>0.4</v>
      </c>
    </row>
    <row r="96" spans="1:16">
      <c r="A96" s="1645"/>
      <c r="B96" s="1645"/>
      <c r="C96" s="1647"/>
      <c r="D96" s="1680"/>
      <c r="E96" s="1680"/>
      <c r="F96" s="1680"/>
      <c r="G96" s="1647"/>
      <c r="H96" s="1647"/>
      <c r="I96" s="1651"/>
      <c r="J96" s="1647"/>
      <c r="K96" s="1654"/>
      <c r="L96" s="1654"/>
      <c r="M96" s="1651"/>
      <c r="N96" s="1651"/>
      <c r="O96" s="1647"/>
      <c r="P96" s="1651"/>
    </row>
    <row r="97" spans="1:16">
      <c r="A97" s="1645"/>
      <c r="B97" s="1645" t="s">
        <v>749</v>
      </c>
      <c r="C97" s="1628" t="s">
        <v>1844</v>
      </c>
      <c r="D97" s="1665"/>
      <c r="E97" s="1665"/>
      <c r="F97" s="1680" t="s">
        <v>796</v>
      </c>
      <c r="G97" s="1647"/>
      <c r="H97" s="1681">
        <f>'Part VIII-Threshold Criteria'!K308</f>
        <v>0</v>
      </c>
      <c r="I97" s="1647"/>
      <c r="J97" s="1647"/>
      <c r="K97" s="1647" t="s">
        <v>520</v>
      </c>
      <c r="L97" s="1647"/>
      <c r="M97" s="1647"/>
      <c r="N97" s="1686">
        <f>IF('Part VI-Revenues &amp; Expenses'!$O$67=0,0,H97/'Part VI-Revenues &amp; Expenses'!$O$67)</f>
        <v>0</v>
      </c>
      <c r="O97" s="1657" t="s">
        <v>3696</v>
      </c>
      <c r="P97" s="1687">
        <f>'DCA Underwriting Assumptions'!$Q$141</f>
        <v>0.02</v>
      </c>
    </row>
    <row r="98" spans="1:16">
      <c r="A98" s="1645"/>
      <c r="B98" s="1645"/>
      <c r="C98" s="1647"/>
      <c r="D98" s="1680"/>
      <c r="E98" s="1680"/>
      <c r="F98" s="1680"/>
      <c r="G98" s="1680"/>
      <c r="H98" s="1647"/>
      <c r="I98" s="1651"/>
      <c r="J98" s="1651"/>
      <c r="K98" s="1651"/>
      <c r="L98" s="1651"/>
      <c r="M98" s="1651"/>
      <c r="N98" s="1647"/>
      <c r="O98" s="1647"/>
      <c r="P98" s="1660"/>
    </row>
    <row r="99" spans="1:16">
      <c r="A99" s="1679" t="s">
        <v>772</v>
      </c>
      <c r="B99" s="1684" t="s">
        <v>2377</v>
      </c>
      <c r="C99" s="1647"/>
      <c r="D99" s="1680"/>
      <c r="E99" s="1680"/>
      <c r="F99" s="1680"/>
      <c r="G99" s="1680"/>
      <c r="H99" s="1680"/>
      <c r="I99" s="1651"/>
      <c r="J99" s="1647"/>
      <c r="K99" s="1647"/>
      <c r="L99" s="1647"/>
      <c r="M99" s="1651"/>
      <c r="N99" s="1647"/>
      <c r="O99" s="1647"/>
      <c r="P99" s="1660"/>
    </row>
    <row r="100" spans="1:16">
      <c r="A100" s="1645"/>
      <c r="B100" s="1645"/>
      <c r="C100" s="1684"/>
      <c r="D100" s="1680"/>
      <c r="E100" s="1680"/>
      <c r="F100" s="1680"/>
      <c r="G100" s="1647"/>
      <c r="H100" s="1647"/>
      <c r="I100" s="1647"/>
      <c r="J100" s="1647"/>
      <c r="K100" s="1647"/>
      <c r="L100" s="1651"/>
      <c r="M100" s="1651"/>
      <c r="N100" s="1647"/>
      <c r="O100" s="1647"/>
      <c r="P100" s="1660"/>
    </row>
    <row r="101" spans="1:16">
      <c r="A101" s="1645"/>
      <c r="B101" s="1645" t="s">
        <v>1983</v>
      </c>
      <c r="C101" s="1648" t="s">
        <v>2376</v>
      </c>
      <c r="D101" s="1680"/>
      <c r="E101" s="1680"/>
      <c r="F101" s="1680"/>
      <c r="G101" s="1647"/>
      <c r="H101" s="1665" t="e">
        <f>'Part I-Project Information'!#REF!</f>
        <v>#REF!</v>
      </c>
      <c r="I101" s="1665" t="e">
        <f>'Part I-Project Information'!#REF!</f>
        <v>#REF!</v>
      </c>
      <c r="J101" s="1665" t="e">
        <f>'Part I-Project Information'!#REF!</f>
        <v>#REF!</v>
      </c>
      <c r="K101" s="1647"/>
      <c r="L101" s="1647"/>
      <c r="M101" s="1651"/>
      <c r="N101" s="1651"/>
      <c r="O101" s="1647"/>
      <c r="P101" s="1660"/>
    </row>
    <row r="102" spans="1:16">
      <c r="A102" s="1645"/>
      <c r="B102" s="1645"/>
      <c r="C102" s="1647"/>
      <c r="D102" s="1680"/>
      <c r="E102" s="1680"/>
      <c r="F102" s="1680"/>
      <c r="G102" s="1680"/>
      <c r="H102" s="1647"/>
      <c r="I102" s="1651"/>
      <c r="J102" s="1651"/>
      <c r="K102" s="1651"/>
      <c r="L102" s="1651"/>
      <c r="M102" s="1651"/>
      <c r="N102" s="1647"/>
      <c r="O102" s="1647"/>
      <c r="P102" s="1660"/>
    </row>
    <row r="103" spans="1:16">
      <c r="A103" s="1647"/>
      <c r="B103" s="1645" t="s">
        <v>1985</v>
      </c>
      <c r="C103" s="1628" t="s">
        <v>1534</v>
      </c>
      <c r="D103" s="1647"/>
      <c r="E103" s="1647"/>
      <c r="F103" s="1647"/>
      <c r="G103" s="1647"/>
      <c r="H103" s="1647"/>
      <c r="I103" s="1647"/>
      <c r="J103" s="1647"/>
      <c r="K103" s="1654" t="s">
        <v>869</v>
      </c>
      <c r="L103" s="1647"/>
      <c r="M103" s="1647"/>
      <c r="N103" s="1688"/>
      <c r="O103" s="1647"/>
      <c r="P103" s="1651" t="str">
        <f>'Part I-Project Information'!P96</f>
        <v>N/a</v>
      </c>
    </row>
    <row r="104" spans="1:16">
      <c r="A104" s="1645"/>
      <c r="B104" s="1645"/>
      <c r="C104" s="1628"/>
      <c r="D104" s="1680"/>
      <c r="E104" s="1680"/>
      <c r="F104" s="1680"/>
      <c r="G104" s="1680"/>
      <c r="H104" s="1647"/>
      <c r="I104" s="1651"/>
      <c r="J104" s="1651"/>
      <c r="K104" s="1651"/>
      <c r="L104" s="1651"/>
      <c r="M104" s="1651"/>
      <c r="N104" s="1647"/>
      <c r="O104" s="1647"/>
      <c r="P104" s="1660"/>
    </row>
    <row r="105" spans="1:16">
      <c r="A105" s="1679" t="s">
        <v>292</v>
      </c>
      <c r="B105" s="1684" t="s">
        <v>2041</v>
      </c>
      <c r="C105" s="1647"/>
      <c r="D105" s="1680"/>
      <c r="E105" s="1647"/>
      <c r="F105" s="1647"/>
      <c r="G105" s="1647"/>
      <c r="H105" s="1647"/>
      <c r="I105" s="1647"/>
      <c r="J105" s="1647"/>
      <c r="K105" s="1647"/>
      <c r="L105" s="1647"/>
      <c r="M105" s="1647"/>
      <c r="N105" s="1647"/>
      <c r="O105" s="1647"/>
      <c r="P105" s="1647"/>
    </row>
    <row r="106" spans="1:16">
      <c r="A106" s="1645"/>
      <c r="B106" s="1645"/>
      <c r="C106" s="1647"/>
      <c r="D106" s="1680"/>
      <c r="E106" s="1647"/>
      <c r="F106" s="1647"/>
      <c r="G106" s="1647"/>
      <c r="H106" s="1647"/>
      <c r="I106" s="1647"/>
      <c r="J106" s="1647"/>
      <c r="K106" s="1647"/>
      <c r="L106" s="1647"/>
      <c r="M106" s="1647"/>
      <c r="N106" s="1647"/>
      <c r="O106" s="1647"/>
      <c r="P106" s="1660"/>
    </row>
    <row r="107" spans="1:16">
      <c r="A107" s="1679"/>
      <c r="B107" s="1645" t="s">
        <v>1983</v>
      </c>
      <c r="C107" s="1628" t="s">
        <v>2708</v>
      </c>
      <c r="D107" s="1647"/>
      <c r="E107" s="1647"/>
      <c r="F107" s="1665" t="s">
        <v>2600</v>
      </c>
      <c r="G107" s="1647"/>
      <c r="H107" s="1651" t="str">
        <f>'Part I-Project Information'!H100</f>
        <v>No</v>
      </c>
      <c r="I107" s="1647"/>
      <c r="J107" s="1647"/>
      <c r="K107" s="1665" t="s">
        <v>3901</v>
      </c>
      <c r="L107" s="1651" t="str">
        <f>'Part I-Project Information'!H101</f>
        <v>No</v>
      </c>
      <c r="M107" s="1647"/>
      <c r="N107" s="1647"/>
      <c r="O107" s="1657" t="s">
        <v>3895</v>
      </c>
      <c r="P107" s="1651" t="str">
        <f>'Part I-Project Information'!P100</f>
        <v>No</v>
      </c>
    </row>
    <row r="108" spans="1:16">
      <c r="A108" s="1645"/>
      <c r="B108" s="1645"/>
      <c r="C108" s="1684"/>
      <c r="D108" s="1647"/>
      <c r="E108" s="1647"/>
      <c r="F108" s="1680"/>
      <c r="G108" s="1647"/>
      <c r="H108" s="1680"/>
      <c r="I108" s="1647"/>
      <c r="J108" s="1651"/>
      <c r="K108" s="1651"/>
      <c r="L108" s="1651"/>
      <c r="M108" s="1651"/>
      <c r="N108" s="1651"/>
      <c r="O108" s="1647"/>
      <c r="P108" s="1660"/>
    </row>
    <row r="109" spans="1:16">
      <c r="A109" s="1679"/>
      <c r="B109" s="1645" t="s">
        <v>1985</v>
      </c>
      <c r="C109" s="1628" t="s">
        <v>2709</v>
      </c>
      <c r="D109" s="1647"/>
      <c r="E109" s="1647"/>
      <c r="F109" s="1654" t="s">
        <v>2679</v>
      </c>
      <c r="G109" s="1647"/>
      <c r="H109" s="1651" t="str">
        <f>'Part I-Project Information'!H103</f>
        <v>No</v>
      </c>
      <c r="I109" s="1689" t="s">
        <v>2710</v>
      </c>
      <c r="J109" s="1651"/>
      <c r="K109" s="1647"/>
      <c r="L109" s="1651"/>
      <c r="M109" s="1647"/>
      <c r="N109" s="1647"/>
      <c r="O109" s="1647"/>
      <c r="P109" s="1647"/>
    </row>
    <row r="110" spans="1:16">
      <c r="A110" s="1645"/>
      <c r="B110" s="1645"/>
      <c r="C110" s="1628"/>
      <c r="D110" s="1680"/>
      <c r="E110" s="1680"/>
      <c r="F110" s="1680"/>
      <c r="G110" s="1680"/>
      <c r="H110" s="1647"/>
      <c r="I110" s="1651"/>
      <c r="J110" s="1651"/>
      <c r="K110" s="1651"/>
      <c r="L110" s="1651"/>
      <c r="M110" s="1651"/>
      <c r="N110" s="1647"/>
      <c r="O110" s="1647"/>
      <c r="P110" s="1660"/>
    </row>
    <row r="111" spans="1:16">
      <c r="A111" s="1679" t="s">
        <v>426</v>
      </c>
      <c r="B111" s="1684" t="s">
        <v>2783</v>
      </c>
      <c r="C111" s="1647"/>
      <c r="D111" s="1680"/>
      <c r="E111" s="1647"/>
      <c r="F111" s="1647"/>
      <c r="G111" s="1647"/>
      <c r="H111" s="1647" t="str">
        <f>'Part I-Project Information'!H105</f>
        <v>N/A - 4% Bond</v>
      </c>
      <c r="I111" s="1647">
        <f>'Part I-Project Information'!I105</f>
        <v>0</v>
      </c>
      <c r="J111" s="1651"/>
      <c r="K111" s="1647"/>
      <c r="L111" s="1647"/>
      <c r="M111" s="1647"/>
      <c r="N111" s="1647"/>
      <c r="O111" s="1647"/>
      <c r="P111" s="1647"/>
    </row>
    <row r="112" spans="1:16">
      <c r="A112" s="1645"/>
      <c r="B112" s="1647"/>
      <c r="C112" s="1647"/>
      <c r="D112" s="1661"/>
      <c r="E112" s="1647"/>
      <c r="F112" s="1647"/>
      <c r="G112" s="1647"/>
      <c r="H112" s="1647"/>
      <c r="I112" s="1661"/>
      <c r="J112" s="1653"/>
      <c r="K112" s="1647"/>
      <c r="L112" s="1647"/>
      <c r="M112" s="1647"/>
      <c r="N112" s="1647"/>
      <c r="O112" s="1647"/>
      <c r="P112" s="1660"/>
    </row>
    <row r="113" spans="1:16">
      <c r="A113" s="1679" t="s">
        <v>362</v>
      </c>
      <c r="B113" s="1679" t="s">
        <v>1189</v>
      </c>
      <c r="C113" s="1647"/>
      <c r="D113" s="1647"/>
      <c r="E113" s="1647"/>
      <c r="F113" s="1647"/>
      <c r="G113" s="1647"/>
      <c r="H113" s="1647"/>
      <c r="I113" s="1661"/>
      <c r="J113" s="1653"/>
      <c r="K113" s="1647"/>
      <c r="L113" s="1647"/>
      <c r="M113" s="1647"/>
      <c r="N113" s="1647"/>
      <c r="O113" s="1647"/>
      <c r="P113" s="1660"/>
    </row>
    <row r="114" spans="1:16">
      <c r="A114" s="1679"/>
      <c r="B114" s="1645"/>
      <c r="C114" s="1679"/>
      <c r="D114" s="1647"/>
      <c r="E114" s="1647"/>
      <c r="F114" s="1647"/>
      <c r="G114" s="1647"/>
      <c r="H114" s="1647"/>
      <c r="I114" s="1661"/>
      <c r="J114" s="1653"/>
      <c r="K114" s="1647"/>
      <c r="L114" s="1647"/>
      <c r="M114" s="1647"/>
      <c r="N114" s="1647"/>
      <c r="O114" s="1647"/>
      <c r="P114" s="1647"/>
    </row>
    <row r="115" spans="1:16">
      <c r="A115" s="1645"/>
      <c r="B115" s="1645"/>
      <c r="C115" s="1653" t="s">
        <v>552</v>
      </c>
      <c r="D115" s="1647"/>
      <c r="E115" s="1647" t="str">
        <f>'Part I-Project Information'!E109</f>
        <v>Housing Authority of the County of DeKalb, Georgia</v>
      </c>
      <c r="F115" s="1647">
        <f>'Part I-Project Information'!F109</f>
        <v>0</v>
      </c>
      <c r="G115" s="1647">
        <f>'Part I-Project Information'!G109</f>
        <v>0</v>
      </c>
      <c r="H115" s="1647">
        <f>'Part I-Project Information'!H109</f>
        <v>0</v>
      </c>
      <c r="I115" s="1647">
        <f>'Part I-Project Information'!I109</f>
        <v>0</v>
      </c>
      <c r="J115" s="1647">
        <f>'Part I-Project Information'!J109</f>
        <v>0</v>
      </c>
      <c r="K115" s="1647">
        <f>'Part I-Project Information'!K109</f>
        <v>0</v>
      </c>
      <c r="L115" s="1647">
        <f>'Part I-Project Information'!L109</f>
        <v>0</v>
      </c>
      <c r="M115" s="1665" t="s">
        <v>553</v>
      </c>
      <c r="N115" s="1665"/>
      <c r="O115" s="2123">
        <f>'Part I-Project Information'!O109</f>
        <v>42636</v>
      </c>
      <c r="P115" s="2123">
        <f>'Part I-Project Information'!P109</f>
        <v>0</v>
      </c>
    </row>
    <row r="116" spans="1:16">
      <c r="A116" s="1647"/>
      <c r="B116" s="1647"/>
      <c r="C116" s="1654" t="s">
        <v>1021</v>
      </c>
      <c r="D116" s="1657"/>
      <c r="E116" s="1647" t="str">
        <f>'Part I-Project Information'!E110</f>
        <v>750 Commerce Drive</v>
      </c>
      <c r="F116" s="1647">
        <f>'Part I-Project Information'!F110</f>
        <v>0</v>
      </c>
      <c r="G116" s="1647">
        <f>'Part I-Project Information'!G110</f>
        <v>0</v>
      </c>
      <c r="H116" s="1647">
        <f>'Part I-Project Information'!H110</f>
        <v>0</v>
      </c>
      <c r="I116" s="1647">
        <f>'Part I-Project Information'!I110</f>
        <v>0</v>
      </c>
      <c r="J116" s="1647">
        <f>'Part I-Project Information'!J110</f>
        <v>0</v>
      </c>
      <c r="K116" s="1647">
        <f>'Part I-Project Information'!K110</f>
        <v>0</v>
      </c>
      <c r="L116" s="1647">
        <f>'Part I-Project Information'!L110</f>
        <v>0</v>
      </c>
      <c r="M116" s="1665" t="s">
        <v>808</v>
      </c>
      <c r="N116" s="1665"/>
      <c r="O116" s="2023">
        <f>'Part I-Project Information'!O110</f>
        <v>2019</v>
      </c>
      <c r="P116" s="2023">
        <f>'Part I-Project Information'!P110</f>
        <v>0</v>
      </c>
    </row>
    <row r="117" spans="1:16">
      <c r="A117" s="1647"/>
      <c r="B117" s="1647"/>
      <c r="C117" s="1654" t="s">
        <v>618</v>
      </c>
      <c r="D117" s="1647"/>
      <c r="E117" s="1647" t="str">
        <f>'Part I-Project Information'!E111</f>
        <v>Decatur</v>
      </c>
      <c r="F117" s="1665">
        <f>'Part I-Project Information'!F111</f>
        <v>0</v>
      </c>
      <c r="G117" s="1665">
        <f>'Part I-Project Information'!G111</f>
        <v>0</v>
      </c>
      <c r="H117" s="1651" t="s">
        <v>1799</v>
      </c>
      <c r="I117" s="1651" t="str">
        <f>'Part I-Project Information'!I111</f>
        <v>GA</v>
      </c>
      <c r="J117" s="1651" t="s">
        <v>2229</v>
      </c>
      <c r="K117" s="2115"/>
      <c r="L117" s="1665"/>
      <c r="M117" s="1653" t="s">
        <v>3664</v>
      </c>
      <c r="N117" s="1653"/>
      <c r="O117" s="1766">
        <f>'Part I-Project Information'!O111</f>
        <v>23500000</v>
      </c>
      <c r="P117" s="1766">
        <f>'Part I-Project Information'!P111</f>
        <v>0</v>
      </c>
    </row>
    <row r="118" spans="1:16">
      <c r="A118" s="1647"/>
      <c r="B118" s="1647"/>
      <c r="C118" s="1647" t="s">
        <v>2194</v>
      </c>
      <c r="D118" s="1647"/>
      <c r="E118" s="1647" t="str">
        <f>'Part I-Project Information'!E112</f>
        <v>Deidre Randle</v>
      </c>
      <c r="F118" s="1665">
        <f>'Part I-Project Information'!F112</f>
        <v>0</v>
      </c>
      <c r="G118" s="1665">
        <f>'Part I-Project Information'!G112</f>
        <v>0</v>
      </c>
      <c r="H118" s="1651" t="s">
        <v>1980</v>
      </c>
      <c r="I118" s="1647" t="str">
        <f>'Part I-Project Information'!I112</f>
        <v>Bond Compliance Manager</v>
      </c>
      <c r="J118" s="1665">
        <f>'Part I-Project Information'!J112</f>
        <v>0</v>
      </c>
      <c r="K118" s="1665">
        <f>'Part I-Project Information'!K112</f>
        <v>0</v>
      </c>
      <c r="L118" s="1651" t="s">
        <v>1984</v>
      </c>
      <c r="M118" s="1647" t="str">
        <f>'Part I-Project Information'!M112</f>
        <v>bonds@dekalbhousing.org</v>
      </c>
      <c r="N118" s="1665">
        <f>'Part I-Project Information'!N112</f>
        <v>0</v>
      </c>
      <c r="O118" s="1665">
        <f>'Part I-Project Information'!O112</f>
        <v>0</v>
      </c>
      <c r="P118" s="1665">
        <f>'Part I-Project Information'!P112</f>
        <v>0</v>
      </c>
    </row>
    <row r="119" spans="1:16">
      <c r="A119" s="1647"/>
      <c r="B119" s="1647"/>
      <c r="C119" s="1654" t="s">
        <v>2193</v>
      </c>
      <c r="D119" s="1647"/>
      <c r="E119" s="2116">
        <f>'Part I-Project Information'!E113</f>
        <v>4042702545</v>
      </c>
      <c r="F119" s="2116">
        <f>'Part I-Project Information'!F113</f>
        <v>0</v>
      </c>
      <c r="G119" s="2116">
        <f>'Part I-Project Information'!G113</f>
        <v>0</v>
      </c>
      <c r="H119" s="1651" t="s">
        <v>1802</v>
      </c>
      <c r="I119" s="2116">
        <f>'Part I-Project Information'!I113</f>
        <v>6788529841</v>
      </c>
      <c r="J119" s="1665">
        <f>'Part I-Project Information'!J113</f>
        <v>0</v>
      </c>
      <c r="K119" s="1651" t="s">
        <v>2704</v>
      </c>
      <c r="L119" s="2023" t="str">
        <f>'Part I-Project Information'!L113</f>
        <v>http://www.dekalbhousing.org/</v>
      </c>
      <c r="M119" s="2023">
        <f>'Part I-Project Information'!M113</f>
        <v>0</v>
      </c>
      <c r="N119" s="2023">
        <f>'Part I-Project Information'!N113</f>
        <v>0</v>
      </c>
      <c r="O119" s="2023">
        <f>'Part I-Project Information'!O113</f>
        <v>0</v>
      </c>
      <c r="P119" s="2023">
        <f>'Part I-Project Information'!P113</f>
        <v>0</v>
      </c>
    </row>
    <row r="120" spans="1:16">
      <c r="A120" s="1645"/>
      <c r="B120" s="1645"/>
      <c r="C120" s="1647"/>
      <c r="D120" s="1647"/>
      <c r="E120" s="1647"/>
      <c r="F120" s="1647"/>
      <c r="G120" s="1661"/>
      <c r="H120" s="1651"/>
      <c r="I120" s="1651"/>
      <c r="J120" s="1647"/>
      <c r="K120" s="1647"/>
      <c r="L120" s="1647"/>
      <c r="M120" s="1660"/>
      <c r="N120" s="1647"/>
      <c r="O120" s="1647"/>
      <c r="P120" s="1647"/>
    </row>
    <row r="121" spans="1:16">
      <c r="A121" s="1679" t="s">
        <v>363</v>
      </c>
      <c r="B121" s="1684" t="s">
        <v>1669</v>
      </c>
      <c r="C121" s="1647"/>
      <c r="D121" s="1661"/>
      <c r="E121" s="1661"/>
      <c r="F121" s="1651"/>
      <c r="G121" s="1651"/>
      <c r="H121" s="1651"/>
      <c r="I121" s="1647"/>
      <c r="J121" s="1647"/>
      <c r="K121" s="1647"/>
      <c r="L121" s="1647"/>
      <c r="M121" s="1647"/>
      <c r="N121" s="1647"/>
      <c r="O121" s="1647"/>
      <c r="P121" s="1660"/>
    </row>
    <row r="122" spans="1:16">
      <c r="A122" s="1679"/>
      <c r="B122" s="1684"/>
      <c r="C122" s="1647"/>
      <c r="D122" s="1661"/>
      <c r="E122" s="1661"/>
      <c r="F122" s="1651"/>
      <c r="G122" s="1651"/>
      <c r="H122" s="1651"/>
      <c r="I122" s="1651"/>
      <c r="J122" s="1661"/>
      <c r="K122" s="1651"/>
      <c r="L122" s="1651"/>
      <c r="M122" s="1647"/>
      <c r="N122" s="1647"/>
      <c r="O122" s="1647"/>
      <c r="P122" s="1660"/>
    </row>
    <row r="123" spans="1:16">
      <c r="A123" s="1647"/>
      <c r="B123" s="1665" t="s">
        <v>2153</v>
      </c>
      <c r="C123" s="1647"/>
      <c r="D123" s="1658"/>
      <c r="E123" s="1658"/>
      <c r="F123" s="1658"/>
      <c r="G123" s="1658"/>
      <c r="H123" s="1658"/>
      <c r="I123" s="1658"/>
      <c r="J123" s="1658"/>
      <c r="K123" s="1658"/>
      <c r="L123" s="1658"/>
      <c r="M123" s="1658"/>
      <c r="N123" s="1658"/>
      <c r="O123" s="1658"/>
      <c r="P123" s="1658"/>
    </row>
    <row r="124" spans="1:16">
      <c r="A124" s="1645"/>
      <c r="B124" s="1645"/>
      <c r="C124" s="1690"/>
      <c r="D124" s="1690"/>
      <c r="E124" s="1690"/>
      <c r="F124" s="1690"/>
      <c r="G124" s="1690"/>
      <c r="H124" s="1690"/>
      <c r="I124" s="1690"/>
      <c r="J124" s="1690"/>
      <c r="K124" s="1690"/>
      <c r="L124" s="1690"/>
      <c r="M124" s="1690"/>
      <c r="N124" s="1690"/>
      <c r="O124" s="1690"/>
      <c r="P124" s="1690"/>
    </row>
    <row r="125" spans="1:16">
      <c r="A125" s="1645"/>
      <c r="B125" s="1645" t="s">
        <v>1983</v>
      </c>
      <c r="C125" s="1684" t="s">
        <v>1412</v>
      </c>
      <c r="D125" s="1680"/>
      <c r="E125" s="1680"/>
      <c r="F125" s="1651"/>
      <c r="G125" s="1651"/>
      <c r="H125" s="1661">
        <f>'Part I-Project Information'!H119</f>
        <v>0</v>
      </c>
      <c r="I125" s="1647"/>
      <c r="J125" s="1647"/>
      <c r="K125" s="1647"/>
      <c r="L125" s="1647"/>
      <c r="M125" s="1647"/>
      <c r="N125" s="1647"/>
      <c r="O125" s="1647"/>
      <c r="P125" s="1647"/>
    </row>
    <row r="126" spans="1:16">
      <c r="A126" s="1645"/>
      <c r="B126" s="1645"/>
      <c r="C126" s="1690"/>
      <c r="D126" s="1690"/>
      <c r="E126" s="1690"/>
      <c r="F126" s="1690"/>
      <c r="G126" s="1690"/>
      <c r="H126" s="1690"/>
      <c r="I126" s="1647"/>
      <c r="J126" s="1690"/>
      <c r="K126" s="1647"/>
      <c r="L126" s="1647"/>
      <c r="M126" s="1690"/>
      <c r="N126" s="1690"/>
      <c r="O126" s="1690"/>
      <c r="P126" s="1647"/>
    </row>
    <row r="127" spans="1:16">
      <c r="A127" s="1645"/>
      <c r="B127" s="1645" t="s">
        <v>1985</v>
      </c>
      <c r="C127" s="1684" t="s">
        <v>416</v>
      </c>
      <c r="D127" s="1680"/>
      <c r="E127" s="1680"/>
      <c r="F127" s="1651"/>
      <c r="G127" s="1651"/>
      <c r="H127" s="2124">
        <f>'Part I-Project Information'!H121</f>
        <v>0</v>
      </c>
      <c r="I127" s="1647"/>
      <c r="J127" s="1661"/>
      <c r="K127" s="1654"/>
      <c r="L127" s="1647"/>
      <c r="M127" s="1647"/>
      <c r="N127" s="1647"/>
      <c r="O127" s="1647"/>
      <c r="P127" s="1647"/>
    </row>
    <row r="128" spans="1:16">
      <c r="A128" s="1645"/>
      <c r="B128" s="1645"/>
      <c r="C128" s="1690"/>
      <c r="D128" s="1690"/>
      <c r="E128" s="1690"/>
      <c r="F128" s="1690"/>
      <c r="G128" s="1690"/>
      <c r="H128" s="1690"/>
      <c r="I128" s="1690"/>
      <c r="J128" s="1690"/>
      <c r="K128" s="1690"/>
      <c r="L128" s="1647"/>
      <c r="M128" s="1690"/>
      <c r="N128" s="1690"/>
      <c r="O128" s="1690"/>
      <c r="P128" s="1690"/>
    </row>
    <row r="129" spans="1:16">
      <c r="A129" s="1647"/>
      <c r="B129" s="1645" t="s">
        <v>749</v>
      </c>
      <c r="C129" s="1684" t="s">
        <v>302</v>
      </c>
      <c r="D129" s="1680"/>
      <c r="E129" s="1680"/>
      <c r="F129" s="1651"/>
      <c r="G129" s="1651"/>
      <c r="H129" s="1651"/>
      <c r="I129" s="1651"/>
      <c r="J129" s="1661"/>
      <c r="K129" s="1651"/>
      <c r="L129" s="1651"/>
      <c r="M129" s="1647"/>
      <c r="N129" s="1647"/>
      <c r="O129" s="1647"/>
      <c r="P129" s="1647"/>
    </row>
    <row r="130" spans="1:16">
      <c r="A130" s="1647"/>
      <c r="B130" s="1645"/>
      <c r="C130" s="1680" t="s">
        <v>2135</v>
      </c>
      <c r="D130" s="1680"/>
      <c r="E130" s="1647"/>
      <c r="F130" s="1680" t="s">
        <v>1134</v>
      </c>
      <c r="G130" s="1651"/>
      <c r="H130" s="1651"/>
      <c r="I130" s="1651" t="s">
        <v>1294</v>
      </c>
      <c r="J130" s="1680" t="s">
        <v>2135</v>
      </c>
      <c r="K130" s="1680"/>
      <c r="L130" s="1647"/>
      <c r="M130" s="1680" t="s">
        <v>1134</v>
      </c>
      <c r="N130" s="1651"/>
      <c r="O130" s="1651"/>
      <c r="P130" s="1651" t="s">
        <v>1294</v>
      </c>
    </row>
    <row r="131" spans="1:16" ht="13.5">
      <c r="A131" s="1645"/>
      <c r="B131" s="1645"/>
      <c r="C131" s="1710">
        <f>'Part I-Project Information'!C125</f>
        <v>1</v>
      </c>
      <c r="D131" s="1710">
        <f>'Part I-Project Information'!D125</f>
        <v>0</v>
      </c>
      <c r="E131" s="1710">
        <f>'Part I-Project Information'!E125</f>
        <v>0</v>
      </c>
      <c r="F131" s="1710">
        <f>'Part I-Project Information'!F125</f>
        <v>0</v>
      </c>
      <c r="G131" s="1710">
        <f>'Part I-Project Information'!G125</f>
        <v>0</v>
      </c>
      <c r="H131" s="1710">
        <f>'Part I-Project Information'!H125</f>
        <v>0</v>
      </c>
      <c r="I131" s="1710">
        <f>'Part I-Project Information'!I125</f>
        <v>0</v>
      </c>
      <c r="J131" s="1710">
        <f>'Part I-Project Information'!J125</f>
        <v>7</v>
      </c>
      <c r="K131" s="1710">
        <f>'Part I-Project Information'!K125</f>
        <v>0</v>
      </c>
      <c r="L131" s="1710">
        <f>'Part I-Project Information'!L125</f>
        <v>0</v>
      </c>
      <c r="M131" s="1710">
        <f>'Part I-Project Information'!M125</f>
        <v>0</v>
      </c>
      <c r="N131" s="1710">
        <f>'Part I-Project Information'!N125</f>
        <v>0</v>
      </c>
      <c r="O131" s="1710">
        <f>'Part I-Project Information'!O125</f>
        <v>0</v>
      </c>
      <c r="P131" s="1710">
        <f>'Part I-Project Information'!P125</f>
        <v>0</v>
      </c>
    </row>
    <row r="132" spans="1:16" ht="13.5">
      <c r="A132" s="1645"/>
      <c r="B132" s="1645"/>
      <c r="C132" s="1710">
        <f>'Part I-Project Information'!C126</f>
        <v>2</v>
      </c>
      <c r="D132" s="1710">
        <f>'Part I-Project Information'!D126</f>
        <v>0</v>
      </c>
      <c r="E132" s="1710">
        <f>'Part I-Project Information'!E126</f>
        <v>0</v>
      </c>
      <c r="F132" s="1710">
        <f>'Part I-Project Information'!F126</f>
        <v>0</v>
      </c>
      <c r="G132" s="1710">
        <f>'Part I-Project Information'!G126</f>
        <v>0</v>
      </c>
      <c r="H132" s="1710">
        <f>'Part I-Project Information'!H126</f>
        <v>0</v>
      </c>
      <c r="I132" s="1710">
        <f>'Part I-Project Information'!I126</f>
        <v>0</v>
      </c>
      <c r="J132" s="1710">
        <f>'Part I-Project Information'!J126</f>
        <v>8</v>
      </c>
      <c r="K132" s="1710">
        <f>'Part I-Project Information'!K126</f>
        <v>0</v>
      </c>
      <c r="L132" s="1710">
        <f>'Part I-Project Information'!L126</f>
        <v>0</v>
      </c>
      <c r="M132" s="1710">
        <f>'Part I-Project Information'!M126</f>
        <v>0</v>
      </c>
      <c r="N132" s="1710">
        <f>'Part I-Project Information'!N126</f>
        <v>0</v>
      </c>
      <c r="O132" s="1710">
        <f>'Part I-Project Information'!O126</f>
        <v>0</v>
      </c>
      <c r="P132" s="1710">
        <f>'Part I-Project Information'!P126</f>
        <v>0</v>
      </c>
    </row>
    <row r="133" spans="1:16" ht="13.5">
      <c r="A133" s="1645"/>
      <c r="B133" s="1645"/>
      <c r="C133" s="1710">
        <f>'Part I-Project Information'!C127</f>
        <v>3</v>
      </c>
      <c r="D133" s="1710">
        <f>'Part I-Project Information'!D127</f>
        <v>0</v>
      </c>
      <c r="E133" s="1710">
        <f>'Part I-Project Information'!E127</f>
        <v>0</v>
      </c>
      <c r="F133" s="1710">
        <f>'Part I-Project Information'!F127</f>
        <v>0</v>
      </c>
      <c r="G133" s="1710">
        <f>'Part I-Project Information'!G127</f>
        <v>0</v>
      </c>
      <c r="H133" s="1710">
        <f>'Part I-Project Information'!H127</f>
        <v>0</v>
      </c>
      <c r="I133" s="1710">
        <f>'Part I-Project Information'!I127</f>
        <v>0</v>
      </c>
      <c r="J133" s="1710">
        <f>'Part I-Project Information'!J127</f>
        <v>9</v>
      </c>
      <c r="K133" s="1710">
        <f>'Part I-Project Information'!K127</f>
        <v>0</v>
      </c>
      <c r="L133" s="1710">
        <f>'Part I-Project Information'!L127</f>
        <v>0</v>
      </c>
      <c r="M133" s="1710">
        <f>'Part I-Project Information'!M127</f>
        <v>0</v>
      </c>
      <c r="N133" s="1710">
        <f>'Part I-Project Information'!N127</f>
        <v>0</v>
      </c>
      <c r="O133" s="1710">
        <f>'Part I-Project Information'!O127</f>
        <v>0</v>
      </c>
      <c r="P133" s="1710">
        <f>'Part I-Project Information'!P127</f>
        <v>0</v>
      </c>
    </row>
    <row r="134" spans="1:16" ht="13.5">
      <c r="A134" s="1645"/>
      <c r="B134" s="1645"/>
      <c r="C134" s="1710">
        <f>'Part I-Project Information'!C128</f>
        <v>4</v>
      </c>
      <c r="D134" s="1710">
        <f>'Part I-Project Information'!D128</f>
        <v>0</v>
      </c>
      <c r="E134" s="1710">
        <f>'Part I-Project Information'!E128</f>
        <v>0</v>
      </c>
      <c r="F134" s="1710">
        <f>'Part I-Project Information'!F128</f>
        <v>0</v>
      </c>
      <c r="G134" s="1710">
        <f>'Part I-Project Information'!G128</f>
        <v>0</v>
      </c>
      <c r="H134" s="1710">
        <f>'Part I-Project Information'!H128</f>
        <v>0</v>
      </c>
      <c r="I134" s="1710">
        <f>'Part I-Project Information'!I128</f>
        <v>0</v>
      </c>
      <c r="J134" s="1710">
        <f>'Part I-Project Information'!J128</f>
        <v>10</v>
      </c>
      <c r="K134" s="1710">
        <f>'Part I-Project Information'!K128</f>
        <v>0</v>
      </c>
      <c r="L134" s="1710">
        <f>'Part I-Project Information'!L128</f>
        <v>0</v>
      </c>
      <c r="M134" s="1710">
        <f>'Part I-Project Information'!M128</f>
        <v>0</v>
      </c>
      <c r="N134" s="1710">
        <f>'Part I-Project Information'!N128</f>
        <v>0</v>
      </c>
      <c r="O134" s="1710">
        <f>'Part I-Project Information'!O128</f>
        <v>0</v>
      </c>
      <c r="P134" s="1710">
        <f>'Part I-Project Information'!P128</f>
        <v>0</v>
      </c>
    </row>
    <row r="135" spans="1:16" ht="13.5">
      <c r="A135" s="1645"/>
      <c r="B135" s="1645"/>
      <c r="C135" s="1710">
        <f>'Part I-Project Information'!C129</f>
        <v>5</v>
      </c>
      <c r="D135" s="1710">
        <f>'Part I-Project Information'!D129</f>
        <v>0</v>
      </c>
      <c r="E135" s="1710">
        <f>'Part I-Project Information'!E129</f>
        <v>0</v>
      </c>
      <c r="F135" s="1710">
        <f>'Part I-Project Information'!F129</f>
        <v>0</v>
      </c>
      <c r="G135" s="1710">
        <f>'Part I-Project Information'!G129</f>
        <v>0</v>
      </c>
      <c r="H135" s="1710">
        <f>'Part I-Project Information'!H129</f>
        <v>0</v>
      </c>
      <c r="I135" s="1710">
        <f>'Part I-Project Information'!I129</f>
        <v>0</v>
      </c>
      <c r="J135" s="1710">
        <f>'Part I-Project Information'!J129</f>
        <v>11</v>
      </c>
      <c r="K135" s="1710">
        <f>'Part I-Project Information'!K129</f>
        <v>0</v>
      </c>
      <c r="L135" s="1710">
        <f>'Part I-Project Information'!L129</f>
        <v>0</v>
      </c>
      <c r="M135" s="1710">
        <f>'Part I-Project Information'!M129</f>
        <v>0</v>
      </c>
      <c r="N135" s="1710">
        <f>'Part I-Project Information'!N129</f>
        <v>0</v>
      </c>
      <c r="O135" s="1710">
        <f>'Part I-Project Information'!O129</f>
        <v>0</v>
      </c>
      <c r="P135" s="1710">
        <f>'Part I-Project Information'!P129</f>
        <v>0</v>
      </c>
    </row>
    <row r="136" spans="1:16" ht="13.5">
      <c r="A136" s="1645"/>
      <c r="B136" s="1645"/>
      <c r="C136" s="1710">
        <f>'Part I-Project Information'!C130</f>
        <v>6</v>
      </c>
      <c r="D136" s="1710">
        <f>'Part I-Project Information'!D130</f>
        <v>0</v>
      </c>
      <c r="E136" s="1710">
        <f>'Part I-Project Information'!E130</f>
        <v>0</v>
      </c>
      <c r="F136" s="1710">
        <f>'Part I-Project Information'!F130</f>
        <v>0</v>
      </c>
      <c r="G136" s="1710">
        <f>'Part I-Project Information'!G130</f>
        <v>0</v>
      </c>
      <c r="H136" s="1710">
        <f>'Part I-Project Information'!H130</f>
        <v>0</v>
      </c>
      <c r="I136" s="1710">
        <f>'Part I-Project Information'!I130</f>
        <v>0</v>
      </c>
      <c r="J136" s="1710">
        <f>'Part I-Project Information'!J130</f>
        <v>12</v>
      </c>
      <c r="K136" s="1710">
        <f>'Part I-Project Information'!K130</f>
        <v>0</v>
      </c>
      <c r="L136" s="1710">
        <f>'Part I-Project Information'!L130</f>
        <v>0</v>
      </c>
      <c r="M136" s="1710">
        <f>'Part I-Project Information'!M130</f>
        <v>0</v>
      </c>
      <c r="N136" s="1710">
        <f>'Part I-Project Information'!N130</f>
        <v>0</v>
      </c>
      <c r="O136" s="1710">
        <f>'Part I-Project Information'!O130</f>
        <v>0</v>
      </c>
      <c r="P136" s="1710">
        <f>'Part I-Project Information'!P130</f>
        <v>0</v>
      </c>
    </row>
    <row r="137" spans="1:16">
      <c r="A137" s="1645"/>
      <c r="B137" s="1645"/>
      <c r="C137" s="1690"/>
      <c r="D137" s="1690"/>
      <c r="E137" s="1690"/>
      <c r="F137" s="1690"/>
      <c r="G137" s="1690"/>
      <c r="H137" s="1690"/>
      <c r="I137" s="1690"/>
      <c r="J137" s="1690"/>
      <c r="K137" s="1690"/>
      <c r="L137" s="1690"/>
      <c r="M137" s="1690"/>
      <c r="N137" s="1690"/>
      <c r="O137" s="1690"/>
      <c r="P137" s="1690"/>
    </row>
    <row r="138" spans="1:16" ht="12.75" customHeight="1">
      <c r="A138" s="1645"/>
      <c r="B138" s="1645" t="s">
        <v>2115</v>
      </c>
      <c r="C138" s="1691" t="s">
        <v>1847</v>
      </c>
      <c r="D138" s="1691"/>
      <c r="E138" s="1691"/>
      <c r="F138" s="1691"/>
      <c r="G138" s="1691"/>
      <c r="H138" s="1691"/>
      <c r="I138" s="1691"/>
      <c r="J138" s="1691"/>
      <c r="K138" s="1691"/>
      <c r="L138" s="1691"/>
      <c r="M138" s="1691"/>
      <c r="N138" s="1691"/>
      <c r="O138" s="1691"/>
      <c r="P138" s="1691"/>
    </row>
    <row r="139" spans="1:16">
      <c r="A139" s="1645"/>
      <c r="B139" s="1645"/>
      <c r="C139" s="1691"/>
      <c r="D139" s="1691"/>
      <c r="E139" s="1691"/>
      <c r="F139" s="1691"/>
      <c r="G139" s="1691"/>
      <c r="H139" s="1691"/>
      <c r="I139" s="1691"/>
      <c r="J139" s="1691"/>
      <c r="K139" s="1691"/>
      <c r="L139" s="1691"/>
      <c r="M139" s="1691"/>
      <c r="N139" s="1691"/>
      <c r="O139" s="1691"/>
      <c r="P139" s="1691"/>
    </row>
    <row r="140" spans="1:16">
      <c r="A140" s="1647"/>
      <c r="B140" s="1645"/>
      <c r="C140" s="1680" t="s">
        <v>2135</v>
      </c>
      <c r="D140" s="1680"/>
      <c r="E140" s="1647"/>
      <c r="F140" s="1680" t="s">
        <v>1134</v>
      </c>
      <c r="G140" s="1651"/>
      <c r="H140" s="1651"/>
      <c r="I140" s="1651"/>
      <c r="J140" s="1680" t="s">
        <v>2135</v>
      </c>
      <c r="K140" s="1680"/>
      <c r="L140" s="1647"/>
      <c r="M140" s="1680" t="s">
        <v>1134</v>
      </c>
      <c r="N140" s="1651"/>
      <c r="O140" s="1651"/>
      <c r="P140" s="1651"/>
    </row>
    <row r="141" spans="1:16" ht="13.5">
      <c r="A141" s="1645"/>
      <c r="B141" s="1645"/>
      <c r="C141" s="1710">
        <f>'Part I-Project Information'!C135</f>
        <v>1</v>
      </c>
      <c r="D141" s="1710">
        <f>'Part I-Project Information'!D135</f>
        <v>0</v>
      </c>
      <c r="E141" s="1710">
        <f>'Part I-Project Information'!E135</f>
        <v>0</v>
      </c>
      <c r="F141" s="1710">
        <f>'Part I-Project Information'!F135</f>
        <v>0</v>
      </c>
      <c r="G141" s="1710">
        <f>'Part I-Project Information'!G135</f>
        <v>0</v>
      </c>
      <c r="H141" s="1710">
        <f>'Part I-Project Information'!H135</f>
        <v>0</v>
      </c>
      <c r="I141" s="1710">
        <f>'Part I-Project Information'!I135</f>
        <v>0</v>
      </c>
      <c r="J141" s="1710">
        <f>'Part I-Project Information'!J135</f>
        <v>7</v>
      </c>
      <c r="K141" s="1710">
        <f>'Part I-Project Information'!K135</f>
        <v>0</v>
      </c>
      <c r="L141" s="1710">
        <f>'Part I-Project Information'!L135</f>
        <v>0</v>
      </c>
      <c r="M141" s="1710">
        <f>'Part I-Project Information'!M135</f>
        <v>0</v>
      </c>
      <c r="N141" s="1710">
        <f>'Part I-Project Information'!N135</f>
        <v>0</v>
      </c>
      <c r="O141" s="1710">
        <f>'Part I-Project Information'!O135</f>
        <v>0</v>
      </c>
      <c r="P141" s="1710">
        <f>'Part I-Project Information'!P135</f>
        <v>0</v>
      </c>
    </row>
    <row r="142" spans="1:16" ht="13.5">
      <c r="A142" s="1645"/>
      <c r="B142" s="1645"/>
      <c r="C142" s="1710">
        <f>'Part I-Project Information'!C136</f>
        <v>2</v>
      </c>
      <c r="D142" s="1710">
        <f>'Part I-Project Information'!D136</f>
        <v>0</v>
      </c>
      <c r="E142" s="1710">
        <f>'Part I-Project Information'!E136</f>
        <v>0</v>
      </c>
      <c r="F142" s="1710">
        <f>'Part I-Project Information'!F136</f>
        <v>0</v>
      </c>
      <c r="G142" s="1710">
        <f>'Part I-Project Information'!G136</f>
        <v>0</v>
      </c>
      <c r="H142" s="1710">
        <f>'Part I-Project Information'!H136</f>
        <v>0</v>
      </c>
      <c r="I142" s="1710">
        <f>'Part I-Project Information'!I136</f>
        <v>0</v>
      </c>
      <c r="J142" s="1710">
        <f>'Part I-Project Information'!J136</f>
        <v>8</v>
      </c>
      <c r="K142" s="1710">
        <f>'Part I-Project Information'!K136</f>
        <v>0</v>
      </c>
      <c r="L142" s="1710">
        <f>'Part I-Project Information'!L136</f>
        <v>0</v>
      </c>
      <c r="M142" s="1710">
        <f>'Part I-Project Information'!M136</f>
        <v>0</v>
      </c>
      <c r="N142" s="1710">
        <f>'Part I-Project Information'!N136</f>
        <v>0</v>
      </c>
      <c r="O142" s="1710">
        <f>'Part I-Project Information'!O136</f>
        <v>0</v>
      </c>
      <c r="P142" s="1710">
        <f>'Part I-Project Information'!P136</f>
        <v>0</v>
      </c>
    </row>
    <row r="143" spans="1:16" ht="13.5">
      <c r="A143" s="1645"/>
      <c r="B143" s="1645"/>
      <c r="C143" s="1710">
        <f>'Part I-Project Information'!C137</f>
        <v>3</v>
      </c>
      <c r="D143" s="1710">
        <f>'Part I-Project Information'!D137</f>
        <v>0</v>
      </c>
      <c r="E143" s="1710">
        <f>'Part I-Project Information'!E137</f>
        <v>0</v>
      </c>
      <c r="F143" s="1710">
        <f>'Part I-Project Information'!F137</f>
        <v>0</v>
      </c>
      <c r="G143" s="1710">
        <f>'Part I-Project Information'!G137</f>
        <v>0</v>
      </c>
      <c r="H143" s="1710">
        <f>'Part I-Project Information'!H137</f>
        <v>0</v>
      </c>
      <c r="I143" s="1710">
        <f>'Part I-Project Information'!I137</f>
        <v>0</v>
      </c>
      <c r="J143" s="1710">
        <f>'Part I-Project Information'!J137</f>
        <v>9</v>
      </c>
      <c r="K143" s="1710">
        <f>'Part I-Project Information'!K137</f>
        <v>0</v>
      </c>
      <c r="L143" s="1710">
        <f>'Part I-Project Information'!L137</f>
        <v>0</v>
      </c>
      <c r="M143" s="1710">
        <f>'Part I-Project Information'!M137</f>
        <v>0</v>
      </c>
      <c r="N143" s="1710">
        <f>'Part I-Project Information'!N137</f>
        <v>0</v>
      </c>
      <c r="O143" s="1710">
        <f>'Part I-Project Information'!O137</f>
        <v>0</v>
      </c>
      <c r="P143" s="1710">
        <f>'Part I-Project Information'!P137</f>
        <v>0</v>
      </c>
    </row>
    <row r="144" spans="1:16" ht="13.5">
      <c r="A144" s="1645"/>
      <c r="B144" s="1645"/>
      <c r="C144" s="1710">
        <f>'Part I-Project Information'!C138</f>
        <v>4</v>
      </c>
      <c r="D144" s="1710">
        <f>'Part I-Project Information'!D138</f>
        <v>0</v>
      </c>
      <c r="E144" s="1710">
        <f>'Part I-Project Information'!E138</f>
        <v>0</v>
      </c>
      <c r="F144" s="1710">
        <f>'Part I-Project Information'!F138</f>
        <v>0</v>
      </c>
      <c r="G144" s="1710">
        <f>'Part I-Project Information'!G138</f>
        <v>0</v>
      </c>
      <c r="H144" s="1710">
        <f>'Part I-Project Information'!H138</f>
        <v>0</v>
      </c>
      <c r="I144" s="1710">
        <f>'Part I-Project Information'!I138</f>
        <v>0</v>
      </c>
      <c r="J144" s="1710">
        <f>'Part I-Project Information'!J138</f>
        <v>10</v>
      </c>
      <c r="K144" s="1710">
        <f>'Part I-Project Information'!K138</f>
        <v>0</v>
      </c>
      <c r="L144" s="1710">
        <f>'Part I-Project Information'!L138</f>
        <v>0</v>
      </c>
      <c r="M144" s="1710">
        <f>'Part I-Project Information'!M138</f>
        <v>0</v>
      </c>
      <c r="N144" s="1710">
        <f>'Part I-Project Information'!N138</f>
        <v>0</v>
      </c>
      <c r="O144" s="1710">
        <f>'Part I-Project Information'!O138</f>
        <v>0</v>
      </c>
      <c r="P144" s="1710">
        <f>'Part I-Project Information'!P138</f>
        <v>0</v>
      </c>
    </row>
    <row r="145" spans="1:16" ht="13.5">
      <c r="A145" s="1645"/>
      <c r="B145" s="1645"/>
      <c r="C145" s="1710">
        <f>'Part I-Project Information'!C139</f>
        <v>5</v>
      </c>
      <c r="D145" s="1710">
        <f>'Part I-Project Information'!D139</f>
        <v>0</v>
      </c>
      <c r="E145" s="1710">
        <f>'Part I-Project Information'!E139</f>
        <v>0</v>
      </c>
      <c r="F145" s="1710">
        <f>'Part I-Project Information'!F139</f>
        <v>0</v>
      </c>
      <c r="G145" s="1710">
        <f>'Part I-Project Information'!G139</f>
        <v>0</v>
      </c>
      <c r="H145" s="1710">
        <f>'Part I-Project Information'!H139</f>
        <v>0</v>
      </c>
      <c r="I145" s="1710">
        <f>'Part I-Project Information'!I139</f>
        <v>0</v>
      </c>
      <c r="J145" s="1710">
        <f>'Part I-Project Information'!J139</f>
        <v>11</v>
      </c>
      <c r="K145" s="1710">
        <f>'Part I-Project Information'!K139</f>
        <v>0</v>
      </c>
      <c r="L145" s="1710">
        <f>'Part I-Project Information'!L139</f>
        <v>0</v>
      </c>
      <c r="M145" s="1710">
        <f>'Part I-Project Information'!M139</f>
        <v>0</v>
      </c>
      <c r="N145" s="1710">
        <f>'Part I-Project Information'!N139</f>
        <v>0</v>
      </c>
      <c r="O145" s="1710">
        <f>'Part I-Project Information'!O139</f>
        <v>0</v>
      </c>
      <c r="P145" s="1710">
        <f>'Part I-Project Information'!P139</f>
        <v>0</v>
      </c>
    </row>
    <row r="146" spans="1:16" ht="13.5">
      <c r="A146" s="1645"/>
      <c r="B146" s="1645"/>
      <c r="C146" s="1710">
        <f>'Part I-Project Information'!C140</f>
        <v>6</v>
      </c>
      <c r="D146" s="1710">
        <f>'Part I-Project Information'!D140</f>
        <v>0</v>
      </c>
      <c r="E146" s="1710">
        <f>'Part I-Project Information'!E140</f>
        <v>0</v>
      </c>
      <c r="F146" s="1710">
        <f>'Part I-Project Information'!F140</f>
        <v>0</v>
      </c>
      <c r="G146" s="1710">
        <f>'Part I-Project Information'!G140</f>
        <v>0</v>
      </c>
      <c r="H146" s="1710">
        <f>'Part I-Project Information'!H140</f>
        <v>0</v>
      </c>
      <c r="I146" s="1710">
        <f>'Part I-Project Information'!I140</f>
        <v>0</v>
      </c>
      <c r="J146" s="1710">
        <f>'Part I-Project Information'!J140</f>
        <v>12</v>
      </c>
      <c r="K146" s="1710">
        <f>'Part I-Project Information'!K140</f>
        <v>0</v>
      </c>
      <c r="L146" s="1710">
        <f>'Part I-Project Information'!L140</f>
        <v>0</v>
      </c>
      <c r="M146" s="1710">
        <f>'Part I-Project Information'!M140</f>
        <v>0</v>
      </c>
      <c r="N146" s="1710">
        <f>'Part I-Project Information'!N140</f>
        <v>0</v>
      </c>
      <c r="O146" s="1710">
        <f>'Part I-Project Information'!O140</f>
        <v>0</v>
      </c>
      <c r="P146" s="1710">
        <f>'Part I-Project Information'!P140</f>
        <v>0</v>
      </c>
    </row>
    <row r="147" spans="1:16">
      <c r="A147" s="1645"/>
      <c r="B147" s="1645"/>
      <c r="C147" s="1680"/>
      <c r="D147" s="1680"/>
      <c r="E147" s="1680"/>
      <c r="F147" s="1651"/>
      <c r="G147" s="1651"/>
      <c r="H147" s="1651"/>
      <c r="I147" s="1651"/>
      <c r="J147" s="1661"/>
      <c r="K147" s="1651"/>
      <c r="L147" s="1651"/>
      <c r="M147" s="1647"/>
      <c r="N147" s="1647"/>
      <c r="O147" s="1647"/>
      <c r="P147" s="1660"/>
    </row>
    <row r="148" spans="1:16">
      <c r="A148" s="1645"/>
      <c r="B148" s="1645"/>
      <c r="C148" s="1680"/>
      <c r="D148" s="1680"/>
      <c r="E148" s="1680"/>
      <c r="F148" s="1651"/>
      <c r="G148" s="1651"/>
      <c r="H148" s="1651"/>
      <c r="I148" s="1651"/>
      <c r="J148" s="1661"/>
      <c r="K148" s="1651"/>
      <c r="L148" s="1651"/>
      <c r="M148" s="1647"/>
      <c r="N148" s="1647"/>
      <c r="O148" s="1647"/>
      <c r="P148" s="1660"/>
    </row>
    <row r="149" spans="1:16">
      <c r="A149" s="1679" t="s">
        <v>364</v>
      </c>
      <c r="B149" s="1683" t="s">
        <v>2418</v>
      </c>
      <c r="C149" s="1647"/>
      <c r="D149" s="1683"/>
      <c r="E149" s="1683"/>
      <c r="F149" s="1683"/>
      <c r="G149" s="1647"/>
      <c r="H149" s="1647"/>
      <c r="I149" s="1651" t="str">
        <f>'Part I-Project Information'!I143</f>
        <v>No</v>
      </c>
      <c r="J149" s="1647"/>
      <c r="K149" s="1647"/>
      <c r="L149" s="1647"/>
      <c r="M149" s="1651"/>
      <c r="N149" s="1647"/>
      <c r="O149" s="1647"/>
      <c r="P149" s="1660"/>
    </row>
    <row r="150" spans="1:16">
      <c r="A150" s="1679"/>
      <c r="B150" s="1645"/>
      <c r="C150" s="1684"/>
      <c r="D150" s="1684"/>
      <c r="E150" s="1684"/>
      <c r="F150" s="1684"/>
      <c r="G150" s="1651"/>
      <c r="H150" s="1647"/>
      <c r="I150" s="1647"/>
      <c r="J150" s="1647"/>
      <c r="K150" s="1647"/>
      <c r="L150" s="1647"/>
      <c r="M150" s="1651"/>
      <c r="N150" s="1647"/>
      <c r="O150" s="1647"/>
      <c r="P150" s="1647"/>
    </row>
    <row r="151" spans="1:16">
      <c r="A151" s="1645"/>
      <c r="B151" s="1645" t="s">
        <v>1983</v>
      </c>
      <c r="C151" s="1648" t="s">
        <v>1713</v>
      </c>
      <c r="D151" s="1647"/>
      <c r="E151" s="1647"/>
      <c r="F151" s="1647"/>
      <c r="G151" s="1647"/>
      <c r="H151" s="1647"/>
      <c r="I151" s="1651">
        <f>'Part I-Project Information'!I145</f>
        <v>0</v>
      </c>
      <c r="J151" s="1647"/>
      <c r="K151" s="1647"/>
      <c r="L151" s="1647"/>
      <c r="M151" s="1651"/>
      <c r="N151" s="1647"/>
      <c r="O151" s="1647"/>
      <c r="P151" s="1660"/>
    </row>
    <row r="152" spans="1:16">
      <c r="A152" s="1645"/>
      <c r="B152" s="1645"/>
      <c r="C152" s="1680" t="s">
        <v>2420</v>
      </c>
      <c r="D152" s="1680"/>
      <c r="E152" s="1680"/>
      <c r="F152" s="1651"/>
      <c r="G152" s="1647"/>
      <c r="H152" s="1647"/>
      <c r="I152" s="1651">
        <f>'Part I-Project Information'!I146</f>
        <v>0</v>
      </c>
      <c r="J152" s="1647"/>
      <c r="K152" s="1647"/>
      <c r="L152" s="1647"/>
      <c r="M152" s="1647"/>
      <c r="N152" s="1647"/>
      <c r="O152" s="1647"/>
      <c r="P152" s="1660"/>
    </row>
    <row r="153" spans="1:16">
      <c r="A153" s="1645"/>
      <c r="B153" s="1645"/>
      <c r="C153" s="1692" t="s">
        <v>1712</v>
      </c>
      <c r="D153" s="1654"/>
      <c r="E153" s="1647"/>
      <c r="F153" s="1647"/>
      <c r="G153" s="1647"/>
      <c r="H153" s="1647"/>
      <c r="I153" s="1651">
        <f>'Part I-Project Information'!I147</f>
        <v>0</v>
      </c>
      <c r="J153" s="1647"/>
      <c r="K153" s="1647"/>
      <c r="L153" s="1647"/>
      <c r="M153" s="1647"/>
      <c r="N153" s="1647"/>
      <c r="O153" s="1647"/>
      <c r="P153" s="1660"/>
    </row>
    <row r="154" spans="1:16">
      <c r="A154" s="1645"/>
      <c r="B154" s="1645"/>
      <c r="C154" s="1680" t="s">
        <v>2421</v>
      </c>
      <c r="D154" s="1680"/>
      <c r="E154" s="1680"/>
      <c r="F154" s="1651"/>
      <c r="G154" s="1647"/>
      <c r="H154" s="1647"/>
      <c r="I154" s="1651">
        <f>'Part I-Project Information'!I148</f>
        <v>0</v>
      </c>
      <c r="J154" s="1647"/>
      <c r="K154" s="1653" t="s">
        <v>2245</v>
      </c>
      <c r="L154" s="1647"/>
      <c r="M154" s="1647"/>
      <c r="N154" s="1647"/>
      <c r="O154" s="1647" t="str">
        <f>'Part I-Project Information'!O148</f>
        <v>GA-</v>
      </c>
      <c r="P154" s="1647">
        <f>'Part I-Project Information'!P148</f>
        <v>0</v>
      </c>
    </row>
    <row r="155" spans="1:16">
      <c r="A155" s="1645"/>
      <c r="B155" s="1645"/>
      <c r="C155" s="1680" t="s">
        <v>2419</v>
      </c>
      <c r="D155" s="1647"/>
      <c r="E155" s="1647"/>
      <c r="F155" s="1651"/>
      <c r="G155" s="1647"/>
      <c r="H155" s="1647"/>
      <c r="I155" s="1651">
        <f>'Part I-Project Information'!I149</f>
        <v>0</v>
      </c>
      <c r="J155" s="1647"/>
      <c r="K155" s="1653" t="s">
        <v>2246</v>
      </c>
      <c r="L155" s="1647"/>
      <c r="M155" s="1647"/>
      <c r="N155" s="1647"/>
      <c r="O155" s="1647" t="str">
        <f>'Part I-Project Information'!O149</f>
        <v>GA-</v>
      </c>
      <c r="P155" s="1647">
        <f>'Part I-Project Information'!P149</f>
        <v>0</v>
      </c>
    </row>
    <row r="156" spans="1:16">
      <c r="A156" s="1645"/>
      <c r="B156" s="1645"/>
      <c r="C156" s="1680" t="s">
        <v>2166</v>
      </c>
      <c r="D156" s="1680"/>
      <c r="E156" s="1680"/>
      <c r="F156" s="1651"/>
      <c r="G156" s="1647"/>
      <c r="H156" s="1647"/>
      <c r="I156" s="2123">
        <f>'Part I-Project Information'!I150</f>
        <v>0</v>
      </c>
      <c r="J156" s="2123">
        <f>'Part I-Project Information'!J150</f>
        <v>0</v>
      </c>
      <c r="K156" s="1647"/>
      <c r="L156" s="1647"/>
      <c r="M156" s="1647"/>
      <c r="N156" s="1647"/>
      <c r="O156" s="1647"/>
      <c r="P156" s="1660"/>
    </row>
    <row r="157" spans="1:16">
      <c r="A157" s="1645"/>
      <c r="B157" s="1645"/>
      <c r="C157" s="1680"/>
      <c r="D157" s="1680"/>
      <c r="E157" s="1680"/>
      <c r="F157" s="1651"/>
      <c r="G157" s="1647"/>
      <c r="H157" s="1647"/>
      <c r="I157" s="1647"/>
      <c r="J157" s="1647"/>
      <c r="K157" s="1647"/>
      <c r="L157" s="1647"/>
      <c r="M157" s="1647"/>
      <c r="N157" s="1647"/>
      <c r="O157" s="1647"/>
      <c r="P157" s="1660"/>
    </row>
    <row r="158" spans="1:16">
      <c r="A158" s="1645"/>
      <c r="B158" s="1645" t="s">
        <v>1985</v>
      </c>
      <c r="C158" s="1684" t="s">
        <v>2490</v>
      </c>
      <c r="D158" s="1680"/>
      <c r="E158" s="1680"/>
      <c r="F158" s="1651"/>
      <c r="G158" s="1647"/>
      <c r="H158" s="1647"/>
      <c r="I158" s="1661">
        <f>'Part I-Project Information'!I155</f>
        <v>0</v>
      </c>
      <c r="J158" s="1647"/>
      <c r="K158" s="1647"/>
      <c r="L158" s="1647"/>
      <c r="M158" s="1647"/>
      <c r="N158" s="1647"/>
      <c r="O158" s="1647"/>
      <c r="P158" s="1660"/>
    </row>
    <row r="159" spans="1:16">
      <c r="A159" s="1645"/>
      <c r="B159" s="1645"/>
      <c r="C159" s="1680"/>
      <c r="D159" s="1680"/>
      <c r="E159" s="1680"/>
      <c r="F159" s="1651"/>
      <c r="G159" s="1651"/>
      <c r="H159" s="1647"/>
      <c r="I159" s="1647"/>
      <c r="J159" s="1647"/>
      <c r="K159" s="1647"/>
      <c r="L159" s="1647"/>
      <c r="M159" s="1651"/>
      <c r="N159" s="1647"/>
      <c r="O159" s="1647"/>
      <c r="P159" s="1660"/>
    </row>
    <row r="160" spans="1:16">
      <c r="A160" s="1645"/>
      <c r="B160" s="1645" t="s">
        <v>749</v>
      </c>
      <c r="C160" s="1684" t="s">
        <v>2701</v>
      </c>
      <c r="D160" s="1680"/>
      <c r="E160" s="1680"/>
      <c r="F160" s="1651"/>
      <c r="G160" s="1651"/>
      <c r="H160" s="1647"/>
      <c r="I160" s="1647"/>
      <c r="J160" s="1647"/>
      <c r="K160" s="1647"/>
      <c r="L160" s="1647"/>
      <c r="M160" s="1647"/>
      <c r="N160" s="1647"/>
      <c r="O160" s="1647"/>
      <c r="P160" s="1660"/>
    </row>
    <row r="161" spans="1:16">
      <c r="A161" s="1645"/>
      <c r="B161" s="1645"/>
      <c r="C161" s="1680" t="s">
        <v>4495</v>
      </c>
      <c r="D161" s="1680"/>
      <c r="E161" s="1680"/>
      <c r="F161" s="1651"/>
      <c r="G161" s="1651"/>
      <c r="H161" s="1647"/>
      <c r="I161" s="1661">
        <f>'Part I-Project Information'!I152</f>
        <v>0</v>
      </c>
      <c r="J161" s="1647"/>
      <c r="K161" s="1680" t="s">
        <v>1535</v>
      </c>
      <c r="L161" s="1680"/>
      <c r="M161" s="1651"/>
      <c r="N161" s="1651"/>
      <c r="O161" s="1661">
        <f>'Part I-Project Information'!O152</f>
        <v>0</v>
      </c>
      <c r="P161" s="1660"/>
    </row>
    <row r="162" spans="1:16">
      <c r="A162" s="1645"/>
      <c r="B162" s="1645"/>
      <c r="C162" s="1680"/>
      <c r="D162" s="1680"/>
      <c r="E162" s="1680"/>
      <c r="F162" s="1651"/>
      <c r="G162" s="1651"/>
      <c r="H162" s="1651"/>
      <c r="I162" s="1651"/>
      <c r="J162" s="1661"/>
      <c r="K162" s="1651"/>
      <c r="L162" s="1651"/>
      <c r="M162" s="1647"/>
      <c r="N162" s="1647"/>
      <c r="O162" s="1647"/>
      <c r="P162" s="1660"/>
    </row>
    <row r="163" spans="1:16">
      <c r="A163" s="1679" t="s">
        <v>1726</v>
      </c>
      <c r="B163" s="1683" t="s">
        <v>1190</v>
      </c>
      <c r="C163" s="1647"/>
      <c r="D163" s="1683"/>
      <c r="E163" s="1683"/>
      <c r="F163" s="1683"/>
      <c r="G163" s="1651"/>
      <c r="H163" s="1651"/>
      <c r="I163" s="1651"/>
      <c r="J163" s="1661"/>
      <c r="K163" s="1651"/>
      <c r="L163" s="1651"/>
      <c r="M163" s="1647"/>
      <c r="N163" s="1647"/>
      <c r="O163" s="1647"/>
      <c r="P163" s="1660"/>
    </row>
    <row r="164" spans="1:16">
      <c r="A164" s="1679"/>
      <c r="B164" s="1645"/>
      <c r="C164" s="1684"/>
      <c r="D164" s="1684"/>
      <c r="E164" s="1684"/>
      <c r="F164" s="1684"/>
      <c r="G164" s="1651"/>
      <c r="H164" s="1651"/>
      <c r="I164" s="1651"/>
      <c r="J164" s="1661"/>
      <c r="K164" s="1651"/>
      <c r="L164" s="1651"/>
      <c r="M164" s="1647"/>
      <c r="N164" s="1647"/>
      <c r="O164" s="1647"/>
      <c r="P164" s="1647"/>
    </row>
    <row r="165" spans="1:16">
      <c r="A165" s="1645"/>
      <c r="B165" s="1645" t="s">
        <v>1983</v>
      </c>
      <c r="C165" s="1670" t="s">
        <v>1822</v>
      </c>
      <c r="D165" s="1647"/>
      <c r="E165" s="1647"/>
      <c r="F165" s="1651"/>
      <c r="G165" s="1651"/>
      <c r="H165" s="1651"/>
      <c r="I165" s="1651"/>
      <c r="J165" s="1661"/>
      <c r="K165" s="1651"/>
      <c r="L165" s="1651"/>
      <c r="M165" s="1647"/>
      <c r="N165" s="1647"/>
      <c r="O165" s="1647"/>
      <c r="P165" s="1660"/>
    </row>
    <row r="166" spans="1:16">
      <c r="A166" s="1645"/>
      <c r="B166" s="1645"/>
      <c r="C166" s="1665" t="s">
        <v>1527</v>
      </c>
      <c r="D166" s="1661"/>
      <c r="E166" s="1661"/>
      <c r="F166" s="1651"/>
      <c r="G166" s="1651"/>
      <c r="H166" s="1651"/>
      <c r="I166" s="1651"/>
      <c r="J166" s="1647"/>
      <c r="K166" s="1661" t="str">
        <f>'Part I-Project Information'!I160</f>
        <v>No</v>
      </c>
      <c r="L166" s="1647"/>
      <c r="M166" s="1647"/>
      <c r="N166" s="1647"/>
      <c r="O166" s="1647"/>
      <c r="P166" s="1660"/>
    </row>
    <row r="167" spans="1:16">
      <c r="A167" s="1645"/>
      <c r="B167" s="1645"/>
      <c r="C167" s="1647" t="s">
        <v>615</v>
      </c>
      <c r="D167" s="1647"/>
      <c r="E167" s="1647"/>
      <c r="F167" s="1647"/>
      <c r="G167" s="1647"/>
      <c r="H167" s="1647"/>
      <c r="I167" s="1647"/>
      <c r="J167" s="1647"/>
      <c r="K167" s="1661">
        <f>'Part I-Project Information'!I161</f>
        <v>0</v>
      </c>
      <c r="L167" s="1654" t="s">
        <v>1795</v>
      </c>
      <c r="M167" s="1647"/>
      <c r="N167" s="1647"/>
      <c r="O167" s="1647"/>
      <c r="P167" s="1693">
        <f>IF('Part VI-Revenues &amp; Expenses'!O$65=0,0,K167/'Part VI-Revenues &amp; Expenses'!$O$65)</f>
        <v>0</v>
      </c>
    </row>
    <row r="168" spans="1:16">
      <c r="A168" s="1645"/>
      <c r="B168" s="1645"/>
      <c r="C168" s="1647" t="s">
        <v>4496</v>
      </c>
      <c r="D168" s="1647"/>
      <c r="E168" s="1647"/>
      <c r="F168" s="1647"/>
      <c r="G168" s="1647"/>
      <c r="H168" s="1681">
        <f>'Part I-Project Information'!I162</f>
        <v>0</v>
      </c>
      <c r="I168" s="1652"/>
      <c r="J168" s="1694" t="s">
        <v>3726</v>
      </c>
      <c r="K168" s="1661">
        <f>'Part I-Project Information'!I163</f>
        <v>0</v>
      </c>
      <c r="L168" s="1654" t="s">
        <v>1795</v>
      </c>
      <c r="M168" s="1647"/>
      <c r="N168" s="1647"/>
      <c r="O168" s="1693">
        <f>IF('Part VI-Revenues &amp; Expenses'!$O$65=0,0,H168/'Part VI-Revenues &amp; Expenses'!$O$65)</f>
        <v>0</v>
      </c>
      <c r="P168" s="1693">
        <f>IF('Part VI-Revenues &amp; Expenses'!O$65=0,0,K168/'Part VI-Revenues &amp; Expenses'!$O$65)</f>
        <v>0</v>
      </c>
    </row>
    <row r="169" spans="1:16">
      <c r="A169" s="1645"/>
      <c r="B169" s="1645"/>
      <c r="C169" s="1647" t="s">
        <v>1796</v>
      </c>
      <c r="D169" s="1647"/>
      <c r="E169" s="1647">
        <f>'Part I-Project Information'!D165</f>
        <v>0</v>
      </c>
      <c r="F169" s="1647">
        <f>'Part I-Project Information'!F165</f>
        <v>0</v>
      </c>
      <c r="G169" s="1647">
        <f>'Part I-Project Information'!G165</f>
        <v>0</v>
      </c>
      <c r="H169" s="1647" t="e">
        <f>'Part I-Project Information'!#REF!</f>
        <v>#REF!</v>
      </c>
      <c r="I169" s="1647" t="e">
        <f>'Part I-Project Information'!#REF!</f>
        <v>#REF!</v>
      </c>
      <c r="J169" s="1647" t="e">
        <f>'Part I-Project Information'!#REF!</f>
        <v>#REF!</v>
      </c>
      <c r="K169" s="1647">
        <f>'Part I-Project Information'!H165</f>
        <v>0</v>
      </c>
      <c r="L169" s="1654" t="s">
        <v>1797</v>
      </c>
      <c r="M169" s="1647">
        <f>'Part I-Project Information'!J166</f>
        <v>0</v>
      </c>
      <c r="N169" s="1647" t="e">
        <f>'Part I-Project Information'!#REF!</f>
        <v>#REF!</v>
      </c>
      <c r="O169" s="1647">
        <f>'Part I-Project Information'!L166</f>
        <v>0</v>
      </c>
      <c r="P169" s="1647">
        <f>'Part I-Project Information'!P166</f>
        <v>0</v>
      </c>
    </row>
    <row r="170" spans="1:16">
      <c r="A170" s="1645"/>
      <c r="B170" s="1645"/>
      <c r="C170" s="1654" t="s">
        <v>1798</v>
      </c>
      <c r="D170" s="1657"/>
      <c r="E170" s="1647">
        <f>'Part I-Project Information'!D166</f>
        <v>0</v>
      </c>
      <c r="F170" s="1647">
        <f>'Part I-Project Information'!F166</f>
        <v>0</v>
      </c>
      <c r="G170" s="1647">
        <f>'Part I-Project Information'!G166</f>
        <v>0</v>
      </c>
      <c r="H170" s="1647" t="e">
        <f>'Part I-Project Information'!#REF!</f>
        <v>#REF!</v>
      </c>
      <c r="I170" s="1647" t="e">
        <f>'Part I-Project Information'!#REF!</f>
        <v>#REF!</v>
      </c>
      <c r="J170" s="1647" t="e">
        <f>'Part I-Project Information'!#REF!</f>
        <v>#REF!</v>
      </c>
      <c r="K170" s="1647">
        <f>'Part I-Project Information'!H166</f>
        <v>0</v>
      </c>
      <c r="L170" s="1654" t="s">
        <v>1802</v>
      </c>
      <c r="M170" s="2116">
        <f>'Part I-Project Information'!J167</f>
        <v>0</v>
      </c>
      <c r="N170" s="2116" t="e">
        <f>'Part I-Project Information'!#REF!</f>
        <v>#REF!</v>
      </c>
      <c r="O170" s="2116" t="e">
        <f>'Part I-Project Information'!#REF!</f>
        <v>#REF!</v>
      </c>
      <c r="P170" s="1647"/>
    </row>
    <row r="171" spans="1:16">
      <c r="A171" s="1645"/>
      <c r="B171" s="1645"/>
      <c r="C171" s="1654" t="s">
        <v>618</v>
      </c>
      <c r="D171" s="1647"/>
      <c r="E171" s="1647">
        <f>'Part I-Project Information'!D167</f>
        <v>0</v>
      </c>
      <c r="F171" s="1647" t="e">
        <f>'Part I-Project Information'!#REF!</f>
        <v>#REF!</v>
      </c>
      <c r="G171" s="1647" t="e">
        <f>'Part I-Project Information'!#REF!</f>
        <v>#REF!</v>
      </c>
      <c r="H171" s="1647" t="e">
        <f>'Part I-Project Information'!#REF!</f>
        <v>#REF!</v>
      </c>
      <c r="I171" s="1651" t="s">
        <v>2229</v>
      </c>
      <c r="J171" s="2115">
        <f>'Part I-Project Information'!G167</f>
        <v>0</v>
      </c>
      <c r="K171" s="2115">
        <f>'Part I-Project Information'!H167</f>
        <v>0</v>
      </c>
      <c r="L171" s="1654" t="s">
        <v>1979</v>
      </c>
      <c r="M171" s="2116">
        <f>'Part I-Project Information'!N167</f>
        <v>0</v>
      </c>
      <c r="N171" s="2116" t="e">
        <f>'Part I-Project Information'!#REF!</f>
        <v>#REF!</v>
      </c>
      <c r="O171" s="2116" t="e">
        <f>'Part I-Project Information'!#REF!</f>
        <v>#REF!</v>
      </c>
      <c r="P171" s="1647"/>
    </row>
    <row r="172" spans="1:16">
      <c r="A172" s="1645"/>
      <c r="B172" s="1645"/>
      <c r="C172" s="1654" t="s">
        <v>1801</v>
      </c>
      <c r="D172" s="1647"/>
      <c r="E172" s="2116">
        <f>'Part I-Project Information'!N165</f>
        <v>0</v>
      </c>
      <c r="F172" s="2116" t="e">
        <f>'Part I-Project Information'!#REF!</f>
        <v>#REF!</v>
      </c>
      <c r="G172" s="2116">
        <f>'Part I-Project Information'!O165</f>
        <v>0</v>
      </c>
      <c r="H172" s="1651"/>
      <c r="I172" s="1651" t="s">
        <v>1800</v>
      </c>
      <c r="J172" s="2023">
        <f>'Part I-Project Information'!J168</f>
        <v>0</v>
      </c>
      <c r="K172" s="2023" t="e">
        <f>'Part I-Project Information'!#REF!</f>
        <v>#REF!</v>
      </c>
      <c r="L172" s="2023" t="e">
        <f>'Part I-Project Information'!#REF!</f>
        <v>#REF!</v>
      </c>
      <c r="M172" s="2023" t="e">
        <f>'Part I-Project Information'!#REF!</f>
        <v>#REF!</v>
      </c>
      <c r="N172" s="2023">
        <f>'Part I-Project Information'!N168</f>
        <v>0</v>
      </c>
      <c r="O172" s="2023">
        <f>'Part I-Project Information'!O168</f>
        <v>0</v>
      </c>
      <c r="P172" s="2023">
        <f>'Part I-Project Information'!P168</f>
        <v>0</v>
      </c>
    </row>
    <row r="173" spans="1:16">
      <c r="A173" s="1645"/>
      <c r="B173" s="1645"/>
      <c r="C173" s="1654"/>
      <c r="D173" s="1647"/>
      <c r="E173" s="1695"/>
      <c r="F173" s="1695"/>
      <c r="G173" s="1695"/>
      <c r="H173" s="1651"/>
      <c r="I173" s="1695"/>
      <c r="J173" s="1695"/>
      <c r="K173" s="1651"/>
      <c r="L173" s="1695"/>
      <c r="M173" s="1695"/>
      <c r="N173" s="1651"/>
      <c r="O173" s="1695"/>
      <c r="P173" s="1695"/>
    </row>
    <row r="174" spans="1:16">
      <c r="A174" s="1645"/>
      <c r="B174" s="1645" t="s">
        <v>1985</v>
      </c>
      <c r="C174" s="1684" t="s">
        <v>2702</v>
      </c>
      <c r="D174" s="1684"/>
      <c r="E174" s="1684"/>
      <c r="F174" s="1684"/>
      <c r="G174" s="1684"/>
      <c r="H174" s="1647"/>
      <c r="I174" s="1661">
        <f>'Part I-Project Information'!I171</f>
        <v>0</v>
      </c>
      <c r="J174" s="1665" t="s">
        <v>761</v>
      </c>
      <c r="K174" s="1665"/>
      <c r="L174" s="1661">
        <f>'Part I-Project Information'!L171</f>
        <v>0</v>
      </c>
      <c r="M174" s="1647" t="s">
        <v>2326</v>
      </c>
      <c r="N174" s="1647"/>
      <c r="O174" s="1647"/>
      <c r="P174" s="1736">
        <f>'Part I-Project Information'!P171</f>
        <v>0</v>
      </c>
    </row>
    <row r="175" spans="1:16">
      <c r="A175" s="1645"/>
      <c r="B175" s="1645"/>
      <c r="C175" s="1684"/>
      <c r="D175" s="1684"/>
      <c r="E175" s="1628"/>
      <c r="F175" s="1684"/>
      <c r="G175" s="1684"/>
      <c r="H175" s="1647"/>
      <c r="I175" s="1647"/>
      <c r="J175" s="1653"/>
      <c r="K175" s="1661"/>
      <c r="L175" s="1647"/>
      <c r="M175" s="1647"/>
      <c r="N175" s="1647"/>
      <c r="O175" s="1651"/>
      <c r="P175" s="1660"/>
    </row>
    <row r="176" spans="1:16">
      <c r="A176" s="1645"/>
      <c r="B176" s="1645"/>
      <c r="C176" s="1684" t="s">
        <v>2703</v>
      </c>
      <c r="D176" s="1684"/>
      <c r="E176" s="1684"/>
      <c r="F176" s="1684"/>
      <c r="G176" s="1684"/>
      <c r="H176" s="1647"/>
      <c r="I176" s="1661" t="str">
        <f>'Part I-Project Information'!I172</f>
        <v>Yes</v>
      </c>
      <c r="J176" s="1665" t="s">
        <v>761</v>
      </c>
      <c r="K176" s="1665"/>
      <c r="L176" s="1661">
        <f>'Part I-Project Information'!L172</f>
        <v>2037</v>
      </c>
      <c r="M176" s="1647" t="s">
        <v>2326</v>
      </c>
      <c r="N176" s="1647"/>
      <c r="O176" s="1647"/>
      <c r="P176" s="1736">
        <f>'Part I-Project Information'!P172</f>
        <v>5</v>
      </c>
    </row>
    <row r="177" spans="1:16">
      <c r="A177" s="1645"/>
      <c r="B177" s="1645"/>
      <c r="C177" s="1684"/>
      <c r="D177" s="1684"/>
      <c r="E177" s="1628"/>
      <c r="F177" s="1684"/>
      <c r="G177" s="1684"/>
      <c r="H177" s="1647"/>
      <c r="I177" s="1647"/>
      <c r="J177" s="1653"/>
      <c r="K177" s="1661"/>
      <c r="L177" s="1647"/>
      <c r="M177" s="1647"/>
      <c r="N177" s="1647"/>
      <c r="O177" s="1651"/>
      <c r="P177" s="1660"/>
    </row>
    <row r="178" spans="1:16">
      <c r="A178" s="1645"/>
      <c r="B178" s="1645" t="s">
        <v>749</v>
      </c>
      <c r="C178" s="1684" t="s">
        <v>1757</v>
      </c>
      <c r="D178" s="1684"/>
      <c r="E178" s="1684"/>
      <c r="F178" s="1684"/>
      <c r="G178" s="1684"/>
      <c r="H178" s="1647"/>
      <c r="I178" s="1661" t="str">
        <f>'Part I-Project Information'!I174</f>
        <v>No</v>
      </c>
      <c r="J178" s="1647"/>
      <c r="K178" s="1647"/>
      <c r="L178" s="1653"/>
      <c r="M178" s="1653"/>
      <c r="N178" s="1647"/>
      <c r="O178" s="1647"/>
      <c r="P178" s="1660"/>
    </row>
    <row r="179" spans="1:16">
      <c r="A179" s="1645"/>
      <c r="B179" s="1645"/>
      <c r="C179" s="1654"/>
      <c r="D179" s="1647"/>
      <c r="E179" s="1695"/>
      <c r="F179" s="1695"/>
      <c r="G179" s="1695"/>
      <c r="H179" s="1647"/>
      <c r="I179" s="1695"/>
      <c r="J179" s="1695"/>
      <c r="K179" s="1651"/>
      <c r="L179" s="1695"/>
      <c r="M179" s="1695"/>
      <c r="N179" s="1651"/>
      <c r="O179" s="1695"/>
      <c r="P179" s="1695"/>
    </row>
    <row r="180" spans="1:16">
      <c r="A180" s="1645"/>
      <c r="B180" s="1645" t="s">
        <v>2115</v>
      </c>
      <c r="C180" s="1683" t="s">
        <v>1978</v>
      </c>
      <c r="D180" s="1683"/>
      <c r="E180" s="1683"/>
      <c r="F180" s="1683"/>
      <c r="G180" s="1684"/>
      <c r="H180" s="1647"/>
      <c r="I180" s="1661" t="str">
        <f>'Part I-Project Information'!I176</f>
        <v>No</v>
      </c>
      <c r="J180" s="1696" t="s">
        <v>2753</v>
      </c>
      <c r="K180" s="1647"/>
      <c r="L180" s="1665" t="s">
        <v>4497</v>
      </c>
      <c r="M180" s="1665"/>
      <c r="N180" s="1684"/>
      <c r="O180" s="1684"/>
      <c r="P180" s="1681">
        <f>'Part I-Project Information'!P176</f>
        <v>0</v>
      </c>
    </row>
    <row r="181" spans="1:16">
      <c r="A181" s="1647"/>
      <c r="B181" s="1645"/>
      <c r="C181" s="1647"/>
      <c r="D181" s="1647"/>
      <c r="E181" s="1647"/>
      <c r="F181" s="1647"/>
      <c r="G181" s="1647"/>
      <c r="H181" s="1647"/>
      <c r="I181" s="1647"/>
      <c r="J181" s="1647"/>
      <c r="K181" s="1647"/>
      <c r="L181" s="1647" t="s">
        <v>797</v>
      </c>
      <c r="M181" s="1647"/>
      <c r="N181" s="1684"/>
      <c r="O181" s="1684"/>
      <c r="P181" s="1681">
        <f>'Part I-Project Information'!P177</f>
        <v>0</v>
      </c>
    </row>
    <row r="182" spans="1:16">
      <c r="A182" s="1645"/>
      <c r="B182" s="1645"/>
      <c r="C182" s="1647"/>
      <c r="D182" s="1647"/>
      <c r="E182" s="1647"/>
      <c r="F182" s="1647"/>
      <c r="G182" s="1647"/>
      <c r="H182" s="1647"/>
      <c r="I182" s="1647"/>
      <c r="J182" s="1647"/>
      <c r="K182" s="1647"/>
      <c r="L182" s="1647" t="s">
        <v>1791</v>
      </c>
      <c r="M182" s="1647"/>
      <c r="N182" s="1684"/>
      <c r="O182" s="1684"/>
      <c r="P182" s="1697" t="e">
        <f>IF(P180="","",P181/P180)</f>
        <v>#DIV/0!</v>
      </c>
    </row>
    <row r="183" spans="1:16">
      <c r="A183" s="1645"/>
      <c r="B183" s="1645" t="s">
        <v>1735</v>
      </c>
      <c r="C183" s="1648" t="s">
        <v>1609</v>
      </c>
      <c r="D183" s="1680"/>
      <c r="E183" s="1680"/>
      <c r="F183" s="1680"/>
      <c r="G183" s="1680"/>
      <c r="H183" s="1651"/>
      <c r="I183" s="1647"/>
      <c r="J183" s="1653"/>
      <c r="K183" s="1661"/>
      <c r="L183" s="1647"/>
      <c r="M183" s="1647"/>
      <c r="N183" s="1647"/>
      <c r="O183" s="1651"/>
      <c r="P183" s="1660"/>
    </row>
    <row r="184" spans="1:16">
      <c r="A184" s="1645"/>
      <c r="B184" s="1645"/>
      <c r="C184" s="1647" t="s">
        <v>2212</v>
      </c>
      <c r="D184" s="1628"/>
      <c r="E184" s="1647"/>
      <c r="F184" s="1647"/>
      <c r="G184" s="1647"/>
      <c r="H184" s="1647"/>
      <c r="I184" s="1661" t="str">
        <f>'Part I-Project Information'!I180</f>
        <v>No</v>
      </c>
      <c r="J184" s="1647"/>
      <c r="K184" s="1647"/>
      <c r="L184" s="1647" t="s">
        <v>1610</v>
      </c>
      <c r="M184" s="1647"/>
      <c r="N184" s="1647"/>
      <c r="O184" s="1647"/>
      <c r="P184" s="1661" t="str">
        <f>'Part I-Project Information'!P180</f>
        <v>Yes</v>
      </c>
    </row>
    <row r="185" spans="1:16">
      <c r="A185" s="1645"/>
      <c r="B185" s="1645"/>
      <c r="C185" s="1647" t="s">
        <v>2213</v>
      </c>
      <c r="D185" s="1647"/>
      <c r="E185" s="1647"/>
      <c r="F185" s="1647"/>
      <c r="G185" s="1647"/>
      <c r="H185" s="1647"/>
      <c r="I185" s="1661" t="str">
        <f>'Part I-Project Information'!I181</f>
        <v>No</v>
      </c>
      <c r="J185" s="1647"/>
      <c r="K185" s="1647"/>
      <c r="L185" s="1647" t="s">
        <v>2846</v>
      </c>
      <c r="M185" s="1647"/>
      <c r="N185" s="1647"/>
      <c r="O185" s="1647"/>
      <c r="P185" s="1661" t="str">
        <f>'Part I-Project Information'!P181</f>
        <v>No</v>
      </c>
    </row>
    <row r="186" spans="1:16" ht="13.5">
      <c r="A186" s="1645"/>
      <c r="B186" s="1647"/>
      <c r="C186" s="1647" t="s">
        <v>2722</v>
      </c>
      <c r="D186" s="1647"/>
      <c r="E186" s="1647"/>
      <c r="F186" s="1647"/>
      <c r="G186" s="1647"/>
      <c r="H186" s="1647"/>
      <c r="I186" s="1661" t="str">
        <f>'Part I-Project Information'!I182</f>
        <v>No</v>
      </c>
      <c r="J186" s="1647"/>
      <c r="K186" s="1647"/>
      <c r="L186" s="1647" t="s">
        <v>2690</v>
      </c>
      <c r="M186" s="1647"/>
      <c r="N186" s="2125">
        <f>'Part I-Project Information'!N182</f>
        <v>0</v>
      </c>
      <c r="O186" s="2125">
        <f>'Part I-Project Information'!O182</f>
        <v>0</v>
      </c>
      <c r="P186" s="1661" t="str">
        <f>'Part I-Project Information'!P182</f>
        <v>No</v>
      </c>
    </row>
    <row r="187" spans="1:16" ht="13.5">
      <c r="A187" s="1645"/>
      <c r="B187" s="1645"/>
      <c r="C187" s="1647" t="s">
        <v>1285</v>
      </c>
      <c r="D187" s="1698"/>
      <c r="E187" s="1647"/>
      <c r="F187" s="1647"/>
      <c r="G187" s="1647"/>
      <c r="H187" s="1647"/>
      <c r="I187" s="1661" t="str">
        <f>'Part I-Project Information'!I183</f>
        <v>No</v>
      </c>
      <c r="J187" s="1647"/>
      <c r="K187" s="1628"/>
      <c r="L187" s="1647" t="s">
        <v>3482</v>
      </c>
      <c r="M187" s="1647"/>
      <c r="N187" s="1647"/>
      <c r="O187" s="1647"/>
      <c r="P187" s="1661" t="str">
        <f>'Part I-Project Information'!P183</f>
        <v>No</v>
      </c>
    </row>
    <row r="188" spans="1:16">
      <c r="A188" s="1645"/>
      <c r="B188" s="1628"/>
      <c r="C188" s="1647" t="s">
        <v>1807</v>
      </c>
      <c r="D188" s="1647"/>
      <c r="E188" s="1647"/>
      <c r="F188" s="1647"/>
      <c r="G188" s="1647"/>
      <c r="H188" s="1647"/>
      <c r="I188" s="1661" t="str">
        <f>'Part I-Project Information'!I184</f>
        <v>No</v>
      </c>
      <c r="J188" s="1696" t="s">
        <v>2754</v>
      </c>
      <c r="K188" s="1647"/>
      <c r="L188" s="1647"/>
      <c r="M188" s="1647"/>
      <c r="N188" s="1647"/>
      <c r="O188" s="2126">
        <f>'Part I-Project Information'!O184</f>
        <v>0</v>
      </c>
      <c r="P188" s="2126">
        <f>'Part I-Project Information'!P184</f>
        <v>0</v>
      </c>
    </row>
    <row r="189" spans="1:16">
      <c r="A189" s="1645"/>
      <c r="B189" s="1645"/>
      <c r="C189" s="1647" t="s">
        <v>2903</v>
      </c>
      <c r="D189" s="1647"/>
      <c r="E189" s="1647"/>
      <c r="F189" s="1647"/>
      <c r="G189" s="1647"/>
      <c r="H189" s="1647"/>
      <c r="I189" s="1661" t="str">
        <f>'Part I-Project Information'!I185</f>
        <v>No</v>
      </c>
      <c r="J189" s="1696" t="s">
        <v>2754</v>
      </c>
      <c r="K189" s="1647"/>
      <c r="L189" s="1647"/>
      <c r="M189" s="1647"/>
      <c r="N189" s="1647"/>
      <c r="O189" s="2126">
        <f>'Part I-Project Information'!O185</f>
        <v>0</v>
      </c>
      <c r="P189" s="2126">
        <f>'Part I-Project Information'!P185</f>
        <v>0</v>
      </c>
    </row>
    <row r="190" spans="1:16">
      <c r="A190" s="1645"/>
      <c r="B190" s="1645"/>
      <c r="C190" s="1647"/>
      <c r="D190" s="1647"/>
      <c r="E190" s="1647"/>
      <c r="F190" s="1647"/>
      <c r="G190" s="1647"/>
      <c r="H190" s="1647"/>
      <c r="I190" s="1647"/>
      <c r="J190" s="1647"/>
      <c r="K190" s="1647"/>
      <c r="L190" s="1647"/>
      <c r="M190" s="1647"/>
      <c r="N190" s="1647"/>
      <c r="O190" s="1647"/>
      <c r="P190" s="1653"/>
    </row>
    <row r="191" spans="1:16">
      <c r="A191" s="1647"/>
      <c r="B191" s="1645" t="s">
        <v>1736</v>
      </c>
      <c r="C191" s="1648" t="s">
        <v>739</v>
      </c>
      <c r="D191" s="1647"/>
      <c r="E191" s="1647"/>
      <c r="F191" s="1647"/>
      <c r="G191" s="1647"/>
      <c r="H191" s="1647"/>
      <c r="I191" s="1647"/>
      <c r="J191" s="1647"/>
      <c r="K191" s="1647"/>
      <c r="L191" s="1647"/>
      <c r="M191" s="1647"/>
      <c r="N191" s="1647"/>
      <c r="O191" s="1647"/>
      <c r="P191" s="1647"/>
    </row>
    <row r="192" spans="1:16">
      <c r="A192" s="1645"/>
      <c r="B192" s="1645"/>
      <c r="C192" s="1654" t="s">
        <v>639</v>
      </c>
      <c r="D192" s="1680"/>
      <c r="E192" s="1680"/>
      <c r="F192" s="1651"/>
      <c r="G192" s="1651"/>
      <c r="H192" s="2123">
        <f>'Part I-Project Information'!H188</f>
        <v>0</v>
      </c>
      <c r="I192" s="2123">
        <f>'Part I-Project Information'!I188</f>
        <v>0</v>
      </c>
      <c r="J192" s="1647"/>
      <c r="K192" s="1647"/>
      <c r="L192" s="1647"/>
      <c r="M192" s="1647"/>
      <c r="N192" s="1647"/>
      <c r="O192" s="1647"/>
      <c r="P192" s="1660"/>
    </row>
    <row r="193" spans="1:19">
      <c r="A193" s="1645"/>
      <c r="B193" s="1645"/>
      <c r="C193" s="1654" t="s">
        <v>276</v>
      </c>
      <c r="D193" s="1680"/>
      <c r="E193" s="1680"/>
      <c r="F193" s="1651"/>
      <c r="G193" s="1651"/>
      <c r="H193" s="2123">
        <f>'Part I-Project Information'!H189</f>
        <v>0</v>
      </c>
      <c r="I193" s="2123">
        <f>'Part I-Project Information'!I189</f>
        <v>0</v>
      </c>
      <c r="J193" s="1647"/>
      <c r="K193" s="1647"/>
      <c r="L193" s="1647"/>
      <c r="M193" s="1647"/>
      <c r="N193" s="1647"/>
      <c r="O193" s="1647"/>
      <c r="P193" s="1660"/>
    </row>
    <row r="194" spans="1:19">
      <c r="A194" s="1645"/>
      <c r="B194" s="1645"/>
      <c r="C194" s="1654" t="s">
        <v>2295</v>
      </c>
      <c r="D194" s="1680"/>
      <c r="E194" s="1680"/>
      <c r="F194" s="1651"/>
      <c r="G194" s="1651"/>
      <c r="H194" s="2123">
        <f>'Part I-Project Information'!H190</f>
        <v>44926</v>
      </c>
      <c r="I194" s="2123">
        <f>'Part I-Project Information'!I190</f>
        <v>0</v>
      </c>
      <c r="J194" s="1647"/>
      <c r="K194" s="1647"/>
      <c r="L194" s="1647"/>
      <c r="M194" s="1647"/>
      <c r="N194" s="1647"/>
      <c r="O194" s="1647"/>
      <c r="P194" s="1660"/>
    </row>
    <row r="195" spans="1:19">
      <c r="A195" s="1647"/>
      <c r="B195" s="1628"/>
      <c r="C195" s="1647"/>
      <c r="D195" s="1647"/>
      <c r="E195" s="1647"/>
      <c r="F195" s="1647"/>
      <c r="G195" s="1647"/>
      <c r="H195" s="1647"/>
      <c r="I195" s="1647"/>
      <c r="J195" s="1647"/>
      <c r="K195" s="1647"/>
      <c r="L195" s="1653"/>
      <c r="M195" s="1653"/>
      <c r="N195" s="1653"/>
      <c r="O195" s="1653"/>
      <c r="P195" s="1657"/>
    </row>
    <row r="196" spans="1:19">
      <c r="A196" s="1679" t="s">
        <v>2782</v>
      </c>
      <c r="B196" s="1683"/>
      <c r="C196" s="1679" t="s">
        <v>572</v>
      </c>
      <c r="D196" s="1653"/>
      <c r="E196" s="1653"/>
      <c r="F196" s="1653"/>
      <c r="G196" s="1653"/>
      <c r="H196" s="1653"/>
      <c r="I196" s="1653"/>
      <c r="J196" s="1653"/>
      <c r="K196" s="1653"/>
      <c r="L196" s="1653"/>
      <c r="M196" s="1679" t="s">
        <v>2251</v>
      </c>
      <c r="N196" s="1679" t="s">
        <v>79</v>
      </c>
      <c r="O196" s="1653"/>
      <c r="P196" s="1653"/>
    </row>
    <row r="197" spans="1:19" ht="12.75" customHeight="1">
      <c r="A197" s="1708">
        <f>'Part I-Project Information'!A193</f>
        <v>0</v>
      </c>
      <c r="B197" s="1708">
        <f>'Part I-Project Information'!B193</f>
        <v>0</v>
      </c>
      <c r="C197" s="1708">
        <f>'Part I-Project Information'!C193</f>
        <v>0</v>
      </c>
      <c r="D197" s="1708">
        <f>'Part I-Project Information'!D193</f>
        <v>0</v>
      </c>
      <c r="E197" s="1708">
        <f>'Part I-Project Information'!E193</f>
        <v>0</v>
      </c>
      <c r="F197" s="1708">
        <f>'Part I-Project Information'!F193</f>
        <v>0</v>
      </c>
      <c r="G197" s="1708">
        <f>'Part I-Project Information'!G193</f>
        <v>0</v>
      </c>
      <c r="H197" s="1708">
        <f>'Part I-Project Information'!H193</f>
        <v>0</v>
      </c>
      <c r="I197" s="1708">
        <f>'Part I-Project Information'!I193</f>
        <v>0</v>
      </c>
      <c r="J197" s="1708">
        <f>'Part I-Project Information'!J193</f>
        <v>0</v>
      </c>
      <c r="K197" s="1708">
        <f>'Part I-Project Information'!K193</f>
        <v>0</v>
      </c>
      <c r="L197" s="1708">
        <f>'Part I-Project Information'!L193</f>
        <v>0</v>
      </c>
      <c r="M197" s="1708">
        <f>'Part I-Project Information'!M193</f>
        <v>0</v>
      </c>
      <c r="N197" s="1708">
        <f>'Part I-Project Information'!N193</f>
        <v>0</v>
      </c>
      <c r="O197" s="1708">
        <f>'Part I-Project Information'!O193</f>
        <v>0</v>
      </c>
      <c r="P197" s="1708">
        <f>'Part I-Project Information'!P193</f>
        <v>0</v>
      </c>
    </row>
    <row r="204" spans="1:19">
      <c r="A204" s="1628" t="str">
        <f>CONCATENATE("PART TWO - DEVELOPMENT TEAM INFORMATION","  -  ",'Part I-Project Information'!$O$6," ",'Part I-Project Information'!$F$34,", ",'Part I-Project Information'!F248,", ",'Part I-Project Information'!J249," County")</f>
        <v>PART TWO - DEVELOPMENT TEAM INFORMATION  -  2019-5 Stone Terrace Phase II, ,  County</v>
      </c>
      <c r="B204" s="1628"/>
      <c r="C204" s="1628"/>
      <c r="D204" s="1628"/>
      <c r="E204" s="1628"/>
      <c r="F204" s="1628"/>
      <c r="G204" s="1628"/>
      <c r="H204" s="1628"/>
      <c r="I204" s="1628"/>
      <c r="J204" s="1628"/>
      <c r="K204" s="1628"/>
      <c r="L204" s="1628"/>
      <c r="M204" s="1628"/>
      <c r="N204" s="1628"/>
      <c r="O204" s="1628"/>
      <c r="P204" s="1628"/>
      <c r="Q204" s="1628"/>
      <c r="R204" s="1628"/>
      <c r="S204" s="1628"/>
    </row>
    <row r="205" spans="1:19">
      <c r="A205" s="1648" t="s">
        <v>4462</v>
      </c>
      <c r="B205" s="1653"/>
      <c r="C205" s="1653"/>
      <c r="D205" s="1653"/>
      <c r="E205" s="1653"/>
      <c r="F205" s="1653"/>
      <c r="G205" s="1653"/>
      <c r="H205" s="1653"/>
      <c r="I205" s="1653"/>
      <c r="J205" s="1653"/>
      <c r="K205" s="1653"/>
      <c r="L205" s="1653"/>
      <c r="M205" s="1653"/>
      <c r="N205" s="1653"/>
      <c r="O205" s="1653"/>
      <c r="P205" s="1653"/>
      <c r="Q205" s="1653"/>
      <c r="R205" s="1653"/>
      <c r="S205" s="1653"/>
    </row>
    <row r="206" spans="1:19" ht="13.5">
      <c r="A206" s="1628" t="s">
        <v>616</v>
      </c>
      <c r="B206" s="1648" t="s">
        <v>1858</v>
      </c>
      <c r="C206" s="1648"/>
      <c r="D206" s="1647"/>
      <c r="E206" s="1648"/>
      <c r="F206" s="1648"/>
      <c r="G206" s="1648"/>
      <c r="H206" s="1649" t="s">
        <v>4259</v>
      </c>
      <c r="I206" s="1647"/>
      <c r="J206" s="1647"/>
      <c r="K206" s="1647"/>
      <c r="L206" s="1647"/>
      <c r="M206" s="1647"/>
      <c r="N206" s="1647"/>
      <c r="O206" s="1647"/>
      <c r="P206" s="1647"/>
      <c r="Q206" s="1647"/>
      <c r="R206" s="1647"/>
      <c r="S206" s="1647"/>
    </row>
    <row r="207" spans="1:19">
      <c r="A207" s="1628"/>
      <c r="B207" s="1628"/>
      <c r="C207" s="1628"/>
      <c r="D207" s="1648"/>
      <c r="E207" s="1648"/>
      <c r="F207" s="1648"/>
      <c r="G207" s="1648"/>
      <c r="H207" s="1648"/>
      <c r="I207" s="1648"/>
      <c r="J207" s="1648"/>
      <c r="K207" s="1647"/>
      <c r="L207" s="1647"/>
      <c r="M207" s="1647"/>
      <c r="N207" s="1647"/>
      <c r="O207" s="1647"/>
      <c r="P207" s="1647"/>
      <c r="Q207" s="1647"/>
      <c r="R207" s="1647"/>
      <c r="S207" s="1647"/>
    </row>
    <row r="208" spans="1:19">
      <c r="A208" s="1647"/>
      <c r="B208" s="1628" t="s">
        <v>1983</v>
      </c>
      <c r="C208" s="1648" t="s">
        <v>1854</v>
      </c>
      <c r="D208" s="1647"/>
      <c r="E208" s="1647"/>
      <c r="F208" s="1647"/>
      <c r="G208" s="1647"/>
      <c r="H208" s="1647" t="str">
        <f>'Part II-Development Team'!H5</f>
        <v>Stone Terrace II GA LLC</v>
      </c>
      <c r="I208" s="1647">
        <f>'Part II-Development Team'!I5</f>
        <v>0</v>
      </c>
      <c r="J208" s="1647">
        <f>'Part II-Development Team'!J5</f>
        <v>0</v>
      </c>
      <c r="K208" s="1647">
        <f>'Part II-Development Team'!K5</f>
        <v>0</v>
      </c>
      <c r="L208" s="1647">
        <f>'Part II-Development Team'!L5</f>
        <v>0</v>
      </c>
      <c r="M208" s="1647">
        <f>'Part II-Development Team'!M5</f>
        <v>0</v>
      </c>
      <c r="N208" s="1647">
        <f>'Part II-Development Team'!N5</f>
        <v>0</v>
      </c>
      <c r="O208" s="1654" t="s">
        <v>1989</v>
      </c>
      <c r="P208" s="1654"/>
      <c r="Q208" s="1647" t="str">
        <f>'Part II-Development Team'!Q5</f>
        <v>Charles F. Irick, Jr.</v>
      </c>
      <c r="R208" s="1647">
        <f>'Part II-Development Team'!R5</f>
        <v>0</v>
      </c>
      <c r="S208" s="1647">
        <f>'Part II-Development Team'!S5</f>
        <v>0</v>
      </c>
    </row>
    <row r="209" spans="1:19">
      <c r="A209" s="1647"/>
      <c r="B209" s="1647"/>
      <c r="C209" s="1647"/>
      <c r="D209" s="1699"/>
      <c r="E209" s="1654" t="s">
        <v>1021</v>
      </c>
      <c r="F209" s="1657"/>
      <c r="G209" s="1647"/>
      <c r="H209" s="1647" t="str">
        <f>'Part II-Development Team'!H6</f>
        <v>1714 East Boulevard</v>
      </c>
      <c r="I209" s="1647">
        <f>'Part II-Development Team'!I6</f>
        <v>0</v>
      </c>
      <c r="J209" s="1647">
        <f>'Part II-Development Team'!J6</f>
        <v>0</v>
      </c>
      <c r="K209" s="1647">
        <f>'Part II-Development Team'!K6</f>
        <v>0</v>
      </c>
      <c r="L209" s="1647">
        <f>'Part II-Development Team'!L6</f>
        <v>0</v>
      </c>
      <c r="M209" s="1647">
        <f>'Part II-Development Team'!M6</f>
        <v>0</v>
      </c>
      <c r="N209" s="1647">
        <f>'Part II-Development Team'!N6</f>
        <v>0</v>
      </c>
      <c r="O209" s="1654" t="s">
        <v>1747</v>
      </c>
      <c r="P209" s="1647"/>
      <c r="Q209" s="1647" t="str">
        <f>'Part II-Development Team'!Q6</f>
        <v>Principal</v>
      </c>
      <c r="R209" s="1647">
        <f>'Part II-Development Team'!R6</f>
        <v>0</v>
      </c>
      <c r="S209" s="1647">
        <f>'Part II-Development Team'!S6</f>
        <v>0</v>
      </c>
    </row>
    <row r="210" spans="1:19">
      <c r="A210" s="1647"/>
      <c r="B210" s="1647"/>
      <c r="C210" s="1647"/>
      <c r="D210" s="1699"/>
      <c r="E210" s="1654" t="s">
        <v>618</v>
      </c>
      <c r="F210" s="1647"/>
      <c r="G210" s="1647"/>
      <c r="H210" s="1647" t="str">
        <f>'Part II-Development Team'!H7</f>
        <v>Charlotte</v>
      </c>
      <c r="I210" s="1647">
        <f>'Part II-Development Team'!I7</f>
        <v>0</v>
      </c>
      <c r="J210" s="1647">
        <f>'Part II-Development Team'!J7</f>
        <v>0</v>
      </c>
      <c r="K210" s="1651" t="s">
        <v>762</v>
      </c>
      <c r="L210" s="1647" t="str">
        <f>'Part II-Development Team'!L7</f>
        <v>84-3444032</v>
      </c>
      <c r="M210" s="1647">
        <f>'Part II-Development Team'!M7</f>
        <v>0</v>
      </c>
      <c r="N210" s="1647">
        <f>'Part II-Development Team'!N7</f>
        <v>0</v>
      </c>
      <c r="O210" s="1654" t="s">
        <v>1721</v>
      </c>
      <c r="P210" s="1647"/>
      <c r="Q210" s="2116">
        <f>'Part II-Development Team'!Q7</f>
        <v>7043359112</v>
      </c>
      <c r="R210" s="2116">
        <f>'Part II-Development Team'!R7</f>
        <v>0</v>
      </c>
      <c r="S210" s="2116">
        <f>'Part II-Development Team'!S7</f>
        <v>0</v>
      </c>
    </row>
    <row r="211" spans="1:19">
      <c r="A211" s="1647"/>
      <c r="B211" s="1647"/>
      <c r="C211" s="1647"/>
      <c r="D211" s="1699"/>
      <c r="E211" s="1654" t="s">
        <v>1799</v>
      </c>
      <c r="F211" s="1647"/>
      <c r="G211" s="1647"/>
      <c r="H211" s="1654" t="str">
        <f>'Part II-Development Team'!H8</f>
        <v>NC</v>
      </c>
      <c r="I211" s="1651" t="s">
        <v>2229</v>
      </c>
      <c r="J211" s="2115">
        <f>'Part II-Development Team'!J8</f>
        <v>282035824</v>
      </c>
      <c r="K211" s="2115">
        <f>'Part II-Development Team'!K8</f>
        <v>0</v>
      </c>
      <c r="L211" s="1647" t="s">
        <v>3688</v>
      </c>
      <c r="M211" s="1647" t="str">
        <f>'Part II-Development Team'!M8</f>
        <v>For Profit</v>
      </c>
      <c r="N211" s="1647">
        <f>'Part II-Development Team'!N8</f>
        <v>0</v>
      </c>
      <c r="O211" s="1654" t="s">
        <v>1979</v>
      </c>
      <c r="P211" s="1647"/>
      <c r="Q211" s="2116">
        <f>'Part II-Development Team'!Q8</f>
        <v>8032694235</v>
      </c>
      <c r="R211" s="2116">
        <f>'Part II-Development Team'!R8</f>
        <v>0</v>
      </c>
      <c r="S211" s="2116">
        <f>'Part II-Development Team'!S8</f>
        <v>0</v>
      </c>
    </row>
    <row r="212" spans="1:19">
      <c r="A212" s="1647"/>
      <c r="B212" s="1647"/>
      <c r="C212" s="1647"/>
      <c r="D212" s="1699"/>
      <c r="E212" s="1654" t="s">
        <v>4260</v>
      </c>
      <c r="F212" s="1647"/>
      <c r="G212" s="1647"/>
      <c r="H212" s="2116">
        <f>'Part II-Development Team'!H9</f>
        <v>7043359112</v>
      </c>
      <c r="I212" s="2116">
        <f>'Part II-Development Team'!I9</f>
        <v>0</v>
      </c>
      <c r="J212" s="1661">
        <f>'Part II-Development Team'!J9</f>
        <v>0</v>
      </c>
      <c r="K212" s="1651" t="s">
        <v>1984</v>
      </c>
      <c r="L212" s="2023" t="str">
        <f>'Part II-Development Team'!L9</f>
        <v>cirick@flatironenterprises.com</v>
      </c>
      <c r="M212" s="2023">
        <f>'Part II-Development Team'!M9</f>
        <v>0</v>
      </c>
      <c r="N212" s="2023">
        <f>'Part II-Development Team'!N9</f>
        <v>0</v>
      </c>
      <c r="O212" s="2023">
        <f>'Part II-Development Team'!O9</f>
        <v>0</v>
      </c>
      <c r="P212" s="2023">
        <f>'Part II-Development Team'!P9</f>
        <v>0</v>
      </c>
      <c r="Q212" s="2023">
        <f>'Part II-Development Team'!Q9</f>
        <v>0</v>
      </c>
      <c r="R212" s="2023">
        <f>'Part II-Development Team'!R9</f>
        <v>0</v>
      </c>
      <c r="S212" s="2023">
        <f>'Part II-Development Team'!S9</f>
        <v>0</v>
      </c>
    </row>
    <row r="213" spans="1:19" ht="13.5">
      <c r="A213" s="1647"/>
      <c r="B213" s="1647"/>
      <c r="C213" s="1647"/>
      <c r="D213" s="1699"/>
      <c r="E213" s="1649" t="s">
        <v>4259</v>
      </c>
      <c r="F213" s="1647"/>
      <c r="G213" s="1647"/>
      <c r="H213" s="1695"/>
      <c r="I213" s="1647"/>
      <c r="J213" s="1647"/>
      <c r="K213" s="1710"/>
      <c r="L213" s="1647"/>
      <c r="M213" s="1647"/>
      <c r="N213" s="1628" t="s">
        <v>4498</v>
      </c>
      <c r="O213" s="1647"/>
      <c r="P213" s="1647"/>
      <c r="Q213" s="1651"/>
      <c r="R213" s="1647"/>
      <c r="S213" s="1647"/>
    </row>
    <row r="214" spans="1:19">
      <c r="A214" s="1647"/>
      <c r="B214" s="1647"/>
      <c r="C214" s="1647"/>
      <c r="D214" s="1700"/>
      <c r="E214" s="1654"/>
      <c r="F214" s="1648"/>
      <c r="G214" s="1648"/>
      <c r="H214" s="1648"/>
      <c r="I214" s="1648"/>
      <c r="J214" s="1648"/>
      <c r="K214" s="1647"/>
      <c r="L214" s="1647"/>
      <c r="M214" s="1647"/>
      <c r="N214" s="1648"/>
      <c r="O214" s="1648"/>
      <c r="P214" s="1648"/>
      <c r="Q214" s="1648"/>
      <c r="R214" s="1648"/>
      <c r="S214" s="1648"/>
    </row>
    <row r="215" spans="1:19" ht="13.5">
      <c r="A215" s="1647"/>
      <c r="B215" s="1683" t="s">
        <v>1985</v>
      </c>
      <c r="C215" s="1648" t="s">
        <v>1855</v>
      </c>
      <c r="D215" s="1647"/>
      <c r="E215" s="1647"/>
      <c r="F215" s="1648"/>
      <c r="G215" s="1648"/>
      <c r="H215" s="1648"/>
      <c r="I215" s="1648"/>
      <c r="J215" s="1647"/>
      <c r="K215" s="1647"/>
      <c r="L215" s="1647"/>
      <c r="M215" s="1647"/>
      <c r="N215" s="2127" t="s">
        <v>1284</v>
      </c>
      <c r="O215" s="1647"/>
      <c r="P215" s="1647"/>
      <c r="Q215" s="1647"/>
      <c r="R215" s="1647"/>
      <c r="S215" s="1647"/>
    </row>
    <row r="216" spans="1:19" ht="13.5">
      <c r="A216" s="1647"/>
      <c r="B216" s="1647"/>
      <c r="C216" s="1701" t="s">
        <v>1986</v>
      </c>
      <c r="D216" s="1683" t="s">
        <v>1987</v>
      </c>
      <c r="E216" s="1647"/>
      <c r="F216" s="1647"/>
      <c r="G216" s="1647"/>
      <c r="H216" s="1647"/>
      <c r="I216" s="1647"/>
      <c r="J216" s="1647"/>
      <c r="K216" s="1647"/>
      <c r="L216" s="1647"/>
      <c r="M216" s="1647"/>
      <c r="N216" s="1710"/>
      <c r="O216" s="1647"/>
      <c r="P216" s="1647"/>
      <c r="Q216" s="1647"/>
      <c r="R216" s="1647"/>
      <c r="S216" s="1647"/>
    </row>
    <row r="217" spans="1:19">
      <c r="A217" s="1647"/>
      <c r="B217" s="1647"/>
      <c r="C217" s="1647"/>
      <c r="D217" s="1628" t="s">
        <v>2116</v>
      </c>
      <c r="E217" s="1647" t="s">
        <v>1856</v>
      </c>
      <c r="F217" s="1647"/>
      <c r="G217" s="1647"/>
      <c r="H217" s="1647" t="str">
        <f>'Part II-Development Team'!H14</f>
        <v>Stone Terrace II GP LLC</v>
      </c>
      <c r="I217" s="1647">
        <f>'Part II-Development Team'!I14</f>
        <v>0</v>
      </c>
      <c r="J217" s="1647">
        <f>'Part II-Development Team'!J14</f>
        <v>0</v>
      </c>
      <c r="K217" s="1647">
        <f>'Part II-Development Team'!K14</f>
        <v>0</v>
      </c>
      <c r="L217" s="1647">
        <f>'Part II-Development Team'!L14</f>
        <v>0</v>
      </c>
      <c r="M217" s="1647">
        <f>'Part II-Development Team'!M14</f>
        <v>0</v>
      </c>
      <c r="N217" s="1647">
        <f>'Part II-Development Team'!N14</f>
        <v>0</v>
      </c>
      <c r="O217" s="1654" t="s">
        <v>1989</v>
      </c>
      <c r="P217" s="1654"/>
      <c r="Q217" s="1647" t="str">
        <f>'Part II-Development Team'!Q14</f>
        <v>Charles F. Irick, Jr.</v>
      </c>
      <c r="R217" s="1647">
        <f>'Part II-Development Team'!R14</f>
        <v>0</v>
      </c>
      <c r="S217" s="1647">
        <f>'Part II-Development Team'!S14</f>
        <v>0</v>
      </c>
    </row>
    <row r="218" spans="1:19">
      <c r="A218" s="1647"/>
      <c r="B218" s="1647"/>
      <c r="C218" s="1647"/>
      <c r="D218" s="1699"/>
      <c r="E218" s="1654" t="s">
        <v>1021</v>
      </c>
      <c r="F218" s="1657"/>
      <c r="G218" s="1647"/>
      <c r="H218" s="1647" t="str">
        <f>'Part II-Development Team'!H15</f>
        <v xml:space="preserve">1714 East Boulevard </v>
      </c>
      <c r="I218" s="1647">
        <f>'Part II-Development Team'!I15</f>
        <v>0</v>
      </c>
      <c r="J218" s="1647">
        <f>'Part II-Development Team'!J15</f>
        <v>0</v>
      </c>
      <c r="K218" s="1647">
        <f>'Part II-Development Team'!K15</f>
        <v>0</v>
      </c>
      <c r="L218" s="1647">
        <f>'Part II-Development Team'!L15</f>
        <v>0</v>
      </c>
      <c r="M218" s="1647">
        <f>'Part II-Development Team'!M15</f>
        <v>0</v>
      </c>
      <c r="N218" s="1647">
        <f>'Part II-Development Team'!N15</f>
        <v>0</v>
      </c>
      <c r="O218" s="1654" t="s">
        <v>1747</v>
      </c>
      <c r="P218" s="1647"/>
      <c r="Q218" s="1647" t="str">
        <f>'Part II-Development Team'!Q15</f>
        <v>Principal</v>
      </c>
      <c r="R218" s="1647">
        <f>'Part II-Development Team'!R15</f>
        <v>0</v>
      </c>
      <c r="S218" s="1647">
        <f>'Part II-Development Team'!S15</f>
        <v>0</v>
      </c>
    </row>
    <row r="219" spans="1:19">
      <c r="A219" s="1647"/>
      <c r="B219" s="1647"/>
      <c r="C219" s="1647"/>
      <c r="D219" s="1699"/>
      <c r="E219" s="1654" t="s">
        <v>618</v>
      </c>
      <c r="F219" s="1647"/>
      <c r="G219" s="1647"/>
      <c r="H219" s="1647" t="str">
        <f>'Part II-Development Team'!H16</f>
        <v>Charlotte</v>
      </c>
      <c r="I219" s="1647">
        <f>'Part II-Development Team'!I16</f>
        <v>0</v>
      </c>
      <c r="J219" s="1647">
        <f>'Part II-Development Team'!J16</f>
        <v>0</v>
      </c>
      <c r="K219" s="1651" t="s">
        <v>2704</v>
      </c>
      <c r="L219" s="1647" t="str">
        <f>'Part II-Development Team'!L16</f>
        <v>http://www.flatirondevelopment.com/</v>
      </c>
      <c r="M219" s="1647">
        <f>'Part II-Development Team'!M16</f>
        <v>0</v>
      </c>
      <c r="N219" s="1647">
        <f>'Part II-Development Team'!N16</f>
        <v>0</v>
      </c>
      <c r="O219" s="1654" t="s">
        <v>1721</v>
      </c>
      <c r="P219" s="1647"/>
      <c r="Q219" s="2116">
        <f>'Part II-Development Team'!Q16</f>
        <v>7043359112</v>
      </c>
      <c r="R219" s="2116">
        <f>'Part II-Development Team'!R16</f>
        <v>0</v>
      </c>
      <c r="S219" s="2116">
        <f>'Part II-Development Team'!S16</f>
        <v>0</v>
      </c>
    </row>
    <row r="220" spans="1:19">
      <c r="A220" s="1647"/>
      <c r="B220" s="1647"/>
      <c r="C220" s="1647"/>
      <c r="D220" s="1628"/>
      <c r="E220" s="1654" t="s">
        <v>1799</v>
      </c>
      <c r="F220" s="1647"/>
      <c r="G220" s="1647"/>
      <c r="H220" s="1654" t="str">
        <f>'Part II-Development Team'!H17</f>
        <v>NC</v>
      </c>
      <c r="I220" s="1647"/>
      <c r="J220" s="1647"/>
      <c r="K220" s="1651" t="s">
        <v>2229</v>
      </c>
      <c r="L220" s="2115">
        <f>'Part II-Development Team'!L17</f>
        <v>282035824</v>
      </c>
      <c r="M220" s="2115">
        <f>'Part II-Development Team'!M17</f>
        <v>0</v>
      </c>
      <c r="N220" s="1647"/>
      <c r="O220" s="1654" t="s">
        <v>1979</v>
      </c>
      <c r="P220" s="1647"/>
      <c r="Q220" s="2116">
        <f>'Part II-Development Team'!Q17</f>
        <v>8032694235</v>
      </c>
      <c r="R220" s="2116">
        <f>'Part II-Development Team'!R17</f>
        <v>0</v>
      </c>
      <c r="S220" s="2116">
        <f>'Part II-Development Team'!S17</f>
        <v>0</v>
      </c>
    </row>
    <row r="221" spans="1:19">
      <c r="A221" s="1647"/>
      <c r="B221" s="1647"/>
      <c r="C221" s="1647"/>
      <c r="D221" s="1699"/>
      <c r="E221" s="1654" t="s">
        <v>4260</v>
      </c>
      <c r="F221" s="1647"/>
      <c r="G221" s="1647"/>
      <c r="H221" s="2116">
        <f>'Part II-Development Team'!H18</f>
        <v>7043359112</v>
      </c>
      <c r="I221" s="2116">
        <f>'Part II-Development Team'!I18</f>
        <v>0</v>
      </c>
      <c r="J221" s="1661">
        <f>'Part II-Development Team'!J18</f>
        <v>0</v>
      </c>
      <c r="K221" s="1651" t="s">
        <v>1984</v>
      </c>
      <c r="L221" s="2023" t="str">
        <f>'Part II-Development Team'!L18</f>
        <v>cirick@flatironenterprises.com</v>
      </c>
      <c r="M221" s="2023">
        <f>'Part II-Development Team'!M18</f>
        <v>0</v>
      </c>
      <c r="N221" s="2023">
        <f>'Part II-Development Team'!N18</f>
        <v>0</v>
      </c>
      <c r="O221" s="2023">
        <f>'Part II-Development Team'!O18</f>
        <v>0</v>
      </c>
      <c r="P221" s="2023">
        <f>'Part II-Development Team'!P18</f>
        <v>0</v>
      </c>
      <c r="Q221" s="2023">
        <f>'Part II-Development Team'!Q18</f>
        <v>0</v>
      </c>
      <c r="R221" s="2023">
        <f>'Part II-Development Team'!R18</f>
        <v>0</v>
      </c>
      <c r="S221" s="2023">
        <f>'Part II-Development Team'!S18</f>
        <v>0</v>
      </c>
    </row>
    <row r="222" spans="1:19">
      <c r="A222" s="1653"/>
      <c r="B222" s="1653"/>
      <c r="C222" s="1653"/>
      <c r="D222" s="1679"/>
      <c r="E222" s="1653"/>
      <c r="F222" s="1653"/>
      <c r="G222" s="1653"/>
      <c r="H222" s="2116"/>
      <c r="I222" s="2116"/>
      <c r="J222" s="2116"/>
      <c r="K222" s="1651"/>
      <c r="L222" s="2116"/>
      <c r="M222" s="2116"/>
      <c r="N222" s="1651"/>
      <c r="O222" s="2116"/>
      <c r="P222" s="2116"/>
      <c r="Q222" s="1651"/>
      <c r="R222" s="2116"/>
      <c r="S222" s="2116"/>
    </row>
    <row r="223" spans="1:19">
      <c r="A223" s="1647"/>
      <c r="B223" s="1647"/>
      <c r="C223" s="1647"/>
      <c r="D223" s="1628" t="s">
        <v>2117</v>
      </c>
      <c r="E223" s="1647" t="s">
        <v>1857</v>
      </c>
      <c r="F223" s="1647"/>
      <c r="G223" s="1647"/>
      <c r="H223" s="1647">
        <f>'Part II-Development Team'!H20</f>
        <v>0</v>
      </c>
      <c r="I223" s="1647">
        <f>'Part II-Development Team'!I20</f>
        <v>0</v>
      </c>
      <c r="J223" s="1647">
        <f>'Part II-Development Team'!J20</f>
        <v>0</v>
      </c>
      <c r="K223" s="1647">
        <f>'Part II-Development Team'!K20</f>
        <v>0</v>
      </c>
      <c r="L223" s="1647">
        <f>'Part II-Development Team'!L20</f>
        <v>0</v>
      </c>
      <c r="M223" s="1647">
        <f>'Part II-Development Team'!M20</f>
        <v>0</v>
      </c>
      <c r="N223" s="1647">
        <f>'Part II-Development Team'!N20</f>
        <v>0</v>
      </c>
      <c r="O223" s="1654" t="s">
        <v>1989</v>
      </c>
      <c r="P223" s="1654"/>
      <c r="Q223" s="1647">
        <f>'Part II-Development Team'!Q20</f>
        <v>0</v>
      </c>
      <c r="R223" s="1647">
        <f>'Part II-Development Team'!R20</f>
        <v>0</v>
      </c>
      <c r="S223" s="1647">
        <f>'Part II-Development Team'!S20</f>
        <v>0</v>
      </c>
    </row>
    <row r="224" spans="1:19">
      <c r="A224" s="1647"/>
      <c r="B224" s="1647"/>
      <c r="C224" s="1647"/>
      <c r="D224" s="1699"/>
      <c r="E224" s="1654" t="s">
        <v>1021</v>
      </c>
      <c r="F224" s="1657"/>
      <c r="G224" s="1647"/>
      <c r="H224" s="1647">
        <f>'Part II-Development Team'!H21</f>
        <v>0</v>
      </c>
      <c r="I224" s="1647">
        <f>'Part II-Development Team'!I21</f>
        <v>0</v>
      </c>
      <c r="J224" s="1647">
        <f>'Part II-Development Team'!J21</f>
        <v>0</v>
      </c>
      <c r="K224" s="1647">
        <f>'Part II-Development Team'!K21</f>
        <v>0</v>
      </c>
      <c r="L224" s="1647">
        <f>'Part II-Development Team'!L21</f>
        <v>0</v>
      </c>
      <c r="M224" s="1647">
        <f>'Part II-Development Team'!M21</f>
        <v>0</v>
      </c>
      <c r="N224" s="1647">
        <f>'Part II-Development Team'!N21</f>
        <v>0</v>
      </c>
      <c r="O224" s="1654" t="s">
        <v>1747</v>
      </c>
      <c r="P224" s="1647"/>
      <c r="Q224" s="1647">
        <f>'Part II-Development Team'!Q21</f>
        <v>0</v>
      </c>
      <c r="R224" s="1647">
        <f>'Part II-Development Team'!R21</f>
        <v>0</v>
      </c>
      <c r="S224" s="1647">
        <f>'Part II-Development Team'!S21</f>
        <v>0</v>
      </c>
    </row>
    <row r="225" spans="1:19">
      <c r="A225" s="1647"/>
      <c r="B225" s="1647"/>
      <c r="C225" s="1647"/>
      <c r="D225" s="1699"/>
      <c r="E225" s="1654" t="s">
        <v>618</v>
      </c>
      <c r="F225" s="1647"/>
      <c r="G225" s="1647"/>
      <c r="H225" s="1647">
        <f>'Part II-Development Team'!H22</f>
        <v>0</v>
      </c>
      <c r="I225" s="1647">
        <f>'Part II-Development Team'!I22</f>
        <v>0</v>
      </c>
      <c r="J225" s="1647">
        <f>'Part II-Development Team'!J22</f>
        <v>0</v>
      </c>
      <c r="K225" s="1651" t="s">
        <v>2704</v>
      </c>
      <c r="L225" s="1647">
        <f>'Part II-Development Team'!L22</f>
        <v>0</v>
      </c>
      <c r="M225" s="1647">
        <f>'Part II-Development Team'!M22</f>
        <v>0</v>
      </c>
      <c r="N225" s="1647">
        <f>'Part II-Development Team'!N22</f>
        <v>0</v>
      </c>
      <c r="O225" s="1654" t="s">
        <v>1721</v>
      </c>
      <c r="P225" s="1647"/>
      <c r="Q225" s="2116">
        <f>'Part II-Development Team'!Q22</f>
        <v>0</v>
      </c>
      <c r="R225" s="2116">
        <f>'Part II-Development Team'!R22</f>
        <v>0</v>
      </c>
      <c r="S225" s="2116">
        <f>'Part II-Development Team'!S22</f>
        <v>0</v>
      </c>
    </row>
    <row r="226" spans="1:19">
      <c r="A226" s="1647"/>
      <c r="B226" s="1647"/>
      <c r="C226" s="1647"/>
      <c r="D226" s="1647"/>
      <c r="E226" s="1654" t="s">
        <v>1799</v>
      </c>
      <c r="F226" s="1647"/>
      <c r="G226" s="1647"/>
      <c r="H226" s="1654">
        <f>'Part II-Development Team'!H23</f>
        <v>0</v>
      </c>
      <c r="I226" s="1647"/>
      <c r="J226" s="1647"/>
      <c r="K226" s="1651" t="s">
        <v>2229</v>
      </c>
      <c r="L226" s="2115">
        <f>'Part II-Development Team'!L23</f>
        <v>0</v>
      </c>
      <c r="M226" s="2115">
        <f>'Part II-Development Team'!M23</f>
        <v>0</v>
      </c>
      <c r="N226" s="1647"/>
      <c r="O226" s="1654" t="s">
        <v>1979</v>
      </c>
      <c r="P226" s="1647"/>
      <c r="Q226" s="2116">
        <f>'Part II-Development Team'!Q23</f>
        <v>0</v>
      </c>
      <c r="R226" s="2116">
        <f>'Part II-Development Team'!R23</f>
        <v>0</v>
      </c>
      <c r="S226" s="2116">
        <f>'Part II-Development Team'!S23</f>
        <v>0</v>
      </c>
    </row>
    <row r="227" spans="1:19">
      <c r="A227" s="1647"/>
      <c r="B227" s="1647"/>
      <c r="C227" s="1647"/>
      <c r="D227" s="1699"/>
      <c r="E227" s="1654" t="s">
        <v>4260</v>
      </c>
      <c r="F227" s="1647"/>
      <c r="G227" s="1647"/>
      <c r="H227" s="2116">
        <f>'Part II-Development Team'!H24</f>
        <v>0</v>
      </c>
      <c r="I227" s="2116">
        <f>'Part II-Development Team'!I24</f>
        <v>0</v>
      </c>
      <c r="J227" s="1661">
        <f>'Part II-Development Team'!J24</f>
        <v>0</v>
      </c>
      <c r="K227" s="1651" t="s">
        <v>1984</v>
      </c>
      <c r="L227" s="2023">
        <f>'Part II-Development Team'!L24</f>
        <v>0</v>
      </c>
      <c r="M227" s="2023">
        <f>'Part II-Development Team'!M24</f>
        <v>0</v>
      </c>
      <c r="N227" s="2023">
        <f>'Part II-Development Team'!N24</f>
        <v>0</v>
      </c>
      <c r="O227" s="2023">
        <f>'Part II-Development Team'!O24</f>
        <v>0</v>
      </c>
      <c r="P227" s="2023">
        <f>'Part II-Development Team'!P24</f>
        <v>0</v>
      </c>
      <c r="Q227" s="2023">
        <f>'Part II-Development Team'!Q24</f>
        <v>0</v>
      </c>
      <c r="R227" s="2023">
        <f>'Part II-Development Team'!R24</f>
        <v>0</v>
      </c>
      <c r="S227" s="2023">
        <f>'Part II-Development Team'!S24</f>
        <v>0</v>
      </c>
    </row>
    <row r="228" spans="1:19">
      <c r="A228" s="1647"/>
      <c r="B228" s="1647"/>
      <c r="C228" s="1647"/>
      <c r="D228" s="1699"/>
      <c r="E228" s="1647"/>
      <c r="F228" s="1647"/>
      <c r="G228" s="1654"/>
      <c r="H228" s="2116"/>
      <c r="I228" s="2116"/>
      <c r="J228" s="2116"/>
      <c r="K228" s="1651"/>
      <c r="L228" s="2116"/>
      <c r="M228" s="2116"/>
      <c r="N228" s="1651"/>
      <c r="O228" s="2116"/>
      <c r="P228" s="2116"/>
      <c r="Q228" s="1651"/>
      <c r="R228" s="2116"/>
      <c r="S228" s="2116"/>
    </row>
    <row r="229" spans="1:19">
      <c r="A229" s="1647"/>
      <c r="B229" s="1647"/>
      <c r="C229" s="1647"/>
      <c r="D229" s="1628" t="s">
        <v>1734</v>
      </c>
      <c r="E229" s="1647" t="s">
        <v>1857</v>
      </c>
      <c r="F229" s="1647"/>
      <c r="G229" s="1647"/>
      <c r="H229" s="1647">
        <f>'Part II-Development Team'!H26</f>
        <v>0</v>
      </c>
      <c r="I229" s="1647">
        <f>'Part II-Development Team'!I26</f>
        <v>0</v>
      </c>
      <c r="J229" s="1647">
        <f>'Part II-Development Team'!J26</f>
        <v>0</v>
      </c>
      <c r="K229" s="1647">
        <f>'Part II-Development Team'!K26</f>
        <v>0</v>
      </c>
      <c r="L229" s="1647">
        <f>'Part II-Development Team'!L26</f>
        <v>0</v>
      </c>
      <c r="M229" s="1647">
        <f>'Part II-Development Team'!M26</f>
        <v>0</v>
      </c>
      <c r="N229" s="1647">
        <f>'Part II-Development Team'!N26</f>
        <v>0</v>
      </c>
      <c r="O229" s="1654" t="s">
        <v>1989</v>
      </c>
      <c r="P229" s="1654"/>
      <c r="Q229" s="1647">
        <f>'Part II-Development Team'!Q26</f>
        <v>0</v>
      </c>
      <c r="R229" s="1647">
        <f>'Part II-Development Team'!R26</f>
        <v>0</v>
      </c>
      <c r="S229" s="1647">
        <f>'Part II-Development Team'!S26</f>
        <v>0</v>
      </c>
    </row>
    <row r="230" spans="1:19">
      <c r="A230" s="1647"/>
      <c r="B230" s="1647"/>
      <c r="C230" s="1647"/>
      <c r="D230" s="1699"/>
      <c r="E230" s="1654" t="s">
        <v>1021</v>
      </c>
      <c r="F230" s="1657"/>
      <c r="G230" s="1647"/>
      <c r="H230" s="1647">
        <f>'Part II-Development Team'!H27</f>
        <v>0</v>
      </c>
      <c r="I230" s="1647">
        <f>'Part II-Development Team'!I27</f>
        <v>0</v>
      </c>
      <c r="J230" s="1647">
        <f>'Part II-Development Team'!J27</f>
        <v>0</v>
      </c>
      <c r="K230" s="1647">
        <f>'Part II-Development Team'!K27</f>
        <v>0</v>
      </c>
      <c r="L230" s="1647">
        <f>'Part II-Development Team'!L27</f>
        <v>0</v>
      </c>
      <c r="M230" s="1647">
        <f>'Part II-Development Team'!M27</f>
        <v>0</v>
      </c>
      <c r="N230" s="1647">
        <f>'Part II-Development Team'!N27</f>
        <v>0</v>
      </c>
      <c r="O230" s="1654" t="s">
        <v>1747</v>
      </c>
      <c r="P230" s="1647"/>
      <c r="Q230" s="1647">
        <f>'Part II-Development Team'!Q27</f>
        <v>0</v>
      </c>
      <c r="R230" s="1647">
        <f>'Part II-Development Team'!R27</f>
        <v>0</v>
      </c>
      <c r="S230" s="1647">
        <f>'Part II-Development Team'!S27</f>
        <v>0</v>
      </c>
    </row>
    <row r="231" spans="1:19">
      <c r="A231" s="1647"/>
      <c r="B231" s="1647"/>
      <c r="C231" s="1647"/>
      <c r="D231" s="1699"/>
      <c r="E231" s="1654" t="s">
        <v>618</v>
      </c>
      <c r="F231" s="1647"/>
      <c r="G231" s="1647"/>
      <c r="H231" s="1647">
        <f>'Part II-Development Team'!H28</f>
        <v>0</v>
      </c>
      <c r="I231" s="1647">
        <f>'Part II-Development Team'!I28</f>
        <v>0</v>
      </c>
      <c r="J231" s="1647">
        <f>'Part II-Development Team'!J28</f>
        <v>0</v>
      </c>
      <c r="K231" s="1651" t="s">
        <v>2704</v>
      </c>
      <c r="L231" s="1647">
        <f>'Part II-Development Team'!L28</f>
        <v>0</v>
      </c>
      <c r="M231" s="1647">
        <f>'Part II-Development Team'!M28</f>
        <v>0</v>
      </c>
      <c r="N231" s="1647">
        <f>'Part II-Development Team'!N28</f>
        <v>0</v>
      </c>
      <c r="O231" s="1654" t="s">
        <v>1721</v>
      </c>
      <c r="P231" s="1647"/>
      <c r="Q231" s="2116">
        <f>'Part II-Development Team'!Q28</f>
        <v>0</v>
      </c>
      <c r="R231" s="2116">
        <f>'Part II-Development Team'!R28</f>
        <v>0</v>
      </c>
      <c r="S231" s="2116">
        <f>'Part II-Development Team'!S28</f>
        <v>0</v>
      </c>
    </row>
    <row r="232" spans="1:19">
      <c r="A232" s="1647"/>
      <c r="B232" s="1647"/>
      <c r="C232" s="1647"/>
      <c r="D232" s="1647"/>
      <c r="E232" s="1654" t="s">
        <v>1799</v>
      </c>
      <c r="F232" s="1647"/>
      <c r="G232" s="1647"/>
      <c r="H232" s="1654">
        <f>'Part II-Development Team'!H29</f>
        <v>0</v>
      </c>
      <c r="I232" s="1647"/>
      <c r="J232" s="1647"/>
      <c r="K232" s="1651" t="s">
        <v>2229</v>
      </c>
      <c r="L232" s="2115">
        <f>'Part II-Development Team'!L29</f>
        <v>0</v>
      </c>
      <c r="M232" s="2115">
        <f>'Part II-Development Team'!M29</f>
        <v>0</v>
      </c>
      <c r="N232" s="1647"/>
      <c r="O232" s="1654" t="s">
        <v>1979</v>
      </c>
      <c r="P232" s="1647"/>
      <c r="Q232" s="2116">
        <f>'Part II-Development Team'!Q29</f>
        <v>0</v>
      </c>
      <c r="R232" s="2116">
        <f>'Part II-Development Team'!R29</f>
        <v>0</v>
      </c>
      <c r="S232" s="2116">
        <f>'Part II-Development Team'!S29</f>
        <v>0</v>
      </c>
    </row>
    <row r="233" spans="1:19">
      <c r="A233" s="1647"/>
      <c r="B233" s="1647"/>
      <c r="C233" s="1647"/>
      <c r="D233" s="1699"/>
      <c r="E233" s="1654" t="s">
        <v>4260</v>
      </c>
      <c r="F233" s="1647"/>
      <c r="G233" s="1647"/>
      <c r="H233" s="2116">
        <f>'Part II-Development Team'!H30</f>
        <v>0</v>
      </c>
      <c r="I233" s="2116">
        <f>'Part II-Development Team'!I30</f>
        <v>0</v>
      </c>
      <c r="J233" s="1661">
        <f>'Part II-Development Team'!J30</f>
        <v>0</v>
      </c>
      <c r="K233" s="1651" t="s">
        <v>1984</v>
      </c>
      <c r="L233" s="2023">
        <f>'Part II-Development Team'!L30</f>
        <v>0</v>
      </c>
      <c r="M233" s="2023">
        <f>'Part II-Development Team'!M30</f>
        <v>0</v>
      </c>
      <c r="N233" s="2023">
        <f>'Part II-Development Team'!N30</f>
        <v>0</v>
      </c>
      <c r="O233" s="2023">
        <f>'Part II-Development Team'!O30</f>
        <v>0</v>
      </c>
      <c r="P233" s="2023">
        <f>'Part II-Development Team'!P30</f>
        <v>0</v>
      </c>
      <c r="Q233" s="2023">
        <f>'Part II-Development Team'!Q30</f>
        <v>0</v>
      </c>
      <c r="R233" s="2023">
        <f>'Part II-Development Team'!R30</f>
        <v>0</v>
      </c>
      <c r="S233" s="2023">
        <f>'Part II-Development Team'!S30</f>
        <v>0</v>
      </c>
    </row>
    <row r="234" spans="1:19">
      <c r="A234" s="1653"/>
      <c r="B234" s="1653"/>
      <c r="C234" s="1653"/>
      <c r="D234" s="1653"/>
      <c r="E234" s="1653"/>
      <c r="F234" s="1653"/>
      <c r="G234" s="1653"/>
      <c r="H234" s="1653"/>
      <c r="I234" s="1653"/>
      <c r="J234" s="1653"/>
      <c r="K234" s="1653"/>
      <c r="L234" s="1653"/>
      <c r="M234" s="1653"/>
      <c r="N234" s="1653"/>
      <c r="O234" s="1653"/>
      <c r="P234" s="1653"/>
      <c r="Q234" s="1653"/>
      <c r="R234" s="1653"/>
      <c r="S234" s="1653"/>
    </row>
    <row r="235" spans="1:19" ht="13.5">
      <c r="A235" s="1647"/>
      <c r="B235" s="1647"/>
      <c r="C235" s="1701" t="s">
        <v>1988</v>
      </c>
      <c r="D235" s="1683" t="s">
        <v>1859</v>
      </c>
      <c r="E235" s="1647"/>
      <c r="F235" s="1647"/>
      <c r="G235" s="1647"/>
      <c r="H235" s="1647"/>
      <c r="I235" s="1647"/>
      <c r="J235" s="1647"/>
      <c r="K235" s="1649" t="s">
        <v>4259</v>
      </c>
      <c r="L235" s="1647"/>
      <c r="M235" s="1647"/>
      <c r="N235" s="1647"/>
      <c r="O235" s="1647"/>
      <c r="P235" s="1647"/>
      <c r="Q235" s="1647"/>
      <c r="R235" s="1647"/>
      <c r="S235" s="1647"/>
    </row>
    <row r="236" spans="1:19">
      <c r="A236" s="1647"/>
      <c r="B236" s="1647"/>
      <c r="C236" s="1647"/>
      <c r="D236" s="1628" t="s">
        <v>2116</v>
      </c>
      <c r="E236" s="1647" t="s">
        <v>750</v>
      </c>
      <c r="F236" s="1647"/>
      <c r="G236" s="1647"/>
      <c r="H236" s="1647" t="str">
        <f>'Part II-Development Team'!H33</f>
        <v>Raymond James Tax Credit Funds, Inc.</v>
      </c>
      <c r="I236" s="1647">
        <f>'Part II-Development Team'!I33</f>
        <v>0</v>
      </c>
      <c r="J236" s="1647">
        <f>'Part II-Development Team'!J33</f>
        <v>0</v>
      </c>
      <c r="K236" s="1647">
        <f>'Part II-Development Team'!K33</f>
        <v>0</v>
      </c>
      <c r="L236" s="1647">
        <f>'Part II-Development Team'!L33</f>
        <v>0</v>
      </c>
      <c r="M236" s="1647">
        <f>'Part II-Development Team'!M33</f>
        <v>0</v>
      </c>
      <c r="N236" s="1647">
        <f>'Part II-Development Team'!N33</f>
        <v>0</v>
      </c>
      <c r="O236" s="1654" t="s">
        <v>1989</v>
      </c>
      <c r="P236" s="1654"/>
      <c r="Q236" s="1647" t="str">
        <f>'Part II-Development Team'!Q33</f>
        <v>John W. Colvin</v>
      </c>
      <c r="R236" s="1647">
        <f>'Part II-Development Team'!R33</f>
        <v>0</v>
      </c>
      <c r="S236" s="1647">
        <f>'Part II-Development Team'!S33</f>
        <v>0</v>
      </c>
    </row>
    <row r="237" spans="1:19">
      <c r="A237" s="1647"/>
      <c r="B237" s="1647"/>
      <c r="C237" s="1647"/>
      <c r="D237" s="1699"/>
      <c r="E237" s="1654" t="s">
        <v>1021</v>
      </c>
      <c r="F237" s="1657"/>
      <c r="G237" s="1647"/>
      <c r="H237" s="1647" t="str">
        <f>'Part II-Development Team'!H34</f>
        <v>880 Carillion Parkway</v>
      </c>
      <c r="I237" s="1647">
        <f>'Part II-Development Team'!I34</f>
        <v>0</v>
      </c>
      <c r="J237" s="1647">
        <f>'Part II-Development Team'!J34</f>
        <v>0</v>
      </c>
      <c r="K237" s="1647">
        <f>'Part II-Development Team'!K34</f>
        <v>0</v>
      </c>
      <c r="L237" s="1647">
        <f>'Part II-Development Team'!L34</f>
        <v>0</v>
      </c>
      <c r="M237" s="1647">
        <f>'Part II-Development Team'!M34</f>
        <v>0</v>
      </c>
      <c r="N237" s="1647">
        <f>'Part II-Development Team'!N34</f>
        <v>0</v>
      </c>
      <c r="O237" s="1654" t="s">
        <v>1747</v>
      </c>
      <c r="P237" s="1647"/>
      <c r="Q237" s="1647" t="str">
        <f>'Part II-Development Team'!Q34</f>
        <v>Vice President</v>
      </c>
      <c r="R237" s="1647">
        <f>'Part II-Development Team'!R34</f>
        <v>0</v>
      </c>
      <c r="S237" s="1647">
        <f>'Part II-Development Team'!S34</f>
        <v>0</v>
      </c>
    </row>
    <row r="238" spans="1:19">
      <c r="A238" s="1647"/>
      <c r="B238" s="1647"/>
      <c r="C238" s="1647"/>
      <c r="D238" s="1699"/>
      <c r="E238" s="1654" t="s">
        <v>618</v>
      </c>
      <c r="F238" s="1647"/>
      <c r="G238" s="1647"/>
      <c r="H238" s="1647" t="str">
        <f>'Part II-Development Team'!H35</f>
        <v>St. Petersburg</v>
      </c>
      <c r="I238" s="1647">
        <f>'Part II-Development Team'!I35</f>
        <v>0</v>
      </c>
      <c r="J238" s="1647">
        <f>'Part II-Development Team'!J35</f>
        <v>0</v>
      </c>
      <c r="K238" s="1651" t="s">
        <v>2704</v>
      </c>
      <c r="L238" s="1647" t="str">
        <f>'Part II-Development Team'!L35</f>
        <v>http://www.raymondjames.com/</v>
      </c>
      <c r="M238" s="1647">
        <f>'Part II-Development Team'!M35</f>
        <v>0</v>
      </c>
      <c r="N238" s="1647">
        <f>'Part II-Development Team'!N35</f>
        <v>0</v>
      </c>
      <c r="O238" s="1654" t="s">
        <v>1721</v>
      </c>
      <c r="P238" s="1647"/>
      <c r="Q238" s="2116">
        <f>'Part II-Development Team'!Q35</f>
        <v>7275671000</v>
      </c>
      <c r="R238" s="2116">
        <f>'Part II-Development Team'!R35</f>
        <v>0</v>
      </c>
      <c r="S238" s="2116">
        <f>'Part II-Development Team'!S35</f>
        <v>0</v>
      </c>
    </row>
    <row r="239" spans="1:19">
      <c r="A239" s="1647"/>
      <c r="B239" s="1647"/>
      <c r="C239" s="1647"/>
      <c r="D239" s="1647"/>
      <c r="E239" s="1654" t="s">
        <v>1799</v>
      </c>
      <c r="F239" s="1647"/>
      <c r="G239" s="1647"/>
      <c r="H239" s="1654" t="str">
        <f>'Part II-Development Team'!H36</f>
        <v>FL</v>
      </c>
      <c r="I239" s="1647"/>
      <c r="J239" s="1647"/>
      <c r="K239" s="1651" t="s">
        <v>2229</v>
      </c>
      <c r="L239" s="2115">
        <f>'Part II-Development Team'!L36</f>
        <v>337161102</v>
      </c>
      <c r="M239" s="2115">
        <f>'Part II-Development Team'!M36</f>
        <v>0</v>
      </c>
      <c r="N239" s="1647"/>
      <c r="O239" s="1654" t="s">
        <v>1979</v>
      </c>
      <c r="P239" s="1647"/>
      <c r="Q239" s="2116">
        <f>'Part II-Development Team'!Q36</f>
        <v>0</v>
      </c>
      <c r="R239" s="2116">
        <f>'Part II-Development Team'!R36</f>
        <v>0</v>
      </c>
      <c r="S239" s="2116">
        <f>'Part II-Development Team'!S36</f>
        <v>0</v>
      </c>
    </row>
    <row r="240" spans="1:19">
      <c r="A240" s="1647"/>
      <c r="B240" s="1647"/>
      <c r="C240" s="1647"/>
      <c r="D240" s="1699"/>
      <c r="E240" s="1654" t="s">
        <v>4260</v>
      </c>
      <c r="F240" s="1647"/>
      <c r="G240" s="1647"/>
      <c r="H240" s="2116">
        <f>'Part II-Development Team'!H37</f>
        <v>0</v>
      </c>
      <c r="I240" s="2116">
        <f>'Part II-Development Team'!I37</f>
        <v>0</v>
      </c>
      <c r="J240" s="1661">
        <f>'Part II-Development Team'!J37</f>
        <v>0</v>
      </c>
      <c r="K240" s="1651" t="s">
        <v>1984</v>
      </c>
      <c r="L240" s="2023">
        <f>'Part II-Development Team'!L37</f>
        <v>0</v>
      </c>
      <c r="M240" s="2023">
        <f>'Part II-Development Team'!M37</f>
        <v>0</v>
      </c>
      <c r="N240" s="2023">
        <f>'Part II-Development Team'!N37</f>
        <v>0</v>
      </c>
      <c r="O240" s="2023">
        <f>'Part II-Development Team'!O37</f>
        <v>0</v>
      </c>
      <c r="P240" s="2023">
        <f>'Part II-Development Team'!P37</f>
        <v>0</v>
      </c>
      <c r="Q240" s="2023">
        <f>'Part II-Development Team'!Q37</f>
        <v>0</v>
      </c>
      <c r="R240" s="2023">
        <f>'Part II-Development Team'!R37</f>
        <v>0</v>
      </c>
      <c r="S240" s="2023">
        <f>'Part II-Development Team'!S37</f>
        <v>0</v>
      </c>
    </row>
    <row r="241" spans="1:19">
      <c r="A241" s="1653"/>
      <c r="B241" s="1653"/>
      <c r="C241" s="1653"/>
      <c r="D241" s="1653"/>
      <c r="E241" s="1653"/>
      <c r="F241" s="1653"/>
      <c r="G241" s="1653"/>
      <c r="H241" s="2116"/>
      <c r="I241" s="2116"/>
      <c r="J241" s="2116"/>
      <c r="K241" s="1651"/>
      <c r="L241" s="2116"/>
      <c r="M241" s="2116"/>
      <c r="N241" s="1651"/>
      <c r="O241" s="2116"/>
      <c r="P241" s="2116"/>
      <c r="Q241" s="1651"/>
      <c r="R241" s="2116"/>
      <c r="S241" s="2116"/>
    </row>
    <row r="242" spans="1:19">
      <c r="A242" s="1647"/>
      <c r="B242" s="1647"/>
      <c r="C242" s="1647"/>
      <c r="D242" s="1628" t="s">
        <v>2117</v>
      </c>
      <c r="E242" s="1647" t="s">
        <v>751</v>
      </c>
      <c r="F242" s="1628"/>
      <c r="G242" s="1647"/>
      <c r="H242" s="1647" t="str">
        <f>'Part II-Development Team'!H39</f>
        <v>Raymond James Tax Credit Funds, Inc.</v>
      </c>
      <c r="I242" s="1647">
        <f>'Part II-Development Team'!I39</f>
        <v>0</v>
      </c>
      <c r="J242" s="1647">
        <f>'Part II-Development Team'!J39</f>
        <v>0</v>
      </c>
      <c r="K242" s="1647">
        <f>'Part II-Development Team'!K39</f>
        <v>0</v>
      </c>
      <c r="L242" s="1647">
        <f>'Part II-Development Team'!L39</f>
        <v>0</v>
      </c>
      <c r="M242" s="1647">
        <f>'Part II-Development Team'!M39</f>
        <v>0</v>
      </c>
      <c r="N242" s="1647">
        <f>'Part II-Development Team'!N39</f>
        <v>0</v>
      </c>
      <c r="O242" s="1654" t="s">
        <v>1989</v>
      </c>
      <c r="P242" s="1654"/>
      <c r="Q242" s="1647" t="str">
        <f>'Part II-Development Team'!Q39</f>
        <v>John W. Colvin</v>
      </c>
      <c r="R242" s="1647">
        <f>'Part II-Development Team'!R39</f>
        <v>0</v>
      </c>
      <c r="S242" s="1647">
        <f>'Part II-Development Team'!S39</f>
        <v>0</v>
      </c>
    </row>
    <row r="243" spans="1:19">
      <c r="A243" s="1647"/>
      <c r="B243" s="1647"/>
      <c r="C243" s="1647"/>
      <c r="D243" s="1699"/>
      <c r="E243" s="1654" t="s">
        <v>1021</v>
      </c>
      <c r="F243" s="1657"/>
      <c r="G243" s="1647"/>
      <c r="H243" s="1647" t="str">
        <f>'Part II-Development Team'!H40</f>
        <v>880 Carillion Parkway</v>
      </c>
      <c r="I243" s="1647">
        <f>'Part II-Development Team'!I40</f>
        <v>0</v>
      </c>
      <c r="J243" s="1647">
        <f>'Part II-Development Team'!J40</f>
        <v>0</v>
      </c>
      <c r="K243" s="1647">
        <f>'Part II-Development Team'!K40</f>
        <v>0</v>
      </c>
      <c r="L243" s="1647">
        <f>'Part II-Development Team'!L40</f>
        <v>0</v>
      </c>
      <c r="M243" s="1647">
        <f>'Part II-Development Team'!M40</f>
        <v>0</v>
      </c>
      <c r="N243" s="1647">
        <f>'Part II-Development Team'!N40</f>
        <v>0</v>
      </c>
      <c r="O243" s="1654" t="s">
        <v>1747</v>
      </c>
      <c r="P243" s="1647"/>
      <c r="Q243" s="1647" t="str">
        <f>'Part II-Development Team'!Q40</f>
        <v>Vice President</v>
      </c>
      <c r="R243" s="1647">
        <f>'Part II-Development Team'!R40</f>
        <v>0</v>
      </c>
      <c r="S243" s="1647">
        <f>'Part II-Development Team'!S40</f>
        <v>0</v>
      </c>
    </row>
    <row r="244" spans="1:19">
      <c r="A244" s="1647"/>
      <c r="B244" s="1647"/>
      <c r="C244" s="1647"/>
      <c r="D244" s="1699"/>
      <c r="E244" s="1654" t="s">
        <v>618</v>
      </c>
      <c r="F244" s="1647"/>
      <c r="G244" s="1647"/>
      <c r="H244" s="1647" t="str">
        <f>'Part II-Development Team'!H41</f>
        <v>St. Petersburg</v>
      </c>
      <c r="I244" s="1647">
        <f>'Part II-Development Team'!I41</f>
        <v>0</v>
      </c>
      <c r="J244" s="1647">
        <f>'Part II-Development Team'!J41</f>
        <v>0</v>
      </c>
      <c r="K244" s="1651" t="s">
        <v>2704</v>
      </c>
      <c r="L244" s="1647" t="str">
        <f>'Part II-Development Team'!L41</f>
        <v>http://www.raymondjames.com/</v>
      </c>
      <c r="M244" s="1647">
        <f>'Part II-Development Team'!M41</f>
        <v>0</v>
      </c>
      <c r="N244" s="1647">
        <f>'Part II-Development Team'!N41</f>
        <v>0</v>
      </c>
      <c r="O244" s="1654" t="s">
        <v>1721</v>
      </c>
      <c r="P244" s="1647"/>
      <c r="Q244" s="2116">
        <f>'Part II-Development Team'!Q41</f>
        <v>7275671000</v>
      </c>
      <c r="R244" s="2116">
        <f>'Part II-Development Team'!R41</f>
        <v>0</v>
      </c>
      <c r="S244" s="2116">
        <f>'Part II-Development Team'!S41</f>
        <v>0</v>
      </c>
    </row>
    <row r="245" spans="1:19">
      <c r="A245" s="1647"/>
      <c r="B245" s="1647"/>
      <c r="C245" s="1647"/>
      <c r="D245" s="1628"/>
      <c r="E245" s="1654" t="s">
        <v>1799</v>
      </c>
      <c r="F245" s="1647"/>
      <c r="G245" s="1647"/>
      <c r="H245" s="1654" t="str">
        <f>'Part II-Development Team'!H42</f>
        <v>FL</v>
      </c>
      <c r="I245" s="1647"/>
      <c r="J245" s="1647"/>
      <c r="K245" s="1651" t="s">
        <v>2229</v>
      </c>
      <c r="L245" s="2115">
        <f>'Part II-Development Team'!L42</f>
        <v>337161102</v>
      </c>
      <c r="M245" s="2115">
        <f>'Part II-Development Team'!M42</f>
        <v>0</v>
      </c>
      <c r="N245" s="1647"/>
      <c r="O245" s="1654" t="s">
        <v>1979</v>
      </c>
      <c r="P245" s="1647"/>
      <c r="Q245" s="2116">
        <f>'Part II-Development Team'!Q42</f>
        <v>0</v>
      </c>
      <c r="R245" s="2116">
        <f>'Part II-Development Team'!R42</f>
        <v>0</v>
      </c>
      <c r="S245" s="2116">
        <f>'Part II-Development Team'!S42</f>
        <v>0</v>
      </c>
    </row>
    <row r="246" spans="1:19">
      <c r="A246" s="1647"/>
      <c r="B246" s="1647"/>
      <c r="C246" s="1647"/>
      <c r="D246" s="1699"/>
      <c r="E246" s="1654" t="s">
        <v>4260</v>
      </c>
      <c r="F246" s="1647"/>
      <c r="G246" s="1647"/>
      <c r="H246" s="2116">
        <f>'Part II-Development Team'!H43</f>
        <v>0</v>
      </c>
      <c r="I246" s="2116">
        <f>'Part II-Development Team'!I43</f>
        <v>0</v>
      </c>
      <c r="J246" s="1661">
        <f>'Part II-Development Team'!J43</f>
        <v>0</v>
      </c>
      <c r="K246" s="1651" t="s">
        <v>1984</v>
      </c>
      <c r="L246" s="2023">
        <f>'Part II-Development Team'!L43</f>
        <v>0</v>
      </c>
      <c r="M246" s="2023">
        <f>'Part II-Development Team'!M43</f>
        <v>0</v>
      </c>
      <c r="N246" s="2023">
        <f>'Part II-Development Team'!N43</f>
        <v>0</v>
      </c>
      <c r="O246" s="2023">
        <f>'Part II-Development Team'!O43</f>
        <v>0</v>
      </c>
      <c r="P246" s="2023">
        <f>'Part II-Development Team'!P43</f>
        <v>0</v>
      </c>
      <c r="Q246" s="2023">
        <f>'Part II-Development Team'!Q43</f>
        <v>0</v>
      </c>
      <c r="R246" s="2023">
        <f>'Part II-Development Team'!R43</f>
        <v>0</v>
      </c>
      <c r="S246" s="2023">
        <f>'Part II-Development Team'!S43</f>
        <v>0</v>
      </c>
    </row>
    <row r="247" spans="1:19">
      <c r="A247" s="1647"/>
      <c r="B247" s="1647"/>
      <c r="C247" s="1647"/>
      <c r="D247" s="1699"/>
      <c r="E247" s="1654"/>
      <c r="F247" s="1628"/>
      <c r="G247" s="1647"/>
      <c r="H247" s="1695"/>
      <c r="I247" s="1695"/>
      <c r="J247" s="2128"/>
      <c r="K247" s="1651"/>
      <c r="L247" s="1695"/>
      <c r="M247" s="1695"/>
      <c r="N247" s="1651"/>
      <c r="O247" s="1695"/>
      <c r="P247" s="1695"/>
      <c r="Q247" s="1651"/>
      <c r="R247" s="1695"/>
      <c r="S247" s="1695"/>
    </row>
    <row r="248" spans="1:19" ht="13.5">
      <c r="A248" s="1647"/>
      <c r="B248" s="1647"/>
      <c r="C248" s="1702" t="s">
        <v>2534</v>
      </c>
      <c r="D248" s="1683" t="s">
        <v>651</v>
      </c>
      <c r="E248" s="1647"/>
      <c r="F248" s="1647"/>
      <c r="G248" s="1647"/>
      <c r="H248" s="1647"/>
      <c r="I248" s="1647"/>
      <c r="J248" s="1647"/>
      <c r="K248" s="1649" t="s">
        <v>4259</v>
      </c>
      <c r="L248" s="1647"/>
      <c r="M248" s="1647"/>
      <c r="N248" s="1647"/>
      <c r="O248" s="1647"/>
      <c r="P248" s="1647"/>
      <c r="Q248" s="1647"/>
      <c r="R248" s="1647"/>
      <c r="S248" s="1647"/>
    </row>
    <row r="249" spans="1:19">
      <c r="A249" s="1647"/>
      <c r="B249" s="1647"/>
      <c r="C249" s="1647"/>
      <c r="D249" s="1647"/>
      <c r="E249" s="1647" t="s">
        <v>92</v>
      </c>
      <c r="F249" s="1647"/>
      <c r="G249" s="1647"/>
      <c r="H249" s="1647">
        <f>'Part II-Development Team'!H46</f>
        <v>0</v>
      </c>
      <c r="I249" s="1647">
        <f>'Part II-Development Team'!I46</f>
        <v>0</v>
      </c>
      <c r="J249" s="1647">
        <f>'Part II-Development Team'!J46</f>
        <v>0</v>
      </c>
      <c r="K249" s="1647">
        <f>'Part II-Development Team'!K46</f>
        <v>0</v>
      </c>
      <c r="L249" s="1647">
        <f>'Part II-Development Team'!L46</f>
        <v>0</v>
      </c>
      <c r="M249" s="1647">
        <f>'Part II-Development Team'!M46</f>
        <v>0</v>
      </c>
      <c r="N249" s="1647">
        <f>'Part II-Development Team'!N46</f>
        <v>0</v>
      </c>
      <c r="O249" s="1654" t="s">
        <v>1989</v>
      </c>
      <c r="P249" s="1654"/>
      <c r="Q249" s="1647">
        <f>'Part II-Development Team'!Q46</f>
        <v>0</v>
      </c>
      <c r="R249" s="1647">
        <f>'Part II-Development Team'!R46</f>
        <v>0</v>
      </c>
      <c r="S249" s="1647">
        <f>'Part II-Development Team'!S46</f>
        <v>0</v>
      </c>
    </row>
    <row r="250" spans="1:19">
      <c r="A250" s="1647"/>
      <c r="B250" s="1647"/>
      <c r="C250" s="1647"/>
      <c r="D250" s="1699"/>
      <c r="E250" s="1654" t="s">
        <v>1021</v>
      </c>
      <c r="F250" s="1657"/>
      <c r="G250" s="1647"/>
      <c r="H250" s="1647">
        <f>'Part II-Development Team'!H47</f>
        <v>0</v>
      </c>
      <c r="I250" s="1647">
        <f>'Part II-Development Team'!I47</f>
        <v>0</v>
      </c>
      <c r="J250" s="1647">
        <f>'Part II-Development Team'!J47</f>
        <v>0</v>
      </c>
      <c r="K250" s="1647">
        <f>'Part II-Development Team'!K47</f>
        <v>0</v>
      </c>
      <c r="L250" s="1647">
        <f>'Part II-Development Team'!L47</f>
        <v>0</v>
      </c>
      <c r="M250" s="1647">
        <f>'Part II-Development Team'!M47</f>
        <v>0</v>
      </c>
      <c r="N250" s="1647">
        <f>'Part II-Development Team'!N47</f>
        <v>0</v>
      </c>
      <c r="O250" s="1654" t="s">
        <v>1747</v>
      </c>
      <c r="P250" s="1647"/>
      <c r="Q250" s="1647">
        <f>'Part II-Development Team'!Q47</f>
        <v>0</v>
      </c>
      <c r="R250" s="1647">
        <f>'Part II-Development Team'!R47</f>
        <v>0</v>
      </c>
      <c r="S250" s="1647">
        <f>'Part II-Development Team'!S47</f>
        <v>0</v>
      </c>
    </row>
    <row r="251" spans="1:19">
      <c r="A251" s="1647"/>
      <c r="B251" s="1647"/>
      <c r="C251" s="1647"/>
      <c r="D251" s="1699"/>
      <c r="E251" s="1654" t="s">
        <v>618</v>
      </c>
      <c r="F251" s="1647"/>
      <c r="G251" s="1647"/>
      <c r="H251" s="1647">
        <f>'Part II-Development Team'!H48</f>
        <v>0</v>
      </c>
      <c r="I251" s="1647">
        <f>'Part II-Development Team'!I48</f>
        <v>0</v>
      </c>
      <c r="J251" s="1647">
        <f>'Part II-Development Team'!J48</f>
        <v>0</v>
      </c>
      <c r="K251" s="1651" t="s">
        <v>2704</v>
      </c>
      <c r="L251" s="1647">
        <f>'Part II-Development Team'!L48</f>
        <v>0</v>
      </c>
      <c r="M251" s="1647">
        <f>'Part II-Development Team'!M48</f>
        <v>0</v>
      </c>
      <c r="N251" s="1647">
        <f>'Part II-Development Team'!N48</f>
        <v>0</v>
      </c>
      <c r="O251" s="1654" t="s">
        <v>1721</v>
      </c>
      <c r="P251" s="1647"/>
      <c r="Q251" s="2116">
        <f>'Part II-Development Team'!Q48</f>
        <v>0</v>
      </c>
      <c r="R251" s="2116">
        <f>'Part II-Development Team'!R48</f>
        <v>0</v>
      </c>
      <c r="S251" s="2116">
        <f>'Part II-Development Team'!S48</f>
        <v>0</v>
      </c>
    </row>
    <row r="252" spans="1:19">
      <c r="A252" s="1647"/>
      <c r="B252" s="1647"/>
      <c r="C252" s="1647"/>
      <c r="D252" s="1647"/>
      <c r="E252" s="1654" t="s">
        <v>1799</v>
      </c>
      <c r="F252" s="1647"/>
      <c r="G252" s="1647"/>
      <c r="H252" s="1654">
        <f>'Part II-Development Team'!H49</f>
        <v>0</v>
      </c>
      <c r="I252" s="1647"/>
      <c r="J252" s="1647"/>
      <c r="K252" s="1651" t="s">
        <v>2229</v>
      </c>
      <c r="L252" s="2115">
        <f>'Part II-Development Team'!L49</f>
        <v>0</v>
      </c>
      <c r="M252" s="2115">
        <f>'Part II-Development Team'!M49</f>
        <v>0</v>
      </c>
      <c r="N252" s="1647"/>
      <c r="O252" s="1654" t="s">
        <v>1979</v>
      </c>
      <c r="P252" s="1647"/>
      <c r="Q252" s="2116">
        <f>'Part II-Development Team'!Q49</f>
        <v>0</v>
      </c>
      <c r="R252" s="2116">
        <f>'Part II-Development Team'!R49</f>
        <v>0</v>
      </c>
      <c r="S252" s="2116">
        <f>'Part II-Development Team'!S49</f>
        <v>0</v>
      </c>
    </row>
    <row r="253" spans="1:19">
      <c r="A253" s="1647"/>
      <c r="B253" s="1647"/>
      <c r="C253" s="1647"/>
      <c r="D253" s="1699"/>
      <c r="E253" s="1654" t="s">
        <v>4260</v>
      </c>
      <c r="F253" s="1647"/>
      <c r="G253" s="1647"/>
      <c r="H253" s="2116">
        <f>'Part II-Development Team'!H50</f>
        <v>0</v>
      </c>
      <c r="I253" s="2116">
        <f>'Part II-Development Team'!I50</f>
        <v>0</v>
      </c>
      <c r="J253" s="1661">
        <f>'Part II-Development Team'!J50</f>
        <v>0</v>
      </c>
      <c r="K253" s="1651" t="s">
        <v>1984</v>
      </c>
      <c r="L253" s="2023">
        <f>'Part II-Development Team'!L50</f>
        <v>0</v>
      </c>
      <c r="M253" s="2023">
        <f>'Part II-Development Team'!M50</f>
        <v>0</v>
      </c>
      <c r="N253" s="2023">
        <f>'Part II-Development Team'!N50</f>
        <v>0</v>
      </c>
      <c r="O253" s="2023">
        <f>'Part II-Development Team'!O50</f>
        <v>0</v>
      </c>
      <c r="P253" s="2023">
        <f>'Part II-Development Team'!P50</f>
        <v>0</v>
      </c>
      <c r="Q253" s="2023">
        <f>'Part II-Development Team'!Q50</f>
        <v>0</v>
      </c>
      <c r="R253" s="2023">
        <f>'Part II-Development Team'!R50</f>
        <v>0</v>
      </c>
      <c r="S253" s="2023">
        <f>'Part II-Development Team'!S50</f>
        <v>0</v>
      </c>
    </row>
    <row r="254" spans="1:19">
      <c r="A254" s="1653"/>
      <c r="B254" s="1653"/>
      <c r="C254" s="1653"/>
      <c r="D254" s="1653"/>
      <c r="E254" s="1653"/>
      <c r="F254" s="1653"/>
      <c r="G254" s="1653"/>
      <c r="H254" s="1653"/>
      <c r="I254" s="1653"/>
      <c r="J254" s="1653"/>
      <c r="K254" s="1653"/>
      <c r="L254" s="1653"/>
      <c r="M254" s="1653"/>
      <c r="N254" s="1653"/>
      <c r="O254" s="1653"/>
      <c r="P254" s="1653"/>
      <c r="Q254" s="1653"/>
      <c r="R254" s="1653"/>
      <c r="S254" s="1653"/>
    </row>
    <row r="255" spans="1:19" ht="13.5">
      <c r="A255" s="1628" t="s">
        <v>740</v>
      </c>
      <c r="B255" s="1628" t="s">
        <v>652</v>
      </c>
      <c r="C255" s="1647"/>
      <c r="D255" s="1647"/>
      <c r="E255" s="1647"/>
      <c r="F255" s="1628"/>
      <c r="G255" s="1651"/>
      <c r="H255" s="1651"/>
      <c r="I255" s="1651"/>
      <c r="J255" s="1647"/>
      <c r="K255" s="1649" t="s">
        <v>4259</v>
      </c>
      <c r="L255" s="1647"/>
      <c r="M255" s="1647"/>
      <c r="N255" s="1647"/>
      <c r="O255" s="1647"/>
      <c r="P255" s="1647"/>
      <c r="Q255" s="1647"/>
      <c r="R255" s="1647"/>
      <c r="S255" s="1647"/>
    </row>
    <row r="256" spans="1:19">
      <c r="A256" s="1628"/>
      <c r="B256" s="1628"/>
      <c r="C256" s="1647"/>
      <c r="D256" s="1647"/>
      <c r="E256" s="1647"/>
      <c r="F256" s="1628"/>
      <c r="G256" s="1651"/>
      <c r="H256" s="2116"/>
      <c r="I256" s="2116"/>
      <c r="J256" s="2116"/>
      <c r="K256" s="1651"/>
      <c r="L256" s="2116"/>
      <c r="M256" s="2116"/>
      <c r="N256" s="1651"/>
      <c r="O256" s="2116"/>
      <c r="P256" s="2116"/>
      <c r="Q256" s="1651"/>
      <c r="R256" s="2116"/>
      <c r="S256" s="2116"/>
    </row>
    <row r="257" spans="1:19">
      <c r="A257" s="1647"/>
      <c r="B257" s="1628" t="s">
        <v>1983</v>
      </c>
      <c r="C257" s="1628" t="s">
        <v>282</v>
      </c>
      <c r="D257" s="1647"/>
      <c r="E257" s="1647"/>
      <c r="F257" s="1647"/>
      <c r="G257" s="1647"/>
      <c r="H257" s="1647" t="str">
        <f>'Part II-Development Team'!H54</f>
        <v>Flatiron Partners, LLC</v>
      </c>
      <c r="I257" s="1647">
        <f>'Part II-Development Team'!I54</f>
        <v>0</v>
      </c>
      <c r="J257" s="1647">
        <f>'Part II-Development Team'!J54</f>
        <v>0</v>
      </c>
      <c r="K257" s="1647">
        <f>'Part II-Development Team'!K54</f>
        <v>0</v>
      </c>
      <c r="L257" s="1647">
        <f>'Part II-Development Team'!L54</f>
        <v>0</v>
      </c>
      <c r="M257" s="1647">
        <f>'Part II-Development Team'!M54</f>
        <v>0</v>
      </c>
      <c r="N257" s="1647">
        <f>'Part II-Development Team'!N54</f>
        <v>0</v>
      </c>
      <c r="O257" s="1654" t="s">
        <v>1989</v>
      </c>
      <c r="P257" s="1654"/>
      <c r="Q257" s="1647" t="str">
        <f>'Part II-Development Team'!Q54</f>
        <v>Charles F. Irick, Jr.</v>
      </c>
      <c r="R257" s="1647">
        <f>'Part II-Development Team'!R54</f>
        <v>0</v>
      </c>
      <c r="S257" s="1647">
        <f>'Part II-Development Team'!S54</f>
        <v>0</v>
      </c>
    </row>
    <row r="258" spans="1:19">
      <c r="A258" s="1647"/>
      <c r="B258" s="1647"/>
      <c r="C258" s="1647"/>
      <c r="D258" s="1699"/>
      <c r="E258" s="1654" t="s">
        <v>1021</v>
      </c>
      <c r="F258" s="1657"/>
      <c r="G258" s="1647"/>
      <c r="H258" s="1647" t="str">
        <f>'Part II-Development Team'!H55</f>
        <v>1714 East Boulevard</v>
      </c>
      <c r="I258" s="1647">
        <f>'Part II-Development Team'!I55</f>
        <v>0</v>
      </c>
      <c r="J258" s="1647">
        <f>'Part II-Development Team'!J55</f>
        <v>0</v>
      </c>
      <c r="K258" s="1647">
        <f>'Part II-Development Team'!K55</f>
        <v>0</v>
      </c>
      <c r="L258" s="1647">
        <f>'Part II-Development Team'!L55</f>
        <v>0</v>
      </c>
      <c r="M258" s="1647">
        <f>'Part II-Development Team'!M55</f>
        <v>0</v>
      </c>
      <c r="N258" s="1647">
        <f>'Part II-Development Team'!N55</f>
        <v>0</v>
      </c>
      <c r="O258" s="1654" t="s">
        <v>1747</v>
      </c>
      <c r="P258" s="1647"/>
      <c r="Q258" s="1647" t="str">
        <f>'Part II-Development Team'!Q55</f>
        <v>Principal</v>
      </c>
      <c r="R258" s="1647">
        <f>'Part II-Development Team'!R55</f>
        <v>0</v>
      </c>
      <c r="S258" s="1647">
        <f>'Part II-Development Team'!S55</f>
        <v>0</v>
      </c>
    </row>
    <row r="259" spans="1:19">
      <c r="A259" s="1647"/>
      <c r="B259" s="1647"/>
      <c r="C259" s="1647"/>
      <c r="D259" s="1699"/>
      <c r="E259" s="1654" t="s">
        <v>618</v>
      </c>
      <c r="F259" s="1647"/>
      <c r="G259" s="1647"/>
      <c r="H259" s="1647" t="str">
        <f>'Part II-Development Team'!H56</f>
        <v>Charlottw</v>
      </c>
      <c r="I259" s="1647">
        <f>'Part II-Development Team'!I56</f>
        <v>0</v>
      </c>
      <c r="J259" s="1647">
        <f>'Part II-Development Team'!J56</f>
        <v>0</v>
      </c>
      <c r="K259" s="1651" t="s">
        <v>2704</v>
      </c>
      <c r="L259" s="1647" t="str">
        <f>'Part II-Development Team'!L56</f>
        <v>http://www.flatirondevelopment.com/</v>
      </c>
      <c r="M259" s="1647">
        <f>'Part II-Development Team'!M56</f>
        <v>0</v>
      </c>
      <c r="N259" s="1647">
        <f>'Part II-Development Team'!N56</f>
        <v>0</v>
      </c>
      <c r="O259" s="1654" t="s">
        <v>1721</v>
      </c>
      <c r="P259" s="1647"/>
      <c r="Q259" s="2116">
        <f>'Part II-Development Team'!Q56</f>
        <v>7043359112</v>
      </c>
      <c r="R259" s="2116">
        <f>'Part II-Development Team'!R56</f>
        <v>0</v>
      </c>
      <c r="S259" s="2116">
        <f>'Part II-Development Team'!S56</f>
        <v>0</v>
      </c>
    </row>
    <row r="260" spans="1:19">
      <c r="A260" s="1647"/>
      <c r="B260" s="1647"/>
      <c r="C260" s="1647"/>
      <c r="D260" s="1647"/>
      <c r="E260" s="1654" t="s">
        <v>1799</v>
      </c>
      <c r="F260" s="1647"/>
      <c r="G260" s="1647"/>
      <c r="H260" s="1654" t="str">
        <f>'Part II-Development Team'!H57</f>
        <v>NC</v>
      </c>
      <c r="I260" s="1647"/>
      <c r="J260" s="1647"/>
      <c r="K260" s="1651" t="s">
        <v>2229</v>
      </c>
      <c r="L260" s="2115">
        <f>'Part II-Development Team'!L57</f>
        <v>282035824</v>
      </c>
      <c r="M260" s="2115">
        <f>'Part II-Development Team'!M57</f>
        <v>0</v>
      </c>
      <c r="N260" s="1647"/>
      <c r="O260" s="1654" t="s">
        <v>1979</v>
      </c>
      <c r="P260" s="1647"/>
      <c r="Q260" s="2116">
        <f>'Part II-Development Team'!Q57</f>
        <v>8032694235</v>
      </c>
      <c r="R260" s="2116">
        <f>'Part II-Development Team'!R57</f>
        <v>0</v>
      </c>
      <c r="S260" s="2116">
        <f>'Part II-Development Team'!S57</f>
        <v>0</v>
      </c>
    </row>
    <row r="261" spans="1:19">
      <c r="A261" s="1647"/>
      <c r="B261" s="1647"/>
      <c r="C261" s="1647"/>
      <c r="D261" s="1699"/>
      <c r="E261" s="1654" t="s">
        <v>4260</v>
      </c>
      <c r="F261" s="1647"/>
      <c r="G261" s="1647"/>
      <c r="H261" s="2116">
        <f>'Part II-Development Team'!H58</f>
        <v>7043359112</v>
      </c>
      <c r="I261" s="2116">
        <f>'Part II-Development Team'!I58</f>
        <v>0</v>
      </c>
      <c r="J261" s="1661">
        <f>'Part II-Development Team'!J58</f>
        <v>0</v>
      </c>
      <c r="K261" s="1651" t="s">
        <v>1984</v>
      </c>
      <c r="L261" s="2023" t="str">
        <f>'Part II-Development Team'!L58</f>
        <v>cirick@flatironenterprises.com</v>
      </c>
      <c r="M261" s="2023">
        <f>'Part II-Development Team'!M58</f>
        <v>0</v>
      </c>
      <c r="N261" s="2023">
        <f>'Part II-Development Team'!N58</f>
        <v>0</v>
      </c>
      <c r="O261" s="2023">
        <f>'Part II-Development Team'!O58</f>
        <v>0</v>
      </c>
      <c r="P261" s="2023">
        <f>'Part II-Development Team'!P58</f>
        <v>0</v>
      </c>
      <c r="Q261" s="2023">
        <f>'Part II-Development Team'!Q58</f>
        <v>0</v>
      </c>
      <c r="R261" s="2023">
        <f>'Part II-Development Team'!R58</f>
        <v>0</v>
      </c>
      <c r="S261" s="2023">
        <f>'Part II-Development Team'!S58</f>
        <v>0</v>
      </c>
    </row>
    <row r="262" spans="1:19">
      <c r="A262" s="1647"/>
      <c r="B262" s="1647"/>
      <c r="C262" s="1647"/>
      <c r="D262" s="1699"/>
      <c r="E262" s="1647"/>
      <c r="F262" s="1647"/>
      <c r="G262" s="1654"/>
      <c r="H262" s="2116"/>
      <c r="I262" s="2116"/>
      <c r="J262" s="2116"/>
      <c r="K262" s="1651"/>
      <c r="L262" s="2116"/>
      <c r="M262" s="2116"/>
      <c r="N262" s="1651"/>
      <c r="O262" s="2116"/>
      <c r="P262" s="2116"/>
      <c r="Q262" s="1651"/>
      <c r="R262" s="2116"/>
      <c r="S262" s="2116"/>
    </row>
    <row r="263" spans="1:19">
      <c r="A263" s="1647"/>
      <c r="B263" s="1628" t="s">
        <v>1985</v>
      </c>
      <c r="C263" s="1628" t="s">
        <v>283</v>
      </c>
      <c r="D263" s="1647"/>
      <c r="E263" s="1647"/>
      <c r="F263" s="1647"/>
      <c r="G263" s="1647"/>
      <c r="H263" s="1647" t="str">
        <f>'Part II-Development Team'!H60</f>
        <v>Classic Development Company, LLC</v>
      </c>
      <c r="I263" s="1647">
        <f>'Part II-Development Team'!I60</f>
        <v>0</v>
      </c>
      <c r="J263" s="1647">
        <f>'Part II-Development Team'!J60</f>
        <v>0</v>
      </c>
      <c r="K263" s="1647">
        <f>'Part II-Development Team'!K60</f>
        <v>0</v>
      </c>
      <c r="L263" s="1647">
        <f>'Part II-Development Team'!L60</f>
        <v>0</v>
      </c>
      <c r="M263" s="1647">
        <f>'Part II-Development Team'!M60</f>
        <v>0</v>
      </c>
      <c r="N263" s="1647">
        <f>'Part II-Development Team'!N60</f>
        <v>0</v>
      </c>
      <c r="O263" s="1654" t="s">
        <v>1989</v>
      </c>
      <c r="P263" s="1654"/>
      <c r="Q263" s="1647" t="str">
        <f>'Part II-Development Team'!Q60</f>
        <v>James M. Bernstein</v>
      </c>
      <c r="R263" s="1647">
        <f>'Part II-Development Team'!R60</f>
        <v>0</v>
      </c>
      <c r="S263" s="1647">
        <f>'Part II-Development Team'!S60</f>
        <v>0</v>
      </c>
    </row>
    <row r="264" spans="1:19">
      <c r="A264" s="1647"/>
      <c r="B264" s="1647"/>
      <c r="C264" s="1647"/>
      <c r="D264" s="1699"/>
      <c r="E264" s="1654" t="s">
        <v>1021</v>
      </c>
      <c r="F264" s="1657"/>
      <c r="G264" s="1647"/>
      <c r="H264" s="1647" t="str">
        <f>'Part II-Development Team'!H61</f>
        <v>1075 Cottingham Drive</v>
      </c>
      <c r="I264" s="1647">
        <f>'Part II-Development Team'!I61</f>
        <v>0</v>
      </c>
      <c r="J264" s="1647">
        <f>'Part II-Development Team'!J61</f>
        <v>0</v>
      </c>
      <c r="K264" s="1647">
        <f>'Part II-Development Team'!K61</f>
        <v>0</v>
      </c>
      <c r="L264" s="1647">
        <f>'Part II-Development Team'!L61</f>
        <v>0</v>
      </c>
      <c r="M264" s="1647">
        <f>'Part II-Development Team'!M61</f>
        <v>0</v>
      </c>
      <c r="N264" s="1647">
        <f>'Part II-Development Team'!N61</f>
        <v>0</v>
      </c>
      <c r="O264" s="1654" t="s">
        <v>1747</v>
      </c>
      <c r="P264" s="1647"/>
      <c r="Q264" s="1647" t="str">
        <f>'Part II-Development Team'!Q61</f>
        <v>Principal</v>
      </c>
      <c r="R264" s="1647">
        <f>'Part II-Development Team'!R61</f>
        <v>0</v>
      </c>
      <c r="S264" s="1647">
        <f>'Part II-Development Team'!S61</f>
        <v>0</v>
      </c>
    </row>
    <row r="265" spans="1:19">
      <c r="A265" s="1647"/>
      <c r="B265" s="1647"/>
      <c r="C265" s="1647"/>
      <c r="D265" s="1699"/>
      <c r="E265" s="1654" t="s">
        <v>618</v>
      </c>
      <c r="F265" s="1647"/>
      <c r="G265" s="1647"/>
      <c r="H265" s="1647" t="str">
        <f>'Part II-Development Team'!H62</f>
        <v>Mount Pleasant</v>
      </c>
      <c r="I265" s="1647">
        <f>'Part II-Development Team'!I62</f>
        <v>0</v>
      </c>
      <c r="J265" s="1647">
        <f>'Part II-Development Team'!J62</f>
        <v>0</v>
      </c>
      <c r="K265" s="1651" t="s">
        <v>2704</v>
      </c>
      <c r="L265" s="1647">
        <f>'Part II-Development Team'!L62</f>
        <v>0</v>
      </c>
      <c r="M265" s="1647">
        <f>'Part II-Development Team'!M62</f>
        <v>0</v>
      </c>
      <c r="N265" s="1647">
        <f>'Part II-Development Team'!N62</f>
        <v>0</v>
      </c>
      <c r="O265" s="1654" t="s">
        <v>1721</v>
      </c>
      <c r="P265" s="1647"/>
      <c r="Q265" s="2116">
        <f>'Part II-Development Team'!Q62</f>
        <v>8436961541</v>
      </c>
      <c r="R265" s="2116">
        <f>'Part II-Development Team'!R62</f>
        <v>0</v>
      </c>
      <c r="S265" s="2116">
        <f>'Part II-Development Team'!S62</f>
        <v>0</v>
      </c>
    </row>
    <row r="266" spans="1:19">
      <c r="A266" s="1647"/>
      <c r="B266" s="1647"/>
      <c r="C266" s="1647"/>
      <c r="D266" s="1647"/>
      <c r="E266" s="1654" t="s">
        <v>1799</v>
      </c>
      <c r="F266" s="1647"/>
      <c r="G266" s="1647"/>
      <c r="H266" s="1654" t="str">
        <f>'Part II-Development Team'!H63</f>
        <v>SC</v>
      </c>
      <c r="I266" s="1647"/>
      <c r="J266" s="1647"/>
      <c r="K266" s="1651" t="s">
        <v>2229</v>
      </c>
      <c r="L266" s="2115">
        <f>'Part II-Development Team'!L63</f>
        <v>294643503</v>
      </c>
      <c r="M266" s="2115">
        <f>'Part II-Development Team'!M63</f>
        <v>0</v>
      </c>
      <c r="N266" s="1647"/>
      <c r="O266" s="1654" t="s">
        <v>1979</v>
      </c>
      <c r="P266" s="1647"/>
      <c r="Q266" s="2116">
        <f>'Part II-Development Team'!Q63</f>
        <v>8436961541</v>
      </c>
      <c r="R266" s="2116">
        <f>'Part II-Development Team'!R63</f>
        <v>0</v>
      </c>
      <c r="S266" s="2116">
        <f>'Part II-Development Team'!S63</f>
        <v>0</v>
      </c>
    </row>
    <row r="267" spans="1:19">
      <c r="A267" s="1647"/>
      <c r="B267" s="1647"/>
      <c r="C267" s="1647"/>
      <c r="D267" s="1699"/>
      <c r="E267" s="1654" t="s">
        <v>4260</v>
      </c>
      <c r="F267" s="1647"/>
      <c r="G267" s="1647"/>
      <c r="H267" s="2116">
        <f>'Part II-Development Team'!H64</f>
        <v>8436961541</v>
      </c>
      <c r="I267" s="2116">
        <f>'Part II-Development Team'!I64</f>
        <v>0</v>
      </c>
      <c r="J267" s="1661">
        <f>'Part II-Development Team'!J64</f>
        <v>0</v>
      </c>
      <c r="K267" s="1651" t="s">
        <v>1984</v>
      </c>
      <c r="L267" s="2023" t="str">
        <f>'Part II-Development Team'!L64</f>
        <v>jaymb189@gmail.com</v>
      </c>
      <c r="M267" s="2023">
        <f>'Part II-Development Team'!M64</f>
        <v>0</v>
      </c>
      <c r="N267" s="2023">
        <f>'Part II-Development Team'!N64</f>
        <v>0</v>
      </c>
      <c r="O267" s="2023">
        <f>'Part II-Development Team'!O64</f>
        <v>0</v>
      </c>
      <c r="P267" s="2023">
        <f>'Part II-Development Team'!P64</f>
        <v>0</v>
      </c>
      <c r="Q267" s="2023">
        <f>'Part II-Development Team'!Q64</f>
        <v>0</v>
      </c>
      <c r="R267" s="2023">
        <f>'Part II-Development Team'!R64</f>
        <v>0</v>
      </c>
      <c r="S267" s="2023">
        <f>'Part II-Development Team'!S64</f>
        <v>0</v>
      </c>
    </row>
    <row r="268" spans="1:19">
      <c r="A268" s="1647"/>
      <c r="B268" s="1647"/>
      <c r="C268" s="1647"/>
      <c r="D268" s="1699"/>
      <c r="E268" s="1647"/>
      <c r="F268" s="1647"/>
      <c r="G268" s="1654"/>
      <c r="H268" s="2116"/>
      <c r="I268" s="2116"/>
      <c r="J268" s="2116"/>
      <c r="K268" s="1651"/>
      <c r="L268" s="2116"/>
      <c r="M268" s="2116"/>
      <c r="N268" s="1651"/>
      <c r="O268" s="2116"/>
      <c r="P268" s="2116"/>
      <c r="Q268" s="1651"/>
      <c r="R268" s="2116"/>
      <c r="S268" s="2116"/>
    </row>
    <row r="269" spans="1:19">
      <c r="A269" s="1647"/>
      <c r="B269" s="1628" t="s">
        <v>749</v>
      </c>
      <c r="C269" s="1628" t="s">
        <v>1528</v>
      </c>
      <c r="D269" s="1647"/>
      <c r="E269" s="1647"/>
      <c r="F269" s="1647"/>
      <c r="G269" s="1647"/>
      <c r="H269" s="1647">
        <f>'Part II-Development Team'!H66</f>
        <v>0</v>
      </c>
      <c r="I269" s="1647">
        <f>'Part II-Development Team'!I66</f>
        <v>0</v>
      </c>
      <c r="J269" s="1647">
        <f>'Part II-Development Team'!J66</f>
        <v>0</v>
      </c>
      <c r="K269" s="1647">
        <f>'Part II-Development Team'!K66</f>
        <v>0</v>
      </c>
      <c r="L269" s="1647">
        <f>'Part II-Development Team'!L66</f>
        <v>0</v>
      </c>
      <c r="M269" s="1647">
        <f>'Part II-Development Team'!M66</f>
        <v>0</v>
      </c>
      <c r="N269" s="1647">
        <f>'Part II-Development Team'!N66</f>
        <v>0</v>
      </c>
      <c r="O269" s="1654" t="s">
        <v>1989</v>
      </c>
      <c r="P269" s="1654"/>
      <c r="Q269" s="1647">
        <f>'Part II-Development Team'!Q66</f>
        <v>0</v>
      </c>
      <c r="R269" s="1647">
        <f>'Part II-Development Team'!R66</f>
        <v>0</v>
      </c>
      <c r="S269" s="1647">
        <f>'Part II-Development Team'!S66</f>
        <v>0</v>
      </c>
    </row>
    <row r="270" spans="1:19">
      <c r="A270" s="1647"/>
      <c r="B270" s="1647"/>
      <c r="C270" s="1647"/>
      <c r="D270" s="1699"/>
      <c r="E270" s="1654" t="s">
        <v>1021</v>
      </c>
      <c r="F270" s="1657"/>
      <c r="G270" s="1647"/>
      <c r="H270" s="1647">
        <f>'Part II-Development Team'!H67</f>
        <v>0</v>
      </c>
      <c r="I270" s="1647">
        <f>'Part II-Development Team'!I67</f>
        <v>0</v>
      </c>
      <c r="J270" s="1647">
        <f>'Part II-Development Team'!J67</f>
        <v>0</v>
      </c>
      <c r="K270" s="1647">
        <f>'Part II-Development Team'!K67</f>
        <v>0</v>
      </c>
      <c r="L270" s="1647">
        <f>'Part II-Development Team'!L67</f>
        <v>0</v>
      </c>
      <c r="M270" s="1647">
        <f>'Part II-Development Team'!M67</f>
        <v>0</v>
      </c>
      <c r="N270" s="1647">
        <f>'Part II-Development Team'!N67</f>
        <v>0</v>
      </c>
      <c r="O270" s="1654" t="s">
        <v>1747</v>
      </c>
      <c r="P270" s="1647"/>
      <c r="Q270" s="1647">
        <f>'Part II-Development Team'!Q67</f>
        <v>0</v>
      </c>
      <c r="R270" s="1647">
        <f>'Part II-Development Team'!R67</f>
        <v>0</v>
      </c>
      <c r="S270" s="1647">
        <f>'Part II-Development Team'!S67</f>
        <v>0</v>
      </c>
    </row>
    <row r="271" spans="1:19">
      <c r="A271" s="1647"/>
      <c r="B271" s="1647"/>
      <c r="C271" s="1647"/>
      <c r="D271" s="1699"/>
      <c r="E271" s="1654" t="s">
        <v>618</v>
      </c>
      <c r="F271" s="1647"/>
      <c r="G271" s="1647"/>
      <c r="H271" s="1647">
        <f>'Part II-Development Team'!H68</f>
        <v>0</v>
      </c>
      <c r="I271" s="1647">
        <f>'Part II-Development Team'!I68</f>
        <v>0</v>
      </c>
      <c r="J271" s="1647">
        <f>'Part II-Development Team'!J68</f>
        <v>0</v>
      </c>
      <c r="K271" s="1651" t="s">
        <v>2704</v>
      </c>
      <c r="L271" s="1647">
        <f>'Part II-Development Team'!L68</f>
        <v>0</v>
      </c>
      <c r="M271" s="1647">
        <f>'Part II-Development Team'!M68</f>
        <v>0</v>
      </c>
      <c r="N271" s="1647">
        <f>'Part II-Development Team'!N68</f>
        <v>0</v>
      </c>
      <c r="O271" s="1654" t="s">
        <v>1721</v>
      </c>
      <c r="P271" s="1647"/>
      <c r="Q271" s="2116">
        <f>'Part II-Development Team'!Q68</f>
        <v>0</v>
      </c>
      <c r="R271" s="2116">
        <f>'Part II-Development Team'!R68</f>
        <v>0</v>
      </c>
      <c r="S271" s="2116">
        <f>'Part II-Development Team'!S68</f>
        <v>0</v>
      </c>
    </row>
    <row r="272" spans="1:19">
      <c r="A272" s="1647"/>
      <c r="B272" s="1647"/>
      <c r="C272" s="1647"/>
      <c r="D272" s="1647"/>
      <c r="E272" s="1654" t="s">
        <v>1799</v>
      </c>
      <c r="F272" s="1647"/>
      <c r="G272" s="1647"/>
      <c r="H272" s="1654">
        <f>'Part II-Development Team'!H69</f>
        <v>0</v>
      </c>
      <c r="I272" s="1647"/>
      <c r="J272" s="1647"/>
      <c r="K272" s="1651" t="s">
        <v>2229</v>
      </c>
      <c r="L272" s="2115">
        <f>'Part II-Development Team'!L69</f>
        <v>0</v>
      </c>
      <c r="M272" s="2115">
        <f>'Part II-Development Team'!M69</f>
        <v>0</v>
      </c>
      <c r="N272" s="1647"/>
      <c r="O272" s="1654" t="s">
        <v>1979</v>
      </c>
      <c r="P272" s="1647"/>
      <c r="Q272" s="2116">
        <f>'Part II-Development Team'!Q69</f>
        <v>0</v>
      </c>
      <c r="R272" s="2116">
        <f>'Part II-Development Team'!R69</f>
        <v>0</v>
      </c>
      <c r="S272" s="2116">
        <f>'Part II-Development Team'!S69</f>
        <v>0</v>
      </c>
    </row>
    <row r="273" spans="1:19">
      <c r="A273" s="1647"/>
      <c r="B273" s="1647"/>
      <c r="C273" s="1647"/>
      <c r="D273" s="1699"/>
      <c r="E273" s="1654" t="s">
        <v>4260</v>
      </c>
      <c r="F273" s="1647"/>
      <c r="G273" s="1647"/>
      <c r="H273" s="2116">
        <f>'Part II-Development Team'!H70</f>
        <v>0</v>
      </c>
      <c r="I273" s="2116">
        <f>'Part II-Development Team'!I70</f>
        <v>0</v>
      </c>
      <c r="J273" s="1661">
        <f>'Part II-Development Team'!J70</f>
        <v>0</v>
      </c>
      <c r="K273" s="1651" t="s">
        <v>1984</v>
      </c>
      <c r="L273" s="2023">
        <f>'Part II-Development Team'!L70</f>
        <v>0</v>
      </c>
      <c r="M273" s="2023">
        <f>'Part II-Development Team'!M70</f>
        <v>0</v>
      </c>
      <c r="N273" s="2023">
        <f>'Part II-Development Team'!N70</f>
        <v>0</v>
      </c>
      <c r="O273" s="2023">
        <f>'Part II-Development Team'!O70</f>
        <v>0</v>
      </c>
      <c r="P273" s="2023">
        <f>'Part II-Development Team'!P70</f>
        <v>0</v>
      </c>
      <c r="Q273" s="2023">
        <f>'Part II-Development Team'!Q70</f>
        <v>0</v>
      </c>
      <c r="R273" s="2023">
        <f>'Part II-Development Team'!R70</f>
        <v>0</v>
      </c>
      <c r="S273" s="2023">
        <f>'Part II-Development Team'!S70</f>
        <v>0</v>
      </c>
    </row>
    <row r="274" spans="1:19">
      <c r="A274" s="1653"/>
      <c r="B274" s="1653"/>
      <c r="C274" s="1653"/>
      <c r="D274" s="1653"/>
      <c r="E274" s="1653"/>
      <c r="F274" s="1653"/>
      <c r="G274" s="1653"/>
      <c r="H274" s="2116"/>
      <c r="I274" s="2116"/>
      <c r="J274" s="2116"/>
      <c r="K274" s="1651"/>
      <c r="L274" s="2116"/>
      <c r="M274" s="2116"/>
      <c r="N274" s="1651"/>
      <c r="O274" s="2116"/>
      <c r="P274" s="2116"/>
      <c r="Q274" s="1651"/>
      <c r="R274" s="2116"/>
      <c r="S274" s="2116"/>
    </row>
    <row r="275" spans="1:19">
      <c r="A275" s="1647"/>
      <c r="B275" s="1628" t="s">
        <v>2115</v>
      </c>
      <c r="C275" s="1628" t="s">
        <v>284</v>
      </c>
      <c r="D275" s="1647"/>
      <c r="E275" s="1647"/>
      <c r="F275" s="1647"/>
      <c r="G275" s="1647"/>
      <c r="H275" s="1647">
        <f>'Part II-Development Team'!H72</f>
        <v>0</v>
      </c>
      <c r="I275" s="1647">
        <f>'Part II-Development Team'!I72</f>
        <v>0</v>
      </c>
      <c r="J275" s="1647">
        <f>'Part II-Development Team'!J72</f>
        <v>0</v>
      </c>
      <c r="K275" s="1647">
        <f>'Part II-Development Team'!K72</f>
        <v>0</v>
      </c>
      <c r="L275" s="1647">
        <f>'Part II-Development Team'!L72</f>
        <v>0</v>
      </c>
      <c r="M275" s="1647">
        <f>'Part II-Development Team'!M72</f>
        <v>0</v>
      </c>
      <c r="N275" s="1647">
        <f>'Part II-Development Team'!N72</f>
        <v>0</v>
      </c>
      <c r="O275" s="1654" t="s">
        <v>1989</v>
      </c>
      <c r="P275" s="1654"/>
      <c r="Q275" s="1647">
        <f>'Part II-Development Team'!Q72</f>
        <v>0</v>
      </c>
      <c r="R275" s="1647">
        <f>'Part II-Development Team'!R72</f>
        <v>0</v>
      </c>
      <c r="S275" s="1647">
        <f>'Part II-Development Team'!S72</f>
        <v>0</v>
      </c>
    </row>
    <row r="276" spans="1:19">
      <c r="A276" s="1647"/>
      <c r="B276" s="1647"/>
      <c r="C276" s="1647"/>
      <c r="D276" s="1699"/>
      <c r="E276" s="1654" t="s">
        <v>1021</v>
      </c>
      <c r="F276" s="1657"/>
      <c r="G276" s="1647"/>
      <c r="H276" s="1647">
        <f>'Part II-Development Team'!H73</f>
        <v>0</v>
      </c>
      <c r="I276" s="1647">
        <f>'Part II-Development Team'!I73</f>
        <v>0</v>
      </c>
      <c r="J276" s="1647">
        <f>'Part II-Development Team'!J73</f>
        <v>0</v>
      </c>
      <c r="K276" s="1647">
        <f>'Part II-Development Team'!K73</f>
        <v>0</v>
      </c>
      <c r="L276" s="1647">
        <f>'Part II-Development Team'!L73</f>
        <v>0</v>
      </c>
      <c r="M276" s="1647">
        <f>'Part II-Development Team'!M73</f>
        <v>0</v>
      </c>
      <c r="N276" s="1647">
        <f>'Part II-Development Team'!N73</f>
        <v>0</v>
      </c>
      <c r="O276" s="1654" t="s">
        <v>1747</v>
      </c>
      <c r="P276" s="1647"/>
      <c r="Q276" s="1647">
        <f>'Part II-Development Team'!Q73</f>
        <v>0</v>
      </c>
      <c r="R276" s="1647">
        <f>'Part II-Development Team'!R73</f>
        <v>0</v>
      </c>
      <c r="S276" s="1647">
        <f>'Part II-Development Team'!S73</f>
        <v>0</v>
      </c>
    </row>
    <row r="277" spans="1:19">
      <c r="A277" s="1647"/>
      <c r="B277" s="1647"/>
      <c r="C277" s="1647"/>
      <c r="D277" s="1699"/>
      <c r="E277" s="1654" t="s">
        <v>618</v>
      </c>
      <c r="F277" s="1647"/>
      <c r="G277" s="1647"/>
      <c r="H277" s="1647">
        <f>'Part II-Development Team'!H74</f>
        <v>0</v>
      </c>
      <c r="I277" s="1647">
        <f>'Part II-Development Team'!I74</f>
        <v>0</v>
      </c>
      <c r="J277" s="1647">
        <f>'Part II-Development Team'!J74</f>
        <v>0</v>
      </c>
      <c r="K277" s="1651" t="s">
        <v>2704</v>
      </c>
      <c r="L277" s="1647">
        <f>'Part II-Development Team'!L74</f>
        <v>0</v>
      </c>
      <c r="M277" s="1647">
        <f>'Part II-Development Team'!M74</f>
        <v>0</v>
      </c>
      <c r="N277" s="1647">
        <f>'Part II-Development Team'!N74</f>
        <v>0</v>
      </c>
      <c r="O277" s="1654" t="s">
        <v>1721</v>
      </c>
      <c r="P277" s="1647"/>
      <c r="Q277" s="2116">
        <f>'Part II-Development Team'!Q74</f>
        <v>0</v>
      </c>
      <c r="R277" s="2116">
        <f>'Part II-Development Team'!R74</f>
        <v>0</v>
      </c>
      <c r="S277" s="2116">
        <f>'Part II-Development Team'!S74</f>
        <v>0</v>
      </c>
    </row>
    <row r="278" spans="1:19">
      <c r="A278" s="1647"/>
      <c r="B278" s="1647"/>
      <c r="C278" s="1647"/>
      <c r="D278" s="1647"/>
      <c r="E278" s="1654" t="s">
        <v>1799</v>
      </c>
      <c r="F278" s="1647"/>
      <c r="G278" s="1647"/>
      <c r="H278" s="1654">
        <f>'Part II-Development Team'!H75</f>
        <v>0</v>
      </c>
      <c r="I278" s="1647"/>
      <c r="J278" s="1647"/>
      <c r="K278" s="1651" t="s">
        <v>2229</v>
      </c>
      <c r="L278" s="2115">
        <f>'Part II-Development Team'!L75</f>
        <v>0</v>
      </c>
      <c r="M278" s="2115">
        <f>'Part II-Development Team'!M75</f>
        <v>0</v>
      </c>
      <c r="N278" s="1647"/>
      <c r="O278" s="1654" t="s">
        <v>1979</v>
      </c>
      <c r="P278" s="1647"/>
      <c r="Q278" s="2116">
        <f>'Part II-Development Team'!Q75</f>
        <v>0</v>
      </c>
      <c r="R278" s="2116">
        <f>'Part II-Development Team'!R75</f>
        <v>0</v>
      </c>
      <c r="S278" s="2116">
        <f>'Part II-Development Team'!S75</f>
        <v>0</v>
      </c>
    </row>
    <row r="279" spans="1:19">
      <c r="A279" s="1647"/>
      <c r="B279" s="1647"/>
      <c r="C279" s="1647"/>
      <c r="D279" s="1699"/>
      <c r="E279" s="1654" t="s">
        <v>4260</v>
      </c>
      <c r="F279" s="1647"/>
      <c r="G279" s="1647"/>
      <c r="H279" s="2116">
        <f>'Part II-Development Team'!H76</f>
        <v>0</v>
      </c>
      <c r="I279" s="2116">
        <f>'Part II-Development Team'!I76</f>
        <v>0</v>
      </c>
      <c r="J279" s="1661">
        <f>'Part II-Development Team'!J76</f>
        <v>0</v>
      </c>
      <c r="K279" s="1651" t="s">
        <v>1984</v>
      </c>
      <c r="L279" s="2023">
        <f>'Part II-Development Team'!L76</f>
        <v>0</v>
      </c>
      <c r="M279" s="2023">
        <f>'Part II-Development Team'!M76</f>
        <v>0</v>
      </c>
      <c r="N279" s="2023">
        <f>'Part II-Development Team'!N76</f>
        <v>0</v>
      </c>
      <c r="O279" s="2023">
        <f>'Part II-Development Team'!O76</f>
        <v>0</v>
      </c>
      <c r="P279" s="2023">
        <f>'Part II-Development Team'!P76</f>
        <v>0</v>
      </c>
      <c r="Q279" s="2023">
        <f>'Part II-Development Team'!Q76</f>
        <v>0</v>
      </c>
      <c r="R279" s="2023">
        <f>'Part II-Development Team'!R76</f>
        <v>0</v>
      </c>
      <c r="S279" s="2023">
        <f>'Part II-Development Team'!S76</f>
        <v>0</v>
      </c>
    </row>
    <row r="280" spans="1:19">
      <c r="A280" s="1653"/>
      <c r="B280" s="1653"/>
      <c r="C280" s="1653"/>
      <c r="D280" s="1653"/>
      <c r="E280" s="1653"/>
      <c r="F280" s="1653"/>
      <c r="G280" s="1653"/>
      <c r="H280" s="1653"/>
      <c r="I280" s="1653"/>
      <c r="J280" s="1653"/>
      <c r="K280" s="1653"/>
      <c r="L280" s="1653"/>
      <c r="M280" s="1653"/>
      <c r="N280" s="1653"/>
      <c r="O280" s="1653"/>
      <c r="P280" s="1653"/>
      <c r="Q280" s="1653"/>
      <c r="R280" s="1653"/>
      <c r="S280" s="1653"/>
    </row>
    <row r="281" spans="1:19" ht="13.5">
      <c r="A281" s="1648" t="s">
        <v>742</v>
      </c>
      <c r="B281" s="1648" t="s">
        <v>285</v>
      </c>
      <c r="C281" s="1654"/>
      <c r="D281" s="1648"/>
      <c r="E281" s="1654"/>
      <c r="F281" s="1648"/>
      <c r="G281" s="1648"/>
      <c r="H281" s="1648"/>
      <c r="I281" s="1648"/>
      <c r="J281" s="1648"/>
      <c r="K281" s="1649" t="s">
        <v>4259</v>
      </c>
      <c r="L281" s="1648"/>
      <c r="M281" s="1648"/>
      <c r="N281" s="1654"/>
      <c r="O281" s="1654"/>
      <c r="P281" s="1654"/>
      <c r="Q281" s="1654"/>
      <c r="R281" s="1654"/>
      <c r="S281" s="1654"/>
    </row>
    <row r="282" spans="1:19">
      <c r="A282" s="1648"/>
      <c r="B282" s="1648"/>
      <c r="C282" s="1654"/>
      <c r="D282" s="1648"/>
      <c r="E282" s="1654"/>
      <c r="F282" s="1648"/>
      <c r="G282" s="1648"/>
      <c r="H282" s="2116"/>
      <c r="I282" s="2116"/>
      <c r="J282" s="2116"/>
      <c r="K282" s="1651"/>
      <c r="L282" s="2116"/>
      <c r="M282" s="2116"/>
      <c r="N282" s="1651"/>
      <c r="O282" s="2116"/>
      <c r="P282" s="2116"/>
      <c r="Q282" s="1651"/>
      <c r="R282" s="2116"/>
      <c r="S282" s="2116"/>
    </row>
    <row r="283" spans="1:19">
      <c r="A283" s="1647"/>
      <c r="B283" s="1628" t="s">
        <v>1983</v>
      </c>
      <c r="C283" s="1628" t="s">
        <v>286</v>
      </c>
      <c r="D283" s="1647"/>
      <c r="E283" s="1647"/>
      <c r="F283" s="1647"/>
      <c r="G283" s="1647"/>
      <c r="H283" s="1647">
        <f>'Part II-Development Team'!H80</f>
        <v>0</v>
      </c>
      <c r="I283" s="1647">
        <f>'Part II-Development Team'!I80</f>
        <v>0</v>
      </c>
      <c r="J283" s="1647">
        <f>'Part II-Development Team'!J80</f>
        <v>0</v>
      </c>
      <c r="K283" s="1647">
        <f>'Part II-Development Team'!K80</f>
        <v>0</v>
      </c>
      <c r="L283" s="1647">
        <f>'Part II-Development Team'!L80</f>
        <v>0</v>
      </c>
      <c r="M283" s="1647">
        <f>'Part II-Development Team'!M80</f>
        <v>0</v>
      </c>
      <c r="N283" s="1647">
        <f>'Part II-Development Team'!N80</f>
        <v>0</v>
      </c>
      <c r="O283" s="1654" t="s">
        <v>1989</v>
      </c>
      <c r="P283" s="1654"/>
      <c r="Q283" s="1647">
        <f>'Part II-Development Team'!Q80</f>
        <v>0</v>
      </c>
      <c r="R283" s="1647">
        <f>'Part II-Development Team'!R80</f>
        <v>0</v>
      </c>
      <c r="S283" s="1647">
        <f>'Part II-Development Team'!S80</f>
        <v>0</v>
      </c>
    </row>
    <row r="284" spans="1:19">
      <c r="A284" s="1647"/>
      <c r="B284" s="1647"/>
      <c r="C284" s="1647"/>
      <c r="D284" s="1699"/>
      <c r="E284" s="1654" t="s">
        <v>1021</v>
      </c>
      <c r="F284" s="1657"/>
      <c r="G284" s="1647"/>
      <c r="H284" s="1647">
        <f>'Part II-Development Team'!H81</f>
        <v>0</v>
      </c>
      <c r="I284" s="1647">
        <f>'Part II-Development Team'!I81</f>
        <v>0</v>
      </c>
      <c r="J284" s="1647">
        <f>'Part II-Development Team'!J81</f>
        <v>0</v>
      </c>
      <c r="K284" s="1647">
        <f>'Part II-Development Team'!K81</f>
        <v>0</v>
      </c>
      <c r="L284" s="1647">
        <f>'Part II-Development Team'!L81</f>
        <v>0</v>
      </c>
      <c r="M284" s="1647">
        <f>'Part II-Development Team'!M81</f>
        <v>0</v>
      </c>
      <c r="N284" s="1647">
        <f>'Part II-Development Team'!N81</f>
        <v>0</v>
      </c>
      <c r="O284" s="1654" t="s">
        <v>1747</v>
      </c>
      <c r="P284" s="1647"/>
      <c r="Q284" s="1647">
        <f>'Part II-Development Team'!Q81</f>
        <v>0</v>
      </c>
      <c r="R284" s="1647">
        <f>'Part II-Development Team'!R81</f>
        <v>0</v>
      </c>
      <c r="S284" s="1647">
        <f>'Part II-Development Team'!S81</f>
        <v>0</v>
      </c>
    </row>
    <row r="285" spans="1:19">
      <c r="A285" s="1647"/>
      <c r="B285" s="1647"/>
      <c r="C285" s="1647"/>
      <c r="D285" s="1699"/>
      <c r="E285" s="1654" t="s">
        <v>618</v>
      </c>
      <c r="F285" s="1647"/>
      <c r="G285" s="1647"/>
      <c r="H285" s="1647">
        <f>'Part II-Development Team'!H82</f>
        <v>0</v>
      </c>
      <c r="I285" s="1647">
        <f>'Part II-Development Team'!I82</f>
        <v>0</v>
      </c>
      <c r="J285" s="1647">
        <f>'Part II-Development Team'!J82</f>
        <v>0</v>
      </c>
      <c r="K285" s="1651" t="s">
        <v>2704</v>
      </c>
      <c r="L285" s="1647">
        <f>'Part II-Development Team'!L82</f>
        <v>0</v>
      </c>
      <c r="M285" s="1647">
        <f>'Part II-Development Team'!M82</f>
        <v>0</v>
      </c>
      <c r="N285" s="1647">
        <f>'Part II-Development Team'!N82</f>
        <v>0</v>
      </c>
      <c r="O285" s="1654" t="s">
        <v>1721</v>
      </c>
      <c r="P285" s="1647"/>
      <c r="Q285" s="2116">
        <f>'Part II-Development Team'!Q82</f>
        <v>0</v>
      </c>
      <c r="R285" s="2116">
        <f>'Part II-Development Team'!R82</f>
        <v>0</v>
      </c>
      <c r="S285" s="2116">
        <f>'Part II-Development Team'!S82</f>
        <v>0</v>
      </c>
    </row>
    <row r="286" spans="1:19">
      <c r="A286" s="1647"/>
      <c r="B286" s="1647"/>
      <c r="C286" s="1647"/>
      <c r="D286" s="1647"/>
      <c r="E286" s="1654" t="s">
        <v>1799</v>
      </c>
      <c r="F286" s="1647"/>
      <c r="G286" s="1647"/>
      <c r="H286" s="1654">
        <f>'Part II-Development Team'!H83</f>
        <v>0</v>
      </c>
      <c r="I286" s="1647"/>
      <c r="J286" s="1647"/>
      <c r="K286" s="1651" t="s">
        <v>2229</v>
      </c>
      <c r="L286" s="2115">
        <f>'Part II-Development Team'!L83</f>
        <v>0</v>
      </c>
      <c r="M286" s="2115">
        <f>'Part II-Development Team'!M83</f>
        <v>0</v>
      </c>
      <c r="N286" s="1647"/>
      <c r="O286" s="1654" t="s">
        <v>1979</v>
      </c>
      <c r="P286" s="1647"/>
      <c r="Q286" s="2116">
        <f>'Part II-Development Team'!Q83</f>
        <v>0</v>
      </c>
      <c r="R286" s="2116">
        <f>'Part II-Development Team'!R83</f>
        <v>0</v>
      </c>
      <c r="S286" s="2116">
        <f>'Part II-Development Team'!S83</f>
        <v>0</v>
      </c>
    </row>
    <row r="287" spans="1:19">
      <c r="A287" s="1647"/>
      <c r="B287" s="1647"/>
      <c r="C287" s="1647"/>
      <c r="D287" s="1699"/>
      <c r="E287" s="1654" t="s">
        <v>4260</v>
      </c>
      <c r="F287" s="1647"/>
      <c r="G287" s="1647"/>
      <c r="H287" s="2116">
        <f>'Part II-Development Team'!H84</f>
        <v>0</v>
      </c>
      <c r="I287" s="2116">
        <f>'Part II-Development Team'!I84</f>
        <v>0</v>
      </c>
      <c r="J287" s="1661">
        <f>'Part II-Development Team'!J84</f>
        <v>0</v>
      </c>
      <c r="K287" s="1651" t="s">
        <v>1984</v>
      </c>
      <c r="L287" s="2023">
        <f>'Part II-Development Team'!L84</f>
        <v>0</v>
      </c>
      <c r="M287" s="2023">
        <f>'Part II-Development Team'!M84</f>
        <v>0</v>
      </c>
      <c r="N287" s="2023">
        <f>'Part II-Development Team'!N84</f>
        <v>0</v>
      </c>
      <c r="O287" s="2023">
        <f>'Part II-Development Team'!O84</f>
        <v>0</v>
      </c>
      <c r="P287" s="2023">
        <f>'Part II-Development Team'!P84</f>
        <v>0</v>
      </c>
      <c r="Q287" s="2023">
        <f>'Part II-Development Team'!Q84</f>
        <v>0</v>
      </c>
      <c r="R287" s="2023">
        <f>'Part II-Development Team'!R84</f>
        <v>0</v>
      </c>
      <c r="S287" s="2023">
        <f>'Part II-Development Team'!S84</f>
        <v>0</v>
      </c>
    </row>
    <row r="288" spans="1:19">
      <c r="A288" s="1653"/>
      <c r="B288" s="1653"/>
      <c r="C288" s="1653"/>
      <c r="D288" s="1653"/>
      <c r="E288" s="1653"/>
      <c r="F288" s="1653"/>
      <c r="G288" s="1653"/>
      <c r="H288" s="2116"/>
      <c r="I288" s="2116"/>
      <c r="J288" s="2116"/>
      <c r="K288" s="1651"/>
      <c r="L288" s="2116"/>
      <c r="M288" s="2116"/>
      <c r="N288" s="1651"/>
      <c r="O288" s="2116"/>
      <c r="P288" s="2116"/>
      <c r="Q288" s="1651"/>
      <c r="R288" s="2116"/>
      <c r="S288" s="2116"/>
    </row>
    <row r="289" spans="1:19">
      <c r="A289" s="1647"/>
      <c r="B289" s="1628" t="s">
        <v>1985</v>
      </c>
      <c r="C289" s="1628" t="s">
        <v>287</v>
      </c>
      <c r="D289" s="1647"/>
      <c r="E289" s="1647"/>
      <c r="F289" s="1647"/>
      <c r="G289" s="1647"/>
      <c r="H289" s="1647" t="str">
        <f>'Part II-Development Team'!H86</f>
        <v>To Be Determined</v>
      </c>
      <c r="I289" s="1647">
        <f>'Part II-Development Team'!I86</f>
        <v>0</v>
      </c>
      <c r="J289" s="1647">
        <f>'Part II-Development Team'!J86</f>
        <v>0</v>
      </c>
      <c r="K289" s="1647">
        <f>'Part II-Development Team'!K86</f>
        <v>0</v>
      </c>
      <c r="L289" s="1647">
        <f>'Part II-Development Team'!L86</f>
        <v>0</v>
      </c>
      <c r="M289" s="1647">
        <f>'Part II-Development Team'!M86</f>
        <v>0</v>
      </c>
      <c r="N289" s="1647">
        <f>'Part II-Development Team'!N86</f>
        <v>0</v>
      </c>
      <c r="O289" s="1654" t="s">
        <v>1989</v>
      </c>
      <c r="P289" s="1654"/>
      <c r="Q289" s="1647">
        <f>'Part II-Development Team'!Q86</f>
        <v>0</v>
      </c>
      <c r="R289" s="1647">
        <f>'Part II-Development Team'!R86</f>
        <v>0</v>
      </c>
      <c r="S289" s="1647">
        <f>'Part II-Development Team'!S86</f>
        <v>0</v>
      </c>
    </row>
    <row r="290" spans="1:19">
      <c r="A290" s="1647"/>
      <c r="B290" s="1647"/>
      <c r="C290" s="1647"/>
      <c r="D290" s="1699"/>
      <c r="E290" s="1654" t="s">
        <v>1021</v>
      </c>
      <c r="F290" s="1657"/>
      <c r="G290" s="1647"/>
      <c r="H290" s="1647">
        <f>'Part II-Development Team'!H87</f>
        <v>0</v>
      </c>
      <c r="I290" s="1647">
        <f>'Part II-Development Team'!I87</f>
        <v>0</v>
      </c>
      <c r="J290" s="1647">
        <f>'Part II-Development Team'!J87</f>
        <v>0</v>
      </c>
      <c r="K290" s="1647">
        <f>'Part II-Development Team'!K87</f>
        <v>0</v>
      </c>
      <c r="L290" s="1647">
        <f>'Part II-Development Team'!L87</f>
        <v>0</v>
      </c>
      <c r="M290" s="1647">
        <f>'Part II-Development Team'!M87</f>
        <v>0</v>
      </c>
      <c r="N290" s="1647">
        <f>'Part II-Development Team'!N87</f>
        <v>0</v>
      </c>
      <c r="O290" s="1654" t="s">
        <v>1747</v>
      </c>
      <c r="P290" s="1647"/>
      <c r="Q290" s="1647">
        <f>'Part II-Development Team'!Q87</f>
        <v>0</v>
      </c>
      <c r="R290" s="1647">
        <f>'Part II-Development Team'!R87</f>
        <v>0</v>
      </c>
      <c r="S290" s="1647">
        <f>'Part II-Development Team'!S87</f>
        <v>0</v>
      </c>
    </row>
    <row r="291" spans="1:19">
      <c r="A291" s="1647"/>
      <c r="B291" s="1647"/>
      <c r="C291" s="1647"/>
      <c r="D291" s="1699"/>
      <c r="E291" s="1654" t="s">
        <v>618</v>
      </c>
      <c r="F291" s="1647"/>
      <c r="G291" s="1647"/>
      <c r="H291" s="1647">
        <f>'Part II-Development Team'!H88</f>
        <v>0</v>
      </c>
      <c r="I291" s="1647">
        <f>'Part II-Development Team'!I88</f>
        <v>0</v>
      </c>
      <c r="J291" s="1647">
        <f>'Part II-Development Team'!J88</f>
        <v>0</v>
      </c>
      <c r="K291" s="1651" t="s">
        <v>2704</v>
      </c>
      <c r="L291" s="1647">
        <f>'Part II-Development Team'!L88</f>
        <v>0</v>
      </c>
      <c r="M291" s="1647">
        <f>'Part II-Development Team'!M88</f>
        <v>0</v>
      </c>
      <c r="N291" s="1647">
        <f>'Part II-Development Team'!N88</f>
        <v>0</v>
      </c>
      <c r="O291" s="1654" t="s">
        <v>1721</v>
      </c>
      <c r="P291" s="1647"/>
      <c r="Q291" s="2116">
        <f>'Part II-Development Team'!Q88</f>
        <v>0</v>
      </c>
      <c r="R291" s="2116">
        <f>'Part II-Development Team'!R88</f>
        <v>0</v>
      </c>
      <c r="S291" s="2116">
        <f>'Part II-Development Team'!S88</f>
        <v>0</v>
      </c>
    </row>
    <row r="292" spans="1:19">
      <c r="A292" s="1647"/>
      <c r="B292" s="1647"/>
      <c r="C292" s="1647"/>
      <c r="D292" s="1647"/>
      <c r="E292" s="1654" t="s">
        <v>1799</v>
      </c>
      <c r="F292" s="1647"/>
      <c r="G292" s="1647"/>
      <c r="H292" s="1654">
        <f>'Part II-Development Team'!H89</f>
        <v>0</v>
      </c>
      <c r="I292" s="1647"/>
      <c r="J292" s="1647"/>
      <c r="K292" s="1651" t="s">
        <v>2229</v>
      </c>
      <c r="L292" s="2115">
        <f>'Part II-Development Team'!L89</f>
        <v>0</v>
      </c>
      <c r="M292" s="2115">
        <f>'Part II-Development Team'!M89</f>
        <v>0</v>
      </c>
      <c r="N292" s="1647"/>
      <c r="O292" s="1654" t="s">
        <v>1979</v>
      </c>
      <c r="P292" s="1647"/>
      <c r="Q292" s="2116">
        <f>'Part II-Development Team'!Q89</f>
        <v>0</v>
      </c>
      <c r="R292" s="2116">
        <f>'Part II-Development Team'!R89</f>
        <v>0</v>
      </c>
      <c r="S292" s="2116">
        <f>'Part II-Development Team'!S89</f>
        <v>0</v>
      </c>
    </row>
    <row r="293" spans="1:19">
      <c r="A293" s="1647"/>
      <c r="B293" s="1647"/>
      <c r="C293" s="1647"/>
      <c r="D293" s="1699"/>
      <c r="E293" s="1654" t="s">
        <v>4260</v>
      </c>
      <c r="F293" s="1647"/>
      <c r="G293" s="1647"/>
      <c r="H293" s="2116">
        <f>'Part II-Development Team'!H90</f>
        <v>0</v>
      </c>
      <c r="I293" s="2116">
        <f>'Part II-Development Team'!I90</f>
        <v>0</v>
      </c>
      <c r="J293" s="1661">
        <f>'Part II-Development Team'!J90</f>
        <v>0</v>
      </c>
      <c r="K293" s="1651" t="s">
        <v>1984</v>
      </c>
      <c r="L293" s="2023">
        <f>'Part II-Development Team'!L90</f>
        <v>0</v>
      </c>
      <c r="M293" s="2023">
        <f>'Part II-Development Team'!M90</f>
        <v>0</v>
      </c>
      <c r="N293" s="2023">
        <f>'Part II-Development Team'!N90</f>
        <v>0</v>
      </c>
      <c r="O293" s="2023">
        <f>'Part II-Development Team'!O90</f>
        <v>0</v>
      </c>
      <c r="P293" s="2023">
        <f>'Part II-Development Team'!P90</f>
        <v>0</v>
      </c>
      <c r="Q293" s="2023">
        <f>'Part II-Development Team'!Q90</f>
        <v>0</v>
      </c>
      <c r="R293" s="2023">
        <f>'Part II-Development Team'!R90</f>
        <v>0</v>
      </c>
      <c r="S293" s="2023">
        <f>'Part II-Development Team'!S90</f>
        <v>0</v>
      </c>
    </row>
    <row r="294" spans="1:19">
      <c r="A294" s="1653"/>
      <c r="B294" s="1653"/>
      <c r="C294" s="1653"/>
      <c r="D294" s="1653"/>
      <c r="E294" s="1653"/>
      <c r="F294" s="1653"/>
      <c r="G294" s="1653"/>
      <c r="H294" s="2116"/>
      <c r="I294" s="2116"/>
      <c r="J294" s="2116"/>
      <c r="K294" s="1651"/>
      <c r="L294" s="2116"/>
      <c r="M294" s="2116"/>
      <c r="N294" s="1651"/>
      <c r="O294" s="2116"/>
      <c r="P294" s="2116"/>
      <c r="Q294" s="1651"/>
      <c r="R294" s="2116"/>
      <c r="S294" s="2116"/>
    </row>
    <row r="295" spans="1:19">
      <c r="A295" s="1647"/>
      <c r="B295" s="1628" t="s">
        <v>749</v>
      </c>
      <c r="C295" s="1628" t="s">
        <v>288</v>
      </c>
      <c r="D295" s="1647"/>
      <c r="E295" s="1647"/>
      <c r="F295" s="1653"/>
      <c r="G295" s="1647"/>
      <c r="H295" s="1647" t="str">
        <f>'Part II-Development Team'!H92</f>
        <v>GEM Management LLC</v>
      </c>
      <c r="I295" s="1647">
        <f>'Part II-Development Team'!I92</f>
        <v>0</v>
      </c>
      <c r="J295" s="1647">
        <f>'Part II-Development Team'!J92</f>
        <v>0</v>
      </c>
      <c r="K295" s="1647">
        <f>'Part II-Development Team'!K92</f>
        <v>0</v>
      </c>
      <c r="L295" s="1647">
        <f>'Part II-Development Team'!L92</f>
        <v>0</v>
      </c>
      <c r="M295" s="1647">
        <f>'Part II-Development Team'!M92</f>
        <v>0</v>
      </c>
      <c r="N295" s="1647">
        <f>'Part II-Development Team'!N92</f>
        <v>0</v>
      </c>
      <c r="O295" s="1654" t="s">
        <v>1989</v>
      </c>
      <c r="P295" s="1654"/>
      <c r="Q295" s="1647" t="str">
        <f>'Part II-Development Team'!Q92</f>
        <v>Tami Fossum</v>
      </c>
      <c r="R295" s="1647">
        <f>'Part II-Development Team'!R92</f>
        <v>0</v>
      </c>
      <c r="S295" s="1647">
        <f>'Part II-Development Team'!S92</f>
        <v>0</v>
      </c>
    </row>
    <row r="296" spans="1:19">
      <c r="A296" s="1647"/>
      <c r="B296" s="1647"/>
      <c r="C296" s="1647"/>
      <c r="D296" s="1699"/>
      <c r="E296" s="1654" t="s">
        <v>1021</v>
      </c>
      <c r="F296" s="1657"/>
      <c r="G296" s="1647"/>
      <c r="H296" s="1647" t="str">
        <f>'Part II-Development Team'!H93</f>
        <v>2021 Cross Beam Drive</v>
      </c>
      <c r="I296" s="1647">
        <f>'Part II-Development Team'!I93</f>
        <v>0</v>
      </c>
      <c r="J296" s="1647">
        <f>'Part II-Development Team'!J93</f>
        <v>0</v>
      </c>
      <c r="K296" s="1647">
        <f>'Part II-Development Team'!K93</f>
        <v>0</v>
      </c>
      <c r="L296" s="1647">
        <f>'Part II-Development Team'!L93</f>
        <v>0</v>
      </c>
      <c r="M296" s="1647">
        <f>'Part II-Development Team'!M93</f>
        <v>0</v>
      </c>
      <c r="N296" s="1647">
        <f>'Part II-Development Team'!N93</f>
        <v>0</v>
      </c>
      <c r="O296" s="1654" t="s">
        <v>1747</v>
      </c>
      <c r="P296" s="1647"/>
      <c r="Q296" s="1647" t="str">
        <f>'Part II-Development Team'!Q93</f>
        <v>Executive Director</v>
      </c>
      <c r="R296" s="1647">
        <f>'Part II-Development Team'!R93</f>
        <v>0</v>
      </c>
      <c r="S296" s="1647">
        <f>'Part II-Development Team'!S93</f>
        <v>0</v>
      </c>
    </row>
    <row r="297" spans="1:19">
      <c r="A297" s="1647"/>
      <c r="B297" s="1647"/>
      <c r="C297" s="1647"/>
      <c r="D297" s="1699"/>
      <c r="E297" s="1654" t="s">
        <v>618</v>
      </c>
      <c r="F297" s="1647"/>
      <c r="G297" s="1647"/>
      <c r="H297" s="1647" t="str">
        <f>'Part II-Development Team'!H94</f>
        <v>Charlotte</v>
      </c>
      <c r="I297" s="1647">
        <f>'Part II-Development Team'!I94</f>
        <v>0</v>
      </c>
      <c r="J297" s="1647">
        <f>'Part II-Development Team'!J94</f>
        <v>0</v>
      </c>
      <c r="K297" s="1651" t="s">
        <v>2704</v>
      </c>
      <c r="L297" s="1647" t="str">
        <f>'Part II-Development Team'!L94</f>
        <v>http://www.gemmanagement.com/</v>
      </c>
      <c r="M297" s="1647">
        <f>'Part II-Development Team'!M94</f>
        <v>0</v>
      </c>
      <c r="N297" s="1647">
        <f>'Part II-Development Team'!N94</f>
        <v>0</v>
      </c>
      <c r="O297" s="1654" t="s">
        <v>1721</v>
      </c>
      <c r="P297" s="1647"/>
      <c r="Q297" s="2116">
        <f>'Part II-Development Team'!Q94</f>
        <v>7043576119</v>
      </c>
      <c r="R297" s="2116">
        <f>'Part II-Development Team'!R94</f>
        <v>0</v>
      </c>
      <c r="S297" s="2116">
        <f>'Part II-Development Team'!S94</f>
        <v>0</v>
      </c>
    </row>
    <row r="298" spans="1:19">
      <c r="A298" s="1647"/>
      <c r="B298" s="1647"/>
      <c r="C298" s="1647"/>
      <c r="D298" s="1699"/>
      <c r="E298" s="1654" t="s">
        <v>1799</v>
      </c>
      <c r="F298" s="1647"/>
      <c r="G298" s="1647"/>
      <c r="H298" s="1654" t="str">
        <f>'Part II-Development Team'!H95</f>
        <v>NC</v>
      </c>
      <c r="I298" s="1647"/>
      <c r="J298" s="1647"/>
      <c r="K298" s="1651" t="s">
        <v>2229</v>
      </c>
      <c r="L298" s="2115">
        <f>'Part II-Development Team'!L95</f>
        <v>282172856</v>
      </c>
      <c r="M298" s="2115">
        <f>'Part II-Development Team'!M95</f>
        <v>0</v>
      </c>
      <c r="N298" s="1647"/>
      <c r="O298" s="1654" t="s">
        <v>1979</v>
      </c>
      <c r="P298" s="1647"/>
      <c r="Q298" s="2116">
        <f>'Part II-Development Team'!Q95</f>
        <v>7043576000</v>
      </c>
      <c r="R298" s="2116">
        <f>'Part II-Development Team'!R95</f>
        <v>0</v>
      </c>
      <c r="S298" s="2116">
        <f>'Part II-Development Team'!S95</f>
        <v>0</v>
      </c>
    </row>
    <row r="299" spans="1:19">
      <c r="A299" s="1647"/>
      <c r="B299" s="1647"/>
      <c r="C299" s="1647"/>
      <c r="D299" s="1699"/>
      <c r="E299" s="1654" t="s">
        <v>4260</v>
      </c>
      <c r="F299" s="1647"/>
      <c r="G299" s="1647"/>
      <c r="H299" s="2116">
        <f>'Part II-Development Team'!H96</f>
        <v>7043576000</v>
      </c>
      <c r="I299" s="2116">
        <f>'Part II-Development Team'!I96</f>
        <v>0</v>
      </c>
      <c r="J299" s="1661">
        <f>'Part II-Development Team'!J96</f>
        <v>119</v>
      </c>
      <c r="K299" s="1651" t="s">
        <v>1984</v>
      </c>
      <c r="L299" s="2023" t="str">
        <f>'Part II-Development Team'!L96</f>
        <v>tfossum@gemmanagement.com</v>
      </c>
      <c r="M299" s="2023">
        <f>'Part II-Development Team'!M96</f>
        <v>0</v>
      </c>
      <c r="N299" s="2023">
        <f>'Part II-Development Team'!N96</f>
        <v>0</v>
      </c>
      <c r="O299" s="2023">
        <f>'Part II-Development Team'!O96</f>
        <v>0</v>
      </c>
      <c r="P299" s="2023">
        <f>'Part II-Development Team'!P96</f>
        <v>0</v>
      </c>
      <c r="Q299" s="2023">
        <f>'Part II-Development Team'!Q96</f>
        <v>0</v>
      </c>
      <c r="R299" s="2023">
        <f>'Part II-Development Team'!R96</f>
        <v>0</v>
      </c>
      <c r="S299" s="2023">
        <f>'Part II-Development Team'!S96</f>
        <v>0</v>
      </c>
    </row>
    <row r="300" spans="1:19">
      <c r="A300" s="1653"/>
      <c r="B300" s="1653"/>
      <c r="C300" s="1653"/>
      <c r="D300" s="1653"/>
      <c r="E300" s="1653"/>
      <c r="F300" s="1653"/>
      <c r="G300" s="1653"/>
      <c r="H300" s="2116"/>
      <c r="I300" s="2116"/>
      <c r="J300" s="2116"/>
      <c r="K300" s="1651"/>
      <c r="L300" s="2116"/>
      <c r="M300" s="2116"/>
      <c r="N300" s="1651"/>
      <c r="O300" s="2116"/>
      <c r="P300" s="2116"/>
      <c r="Q300" s="1651"/>
      <c r="R300" s="2116"/>
      <c r="S300" s="2116"/>
    </row>
    <row r="301" spans="1:19">
      <c r="A301" s="1647"/>
      <c r="B301" s="1628" t="s">
        <v>2115</v>
      </c>
      <c r="C301" s="1628" t="s">
        <v>289</v>
      </c>
      <c r="D301" s="1647"/>
      <c r="E301" s="1647"/>
      <c r="F301" s="1647"/>
      <c r="G301" s="1647"/>
      <c r="H301" s="1647" t="str">
        <f>'Part II-Development Team'!H98</f>
        <v>Blanco Tackabery</v>
      </c>
      <c r="I301" s="1647">
        <f>'Part II-Development Team'!I98</f>
        <v>0</v>
      </c>
      <c r="J301" s="1647">
        <f>'Part II-Development Team'!J98</f>
        <v>0</v>
      </c>
      <c r="K301" s="1647">
        <f>'Part II-Development Team'!K98</f>
        <v>0</v>
      </c>
      <c r="L301" s="1647">
        <f>'Part II-Development Team'!L98</f>
        <v>0</v>
      </c>
      <c r="M301" s="1647">
        <f>'Part II-Development Team'!M98</f>
        <v>0</v>
      </c>
      <c r="N301" s="1647">
        <f>'Part II-Development Team'!N98</f>
        <v>0</v>
      </c>
      <c r="O301" s="1654" t="s">
        <v>1989</v>
      </c>
      <c r="P301" s="1654"/>
      <c r="Q301" s="1647" t="str">
        <f>'Part II-Development Team'!Q98</f>
        <v>Deborah L. McKinney</v>
      </c>
      <c r="R301" s="1647">
        <f>'Part II-Development Team'!R98</f>
        <v>0</v>
      </c>
      <c r="S301" s="1647">
        <f>'Part II-Development Team'!S98</f>
        <v>0</v>
      </c>
    </row>
    <row r="302" spans="1:19">
      <c r="A302" s="1647"/>
      <c r="B302" s="1647"/>
      <c r="C302" s="1647"/>
      <c r="D302" s="1699"/>
      <c r="E302" s="1654" t="s">
        <v>1021</v>
      </c>
      <c r="F302" s="1657"/>
      <c r="G302" s="1647"/>
      <c r="H302" s="1647" t="str">
        <f>'Part II-Development Team'!H99</f>
        <v>110 South Stratford Road, Suite 500</v>
      </c>
      <c r="I302" s="1647">
        <f>'Part II-Development Team'!I99</f>
        <v>0</v>
      </c>
      <c r="J302" s="1647">
        <f>'Part II-Development Team'!J99</f>
        <v>0</v>
      </c>
      <c r="K302" s="1647">
        <f>'Part II-Development Team'!K99</f>
        <v>0</v>
      </c>
      <c r="L302" s="1647">
        <f>'Part II-Development Team'!L99</f>
        <v>0</v>
      </c>
      <c r="M302" s="1647">
        <f>'Part II-Development Team'!M99</f>
        <v>0</v>
      </c>
      <c r="N302" s="1647">
        <f>'Part II-Development Team'!N99</f>
        <v>0</v>
      </c>
      <c r="O302" s="1654" t="s">
        <v>1747</v>
      </c>
      <c r="P302" s="1647"/>
      <c r="Q302" s="1647" t="str">
        <f>'Part II-Development Team'!Q99</f>
        <v>Partner</v>
      </c>
      <c r="R302" s="1647">
        <f>'Part II-Development Team'!R99</f>
        <v>0</v>
      </c>
      <c r="S302" s="1647">
        <f>'Part II-Development Team'!S99</f>
        <v>0</v>
      </c>
    </row>
    <row r="303" spans="1:19">
      <c r="A303" s="1647"/>
      <c r="B303" s="1647"/>
      <c r="C303" s="1647"/>
      <c r="D303" s="1699"/>
      <c r="E303" s="1654" t="s">
        <v>618</v>
      </c>
      <c r="F303" s="1647"/>
      <c r="G303" s="1647"/>
      <c r="H303" s="1647" t="str">
        <f>'Part II-Development Team'!H100</f>
        <v>Winston-Salem</v>
      </c>
      <c r="I303" s="1647">
        <f>'Part II-Development Team'!I100</f>
        <v>0</v>
      </c>
      <c r="J303" s="1647">
        <f>'Part II-Development Team'!J100</f>
        <v>0</v>
      </c>
      <c r="K303" s="1651" t="s">
        <v>2704</v>
      </c>
      <c r="L303" s="1647" t="str">
        <f>'Part II-Development Team'!L100</f>
        <v>http://www.blancolaw.com/</v>
      </c>
      <c r="M303" s="1647">
        <f>'Part II-Development Team'!M100</f>
        <v>0</v>
      </c>
      <c r="N303" s="1647">
        <f>'Part II-Development Team'!N100</f>
        <v>0</v>
      </c>
      <c r="O303" s="1654" t="s">
        <v>1721</v>
      </c>
      <c r="P303" s="1647"/>
      <c r="Q303" s="2116">
        <f>'Part II-Development Team'!Q100</f>
        <v>3362939045</v>
      </c>
      <c r="R303" s="2116">
        <f>'Part II-Development Team'!R100</f>
        <v>0</v>
      </c>
      <c r="S303" s="2116">
        <f>'Part II-Development Team'!S100</f>
        <v>0</v>
      </c>
    </row>
    <row r="304" spans="1:19">
      <c r="A304" s="1647"/>
      <c r="B304" s="1647"/>
      <c r="C304" s="1647"/>
      <c r="D304" s="1699"/>
      <c r="E304" s="1654" t="s">
        <v>1799</v>
      </c>
      <c r="F304" s="1647"/>
      <c r="G304" s="1647"/>
      <c r="H304" s="1654" t="str">
        <f>'Part II-Development Team'!H101</f>
        <v>NC</v>
      </c>
      <c r="I304" s="1647"/>
      <c r="J304" s="1647"/>
      <c r="K304" s="1651" t="s">
        <v>2229</v>
      </c>
      <c r="L304" s="2115">
        <f>'Part II-Development Team'!L101</f>
        <v>364692812</v>
      </c>
      <c r="M304" s="2115">
        <f>'Part II-Development Team'!M101</f>
        <v>0</v>
      </c>
      <c r="N304" s="1647"/>
      <c r="O304" s="1654" t="s">
        <v>1979</v>
      </c>
      <c r="P304" s="1647"/>
      <c r="Q304" s="2116">
        <f>'Part II-Development Team'!Q101</f>
        <v>3362939045</v>
      </c>
      <c r="R304" s="2116">
        <f>'Part II-Development Team'!R101</f>
        <v>0</v>
      </c>
      <c r="S304" s="2116">
        <f>'Part II-Development Team'!S101</f>
        <v>0</v>
      </c>
    </row>
    <row r="305" spans="1:19">
      <c r="A305" s="1653"/>
      <c r="B305" s="1653"/>
      <c r="C305" s="1653"/>
      <c r="D305" s="1653"/>
      <c r="E305" s="1654" t="s">
        <v>4260</v>
      </c>
      <c r="F305" s="1647"/>
      <c r="G305" s="1647"/>
      <c r="H305" s="2116">
        <f>'Part II-Development Team'!H102</f>
        <v>3362939000</v>
      </c>
      <c r="I305" s="2116">
        <f>'Part II-Development Team'!I102</f>
        <v>0</v>
      </c>
      <c r="J305" s="1661">
        <f>'Part II-Development Team'!J102</f>
        <v>45</v>
      </c>
      <c r="K305" s="1651" t="s">
        <v>1984</v>
      </c>
      <c r="L305" s="2023" t="str">
        <f>'Part II-Development Team'!L102</f>
        <v>dlm@blancolaw.com</v>
      </c>
      <c r="M305" s="2023">
        <f>'Part II-Development Team'!M102</f>
        <v>0</v>
      </c>
      <c r="N305" s="2023">
        <f>'Part II-Development Team'!N102</f>
        <v>0</v>
      </c>
      <c r="O305" s="2023">
        <f>'Part II-Development Team'!O102</f>
        <v>0</v>
      </c>
      <c r="P305" s="2023">
        <f>'Part II-Development Team'!P102</f>
        <v>0</v>
      </c>
      <c r="Q305" s="2023">
        <f>'Part II-Development Team'!Q102</f>
        <v>0</v>
      </c>
      <c r="R305" s="2023">
        <f>'Part II-Development Team'!R102</f>
        <v>0</v>
      </c>
      <c r="S305" s="2023">
        <f>'Part II-Development Team'!S102</f>
        <v>0</v>
      </c>
    </row>
    <row r="306" spans="1:19">
      <c r="A306" s="1653"/>
      <c r="B306" s="1653"/>
      <c r="C306" s="1653"/>
      <c r="D306" s="1653"/>
      <c r="E306" s="1654"/>
      <c r="F306" s="1647"/>
      <c r="G306" s="1647"/>
      <c r="H306" s="2116"/>
      <c r="I306" s="2116"/>
      <c r="J306" s="2116"/>
      <c r="K306" s="1651"/>
      <c r="L306" s="2116"/>
      <c r="M306" s="2116"/>
      <c r="N306" s="1651"/>
      <c r="O306" s="2116"/>
      <c r="P306" s="2116"/>
      <c r="Q306" s="1651"/>
      <c r="R306" s="2116"/>
      <c r="S306" s="2116"/>
    </row>
    <row r="307" spans="1:19">
      <c r="A307" s="1647"/>
      <c r="B307" s="1628" t="s">
        <v>1735</v>
      </c>
      <c r="C307" s="1628" t="s">
        <v>290</v>
      </c>
      <c r="D307" s="1647"/>
      <c r="E307" s="1647"/>
      <c r="F307" s="1647"/>
      <c r="G307" s="1647"/>
      <c r="H307" s="1647" t="str">
        <f>'Part II-Development Team'!H104</f>
        <v>Bernard Robinson &amp; Company, LLP</v>
      </c>
      <c r="I307" s="1647">
        <f>'Part II-Development Team'!I104</f>
        <v>0</v>
      </c>
      <c r="J307" s="1647">
        <f>'Part II-Development Team'!J104</f>
        <v>0</v>
      </c>
      <c r="K307" s="1647">
        <f>'Part II-Development Team'!K104</f>
        <v>0</v>
      </c>
      <c r="L307" s="1647">
        <f>'Part II-Development Team'!L104</f>
        <v>0</v>
      </c>
      <c r="M307" s="1647">
        <f>'Part II-Development Team'!M104</f>
        <v>0</v>
      </c>
      <c r="N307" s="1647">
        <f>'Part II-Development Team'!N104</f>
        <v>0</v>
      </c>
      <c r="O307" s="1654" t="s">
        <v>1989</v>
      </c>
      <c r="P307" s="1654"/>
      <c r="Q307" s="1647" t="str">
        <f>'Part II-Development Team'!Q104</f>
        <v>Tim Smith</v>
      </c>
      <c r="R307" s="1647">
        <f>'Part II-Development Team'!R104</f>
        <v>0</v>
      </c>
      <c r="S307" s="1647">
        <f>'Part II-Development Team'!S104</f>
        <v>0</v>
      </c>
    </row>
    <row r="308" spans="1:19">
      <c r="A308" s="1647"/>
      <c r="B308" s="1647"/>
      <c r="C308" s="1647"/>
      <c r="D308" s="1699"/>
      <c r="E308" s="1654" t="s">
        <v>1021</v>
      </c>
      <c r="F308" s="1657"/>
      <c r="G308" s="1647"/>
      <c r="H308" s="1647" t="str">
        <f>'Part II-Development Team'!H105</f>
        <v>1501 Highwoods Boulevard, Suite 300</v>
      </c>
      <c r="I308" s="1647">
        <f>'Part II-Development Team'!I105</f>
        <v>0</v>
      </c>
      <c r="J308" s="1647">
        <f>'Part II-Development Team'!J105</f>
        <v>0</v>
      </c>
      <c r="K308" s="1647">
        <f>'Part II-Development Team'!K105</f>
        <v>0</v>
      </c>
      <c r="L308" s="1647">
        <f>'Part II-Development Team'!L105</f>
        <v>0</v>
      </c>
      <c r="M308" s="1647">
        <f>'Part II-Development Team'!M105</f>
        <v>0</v>
      </c>
      <c r="N308" s="1647">
        <f>'Part II-Development Team'!N105</f>
        <v>0</v>
      </c>
      <c r="O308" s="1654" t="s">
        <v>1747</v>
      </c>
      <c r="P308" s="1647"/>
      <c r="Q308" s="1647" t="str">
        <f>'Part II-Development Team'!Q105</f>
        <v>Partner</v>
      </c>
      <c r="R308" s="1647">
        <f>'Part II-Development Team'!R105</f>
        <v>0</v>
      </c>
      <c r="S308" s="1647">
        <f>'Part II-Development Team'!S105</f>
        <v>0</v>
      </c>
    </row>
    <row r="309" spans="1:19">
      <c r="A309" s="1647"/>
      <c r="B309" s="1647"/>
      <c r="C309" s="1647"/>
      <c r="D309" s="1699"/>
      <c r="E309" s="1654" t="s">
        <v>618</v>
      </c>
      <c r="F309" s="1647"/>
      <c r="G309" s="1647"/>
      <c r="H309" s="1647" t="str">
        <f>'Part II-Development Team'!H106</f>
        <v>Greensboro</v>
      </c>
      <c r="I309" s="1647">
        <f>'Part II-Development Team'!I106</f>
        <v>0</v>
      </c>
      <c r="J309" s="1647">
        <f>'Part II-Development Team'!J106</f>
        <v>0</v>
      </c>
      <c r="K309" s="1651" t="s">
        <v>2704</v>
      </c>
      <c r="L309" s="1647" t="str">
        <f>'Part II-Development Team'!L106</f>
        <v>http://www.brccpa.com/</v>
      </c>
      <c r="M309" s="1647">
        <f>'Part II-Development Team'!M106</f>
        <v>0</v>
      </c>
      <c r="N309" s="1647">
        <f>'Part II-Development Team'!N106</f>
        <v>0</v>
      </c>
      <c r="O309" s="1654" t="s">
        <v>1721</v>
      </c>
      <c r="P309" s="1647"/>
      <c r="Q309" s="2116">
        <f>'Part II-Development Team'!Q106</f>
        <v>3362324410</v>
      </c>
      <c r="R309" s="2116">
        <f>'Part II-Development Team'!R106</f>
        <v>0</v>
      </c>
      <c r="S309" s="2116">
        <f>'Part II-Development Team'!S106</f>
        <v>0</v>
      </c>
    </row>
    <row r="310" spans="1:19">
      <c r="A310" s="1647"/>
      <c r="B310" s="1647"/>
      <c r="C310" s="1647"/>
      <c r="D310" s="1699"/>
      <c r="E310" s="1654" t="s">
        <v>1799</v>
      </c>
      <c r="F310" s="1647"/>
      <c r="G310" s="1647"/>
      <c r="H310" s="1654" t="str">
        <f>'Part II-Development Team'!H107</f>
        <v>NC</v>
      </c>
      <c r="I310" s="1647"/>
      <c r="J310" s="1647"/>
      <c r="K310" s="1651" t="s">
        <v>2229</v>
      </c>
      <c r="L310" s="2115">
        <f>'Part II-Development Team'!L107</f>
        <v>274100000</v>
      </c>
      <c r="M310" s="2115">
        <f>'Part II-Development Team'!M107</f>
        <v>0</v>
      </c>
      <c r="N310" s="1647"/>
      <c r="O310" s="1654" t="s">
        <v>1979</v>
      </c>
      <c r="P310" s="1647"/>
      <c r="Q310" s="2116">
        <f>'Part II-Development Team'!Q107</f>
        <v>3363398808</v>
      </c>
      <c r="R310" s="2116">
        <f>'Part II-Development Team'!R107</f>
        <v>0</v>
      </c>
      <c r="S310" s="2116">
        <f>'Part II-Development Team'!S107</f>
        <v>0</v>
      </c>
    </row>
    <row r="311" spans="1:19">
      <c r="A311" s="1653"/>
      <c r="B311" s="1653"/>
      <c r="C311" s="1653"/>
      <c r="D311" s="1653"/>
      <c r="E311" s="1654" t="s">
        <v>4260</v>
      </c>
      <c r="F311" s="1647"/>
      <c r="G311" s="1647"/>
      <c r="H311" s="2116">
        <f>'Part II-Development Team'!H108</f>
        <v>3362324410</v>
      </c>
      <c r="I311" s="2116">
        <f>'Part II-Development Team'!I108</f>
        <v>0</v>
      </c>
      <c r="J311" s="1661">
        <f>'Part II-Development Team'!J108</f>
        <v>0</v>
      </c>
      <c r="K311" s="1651" t="s">
        <v>1984</v>
      </c>
      <c r="L311" s="2023" t="str">
        <f>'Part II-Development Team'!L108</f>
        <v>tsmith@brccpa.com</v>
      </c>
      <c r="M311" s="2023">
        <f>'Part II-Development Team'!M108</f>
        <v>0</v>
      </c>
      <c r="N311" s="2023">
        <f>'Part II-Development Team'!N108</f>
        <v>0</v>
      </c>
      <c r="O311" s="2023">
        <f>'Part II-Development Team'!O108</f>
        <v>0</v>
      </c>
      <c r="P311" s="2023">
        <f>'Part II-Development Team'!P108</f>
        <v>0</v>
      </c>
      <c r="Q311" s="2023">
        <f>'Part II-Development Team'!Q108</f>
        <v>0</v>
      </c>
      <c r="R311" s="2023">
        <f>'Part II-Development Team'!R108</f>
        <v>0</v>
      </c>
      <c r="S311" s="2023">
        <f>'Part II-Development Team'!S108</f>
        <v>0</v>
      </c>
    </row>
    <row r="312" spans="1:19">
      <c r="A312" s="1653"/>
      <c r="B312" s="1653"/>
      <c r="C312" s="1653"/>
      <c r="D312" s="1653"/>
      <c r="E312" s="1654"/>
      <c r="F312" s="1647"/>
      <c r="G312" s="1647"/>
      <c r="H312" s="2116"/>
      <c r="I312" s="2116"/>
      <c r="J312" s="2116"/>
      <c r="K312" s="1651"/>
      <c r="L312" s="2116"/>
      <c r="M312" s="2116"/>
      <c r="N312" s="1651"/>
      <c r="O312" s="2116"/>
      <c r="P312" s="2116"/>
      <c r="Q312" s="1651"/>
      <c r="R312" s="2116"/>
      <c r="S312" s="2116"/>
    </row>
    <row r="313" spans="1:19">
      <c r="A313" s="1647"/>
      <c r="B313" s="1628" t="s">
        <v>1736</v>
      </c>
      <c r="C313" s="1628" t="s">
        <v>291</v>
      </c>
      <c r="D313" s="1647"/>
      <c r="E313" s="1647"/>
      <c r="F313" s="1647"/>
      <c r="G313" s="1647"/>
      <c r="H313" s="1647" t="str">
        <f>'Part II-Development Team'!H110</f>
        <v>Martin Riley Architects</v>
      </c>
      <c r="I313" s="1647">
        <f>'Part II-Development Team'!I110</f>
        <v>0</v>
      </c>
      <c r="J313" s="1647">
        <f>'Part II-Development Team'!J110</f>
        <v>0</v>
      </c>
      <c r="K313" s="1647">
        <f>'Part II-Development Team'!K110</f>
        <v>0</v>
      </c>
      <c r="L313" s="1647">
        <f>'Part II-Development Team'!L110</f>
        <v>0</v>
      </c>
      <c r="M313" s="1647">
        <f>'Part II-Development Team'!M110</f>
        <v>0</v>
      </c>
      <c r="N313" s="1647">
        <f>'Part II-Development Team'!N110</f>
        <v>0</v>
      </c>
      <c r="O313" s="1654" t="s">
        <v>1989</v>
      </c>
      <c r="P313" s="1654"/>
      <c r="Q313" s="1647" t="str">
        <f>'Part II-Development Team'!Q110</f>
        <v>Jackie Martin</v>
      </c>
      <c r="R313" s="1647">
        <f>'Part II-Development Team'!R110</f>
        <v>0</v>
      </c>
      <c r="S313" s="1647">
        <f>'Part II-Development Team'!S110</f>
        <v>0</v>
      </c>
    </row>
    <row r="314" spans="1:19">
      <c r="A314" s="1647"/>
      <c r="B314" s="1647"/>
      <c r="C314" s="1647"/>
      <c r="D314" s="1699"/>
      <c r="E314" s="1654" t="s">
        <v>1021</v>
      </c>
      <c r="F314" s="1657"/>
      <c r="G314" s="1647"/>
      <c r="H314" s="1647" t="str">
        <f>'Part II-Development Team'!H111</f>
        <v>215 Church Street</v>
      </c>
      <c r="I314" s="1647">
        <f>'Part II-Development Team'!I111</f>
        <v>0</v>
      </c>
      <c r="J314" s="1647">
        <f>'Part II-Development Team'!J111</f>
        <v>0</v>
      </c>
      <c r="K314" s="1647">
        <f>'Part II-Development Team'!K111</f>
        <v>0</v>
      </c>
      <c r="L314" s="1647">
        <f>'Part II-Development Team'!L111</f>
        <v>0</v>
      </c>
      <c r="M314" s="1647">
        <f>'Part II-Development Team'!M111</f>
        <v>0</v>
      </c>
      <c r="N314" s="1647">
        <f>'Part II-Development Team'!N111</f>
        <v>0</v>
      </c>
      <c r="O314" s="1654" t="s">
        <v>1747</v>
      </c>
      <c r="P314" s="1647"/>
      <c r="Q314" s="1647" t="str">
        <f>'Part II-Development Team'!Q111</f>
        <v>Principal</v>
      </c>
      <c r="R314" s="1647">
        <f>'Part II-Development Team'!R111</f>
        <v>0</v>
      </c>
      <c r="S314" s="1647">
        <f>'Part II-Development Team'!S111</f>
        <v>0</v>
      </c>
    </row>
    <row r="315" spans="1:19">
      <c r="A315" s="1647"/>
      <c r="B315" s="1647"/>
      <c r="C315" s="1647"/>
      <c r="D315" s="1699"/>
      <c r="E315" s="1654" t="s">
        <v>618</v>
      </c>
      <c r="F315" s="1647"/>
      <c r="G315" s="1647"/>
      <c r="H315" s="1647" t="str">
        <f>'Part II-Development Team'!H112</f>
        <v>Decatur</v>
      </c>
      <c r="I315" s="1647">
        <f>'Part II-Development Team'!I112</f>
        <v>0</v>
      </c>
      <c r="J315" s="1647">
        <f>'Part II-Development Team'!J112</f>
        <v>0</v>
      </c>
      <c r="K315" s="1651" t="s">
        <v>2704</v>
      </c>
      <c r="L315" s="1647" t="str">
        <f>'Part II-Development Team'!L112</f>
        <v>http://www.martinriley.com/</v>
      </c>
      <c r="M315" s="1647">
        <f>'Part II-Development Team'!M112</f>
        <v>0</v>
      </c>
      <c r="N315" s="1647">
        <f>'Part II-Development Team'!N112</f>
        <v>0</v>
      </c>
      <c r="O315" s="1654" t="s">
        <v>1721</v>
      </c>
      <c r="P315" s="1647"/>
      <c r="Q315" s="2116">
        <f>'Part II-Development Team'!Q112</f>
        <v>4043732800</v>
      </c>
      <c r="R315" s="2116">
        <f>'Part II-Development Team'!R112</f>
        <v>0</v>
      </c>
      <c r="S315" s="2116">
        <f>'Part II-Development Team'!S112</f>
        <v>0</v>
      </c>
    </row>
    <row r="316" spans="1:19">
      <c r="A316" s="1647"/>
      <c r="B316" s="1647"/>
      <c r="C316" s="1647"/>
      <c r="D316" s="1699"/>
      <c r="E316" s="1654" t="s">
        <v>1799</v>
      </c>
      <c r="F316" s="1647"/>
      <c r="G316" s="1647"/>
      <c r="H316" s="1654" t="str">
        <f>'Part II-Development Team'!H113</f>
        <v>GA</v>
      </c>
      <c r="I316" s="1647"/>
      <c r="J316" s="1647"/>
      <c r="K316" s="1651" t="s">
        <v>2229</v>
      </c>
      <c r="L316" s="2115">
        <f>'Part II-Development Team'!L113</f>
        <v>300303330</v>
      </c>
      <c r="M316" s="2115">
        <f>'Part II-Development Team'!M113</f>
        <v>0</v>
      </c>
      <c r="N316" s="1647"/>
      <c r="O316" s="1654" t="s">
        <v>1979</v>
      </c>
      <c r="P316" s="1647"/>
      <c r="Q316" s="2116">
        <f>'Part II-Development Team'!Q113</f>
        <v>4043732800</v>
      </c>
      <c r="R316" s="2116">
        <f>'Part II-Development Team'!R113</f>
        <v>0</v>
      </c>
      <c r="S316" s="2116">
        <f>'Part II-Development Team'!S113</f>
        <v>0</v>
      </c>
    </row>
    <row r="317" spans="1:19">
      <c r="A317" s="1647"/>
      <c r="B317" s="1647"/>
      <c r="C317" s="1647"/>
      <c r="D317" s="1699"/>
      <c r="E317" s="1654" t="s">
        <v>4260</v>
      </c>
      <c r="F317" s="1647"/>
      <c r="G317" s="1647"/>
      <c r="H317" s="2116">
        <f>'Part II-Development Team'!H114</f>
        <v>4043732800</v>
      </c>
      <c r="I317" s="2116">
        <f>'Part II-Development Team'!I114</f>
        <v>0</v>
      </c>
      <c r="J317" s="1661">
        <f>'Part II-Development Team'!J114</f>
        <v>0</v>
      </c>
      <c r="K317" s="1651" t="s">
        <v>1984</v>
      </c>
      <c r="L317" s="2023" t="str">
        <f>'Part II-Development Team'!L114</f>
        <v>jmartin@martinriley.com</v>
      </c>
      <c r="M317" s="2023">
        <f>'Part II-Development Team'!M114</f>
        <v>0</v>
      </c>
      <c r="N317" s="2023">
        <f>'Part II-Development Team'!N114</f>
        <v>0</v>
      </c>
      <c r="O317" s="2023">
        <f>'Part II-Development Team'!O114</f>
        <v>0</v>
      </c>
      <c r="P317" s="2023">
        <f>'Part II-Development Team'!P114</f>
        <v>0</v>
      </c>
      <c r="Q317" s="2023">
        <f>'Part II-Development Team'!Q114</f>
        <v>0</v>
      </c>
      <c r="R317" s="2023">
        <f>'Part II-Development Team'!R114</f>
        <v>0</v>
      </c>
      <c r="S317" s="2023">
        <f>'Part II-Development Team'!S114</f>
        <v>0</v>
      </c>
    </row>
    <row r="318" spans="1:19">
      <c r="A318" s="1653"/>
      <c r="B318" s="1653"/>
      <c r="C318" s="1653"/>
      <c r="D318" s="1653"/>
      <c r="E318" s="1653"/>
      <c r="F318" s="1653"/>
      <c r="G318" s="1653"/>
      <c r="H318" s="1653"/>
      <c r="I318" s="1653"/>
      <c r="J318" s="1653"/>
      <c r="K318" s="1653"/>
      <c r="L318" s="1653"/>
      <c r="M318" s="1653"/>
      <c r="N318" s="1653"/>
      <c r="O318" s="1653"/>
      <c r="P318" s="1653"/>
      <c r="Q318" s="1653"/>
      <c r="R318" s="1653"/>
      <c r="S318" s="1653"/>
    </row>
    <row r="319" spans="1:19">
      <c r="A319" s="1628" t="s">
        <v>1792</v>
      </c>
      <c r="B319" s="1628" t="s">
        <v>2603</v>
      </c>
      <c r="C319" s="1647"/>
      <c r="D319" s="1647"/>
      <c r="E319" s="1647"/>
      <c r="F319" s="1628"/>
      <c r="G319" s="1651"/>
      <c r="H319" s="1651"/>
      <c r="I319" s="1651"/>
      <c r="J319" s="1651"/>
      <c r="K319" s="1651"/>
      <c r="L319" s="1651"/>
      <c r="M319" s="1651"/>
      <c r="N319" s="1651"/>
      <c r="O319" s="1651"/>
      <c r="P319" s="1651"/>
      <c r="Q319" s="1651"/>
      <c r="R319" s="1647"/>
      <c r="S319" s="1647"/>
    </row>
    <row r="320" spans="1:19">
      <c r="A320" s="1647"/>
      <c r="B320" s="1628" t="s">
        <v>1983</v>
      </c>
      <c r="C320" s="1628" t="s">
        <v>4499</v>
      </c>
      <c r="D320" s="1647"/>
      <c r="E320" s="1647"/>
      <c r="F320" s="1647"/>
      <c r="G320" s="1647"/>
      <c r="H320" s="1647" t="str">
        <f>'Part II-Development Team'!H117</f>
        <v>CL-RB Stonecrest, LLC</v>
      </c>
      <c r="I320" s="1647">
        <f>'Part II-Development Team'!I117</f>
        <v>0</v>
      </c>
      <c r="J320" s="1647">
        <f>'Part II-Development Team'!J117</f>
        <v>0</v>
      </c>
      <c r="K320" s="1651" t="s">
        <v>2474</v>
      </c>
      <c r="L320" s="1647" t="str">
        <f>'Part II-Development Team'!L117</f>
        <v>Karlien De Clercq</v>
      </c>
      <c r="M320" s="1647">
        <f>'Part II-Development Team'!M117</f>
        <v>0</v>
      </c>
      <c r="N320" s="1647">
        <f>'Part II-Development Team'!N117</f>
        <v>0</v>
      </c>
      <c r="O320" s="1654" t="s">
        <v>3579</v>
      </c>
      <c r="P320" s="1647"/>
      <c r="Q320" s="1647">
        <f>'Part II-Development Team'!Q117</f>
        <v>0</v>
      </c>
      <c r="R320" s="1647">
        <f>'Part II-Development Team'!R117</f>
        <v>0</v>
      </c>
      <c r="S320" s="1647">
        <f>'Part II-Development Team'!S117</f>
        <v>0</v>
      </c>
    </row>
    <row r="321" spans="1:19">
      <c r="A321" s="1647"/>
      <c r="B321" s="1647"/>
      <c r="C321" s="1647"/>
      <c r="D321" s="1699"/>
      <c r="E321" s="1654" t="s">
        <v>1021</v>
      </c>
      <c r="F321" s="1657"/>
      <c r="G321" s="1647"/>
      <c r="H321" s="1647">
        <f>'Part II-Development Team'!H118</f>
        <v>0</v>
      </c>
      <c r="I321" s="1647">
        <f>'Part II-Development Team'!I118</f>
        <v>0</v>
      </c>
      <c r="J321" s="1647">
        <f>'Part II-Development Team'!J118</f>
        <v>0</v>
      </c>
      <c r="K321" s="1647">
        <f>'Part II-Development Team'!K118</f>
        <v>0</v>
      </c>
      <c r="L321" s="1647">
        <f>'Part II-Development Team'!L118</f>
        <v>0</v>
      </c>
      <c r="M321" s="1647">
        <f>'Part II-Development Team'!M118</f>
        <v>0</v>
      </c>
      <c r="N321" s="1647">
        <f>'Part II-Development Team'!N118</f>
        <v>0</v>
      </c>
      <c r="O321" s="1654" t="s">
        <v>618</v>
      </c>
      <c r="P321" s="1647"/>
      <c r="Q321" s="1647">
        <f>'Part II-Development Team'!Q118</f>
        <v>0</v>
      </c>
      <c r="R321" s="1647">
        <f>'Part II-Development Team'!R118</f>
        <v>0</v>
      </c>
      <c r="S321" s="1647">
        <f>'Part II-Development Team'!S118</f>
        <v>0</v>
      </c>
    </row>
    <row r="322" spans="1:19">
      <c r="A322" s="1647"/>
      <c r="B322" s="1647"/>
      <c r="C322" s="1647"/>
      <c r="D322" s="1699"/>
      <c r="E322" s="1654" t="s">
        <v>1799</v>
      </c>
      <c r="F322" s="1647"/>
      <c r="G322" s="1647"/>
      <c r="H322" s="1654">
        <f>'Part II-Development Team'!H119</f>
        <v>0</v>
      </c>
      <c r="I322" s="1651" t="s">
        <v>2229</v>
      </c>
      <c r="J322" s="2115">
        <f>'Part II-Development Team'!J119</f>
        <v>0</v>
      </c>
      <c r="K322" s="2115">
        <f>'Part II-Development Team'!K119</f>
        <v>0</v>
      </c>
      <c r="L322" s="1651" t="s">
        <v>1984</v>
      </c>
      <c r="M322" s="2023" t="str">
        <f>'Part II-Development Team'!M119</f>
        <v>karlien.declercq@castlelake.com</v>
      </c>
      <c r="N322" s="2023">
        <f>'Part II-Development Team'!N119</f>
        <v>0</v>
      </c>
      <c r="O322" s="2023">
        <f>'Part II-Development Team'!O119</f>
        <v>0</v>
      </c>
      <c r="P322" s="2023">
        <f>'Part II-Development Team'!P119</f>
        <v>0</v>
      </c>
      <c r="Q322" s="2023">
        <f>'Part II-Development Team'!Q119</f>
        <v>0</v>
      </c>
      <c r="R322" s="2023">
        <f>'Part II-Development Team'!R119</f>
        <v>0</v>
      </c>
      <c r="S322" s="2023">
        <f>'Part II-Development Team'!S119</f>
        <v>0</v>
      </c>
    </row>
    <row r="323" spans="1:19">
      <c r="A323" s="1653"/>
      <c r="B323" s="1628" t="s">
        <v>1985</v>
      </c>
      <c r="C323" s="1628" t="s">
        <v>2836</v>
      </c>
      <c r="D323" s="1653"/>
      <c r="E323" s="1653"/>
      <c r="F323" s="1653"/>
      <c r="G323" s="1653"/>
      <c r="H323" s="1682"/>
      <c r="I323" s="1682"/>
      <c r="J323" s="1682"/>
      <c r="K323" s="1682"/>
      <c r="L323" s="1682"/>
      <c r="M323" s="1682"/>
      <c r="N323" s="1682"/>
      <c r="O323" s="1682"/>
      <c r="P323" s="1682"/>
      <c r="Q323" s="1682"/>
      <c r="R323" s="1682"/>
      <c r="S323" s="1682"/>
    </row>
    <row r="324" spans="1:19" ht="12.75" customHeight="1">
      <c r="A324" s="1703" t="s">
        <v>3884</v>
      </c>
      <c r="B324" s="1703"/>
      <c r="C324" s="1703"/>
      <c r="D324" s="1703"/>
      <c r="E324" s="1703"/>
      <c r="F324" s="1661" t="s">
        <v>2510</v>
      </c>
      <c r="G324" s="1658" t="s">
        <v>3478</v>
      </c>
      <c r="H324" s="1658"/>
      <c r="I324" s="1658"/>
      <c r="J324" s="1658"/>
      <c r="K324" s="1658"/>
      <c r="L324" s="1658"/>
      <c r="M324" s="1658"/>
      <c r="N324" s="1658"/>
      <c r="O324" s="1658"/>
      <c r="P324" s="1658"/>
      <c r="Q324" s="1658"/>
      <c r="R324" s="1658"/>
      <c r="S324" s="1658"/>
    </row>
    <row r="325" spans="1:19" ht="12.75" customHeight="1">
      <c r="A325" s="1647"/>
      <c r="B325" s="1692"/>
      <c r="C325" s="1704" t="s">
        <v>1986</v>
      </c>
      <c r="D325" s="1682" t="s">
        <v>2837</v>
      </c>
      <c r="E325" s="1682"/>
      <c r="F325" s="2129" t="str">
        <f>'Part II-Development Team'!F122</f>
        <v>No</v>
      </c>
      <c r="G325" s="1890">
        <f>'Part II-Development Team'!G122</f>
        <v>0</v>
      </c>
      <c r="H325" s="1890">
        <f>'Part II-Development Team'!H122</f>
        <v>0</v>
      </c>
      <c r="I325" s="1890">
        <f>'Part II-Development Team'!I122</f>
        <v>0</v>
      </c>
      <c r="J325" s="1890">
        <f>'Part II-Development Team'!J122</f>
        <v>0</v>
      </c>
      <c r="K325" s="1890">
        <f>'Part II-Development Team'!K122</f>
        <v>0</v>
      </c>
      <c r="L325" s="1890">
        <f>'Part II-Development Team'!L122</f>
        <v>0</v>
      </c>
      <c r="M325" s="1890">
        <f>'Part II-Development Team'!M122</f>
        <v>0</v>
      </c>
      <c r="N325" s="1890">
        <f>'Part II-Development Team'!N122</f>
        <v>0</v>
      </c>
      <c r="O325" s="1890">
        <f>'Part II-Development Team'!O122</f>
        <v>0</v>
      </c>
      <c r="P325" s="1890">
        <f>'Part II-Development Team'!P122</f>
        <v>0</v>
      </c>
      <c r="Q325" s="1890">
        <f>'Part II-Development Team'!Q122</f>
        <v>0</v>
      </c>
      <c r="R325" s="1890">
        <f>'Part II-Development Team'!R122</f>
        <v>0</v>
      </c>
      <c r="S325" s="1890">
        <f>'Part II-Development Team'!S122</f>
        <v>0</v>
      </c>
    </row>
    <row r="326" spans="1:19" ht="12.75" customHeight="1">
      <c r="A326" s="1647"/>
      <c r="B326" s="1692"/>
      <c r="C326" s="1704" t="s">
        <v>1988</v>
      </c>
      <c r="D326" s="1682" t="s">
        <v>2902</v>
      </c>
      <c r="E326" s="1682"/>
      <c r="F326" s="2129" t="str">
        <f>'Part II-Development Team'!F123</f>
        <v>No</v>
      </c>
      <c r="G326" s="1890">
        <f>'Part II-Development Team'!G123</f>
        <v>0</v>
      </c>
      <c r="H326" s="1890">
        <f>'Part II-Development Team'!H123</f>
        <v>0</v>
      </c>
      <c r="I326" s="1890">
        <f>'Part II-Development Team'!I123</f>
        <v>0</v>
      </c>
      <c r="J326" s="1890">
        <f>'Part II-Development Team'!J123</f>
        <v>0</v>
      </c>
      <c r="K326" s="1890">
        <f>'Part II-Development Team'!K123</f>
        <v>0</v>
      </c>
      <c r="L326" s="1890">
        <f>'Part II-Development Team'!L123</f>
        <v>0</v>
      </c>
      <c r="M326" s="1890">
        <f>'Part II-Development Team'!M123</f>
        <v>0</v>
      </c>
      <c r="N326" s="1890">
        <f>'Part II-Development Team'!N123</f>
        <v>0</v>
      </c>
      <c r="O326" s="1890">
        <f>'Part II-Development Team'!O123</f>
        <v>0</v>
      </c>
      <c r="P326" s="1890">
        <f>'Part II-Development Team'!P123</f>
        <v>0</v>
      </c>
      <c r="Q326" s="1890">
        <f>'Part II-Development Team'!Q123</f>
        <v>0</v>
      </c>
      <c r="R326" s="1890">
        <f>'Part II-Development Team'!R123</f>
        <v>0</v>
      </c>
      <c r="S326" s="1890">
        <f>'Part II-Development Team'!S123</f>
        <v>0</v>
      </c>
    </row>
    <row r="327" spans="1:19" ht="12.75" customHeight="1">
      <c r="A327" s="1647"/>
      <c r="B327" s="1692"/>
      <c r="C327" s="1704" t="s">
        <v>2534</v>
      </c>
      <c r="D327" s="1682" t="s">
        <v>2878</v>
      </c>
      <c r="E327" s="1682"/>
      <c r="F327" s="2129" t="str">
        <f>'Part II-Development Team'!F124</f>
        <v>No</v>
      </c>
      <c r="G327" s="1890">
        <f>'Part II-Development Team'!G124</f>
        <v>0</v>
      </c>
      <c r="H327" s="1890">
        <f>'Part II-Development Team'!H124</f>
        <v>0</v>
      </c>
      <c r="I327" s="1890">
        <f>'Part II-Development Team'!I124</f>
        <v>0</v>
      </c>
      <c r="J327" s="1890">
        <f>'Part II-Development Team'!J124</f>
        <v>0</v>
      </c>
      <c r="K327" s="1890">
        <f>'Part II-Development Team'!K124</f>
        <v>0</v>
      </c>
      <c r="L327" s="1890">
        <f>'Part II-Development Team'!L124</f>
        <v>0</v>
      </c>
      <c r="M327" s="1890">
        <f>'Part II-Development Team'!M124</f>
        <v>0</v>
      </c>
      <c r="N327" s="1890">
        <f>'Part II-Development Team'!N124</f>
        <v>0</v>
      </c>
      <c r="O327" s="1890">
        <f>'Part II-Development Team'!O124</f>
        <v>0</v>
      </c>
      <c r="P327" s="1890">
        <f>'Part II-Development Team'!P124</f>
        <v>0</v>
      </c>
      <c r="Q327" s="1890">
        <f>'Part II-Development Team'!Q124</f>
        <v>0</v>
      </c>
      <c r="R327" s="1890">
        <f>'Part II-Development Team'!R124</f>
        <v>0</v>
      </c>
      <c r="S327" s="1890">
        <f>'Part II-Development Team'!S124</f>
        <v>0</v>
      </c>
    </row>
    <row r="328" spans="1:19" ht="12.75" customHeight="1">
      <c r="A328" s="1647"/>
      <c r="B328" s="1692"/>
      <c r="C328" s="1704" t="s">
        <v>1224</v>
      </c>
      <c r="D328" s="1682" t="s">
        <v>2838</v>
      </c>
      <c r="E328" s="1682"/>
      <c r="F328" s="2129" t="str">
        <f>'Part II-Development Team'!F125</f>
        <v>No</v>
      </c>
      <c r="G328" s="1890">
        <f>'Part II-Development Team'!G125</f>
        <v>0</v>
      </c>
      <c r="H328" s="1890">
        <f>'Part II-Development Team'!H125</f>
        <v>0</v>
      </c>
      <c r="I328" s="1890">
        <f>'Part II-Development Team'!I125</f>
        <v>0</v>
      </c>
      <c r="J328" s="1890">
        <f>'Part II-Development Team'!J125</f>
        <v>0</v>
      </c>
      <c r="K328" s="1890">
        <f>'Part II-Development Team'!K125</f>
        <v>0</v>
      </c>
      <c r="L328" s="1890">
        <f>'Part II-Development Team'!L125</f>
        <v>0</v>
      </c>
      <c r="M328" s="1890">
        <f>'Part II-Development Team'!M125</f>
        <v>0</v>
      </c>
      <c r="N328" s="1890">
        <f>'Part II-Development Team'!N125</f>
        <v>0</v>
      </c>
      <c r="O328" s="1890">
        <f>'Part II-Development Team'!O125</f>
        <v>0</v>
      </c>
      <c r="P328" s="1890">
        <f>'Part II-Development Team'!P125</f>
        <v>0</v>
      </c>
      <c r="Q328" s="1890">
        <f>'Part II-Development Team'!Q125</f>
        <v>0</v>
      </c>
      <c r="R328" s="1890">
        <f>'Part II-Development Team'!R125</f>
        <v>0</v>
      </c>
      <c r="S328" s="1890">
        <f>'Part II-Development Team'!S125</f>
        <v>0</v>
      </c>
    </row>
    <row r="329" spans="1:19" ht="12.75" customHeight="1">
      <c r="A329" s="1647"/>
      <c r="B329" s="1692"/>
      <c r="C329" s="1704" t="s">
        <v>1225</v>
      </c>
      <c r="D329" s="1682" t="s">
        <v>3466</v>
      </c>
      <c r="E329" s="1682"/>
      <c r="F329" s="2129" t="str">
        <f>'Part II-Development Team'!F126</f>
        <v>No</v>
      </c>
      <c r="G329" s="1890">
        <f>'Part II-Development Team'!G126</f>
        <v>0</v>
      </c>
      <c r="H329" s="1890">
        <f>'Part II-Development Team'!H126</f>
        <v>0</v>
      </c>
      <c r="I329" s="1890">
        <f>'Part II-Development Team'!I126</f>
        <v>0</v>
      </c>
      <c r="J329" s="1890">
        <f>'Part II-Development Team'!J126</f>
        <v>0</v>
      </c>
      <c r="K329" s="1890">
        <f>'Part II-Development Team'!K126</f>
        <v>0</v>
      </c>
      <c r="L329" s="1890">
        <f>'Part II-Development Team'!L126</f>
        <v>0</v>
      </c>
      <c r="M329" s="1890">
        <f>'Part II-Development Team'!M126</f>
        <v>0</v>
      </c>
      <c r="N329" s="1890">
        <f>'Part II-Development Team'!N126</f>
        <v>0</v>
      </c>
      <c r="O329" s="1890">
        <f>'Part II-Development Team'!O126</f>
        <v>0</v>
      </c>
      <c r="P329" s="1890">
        <f>'Part II-Development Team'!P126</f>
        <v>0</v>
      </c>
      <c r="Q329" s="1890">
        <f>'Part II-Development Team'!Q126</f>
        <v>0</v>
      </c>
      <c r="R329" s="1890">
        <f>'Part II-Development Team'!R126</f>
        <v>0</v>
      </c>
      <c r="S329" s="1890">
        <f>'Part II-Development Team'!S126</f>
        <v>0</v>
      </c>
    </row>
    <row r="330" spans="1:19" ht="12.75" customHeight="1">
      <c r="A330" s="1647"/>
      <c r="B330" s="1692"/>
      <c r="C330" s="1704" t="s">
        <v>1881</v>
      </c>
      <c r="D330" s="1682" t="s">
        <v>3467</v>
      </c>
      <c r="E330" s="1682"/>
      <c r="F330" s="2129" t="str">
        <f>'Part II-Development Team'!F127</f>
        <v>No</v>
      </c>
      <c r="G330" s="1890">
        <f>'Part II-Development Team'!G127</f>
        <v>0</v>
      </c>
      <c r="H330" s="1890">
        <f>'Part II-Development Team'!H127</f>
        <v>0</v>
      </c>
      <c r="I330" s="1890">
        <f>'Part II-Development Team'!I127</f>
        <v>0</v>
      </c>
      <c r="J330" s="1890">
        <f>'Part II-Development Team'!J127</f>
        <v>0</v>
      </c>
      <c r="K330" s="1890">
        <f>'Part II-Development Team'!K127</f>
        <v>0</v>
      </c>
      <c r="L330" s="1890">
        <f>'Part II-Development Team'!L127</f>
        <v>0</v>
      </c>
      <c r="M330" s="1890">
        <f>'Part II-Development Team'!M127</f>
        <v>0</v>
      </c>
      <c r="N330" s="1890">
        <f>'Part II-Development Team'!N127</f>
        <v>0</v>
      </c>
      <c r="O330" s="1890">
        <f>'Part II-Development Team'!O127</f>
        <v>0</v>
      </c>
      <c r="P330" s="1890">
        <f>'Part II-Development Team'!P127</f>
        <v>0</v>
      </c>
      <c r="Q330" s="1890">
        <f>'Part II-Development Team'!Q127</f>
        <v>0</v>
      </c>
      <c r="R330" s="1890">
        <f>'Part II-Development Team'!R127</f>
        <v>0</v>
      </c>
      <c r="S330" s="1890">
        <f>'Part II-Development Team'!S127</f>
        <v>0</v>
      </c>
    </row>
    <row r="331" spans="1:19" ht="12.75" customHeight="1">
      <c r="A331" s="1647"/>
      <c r="B331" s="1692"/>
      <c r="C331" s="1704" t="s">
        <v>503</v>
      </c>
      <c r="D331" s="1682" t="s">
        <v>2839</v>
      </c>
      <c r="E331" s="1682"/>
      <c r="F331" s="2129" t="str">
        <f>'Part II-Development Team'!F128</f>
        <v>No</v>
      </c>
      <c r="G331" s="1890">
        <f>'Part II-Development Team'!G128</f>
        <v>0</v>
      </c>
      <c r="H331" s="1890">
        <f>'Part II-Development Team'!H128</f>
        <v>0</v>
      </c>
      <c r="I331" s="1890">
        <f>'Part II-Development Team'!I128</f>
        <v>0</v>
      </c>
      <c r="J331" s="1890">
        <f>'Part II-Development Team'!J128</f>
        <v>0</v>
      </c>
      <c r="K331" s="1890">
        <f>'Part II-Development Team'!K128</f>
        <v>0</v>
      </c>
      <c r="L331" s="1890">
        <f>'Part II-Development Team'!L128</f>
        <v>0</v>
      </c>
      <c r="M331" s="1890">
        <f>'Part II-Development Team'!M128</f>
        <v>0</v>
      </c>
      <c r="N331" s="1890">
        <f>'Part II-Development Team'!N128</f>
        <v>0</v>
      </c>
      <c r="O331" s="1890">
        <f>'Part II-Development Team'!O128</f>
        <v>0</v>
      </c>
      <c r="P331" s="1890">
        <f>'Part II-Development Team'!P128</f>
        <v>0</v>
      </c>
      <c r="Q331" s="1890">
        <f>'Part II-Development Team'!Q128</f>
        <v>0</v>
      </c>
      <c r="R331" s="1890">
        <f>'Part II-Development Team'!R128</f>
        <v>0</v>
      </c>
      <c r="S331" s="1890">
        <f>'Part II-Development Team'!S128</f>
        <v>0</v>
      </c>
    </row>
    <row r="332" spans="1:19" ht="12.75" customHeight="1">
      <c r="A332" s="1647"/>
      <c r="B332" s="1692"/>
      <c r="C332" s="1704" t="s">
        <v>504</v>
      </c>
      <c r="D332" s="1682" t="str">
        <f>'Part II-Development Team'!D130</f>
        <v>Other (Indicate here the two roles involved)</v>
      </c>
      <c r="E332" s="1682">
        <f>'Part II-Development Team'!E130</f>
        <v>0</v>
      </c>
      <c r="F332" s="2129" t="str">
        <f>'Part II-Development Team'!F130</f>
        <v>No</v>
      </c>
      <c r="G332" s="1890">
        <f>'Part II-Development Team'!G130</f>
        <v>0</v>
      </c>
      <c r="H332" s="1890">
        <f>'Part II-Development Team'!H130</f>
        <v>0</v>
      </c>
      <c r="I332" s="1890">
        <f>'Part II-Development Team'!I130</f>
        <v>0</v>
      </c>
      <c r="J332" s="1890">
        <f>'Part II-Development Team'!J130</f>
        <v>0</v>
      </c>
      <c r="K332" s="1890">
        <f>'Part II-Development Team'!K130</f>
        <v>0</v>
      </c>
      <c r="L332" s="1890">
        <f>'Part II-Development Team'!L130</f>
        <v>0</v>
      </c>
      <c r="M332" s="1890">
        <f>'Part II-Development Team'!M130</f>
        <v>0</v>
      </c>
      <c r="N332" s="1890">
        <f>'Part II-Development Team'!N130</f>
        <v>0</v>
      </c>
      <c r="O332" s="1890">
        <f>'Part II-Development Team'!O130</f>
        <v>0</v>
      </c>
      <c r="P332" s="1890">
        <f>'Part II-Development Team'!P130</f>
        <v>0</v>
      </c>
      <c r="Q332" s="1890">
        <f>'Part II-Development Team'!Q130</f>
        <v>0</v>
      </c>
      <c r="R332" s="1890">
        <f>'Part II-Development Team'!R130</f>
        <v>0</v>
      </c>
      <c r="S332" s="1890">
        <f>'Part II-Development Team'!S130</f>
        <v>0</v>
      </c>
    </row>
    <row r="333" spans="1:19">
      <c r="A333" s="1628" t="s">
        <v>1794</v>
      </c>
      <c r="B333" s="1628" t="s">
        <v>4500</v>
      </c>
      <c r="C333" s="1647"/>
      <c r="D333" s="1647"/>
      <c r="E333" s="1647"/>
      <c r="F333" s="1628"/>
      <c r="G333" s="1651"/>
      <c r="H333" s="1651"/>
      <c r="I333" s="1651"/>
      <c r="J333" s="1651"/>
      <c r="K333" s="1651"/>
      <c r="L333" s="1651"/>
      <c r="M333" s="1651"/>
      <c r="N333" s="1651"/>
      <c r="O333" s="1651"/>
      <c r="P333" s="1651"/>
      <c r="Q333" s="1651"/>
      <c r="R333" s="1647"/>
      <c r="S333" s="1647"/>
    </row>
    <row r="334" spans="1:19">
      <c r="A334" s="1628"/>
      <c r="B334" s="1628"/>
      <c r="C334" s="1647"/>
      <c r="D334" s="1647"/>
      <c r="E334" s="1647"/>
      <c r="F334" s="1628"/>
      <c r="G334" s="1651"/>
      <c r="H334" s="1651"/>
      <c r="I334" s="1651"/>
      <c r="J334" s="1651"/>
      <c r="K334" s="1651"/>
      <c r="L334" s="1651"/>
      <c r="M334" s="1651"/>
      <c r="N334" s="1651"/>
      <c r="O334" s="1651"/>
      <c r="P334" s="1651"/>
      <c r="Q334" s="1651"/>
      <c r="R334" s="1647"/>
      <c r="S334" s="1647"/>
    </row>
    <row r="335" spans="1:19">
      <c r="A335" s="1653"/>
      <c r="B335" s="1628" t="s">
        <v>749</v>
      </c>
      <c r="C335" s="1628" t="s">
        <v>2840</v>
      </c>
      <c r="D335" s="1653"/>
      <c r="E335" s="1653"/>
      <c r="F335" s="1653"/>
      <c r="G335" s="1653"/>
      <c r="H335" s="1653"/>
      <c r="I335" s="1653"/>
      <c r="J335" s="1653"/>
      <c r="K335" s="1653"/>
      <c r="L335" s="1653"/>
      <c r="M335" s="1653"/>
      <c r="N335" s="1653"/>
      <c r="O335" s="1653"/>
      <c r="P335" s="1653"/>
      <c r="Q335" s="1653"/>
      <c r="R335" s="1653"/>
      <c r="S335" s="1653"/>
    </row>
    <row r="336" spans="1:19" ht="12.75" customHeight="1">
      <c r="A336" s="1682" t="s">
        <v>640</v>
      </c>
      <c r="B336" s="1682"/>
      <c r="C336" s="1682"/>
      <c r="D336" s="1682"/>
      <c r="E336" s="1682" t="s">
        <v>3448</v>
      </c>
      <c r="F336" s="1682"/>
      <c r="G336" s="1682"/>
      <c r="H336" s="1682"/>
      <c r="I336" s="1682"/>
      <c r="J336" s="1682" t="s">
        <v>3449</v>
      </c>
      <c r="K336" s="1705" t="s">
        <v>4501</v>
      </c>
      <c r="L336" s="1705" t="s">
        <v>4502</v>
      </c>
      <c r="M336" s="1705" t="s">
        <v>4503</v>
      </c>
      <c r="N336" s="1705"/>
      <c r="O336" s="1705"/>
      <c r="P336" s="1705"/>
      <c r="Q336" s="1705"/>
      <c r="R336" s="1705"/>
      <c r="S336" s="1705"/>
    </row>
    <row r="337" spans="1:19">
      <c r="A337" s="1682"/>
      <c r="B337" s="1682"/>
      <c r="C337" s="1682"/>
      <c r="D337" s="1682"/>
      <c r="E337" s="1682"/>
      <c r="F337" s="1682"/>
      <c r="G337" s="1682"/>
      <c r="H337" s="1682"/>
      <c r="I337" s="1682"/>
      <c r="J337" s="1682"/>
      <c r="K337" s="1705"/>
      <c r="L337" s="1705"/>
      <c r="M337" s="1705"/>
      <c r="N337" s="1705"/>
      <c r="O337" s="1705"/>
      <c r="P337" s="1705"/>
      <c r="Q337" s="1705"/>
      <c r="R337" s="1705"/>
      <c r="S337" s="1705"/>
    </row>
    <row r="338" spans="1:19">
      <c r="A338" s="1682"/>
      <c r="B338" s="1682"/>
      <c r="C338" s="1682"/>
      <c r="D338" s="1682"/>
      <c r="E338" s="1682"/>
      <c r="F338" s="1682"/>
      <c r="G338" s="1682"/>
      <c r="H338" s="1682"/>
      <c r="I338" s="1682"/>
      <c r="J338" s="1682"/>
      <c r="K338" s="1705"/>
      <c r="L338" s="1705"/>
      <c r="M338" s="1705"/>
      <c r="N338" s="1705"/>
      <c r="O338" s="1705"/>
      <c r="P338" s="1705"/>
      <c r="Q338" s="1705"/>
      <c r="R338" s="1705"/>
      <c r="S338" s="1705"/>
    </row>
    <row r="339" spans="1:19" ht="12.75" customHeight="1">
      <c r="A339" s="1682"/>
      <c r="B339" s="1682"/>
      <c r="C339" s="1682"/>
      <c r="D339" s="1682"/>
      <c r="E339" s="1706" t="s">
        <v>4504</v>
      </c>
      <c r="F339" s="1706"/>
      <c r="G339" s="1706"/>
      <c r="H339" s="1706"/>
      <c r="I339" s="1705"/>
      <c r="J339" s="1682"/>
      <c r="K339" s="1705"/>
      <c r="L339" s="1705"/>
      <c r="M339" s="1705"/>
      <c r="N339" s="1705"/>
      <c r="O339" s="1705"/>
      <c r="P339" s="1705"/>
      <c r="Q339" s="1705"/>
      <c r="R339" s="1705"/>
      <c r="S339" s="1705"/>
    </row>
    <row r="340" spans="1:19" ht="12.75" customHeight="1">
      <c r="A340" s="1682"/>
      <c r="B340" s="1682"/>
      <c r="C340" s="1682"/>
      <c r="D340" s="1682"/>
      <c r="E340" s="1706"/>
      <c r="F340" s="1706"/>
      <c r="G340" s="1706"/>
      <c r="H340" s="1706"/>
      <c r="I340" s="1707" t="s">
        <v>2510</v>
      </c>
      <c r="J340" s="1682"/>
      <c r="K340" s="1705"/>
      <c r="L340" s="1705"/>
      <c r="M340" s="1661" t="s">
        <v>2510</v>
      </c>
      <c r="N340" s="1665" t="s">
        <v>2907</v>
      </c>
      <c r="O340" s="1665"/>
      <c r="P340" s="1665"/>
      <c r="Q340" s="1665"/>
      <c r="R340" s="1665"/>
      <c r="S340" s="1665"/>
    </row>
    <row r="341" spans="1:19" ht="13.5" customHeight="1">
      <c r="A341" s="1708" t="s">
        <v>3443</v>
      </c>
      <c r="B341" s="1708"/>
      <c r="C341" s="1708"/>
      <c r="D341" s="1708"/>
      <c r="E341" s="1890">
        <f>'Part II-Development Team'!E139</f>
        <v>0</v>
      </c>
      <c r="F341" s="1890">
        <f>'Part II-Development Team'!F139</f>
        <v>0</v>
      </c>
      <c r="G341" s="1890">
        <f>'Part II-Development Team'!G139</f>
        <v>0</v>
      </c>
      <c r="H341" s="1890">
        <f>'Part II-Development Team'!H139</f>
        <v>0</v>
      </c>
      <c r="I341" s="2129" t="str">
        <f>'Part II-Development Team'!I139</f>
        <v>No</v>
      </c>
      <c r="J341" s="2129" t="str">
        <f>'Part II-Development Team'!J139</f>
        <v>No</v>
      </c>
      <c r="K341" s="2130" t="str">
        <f>'Part II-Development Team'!K139</f>
        <v>For Profit</v>
      </c>
      <c r="L341" s="2131">
        <f>'Part II-Development Team'!L139</f>
        <v>1E-4</v>
      </c>
      <c r="M341" s="2129" t="str">
        <f>'Part II-Development Team'!M139</f>
        <v>No</v>
      </c>
      <c r="N341" s="1890">
        <f>'Part II-Development Team'!N139</f>
        <v>0</v>
      </c>
      <c r="O341" s="1890">
        <f>'Part II-Development Team'!O139</f>
        <v>0</v>
      </c>
      <c r="P341" s="1890">
        <f>'Part II-Development Team'!P139</f>
        <v>0</v>
      </c>
      <c r="Q341" s="1890">
        <f>'Part II-Development Team'!Q139</f>
        <v>0</v>
      </c>
      <c r="R341" s="1890">
        <f>'Part II-Development Team'!R139</f>
        <v>0</v>
      </c>
      <c r="S341" s="1890">
        <f>'Part II-Development Team'!S139</f>
        <v>0</v>
      </c>
    </row>
    <row r="342" spans="1:19" ht="13.5" customHeight="1">
      <c r="A342" s="1708" t="s">
        <v>3444</v>
      </c>
      <c r="B342" s="1708"/>
      <c r="C342" s="1708"/>
      <c r="D342" s="1708"/>
      <c r="E342" s="1890">
        <f>'Part II-Development Team'!E140</f>
        <v>0</v>
      </c>
      <c r="F342" s="1890">
        <f>'Part II-Development Team'!F140</f>
        <v>0</v>
      </c>
      <c r="G342" s="1890">
        <f>'Part II-Development Team'!G140</f>
        <v>0</v>
      </c>
      <c r="H342" s="1890">
        <f>'Part II-Development Team'!H140</f>
        <v>0</v>
      </c>
      <c r="I342" s="2129" t="str">
        <f>'Part II-Development Team'!I140</f>
        <v>Select</v>
      </c>
      <c r="J342" s="2129" t="str">
        <f>'Part II-Development Team'!J140</f>
        <v>Select</v>
      </c>
      <c r="K342" s="2130">
        <f>'Part II-Development Team'!K140</f>
        <v>0</v>
      </c>
      <c r="L342" s="2131">
        <f>'Part II-Development Team'!L140</f>
        <v>0</v>
      </c>
      <c r="M342" s="2129" t="str">
        <f>'Part II-Development Team'!M140</f>
        <v>Select</v>
      </c>
      <c r="N342" s="1890">
        <f>'Part II-Development Team'!N140</f>
        <v>0</v>
      </c>
      <c r="O342" s="1890">
        <f>'Part II-Development Team'!O140</f>
        <v>0</v>
      </c>
      <c r="P342" s="1890">
        <f>'Part II-Development Team'!P140</f>
        <v>0</v>
      </c>
      <c r="Q342" s="1890">
        <f>'Part II-Development Team'!Q140</f>
        <v>0</v>
      </c>
      <c r="R342" s="1890">
        <f>'Part II-Development Team'!R140</f>
        <v>0</v>
      </c>
      <c r="S342" s="1890">
        <f>'Part II-Development Team'!S140</f>
        <v>0</v>
      </c>
    </row>
    <row r="343" spans="1:19" ht="13.5" customHeight="1">
      <c r="A343" s="1708" t="s">
        <v>3445</v>
      </c>
      <c r="B343" s="1708"/>
      <c r="C343" s="1708"/>
      <c r="D343" s="1708"/>
      <c r="E343" s="1890">
        <f>'Part II-Development Team'!E141</f>
        <v>0</v>
      </c>
      <c r="F343" s="1890">
        <f>'Part II-Development Team'!F141</f>
        <v>0</v>
      </c>
      <c r="G343" s="1890">
        <f>'Part II-Development Team'!G141</f>
        <v>0</v>
      </c>
      <c r="H343" s="1890">
        <f>'Part II-Development Team'!H141</f>
        <v>0</v>
      </c>
      <c r="I343" s="2129" t="str">
        <f>'Part II-Development Team'!I141</f>
        <v>Select</v>
      </c>
      <c r="J343" s="2129" t="str">
        <f>'Part II-Development Team'!J141</f>
        <v>Select</v>
      </c>
      <c r="K343" s="2130">
        <f>'Part II-Development Team'!K141</f>
        <v>0</v>
      </c>
      <c r="L343" s="2131">
        <f>'Part II-Development Team'!L141</f>
        <v>0</v>
      </c>
      <c r="M343" s="2129" t="str">
        <f>'Part II-Development Team'!M141</f>
        <v>Select</v>
      </c>
      <c r="N343" s="1890">
        <f>'Part II-Development Team'!N141</f>
        <v>0</v>
      </c>
      <c r="O343" s="1890">
        <f>'Part II-Development Team'!O141</f>
        <v>0</v>
      </c>
      <c r="P343" s="1890">
        <f>'Part II-Development Team'!P141</f>
        <v>0</v>
      </c>
      <c r="Q343" s="1890">
        <f>'Part II-Development Team'!Q141</f>
        <v>0</v>
      </c>
      <c r="R343" s="1890">
        <f>'Part II-Development Team'!R141</f>
        <v>0</v>
      </c>
      <c r="S343" s="1890">
        <f>'Part II-Development Team'!S141</f>
        <v>0</v>
      </c>
    </row>
    <row r="344" spans="1:19" ht="13.5" customHeight="1">
      <c r="A344" s="1708" t="s">
        <v>3446</v>
      </c>
      <c r="B344" s="1708"/>
      <c r="C344" s="1708"/>
      <c r="D344" s="1708"/>
      <c r="E344" s="1890">
        <f>'Part II-Development Team'!E142</f>
        <v>0</v>
      </c>
      <c r="F344" s="1890">
        <f>'Part II-Development Team'!F142</f>
        <v>0</v>
      </c>
      <c r="G344" s="1890">
        <f>'Part II-Development Team'!G142</f>
        <v>0</v>
      </c>
      <c r="H344" s="1890">
        <f>'Part II-Development Team'!H142</f>
        <v>0</v>
      </c>
      <c r="I344" s="2129" t="str">
        <f>'Part II-Development Team'!I142</f>
        <v>No</v>
      </c>
      <c r="J344" s="2129" t="str">
        <f>'Part II-Development Team'!J142</f>
        <v>No</v>
      </c>
      <c r="K344" s="2130" t="str">
        <f>'Part II-Development Team'!K142</f>
        <v>For Profit</v>
      </c>
      <c r="L344" s="2131">
        <f>'Part II-Development Team'!L142</f>
        <v>0.9899</v>
      </c>
      <c r="M344" s="2129" t="str">
        <f>'Part II-Development Team'!M142</f>
        <v>No</v>
      </c>
      <c r="N344" s="1890">
        <f>'Part II-Development Team'!N142</f>
        <v>0</v>
      </c>
      <c r="O344" s="1890">
        <f>'Part II-Development Team'!O142</f>
        <v>0</v>
      </c>
      <c r="P344" s="1890">
        <f>'Part II-Development Team'!P142</f>
        <v>0</v>
      </c>
      <c r="Q344" s="1890">
        <f>'Part II-Development Team'!Q142</f>
        <v>0</v>
      </c>
      <c r="R344" s="1890">
        <f>'Part II-Development Team'!R142</f>
        <v>0</v>
      </c>
      <c r="S344" s="1890">
        <f>'Part II-Development Team'!S142</f>
        <v>0</v>
      </c>
    </row>
    <row r="345" spans="1:19" ht="13.5" customHeight="1">
      <c r="A345" s="1708" t="s">
        <v>3447</v>
      </c>
      <c r="B345" s="1708"/>
      <c r="C345" s="1708"/>
      <c r="D345" s="1708"/>
      <c r="E345" s="1890">
        <f>'Part II-Development Team'!E143</f>
        <v>0</v>
      </c>
      <c r="F345" s="1890">
        <f>'Part II-Development Team'!F143</f>
        <v>0</v>
      </c>
      <c r="G345" s="1890">
        <f>'Part II-Development Team'!G143</f>
        <v>0</v>
      </c>
      <c r="H345" s="1890">
        <f>'Part II-Development Team'!H143</f>
        <v>0</v>
      </c>
      <c r="I345" s="2129" t="str">
        <f>'Part II-Development Team'!I143</f>
        <v>No</v>
      </c>
      <c r="J345" s="2129" t="str">
        <f>'Part II-Development Team'!J143</f>
        <v>No</v>
      </c>
      <c r="K345" s="2130" t="str">
        <f>'Part II-Development Team'!K143</f>
        <v>For Profit</v>
      </c>
      <c r="L345" s="2131">
        <f>'Part II-Development Team'!L143</f>
        <v>0.01</v>
      </c>
      <c r="M345" s="2129" t="str">
        <f>'Part II-Development Team'!M143</f>
        <v>No</v>
      </c>
      <c r="N345" s="1890">
        <f>'Part II-Development Team'!N143</f>
        <v>0</v>
      </c>
      <c r="O345" s="1890">
        <f>'Part II-Development Team'!O143</f>
        <v>0</v>
      </c>
      <c r="P345" s="1890">
        <f>'Part II-Development Team'!P143</f>
        <v>0</v>
      </c>
      <c r="Q345" s="1890">
        <f>'Part II-Development Team'!Q143</f>
        <v>0</v>
      </c>
      <c r="R345" s="1890">
        <f>'Part II-Development Team'!R143</f>
        <v>0</v>
      </c>
      <c r="S345" s="1890">
        <f>'Part II-Development Team'!S143</f>
        <v>0</v>
      </c>
    </row>
    <row r="346" spans="1:19" ht="13.5" customHeight="1">
      <c r="A346" s="1708" t="s">
        <v>2895</v>
      </c>
      <c r="B346" s="1708"/>
      <c r="C346" s="1708"/>
      <c r="D346" s="1708"/>
      <c r="E346" s="1890">
        <f>'Part II-Development Team'!E144</f>
        <v>0</v>
      </c>
      <c r="F346" s="1890">
        <f>'Part II-Development Team'!F144</f>
        <v>0</v>
      </c>
      <c r="G346" s="1890">
        <f>'Part II-Development Team'!G144</f>
        <v>0</v>
      </c>
      <c r="H346" s="1890">
        <f>'Part II-Development Team'!H144</f>
        <v>0</v>
      </c>
      <c r="I346" s="2129" t="str">
        <f>'Part II-Development Team'!I144</f>
        <v>Select</v>
      </c>
      <c r="J346" s="2129" t="str">
        <f>'Part II-Development Team'!J144</f>
        <v>Select</v>
      </c>
      <c r="K346" s="2130">
        <f>'Part II-Development Team'!K144</f>
        <v>0</v>
      </c>
      <c r="L346" s="2131">
        <f>'Part II-Development Team'!L144</f>
        <v>0</v>
      </c>
      <c r="M346" s="2129" t="str">
        <f>'Part II-Development Team'!M144</f>
        <v>Select</v>
      </c>
      <c r="N346" s="1890">
        <f>'Part II-Development Team'!N144</f>
        <v>0</v>
      </c>
      <c r="O346" s="1890">
        <f>'Part II-Development Team'!O144</f>
        <v>0</v>
      </c>
      <c r="P346" s="1890">
        <f>'Part II-Development Team'!P144</f>
        <v>0</v>
      </c>
      <c r="Q346" s="1890">
        <f>'Part II-Development Team'!Q144</f>
        <v>0</v>
      </c>
      <c r="R346" s="1890">
        <f>'Part II-Development Team'!R144</f>
        <v>0</v>
      </c>
      <c r="S346" s="1890">
        <f>'Part II-Development Team'!S144</f>
        <v>0</v>
      </c>
    </row>
    <row r="347" spans="1:19" ht="13.5">
      <c r="A347" s="1708" t="s">
        <v>653</v>
      </c>
      <c r="B347" s="1708"/>
      <c r="C347" s="1708"/>
      <c r="D347" s="1708"/>
      <c r="E347" s="1890">
        <f>'Part II-Development Team'!E145</f>
        <v>0</v>
      </c>
      <c r="F347" s="1890">
        <f>'Part II-Development Team'!F145</f>
        <v>0</v>
      </c>
      <c r="G347" s="1890">
        <f>'Part II-Development Team'!G145</f>
        <v>0</v>
      </c>
      <c r="H347" s="1890">
        <f>'Part II-Development Team'!H145</f>
        <v>0</v>
      </c>
      <c r="I347" s="2129" t="str">
        <f>'Part II-Development Team'!I145</f>
        <v>No</v>
      </c>
      <c r="J347" s="2129" t="str">
        <f>'Part II-Development Team'!J145</f>
        <v>No</v>
      </c>
      <c r="K347" s="2130" t="str">
        <f>'Part II-Development Team'!K145</f>
        <v>For Profit</v>
      </c>
      <c r="L347" s="2131">
        <f>'Part II-Development Team'!L145</f>
        <v>0</v>
      </c>
      <c r="M347" s="2129" t="str">
        <f>'Part II-Development Team'!M145</f>
        <v>No</v>
      </c>
      <c r="N347" s="1890">
        <f>'Part II-Development Team'!N145</f>
        <v>0</v>
      </c>
      <c r="O347" s="1890">
        <f>'Part II-Development Team'!O145</f>
        <v>0</v>
      </c>
      <c r="P347" s="1890">
        <f>'Part II-Development Team'!P145</f>
        <v>0</v>
      </c>
      <c r="Q347" s="1890">
        <f>'Part II-Development Team'!Q145</f>
        <v>0</v>
      </c>
      <c r="R347" s="1890">
        <f>'Part II-Development Team'!R145</f>
        <v>0</v>
      </c>
      <c r="S347" s="1890">
        <f>'Part II-Development Team'!S145</f>
        <v>0</v>
      </c>
    </row>
    <row r="348" spans="1:19" ht="13.5" customHeight="1">
      <c r="A348" s="1708" t="s">
        <v>2896</v>
      </c>
      <c r="B348" s="1708"/>
      <c r="C348" s="1708"/>
      <c r="D348" s="1708"/>
      <c r="E348" s="1890">
        <f>'Part II-Development Team'!E146</f>
        <v>0</v>
      </c>
      <c r="F348" s="1890">
        <f>'Part II-Development Team'!F146</f>
        <v>0</v>
      </c>
      <c r="G348" s="1890">
        <f>'Part II-Development Team'!G146</f>
        <v>0</v>
      </c>
      <c r="H348" s="1890">
        <f>'Part II-Development Team'!H146</f>
        <v>0</v>
      </c>
      <c r="I348" s="2129" t="str">
        <f>'Part II-Development Team'!I146</f>
        <v>No</v>
      </c>
      <c r="J348" s="2129" t="str">
        <f>'Part II-Development Team'!J146</f>
        <v>No</v>
      </c>
      <c r="K348" s="2130" t="str">
        <f>'Part II-Development Team'!K146</f>
        <v>For Profit</v>
      </c>
      <c r="L348" s="2131">
        <f>'Part II-Development Team'!L146</f>
        <v>0</v>
      </c>
      <c r="M348" s="2129" t="str">
        <f>'Part II-Development Team'!M146</f>
        <v>No</v>
      </c>
      <c r="N348" s="1890">
        <f>'Part II-Development Team'!N146</f>
        <v>0</v>
      </c>
      <c r="O348" s="1890">
        <f>'Part II-Development Team'!O146</f>
        <v>0</v>
      </c>
      <c r="P348" s="1890">
        <f>'Part II-Development Team'!P146</f>
        <v>0</v>
      </c>
      <c r="Q348" s="1890">
        <f>'Part II-Development Team'!Q146</f>
        <v>0</v>
      </c>
      <c r="R348" s="1890">
        <f>'Part II-Development Team'!R146</f>
        <v>0</v>
      </c>
      <c r="S348" s="1890">
        <f>'Part II-Development Team'!S146</f>
        <v>0</v>
      </c>
    </row>
    <row r="349" spans="1:19" ht="13.5" customHeight="1">
      <c r="A349" s="1708" t="s">
        <v>2897</v>
      </c>
      <c r="B349" s="1708"/>
      <c r="C349" s="1708"/>
      <c r="D349" s="1708"/>
      <c r="E349" s="1890">
        <f>'Part II-Development Team'!E147</f>
        <v>0</v>
      </c>
      <c r="F349" s="1890">
        <f>'Part II-Development Team'!F147</f>
        <v>0</v>
      </c>
      <c r="G349" s="1890">
        <f>'Part II-Development Team'!G147</f>
        <v>0</v>
      </c>
      <c r="H349" s="1890">
        <f>'Part II-Development Team'!H147</f>
        <v>0</v>
      </c>
      <c r="I349" s="2129" t="str">
        <f>'Part II-Development Team'!I147</f>
        <v>Select</v>
      </c>
      <c r="J349" s="2129" t="str">
        <f>'Part II-Development Team'!J147</f>
        <v>Select</v>
      </c>
      <c r="K349" s="2130">
        <f>'Part II-Development Team'!K147</f>
        <v>0</v>
      </c>
      <c r="L349" s="2131">
        <f>'Part II-Development Team'!L147</f>
        <v>0</v>
      </c>
      <c r="M349" s="2129" t="str">
        <f>'Part II-Development Team'!M147</f>
        <v>Select</v>
      </c>
      <c r="N349" s="1890">
        <f>'Part II-Development Team'!N147</f>
        <v>0</v>
      </c>
      <c r="O349" s="1890">
        <f>'Part II-Development Team'!O147</f>
        <v>0</v>
      </c>
      <c r="P349" s="1890">
        <f>'Part II-Development Team'!P147</f>
        <v>0</v>
      </c>
      <c r="Q349" s="1890">
        <f>'Part II-Development Team'!Q147</f>
        <v>0</v>
      </c>
      <c r="R349" s="1890">
        <f>'Part II-Development Team'!R147</f>
        <v>0</v>
      </c>
      <c r="S349" s="1890">
        <f>'Part II-Development Team'!S147</f>
        <v>0</v>
      </c>
    </row>
    <row r="350" spans="1:19" ht="13.5" customHeight="1">
      <c r="A350" s="1708" t="s">
        <v>2899</v>
      </c>
      <c r="B350" s="1708"/>
      <c r="C350" s="1708"/>
      <c r="D350" s="1708"/>
      <c r="E350" s="1890">
        <f>'Part II-Development Team'!E148</f>
        <v>0</v>
      </c>
      <c r="F350" s="1890">
        <f>'Part II-Development Team'!F148</f>
        <v>0</v>
      </c>
      <c r="G350" s="1890">
        <f>'Part II-Development Team'!G148</f>
        <v>0</v>
      </c>
      <c r="H350" s="1890">
        <f>'Part II-Development Team'!H148</f>
        <v>0</v>
      </c>
      <c r="I350" s="2129" t="str">
        <f>'Part II-Development Team'!I148</f>
        <v>Select</v>
      </c>
      <c r="J350" s="2129" t="str">
        <f>'Part II-Development Team'!J148</f>
        <v>Select</v>
      </c>
      <c r="K350" s="2130">
        <f>'Part II-Development Team'!K148</f>
        <v>0</v>
      </c>
      <c r="L350" s="2131">
        <f>'Part II-Development Team'!L148</f>
        <v>0</v>
      </c>
      <c r="M350" s="2129" t="str">
        <f>'Part II-Development Team'!M148</f>
        <v>Select</v>
      </c>
      <c r="N350" s="1890">
        <f>'Part II-Development Team'!N148</f>
        <v>0</v>
      </c>
      <c r="O350" s="1890">
        <f>'Part II-Development Team'!O148</f>
        <v>0</v>
      </c>
      <c r="P350" s="1890">
        <f>'Part II-Development Team'!P148</f>
        <v>0</v>
      </c>
      <c r="Q350" s="1890">
        <f>'Part II-Development Team'!Q148</f>
        <v>0</v>
      </c>
      <c r="R350" s="1890">
        <f>'Part II-Development Team'!R148</f>
        <v>0</v>
      </c>
      <c r="S350" s="1890">
        <f>'Part II-Development Team'!S148</f>
        <v>0</v>
      </c>
    </row>
    <row r="351" spans="1:19" ht="13.5" customHeight="1">
      <c r="A351" s="1708" t="s">
        <v>2898</v>
      </c>
      <c r="B351" s="1708"/>
      <c r="C351" s="1708"/>
      <c r="D351" s="1708"/>
      <c r="E351" s="1890">
        <f>'Part II-Development Team'!E149</f>
        <v>0</v>
      </c>
      <c r="F351" s="1890">
        <f>'Part II-Development Team'!F149</f>
        <v>0</v>
      </c>
      <c r="G351" s="1890">
        <f>'Part II-Development Team'!G149</f>
        <v>0</v>
      </c>
      <c r="H351" s="1890">
        <f>'Part II-Development Team'!H149</f>
        <v>0</v>
      </c>
      <c r="I351" s="2129" t="str">
        <f>'Part II-Development Team'!I149</f>
        <v>Select</v>
      </c>
      <c r="J351" s="2129" t="str">
        <f>'Part II-Development Team'!J149</f>
        <v>Select</v>
      </c>
      <c r="K351" s="2130">
        <f>'Part II-Development Team'!K149</f>
        <v>0</v>
      </c>
      <c r="L351" s="2131">
        <f>'Part II-Development Team'!L149</f>
        <v>0</v>
      </c>
      <c r="M351" s="2129" t="str">
        <f>'Part II-Development Team'!M149</f>
        <v>Select</v>
      </c>
      <c r="N351" s="1890">
        <f>'Part II-Development Team'!N149</f>
        <v>0</v>
      </c>
      <c r="O351" s="1890">
        <f>'Part II-Development Team'!O149</f>
        <v>0</v>
      </c>
      <c r="P351" s="1890">
        <f>'Part II-Development Team'!P149</f>
        <v>0</v>
      </c>
      <c r="Q351" s="1890">
        <f>'Part II-Development Team'!Q149</f>
        <v>0</v>
      </c>
      <c r="R351" s="1890">
        <f>'Part II-Development Team'!R149</f>
        <v>0</v>
      </c>
      <c r="S351" s="1890">
        <f>'Part II-Development Team'!S149</f>
        <v>0</v>
      </c>
    </row>
    <row r="352" spans="1:19" ht="13.5">
      <c r="A352" s="1708" t="s">
        <v>1529</v>
      </c>
      <c r="B352" s="1708"/>
      <c r="C352" s="1708"/>
      <c r="D352" s="1708"/>
      <c r="E352" s="1890">
        <f>'Part II-Development Team'!E150</f>
        <v>0</v>
      </c>
      <c r="F352" s="1890">
        <f>'Part II-Development Team'!F150</f>
        <v>0</v>
      </c>
      <c r="G352" s="1890">
        <f>'Part II-Development Team'!G150</f>
        <v>0</v>
      </c>
      <c r="H352" s="1890">
        <f>'Part II-Development Team'!H150</f>
        <v>0</v>
      </c>
      <c r="I352" s="2129" t="str">
        <f>'Part II-Development Team'!I150</f>
        <v>No</v>
      </c>
      <c r="J352" s="2129" t="str">
        <f>'Part II-Development Team'!J150</f>
        <v>No</v>
      </c>
      <c r="K352" s="2130" t="str">
        <f>'Part II-Development Team'!K150</f>
        <v>For Profit</v>
      </c>
      <c r="L352" s="2131">
        <f>'Part II-Development Team'!L150</f>
        <v>0</v>
      </c>
      <c r="M352" s="2129" t="str">
        <f>'Part II-Development Team'!M150</f>
        <v>No</v>
      </c>
      <c r="N352" s="1890">
        <f>'Part II-Development Team'!N150</f>
        <v>0</v>
      </c>
      <c r="O352" s="1890">
        <f>'Part II-Development Team'!O150</f>
        <v>0</v>
      </c>
      <c r="P352" s="1890">
        <f>'Part II-Development Team'!P150</f>
        <v>0</v>
      </c>
      <c r="Q352" s="1890">
        <f>'Part II-Development Team'!Q150</f>
        <v>0</v>
      </c>
      <c r="R352" s="1890">
        <f>'Part II-Development Team'!R150</f>
        <v>0</v>
      </c>
      <c r="S352" s="1890">
        <f>'Part II-Development Team'!S150</f>
        <v>0</v>
      </c>
    </row>
    <row r="353" spans="1:19" ht="13.5" customHeight="1">
      <c r="A353" s="1708" t="s">
        <v>2900</v>
      </c>
      <c r="B353" s="1708"/>
      <c r="C353" s="1708"/>
      <c r="D353" s="1708"/>
      <c r="E353" s="1890">
        <f>'Part II-Development Team'!E151</f>
        <v>0</v>
      </c>
      <c r="F353" s="1890">
        <f>'Part II-Development Team'!F151</f>
        <v>0</v>
      </c>
      <c r="G353" s="1890">
        <f>'Part II-Development Team'!G151</f>
        <v>0</v>
      </c>
      <c r="H353" s="1890">
        <f>'Part II-Development Team'!H151</f>
        <v>0</v>
      </c>
      <c r="I353" s="2129" t="str">
        <f>'Part II-Development Team'!I151</f>
        <v>No</v>
      </c>
      <c r="J353" s="2129" t="str">
        <f>'Part II-Development Team'!J151</f>
        <v>No</v>
      </c>
      <c r="K353" s="2130" t="str">
        <f>'Part II-Development Team'!K151</f>
        <v>For Profit</v>
      </c>
      <c r="L353" s="2131">
        <f>'Part II-Development Team'!L151</f>
        <v>0</v>
      </c>
      <c r="M353" s="2129" t="str">
        <f>'Part II-Development Team'!M151</f>
        <v>No</v>
      </c>
      <c r="N353" s="1890">
        <f>'Part II-Development Team'!N151</f>
        <v>0</v>
      </c>
      <c r="O353" s="1890">
        <f>'Part II-Development Team'!O151</f>
        <v>0</v>
      </c>
      <c r="P353" s="1890">
        <f>'Part II-Development Team'!P151</f>
        <v>0</v>
      </c>
      <c r="Q353" s="1890">
        <f>'Part II-Development Team'!Q151</f>
        <v>0</v>
      </c>
      <c r="R353" s="1890">
        <f>'Part II-Development Team'!R151</f>
        <v>0</v>
      </c>
      <c r="S353" s="1890">
        <f>'Part II-Development Team'!S151</f>
        <v>0</v>
      </c>
    </row>
    <row r="354" spans="1:19">
      <c r="A354" s="1647"/>
      <c r="B354" s="1647"/>
      <c r="C354" s="1647"/>
      <c r="D354" s="1647"/>
      <c r="E354" s="1647"/>
      <c r="F354" s="1647"/>
      <c r="G354" s="1628"/>
      <c r="H354" s="1628"/>
      <c r="I354" s="1628"/>
      <c r="J354" s="1651"/>
      <c r="K354" s="1685" t="s">
        <v>539</v>
      </c>
      <c r="L354" s="1709">
        <f>SUM(L341:S353)</f>
        <v>1</v>
      </c>
      <c r="M354" s="1651"/>
      <c r="N354" s="1647"/>
      <c r="O354" s="1647"/>
      <c r="P354" s="1653"/>
      <c r="Q354" s="1647"/>
      <c r="R354" s="1647"/>
      <c r="S354" s="1647"/>
    </row>
    <row r="355" spans="1:19">
      <c r="A355" s="1679" t="s">
        <v>530</v>
      </c>
      <c r="B355" s="1683"/>
      <c r="C355" s="1679" t="s">
        <v>572</v>
      </c>
      <c r="D355" s="1653"/>
      <c r="E355" s="1653"/>
      <c r="F355" s="1653"/>
      <c r="G355" s="1653"/>
      <c r="H355" s="1653"/>
      <c r="I355" s="1653"/>
      <c r="J355" s="1653"/>
      <c r="K355" s="1653"/>
      <c r="L355" s="1653"/>
      <c r="M355" s="1653"/>
      <c r="N355" s="1679" t="s">
        <v>530</v>
      </c>
      <c r="O355" s="1679" t="s">
        <v>79</v>
      </c>
      <c r="P355" s="1653"/>
      <c r="Q355" s="1653"/>
      <c r="R355" s="1653"/>
      <c r="S355" s="1653"/>
    </row>
    <row r="356" spans="1:19" ht="12.75" customHeight="1">
      <c r="A356" s="1708">
        <f>'Part II-Development Team'!A154</f>
        <v>0</v>
      </c>
      <c r="B356" s="1708">
        <f>'Part II-Development Team'!B154</f>
        <v>0</v>
      </c>
      <c r="C356" s="1708">
        <f>'Part II-Development Team'!C154</f>
        <v>0</v>
      </c>
      <c r="D356" s="1708">
        <f>'Part II-Development Team'!D154</f>
        <v>0</v>
      </c>
      <c r="E356" s="1708">
        <f>'Part II-Development Team'!E154</f>
        <v>0</v>
      </c>
      <c r="F356" s="1708">
        <f>'Part II-Development Team'!F154</f>
        <v>0</v>
      </c>
      <c r="G356" s="1708">
        <f>'Part II-Development Team'!G154</f>
        <v>0</v>
      </c>
      <c r="H356" s="1708">
        <f>'Part II-Development Team'!H154</f>
        <v>0</v>
      </c>
      <c r="I356" s="1708">
        <f>'Part II-Development Team'!I154</f>
        <v>0</v>
      </c>
      <c r="J356" s="1708">
        <f>'Part II-Development Team'!J154</f>
        <v>0</v>
      </c>
      <c r="K356" s="1708">
        <f>'Part II-Development Team'!K154</f>
        <v>0</v>
      </c>
      <c r="L356" s="1708">
        <f>'Part II-Development Team'!L154</f>
        <v>0</v>
      </c>
      <c r="M356" s="1708">
        <f>'Part II-Development Team'!M154</f>
        <v>0</v>
      </c>
      <c r="N356" s="1708">
        <f>'Part II-Development Team'!N154</f>
        <v>0</v>
      </c>
      <c r="O356" s="1708">
        <f>'Part II-Development Team'!O154</f>
        <v>0</v>
      </c>
      <c r="P356" s="1708">
        <f>'Part II-Development Team'!P154</f>
        <v>0</v>
      </c>
      <c r="Q356" s="1708">
        <f>'Part II-Development Team'!Q154</f>
        <v>0</v>
      </c>
      <c r="R356" s="1708">
        <f>'Part II-Development Team'!R154</f>
        <v>0</v>
      </c>
      <c r="S356" s="1708">
        <f>'Part II-Development Team'!S154</f>
        <v>0</v>
      </c>
    </row>
    <row r="364" spans="1:19">
      <c r="A364" s="1628" t="str">
        <f>CONCATENATE("PART THREE - SOURCES OF FUNDS","  -  ",'Part I-Project Information'!$O$6," ",'Part I-Project Information'!$F$34,", ",'Part I-Project Information'!$F$38,", ",'Part I-Project Information'!$J$39," County")</f>
        <v>PART THREE - SOURCES OF FUNDS  -  2019-5 Stone Terrace Phase II, Stonecrest, DeKalb County</v>
      </c>
      <c r="B364" s="1628"/>
      <c r="C364" s="1628"/>
      <c r="D364" s="1628"/>
      <c r="E364" s="1628"/>
      <c r="F364" s="1628"/>
      <c r="G364" s="1628"/>
      <c r="H364" s="1628"/>
      <c r="I364" s="1628"/>
      <c r="J364" s="1628"/>
      <c r="K364" s="1628"/>
      <c r="L364" s="1628"/>
      <c r="M364" s="1628"/>
      <c r="N364" s="1628"/>
      <c r="O364" s="1628"/>
      <c r="P364" s="1628"/>
      <c r="Q364" s="1628"/>
    </row>
    <row r="365" spans="1:19">
      <c r="A365" s="1653"/>
      <c r="B365" s="1653"/>
      <c r="C365" s="1653"/>
      <c r="D365" s="1653"/>
      <c r="E365" s="1653"/>
      <c r="F365" s="1653"/>
      <c r="G365" s="1631"/>
      <c r="H365" s="1631"/>
      <c r="I365" s="1631"/>
      <c r="J365" s="1631"/>
      <c r="K365" s="1631"/>
      <c r="L365" s="1631"/>
      <c r="M365" s="1653"/>
      <c r="N365" s="1653"/>
      <c r="O365" s="1653"/>
      <c r="P365" s="1653"/>
      <c r="Q365" s="1653"/>
    </row>
    <row r="366" spans="1:19" ht="13.5">
      <c r="A366" s="1628" t="s">
        <v>616</v>
      </c>
      <c r="B366" s="1679" t="s">
        <v>2491</v>
      </c>
      <c r="C366" s="1647"/>
      <c r="D366" s="1647"/>
      <c r="E366" s="1647"/>
      <c r="F366" s="1647"/>
      <c r="G366" s="1647"/>
      <c r="H366" s="1710"/>
      <c r="I366" s="1710"/>
      <c r="J366" s="1647"/>
      <c r="K366" s="1710"/>
      <c r="L366" s="1710"/>
      <c r="M366" s="1710"/>
      <c r="N366" s="1710"/>
      <c r="O366" s="1710"/>
      <c r="P366" s="1710"/>
      <c r="Q366" s="1710"/>
    </row>
    <row r="367" spans="1:19" ht="13.5">
      <c r="A367" s="1679"/>
      <c r="B367" s="1645"/>
      <c r="C367" s="1679"/>
      <c r="D367" s="1647"/>
      <c r="E367" s="1647"/>
      <c r="F367" s="1647"/>
      <c r="G367" s="1647"/>
      <c r="H367" s="1710"/>
      <c r="I367" s="1710"/>
      <c r="J367" s="1710"/>
      <c r="K367" s="1710"/>
      <c r="L367" s="1710"/>
      <c r="M367" s="1710"/>
      <c r="N367" s="1710"/>
      <c r="O367" s="1710"/>
      <c r="P367" s="1710"/>
      <c r="Q367" s="1710"/>
    </row>
    <row r="368" spans="1:19" ht="13.5">
      <c r="A368" s="1645"/>
      <c r="B368" s="1651" t="str">
        <f>'Part III-Sources of Funds'!B5</f>
        <v>Yes</v>
      </c>
      <c r="C368" s="1654" t="s">
        <v>2410</v>
      </c>
      <c r="D368" s="1647"/>
      <c r="E368" s="1710"/>
      <c r="F368" s="1710"/>
      <c r="G368" s="1710"/>
      <c r="H368" s="1651" t="str">
        <f>'Part III-Sources of Funds'!L11</f>
        <v>No</v>
      </c>
      <c r="I368" s="1654" t="s">
        <v>1537</v>
      </c>
      <c r="J368" s="1710"/>
      <c r="K368" s="1710"/>
      <c r="L368" s="1651" t="str">
        <f>'Part III-Sources of Funds'!B11</f>
        <v>No</v>
      </c>
      <c r="M368" s="1647" t="s">
        <v>3891</v>
      </c>
      <c r="N368" s="1710"/>
      <c r="O368" s="1710"/>
      <c r="P368" s="1710"/>
      <c r="Q368" s="1710"/>
    </row>
    <row r="369" spans="1:17" ht="13.5">
      <c r="A369" s="1645"/>
      <c r="B369" s="1651" t="str">
        <f>'Part III-Sources of Funds'!B6</f>
        <v>No</v>
      </c>
      <c r="C369" s="1654" t="s">
        <v>550</v>
      </c>
      <c r="D369" s="1647"/>
      <c r="E369" s="1710"/>
      <c r="F369" s="1710"/>
      <c r="G369" s="1710"/>
      <c r="H369" s="1651" t="str">
        <f>'Part III-Sources of Funds'!L12</f>
        <v>No</v>
      </c>
      <c r="I369" s="1654" t="s">
        <v>549</v>
      </c>
      <c r="J369" s="1710"/>
      <c r="K369" s="1710"/>
      <c r="L369" s="1651" t="str">
        <f>'Part III-Sources of Funds'!E8</f>
        <v>No</v>
      </c>
      <c r="M369" s="1654" t="s">
        <v>2601</v>
      </c>
      <c r="N369" s="1710"/>
      <c r="O369" s="1710"/>
      <c r="P369" s="1710"/>
      <c r="Q369" s="1710"/>
    </row>
    <row r="370" spans="1:17" ht="13.5">
      <c r="A370" s="1647"/>
      <c r="B370" s="1651" t="str">
        <f>'Part III-Sources of Funds'!E14</f>
        <v>Yes</v>
      </c>
      <c r="C370" s="1654" t="s">
        <v>3888</v>
      </c>
      <c r="D370" s="1710"/>
      <c r="E370" s="1710"/>
      <c r="F370" s="1766">
        <f>'Part III-Sources of Funds'!I14</f>
        <v>19950000</v>
      </c>
      <c r="G370" s="1766">
        <f>'Part III-Sources of Funds'!J14</f>
        <v>0</v>
      </c>
      <c r="H370" s="1651" t="str">
        <f>'Part III-Sources of Funds'!L13</f>
        <v>No</v>
      </c>
      <c r="I370" s="1654" t="s">
        <v>3681</v>
      </c>
      <c r="J370" s="1710"/>
      <c r="K370" s="1710"/>
      <c r="L370" s="1651" t="str">
        <f>'Part III-Sources of Funds'!B8</f>
        <v>No</v>
      </c>
      <c r="M370" s="1654" t="s">
        <v>2602</v>
      </c>
      <c r="N370" s="1710"/>
      <c r="O370" s="1710"/>
      <c r="P370" s="1710"/>
      <c r="Q370" s="1710"/>
    </row>
    <row r="371" spans="1:17" ht="13.5">
      <c r="A371" s="1645"/>
      <c r="B371" s="1651" t="str">
        <f>'Part III-Sources of Funds'!B14</f>
        <v>No</v>
      </c>
      <c r="C371" s="1654" t="s">
        <v>1803</v>
      </c>
      <c r="D371" s="1647"/>
      <c r="E371" s="1710"/>
      <c r="F371" s="1710"/>
      <c r="G371" s="1710"/>
      <c r="H371" s="1651" t="str">
        <f>'Part III-Sources of Funds'!L14</f>
        <v>No</v>
      </c>
      <c r="I371" s="1647" t="s">
        <v>2610</v>
      </c>
      <c r="J371" s="1710"/>
      <c r="K371" s="1710"/>
      <c r="L371" s="1651" t="str">
        <f>'Part III-Sources of Funds'!B9</f>
        <v>No</v>
      </c>
      <c r="M371" s="1654" t="s">
        <v>3686</v>
      </c>
      <c r="N371" s="1710"/>
      <c r="O371" s="1710"/>
      <c r="P371" s="1710"/>
      <c r="Q371" s="1710"/>
    </row>
    <row r="372" spans="1:17" ht="13.5">
      <c r="A372" s="1645"/>
      <c r="B372" s="1651" t="str">
        <f>'Part III-Sources of Funds'!B7</f>
        <v>No</v>
      </c>
      <c r="C372" s="1654" t="s">
        <v>551</v>
      </c>
      <c r="D372" s="1710"/>
      <c r="E372" s="1710"/>
      <c r="F372" s="1710"/>
      <c r="G372" s="1710"/>
      <c r="H372" s="1651" t="str">
        <f>'Part III-Sources of Funds'!B12</f>
        <v>No</v>
      </c>
      <c r="I372" s="1647" t="s">
        <v>2608</v>
      </c>
      <c r="J372" s="1710"/>
      <c r="K372" s="1710"/>
      <c r="L372" s="1651" t="str">
        <f>'Part III-Sources of Funds'!B10</f>
        <v>No</v>
      </c>
      <c r="M372" s="1654" t="s">
        <v>2609</v>
      </c>
      <c r="N372" s="1710"/>
      <c r="O372" s="1710"/>
      <c r="P372" s="1710"/>
      <c r="Q372" s="1710"/>
    </row>
    <row r="373" spans="1:17" ht="13.5">
      <c r="A373" s="1645"/>
      <c r="B373" s="1651" t="str">
        <f>'Part III-Sources of Funds'!L5</f>
        <v>No</v>
      </c>
      <c r="C373" s="1654" t="s">
        <v>3889</v>
      </c>
      <c r="D373" s="1710"/>
      <c r="E373" s="1710"/>
      <c r="F373" s="1710"/>
      <c r="G373" s="1711"/>
      <c r="H373" s="1651" t="str">
        <f>'Part III-Sources of Funds'!B13</f>
        <v>No</v>
      </c>
      <c r="I373" s="1647" t="s">
        <v>3720</v>
      </c>
      <c r="J373" s="1682"/>
      <c r="K373" s="1682"/>
      <c r="L373" s="1651" t="str">
        <f>'Part III-Sources of Funds'!E9</f>
        <v>No</v>
      </c>
      <c r="M373" s="1654" t="s">
        <v>3722</v>
      </c>
      <c r="N373" s="1710"/>
      <c r="O373" s="1710" t="str">
        <f>'Part III-Sources of Funds'!H9</f>
        <v>Specify Other PBRA Source here</v>
      </c>
      <c r="P373" s="1710">
        <f>'Part III-Sources of Funds'!I9</f>
        <v>0</v>
      </c>
      <c r="Q373" s="1710">
        <f>'Part III-Sources of Funds'!J9</f>
        <v>0</v>
      </c>
    </row>
    <row r="374" spans="1:17" ht="13.5">
      <c r="A374" s="1645"/>
      <c r="B374" s="1651" t="str">
        <f>'Part III-Sources of Funds'!E5</f>
        <v>No</v>
      </c>
      <c r="C374" s="1654" t="s">
        <v>4505</v>
      </c>
      <c r="D374" s="1647"/>
      <c r="E374" s="2132">
        <f>'Part III-Sources of Funds'!H5</f>
        <v>0</v>
      </c>
      <c r="F374" s="2111">
        <f>'Part III-Sources of Funds'!I5</f>
        <v>0</v>
      </c>
      <c r="G374" s="1710"/>
      <c r="H374" s="1651" t="str">
        <f>'Part III-Sources of Funds'!L6</f>
        <v>No</v>
      </c>
      <c r="I374" s="1647" t="s">
        <v>3725</v>
      </c>
      <c r="J374" s="1710"/>
      <c r="K374" s="1710"/>
      <c r="L374" s="1651" t="str">
        <f>'Part III-Sources of Funds'!L9</f>
        <v>No</v>
      </c>
      <c r="M374" s="1647" t="s">
        <v>3620</v>
      </c>
      <c r="N374" s="1710"/>
      <c r="O374" s="1710"/>
      <c r="P374" s="1710"/>
      <c r="Q374" s="1710"/>
    </row>
    <row r="375" spans="1:17" ht="13.5">
      <c r="A375" s="1645"/>
      <c r="B375" s="1651" t="str">
        <f>'Part III-Sources of Funds'!E6</f>
        <v>No</v>
      </c>
      <c r="C375" s="1654" t="s">
        <v>4506</v>
      </c>
      <c r="D375" s="1710"/>
      <c r="E375" s="2132">
        <f>'Part III-Sources of Funds'!H6</f>
        <v>0</v>
      </c>
      <c r="F375" s="2111">
        <f>'Part III-Sources of Funds'!I6</f>
        <v>0</v>
      </c>
      <c r="G375" s="1710"/>
      <c r="H375" s="1651" t="str">
        <f>'Part III-Sources of Funds'!L7</f>
        <v>No</v>
      </c>
      <c r="I375" s="1692" t="s">
        <v>2796</v>
      </c>
      <c r="J375" s="1692"/>
      <c r="K375" s="1692"/>
      <c r="L375" s="1651" t="str">
        <f>'Part III-Sources of Funds'!E12</f>
        <v>No</v>
      </c>
      <c r="M375" s="1710" t="str">
        <f>'Part III-Sources of Funds'!F12</f>
        <v>Other Type of STATE/LOCAL Funding - describe type/program here</v>
      </c>
      <c r="N375" s="1710">
        <f>'Part III-Sources of Funds'!G12</f>
        <v>0</v>
      </c>
      <c r="O375" s="1710">
        <f>'Part III-Sources of Funds'!H12</f>
        <v>0</v>
      </c>
      <c r="P375" s="1710">
        <f>'Part III-Sources of Funds'!I12</f>
        <v>0</v>
      </c>
      <c r="Q375" s="1710">
        <f>'Part III-Sources of Funds'!J12</f>
        <v>0</v>
      </c>
    </row>
    <row r="376" spans="1:17" ht="13.5">
      <c r="A376" s="1645"/>
      <c r="B376" s="1710"/>
      <c r="C376" s="1710" t="s">
        <v>3721</v>
      </c>
      <c r="D376" s="1710"/>
      <c r="E376" s="1710" t="str">
        <f>'Part III-Sources of Funds'!H7</f>
        <v>Specify Other HOME Source here</v>
      </c>
      <c r="F376" s="1710">
        <f>'Part III-Sources of Funds'!I7</f>
        <v>0</v>
      </c>
      <c r="G376" s="1710">
        <f>'Part III-Sources of Funds'!J7</f>
        <v>0</v>
      </c>
      <c r="H376" s="1651" t="str">
        <f>'Part III-Sources of Funds'!L8</f>
        <v>No</v>
      </c>
      <c r="I376" s="1654" t="s">
        <v>3890</v>
      </c>
      <c r="J376" s="1692"/>
      <c r="K376" s="1692"/>
      <c r="L376" s="1710"/>
      <c r="M376" s="1710" t="str">
        <f>'Part III-Sources of Funds'!F13</f>
        <v>Specify Source/Administrator of Other STATE/LOCAL Funding here</v>
      </c>
      <c r="N376" s="1710">
        <f>'Part III-Sources of Funds'!G13</f>
        <v>0</v>
      </c>
      <c r="O376" s="1710">
        <f>'Part III-Sources of Funds'!H13</f>
        <v>0</v>
      </c>
      <c r="P376" s="1710">
        <f>'Part III-Sources of Funds'!I13</f>
        <v>0</v>
      </c>
      <c r="Q376" s="1710">
        <f>'Part III-Sources of Funds'!J13</f>
        <v>0</v>
      </c>
    </row>
    <row r="377" spans="1:17" ht="13.5">
      <c r="A377" s="1645"/>
      <c r="B377" s="1710" t="s">
        <v>3687</v>
      </c>
      <c r="C377" s="1647"/>
      <c r="D377" s="1647"/>
      <c r="E377" s="1647"/>
      <c r="F377" s="1647"/>
      <c r="G377" s="1647"/>
      <c r="H377" s="1647"/>
      <c r="I377" s="1647"/>
      <c r="J377" s="1647"/>
      <c r="K377" s="1647"/>
      <c r="L377" s="1647"/>
      <c r="M377" s="1665"/>
      <c r="N377" s="1647"/>
      <c r="O377" s="1647"/>
      <c r="P377" s="1647"/>
      <c r="Q377" s="1647"/>
    </row>
    <row r="378" spans="1:17" ht="13.5">
      <c r="A378" s="1645"/>
      <c r="B378" s="1710"/>
      <c r="C378" s="1710"/>
      <c r="D378" s="1710"/>
      <c r="E378" s="1710"/>
      <c r="F378" s="1710"/>
      <c r="G378" s="1710"/>
      <c r="H378" s="1710"/>
      <c r="I378" s="1710"/>
      <c r="J378" s="1710"/>
      <c r="K378" s="1710"/>
      <c r="L378" s="1647"/>
      <c r="M378" s="1665"/>
      <c r="N378" s="1647"/>
      <c r="O378" s="1647"/>
      <c r="P378" s="1647"/>
      <c r="Q378" s="1647"/>
    </row>
    <row r="379" spans="1:17" ht="13.5">
      <c r="A379" s="1628" t="s">
        <v>740</v>
      </c>
      <c r="B379" s="1648" t="s">
        <v>2345</v>
      </c>
      <c r="C379" s="1647"/>
      <c r="D379" s="1647"/>
      <c r="E379" s="1647"/>
      <c r="F379" s="1647"/>
      <c r="G379" s="1647"/>
      <c r="H379" s="1710"/>
      <c r="I379" s="1698"/>
      <c r="J379" s="1698"/>
      <c r="K379" s="1698"/>
      <c r="L379" s="1647"/>
      <c r="M379" s="1647"/>
      <c r="N379" s="1647"/>
      <c r="O379" s="1647"/>
      <c r="P379" s="1647"/>
      <c r="Q379" s="1647"/>
    </row>
    <row r="380" spans="1:17" ht="13.5">
      <c r="A380" s="1628"/>
      <c r="B380" s="1648"/>
      <c r="C380" s="1647"/>
      <c r="D380" s="1698"/>
      <c r="E380" s="1698"/>
      <c r="F380" s="1698"/>
      <c r="G380" s="1698"/>
      <c r="H380" s="1698"/>
      <c r="I380" s="1698"/>
      <c r="J380" s="1698"/>
      <c r="K380" s="1647"/>
      <c r="L380" s="1647"/>
      <c r="M380" s="1647"/>
      <c r="N380" s="1651"/>
      <c r="O380" s="1651"/>
      <c r="P380" s="1647"/>
      <c r="Q380" s="1647"/>
    </row>
    <row r="381" spans="1:17">
      <c r="A381" s="1647"/>
      <c r="B381" s="1654" t="s">
        <v>1871</v>
      </c>
      <c r="C381" s="1647"/>
      <c r="D381" s="1647"/>
      <c r="E381" s="1647"/>
      <c r="F381" s="1647"/>
      <c r="G381" s="1647"/>
      <c r="H381" s="1647" t="s">
        <v>1297</v>
      </c>
      <c r="I381" s="1647"/>
      <c r="J381" s="1647"/>
      <c r="K381" s="1647"/>
      <c r="L381" s="1647" t="s">
        <v>1990</v>
      </c>
      <c r="M381" s="1647"/>
      <c r="N381" s="1647" t="s">
        <v>1507</v>
      </c>
      <c r="O381" s="1647"/>
      <c r="P381" s="1647" t="s">
        <v>1630</v>
      </c>
      <c r="Q381" s="1647"/>
    </row>
    <row r="382" spans="1:17" ht="38.25">
      <c r="A382" s="1647"/>
      <c r="B382" s="1647" t="s">
        <v>1591</v>
      </c>
      <c r="C382" s="1647"/>
      <c r="D382" s="1647"/>
      <c r="E382" s="1647"/>
      <c r="F382" s="1647"/>
      <c r="G382" s="1647"/>
      <c r="H382" s="1703" t="str">
        <f>'Part III-Sources of Funds'!H20</f>
        <v>DeKalb County Housing Authority</v>
      </c>
      <c r="I382" s="1703">
        <f>'Part III-Sources of Funds'!I20</f>
        <v>0</v>
      </c>
      <c r="J382" s="1703">
        <f>'Part III-Sources of Funds'!J20</f>
        <v>0</v>
      </c>
      <c r="K382" s="1703">
        <f>'Part III-Sources of Funds'!K20</f>
        <v>0</v>
      </c>
      <c r="L382" s="1729">
        <f>'Part III-Sources of Funds'!L20</f>
        <v>6865000</v>
      </c>
      <c r="M382" s="1729">
        <f>'Part III-Sources of Funds'!M20</f>
        <v>0</v>
      </c>
      <c r="N382" s="1712">
        <f>'Part III-Sources of Funds'!N20</f>
        <v>4.2500000000000003E-2</v>
      </c>
      <c r="O382" s="1712">
        <f>'Part III-Sources of Funds'!O20</f>
        <v>0</v>
      </c>
      <c r="P382" s="1784">
        <f>'Part III-Sources of Funds'!P20</f>
        <v>24</v>
      </c>
      <c r="Q382" s="1784">
        <f>'Part III-Sources of Funds'!Q20</f>
        <v>0</v>
      </c>
    </row>
    <row r="383" spans="1:17">
      <c r="A383" s="1647"/>
      <c r="B383" s="1647" t="s">
        <v>1592</v>
      </c>
      <c r="C383" s="1647"/>
      <c r="D383" s="1647"/>
      <c r="E383" s="1647"/>
      <c r="F383" s="1647"/>
      <c r="G383" s="1647"/>
      <c r="H383" s="1703">
        <f>'Part III-Sources of Funds'!H21</f>
        <v>0</v>
      </c>
      <c r="I383" s="1703">
        <f>'Part III-Sources of Funds'!I21</f>
        <v>0</v>
      </c>
      <c r="J383" s="1703">
        <f>'Part III-Sources of Funds'!J21</f>
        <v>0</v>
      </c>
      <c r="K383" s="1703">
        <f>'Part III-Sources of Funds'!K21</f>
        <v>0</v>
      </c>
      <c r="L383" s="1729">
        <f>'Part III-Sources of Funds'!L21</f>
        <v>0</v>
      </c>
      <c r="M383" s="1729">
        <f>'Part III-Sources of Funds'!M21</f>
        <v>0</v>
      </c>
      <c r="N383" s="1712">
        <f>'Part III-Sources of Funds'!N21</f>
        <v>0</v>
      </c>
      <c r="O383" s="1712">
        <f>'Part III-Sources of Funds'!O21</f>
        <v>0</v>
      </c>
      <c r="P383" s="1784">
        <f>'Part III-Sources of Funds'!P21</f>
        <v>0</v>
      </c>
      <c r="Q383" s="1784">
        <f>'Part III-Sources of Funds'!Q21</f>
        <v>0</v>
      </c>
    </row>
    <row r="384" spans="1:17">
      <c r="A384" s="1647"/>
      <c r="B384" s="1647" t="s">
        <v>1593</v>
      </c>
      <c r="C384" s="1647"/>
      <c r="D384" s="1647"/>
      <c r="E384" s="1647"/>
      <c r="F384" s="1647"/>
      <c r="G384" s="1647"/>
      <c r="H384" s="1703">
        <f>'Part III-Sources of Funds'!H22</f>
        <v>0</v>
      </c>
      <c r="I384" s="1703">
        <f>'Part III-Sources of Funds'!I22</f>
        <v>0</v>
      </c>
      <c r="J384" s="1703">
        <f>'Part III-Sources of Funds'!J22</f>
        <v>0</v>
      </c>
      <c r="K384" s="1703">
        <f>'Part III-Sources of Funds'!K22</f>
        <v>0</v>
      </c>
      <c r="L384" s="1729">
        <f>'Part III-Sources of Funds'!L22</f>
        <v>0</v>
      </c>
      <c r="M384" s="1729">
        <f>'Part III-Sources of Funds'!M22</f>
        <v>0</v>
      </c>
      <c r="N384" s="1712">
        <f>'Part III-Sources of Funds'!N22</f>
        <v>0</v>
      </c>
      <c r="O384" s="1712">
        <f>'Part III-Sources of Funds'!O22</f>
        <v>0</v>
      </c>
      <c r="P384" s="1784">
        <f>'Part III-Sources of Funds'!P22</f>
        <v>0</v>
      </c>
      <c r="Q384" s="1784">
        <f>'Part III-Sources of Funds'!Q22</f>
        <v>0</v>
      </c>
    </row>
    <row r="385" spans="1:17">
      <c r="A385" s="1647"/>
      <c r="B385" s="1647" t="s">
        <v>2215</v>
      </c>
      <c r="C385" s="1647"/>
      <c r="D385" s="1647"/>
      <c r="E385" s="1647"/>
      <c r="F385" s="1647"/>
      <c r="G385" s="1647"/>
      <c r="H385" s="1703">
        <f>'Part III-Sources of Funds'!H23</f>
        <v>0</v>
      </c>
      <c r="I385" s="1703">
        <f>'Part III-Sources of Funds'!I23</f>
        <v>0</v>
      </c>
      <c r="J385" s="1703">
        <f>'Part III-Sources of Funds'!J23</f>
        <v>0</v>
      </c>
      <c r="K385" s="1703">
        <f>'Part III-Sources of Funds'!K23</f>
        <v>0</v>
      </c>
      <c r="L385" s="1729">
        <f>'Part III-Sources of Funds'!L23</f>
        <v>0</v>
      </c>
      <c r="M385" s="1729">
        <f>'Part III-Sources of Funds'!M23</f>
        <v>0</v>
      </c>
      <c r="N385" s="1712"/>
      <c r="O385" s="1712"/>
      <c r="P385" s="1647"/>
      <c r="Q385" s="1647"/>
    </row>
    <row r="386" spans="1:17" ht="13.5">
      <c r="A386" s="1647"/>
      <c r="B386" s="1647" t="s">
        <v>801</v>
      </c>
      <c r="C386" s="1647"/>
      <c r="D386" s="1647"/>
      <c r="E386" s="1647"/>
      <c r="F386" s="1710"/>
      <c r="G386" s="1710"/>
      <c r="H386" s="1703">
        <f>'Part III-Sources of Funds'!H24</f>
        <v>0</v>
      </c>
      <c r="I386" s="1703">
        <f>'Part III-Sources of Funds'!I24</f>
        <v>0</v>
      </c>
      <c r="J386" s="1703">
        <f>'Part III-Sources of Funds'!J24</f>
        <v>0</v>
      </c>
      <c r="K386" s="1703">
        <f>'Part III-Sources of Funds'!K24</f>
        <v>0</v>
      </c>
      <c r="L386" s="1729">
        <f>'Part III-Sources of Funds'!L24</f>
        <v>0</v>
      </c>
      <c r="M386" s="1729">
        <f>'Part III-Sources of Funds'!M24</f>
        <v>0</v>
      </c>
      <c r="N386" s="1712"/>
      <c r="O386" s="1712"/>
      <c r="P386" s="1647"/>
      <c r="Q386" s="1647"/>
    </row>
    <row r="387" spans="1:17" ht="13.5">
      <c r="A387" s="1647"/>
      <c r="B387" s="1647" t="s">
        <v>641</v>
      </c>
      <c r="C387" s="1647"/>
      <c r="D387" s="1647"/>
      <c r="E387" s="1647"/>
      <c r="F387" s="1710"/>
      <c r="G387" s="1710"/>
      <c r="H387" s="1703">
        <f>'Part III-Sources of Funds'!H25</f>
        <v>0</v>
      </c>
      <c r="I387" s="1703">
        <f>'Part III-Sources of Funds'!I25</f>
        <v>0</v>
      </c>
      <c r="J387" s="1703">
        <f>'Part III-Sources of Funds'!J25</f>
        <v>0</v>
      </c>
      <c r="K387" s="1703">
        <f>'Part III-Sources of Funds'!K25</f>
        <v>0</v>
      </c>
      <c r="L387" s="1729">
        <f>'Part III-Sources of Funds'!L25</f>
        <v>0</v>
      </c>
      <c r="M387" s="1729">
        <f>'Part III-Sources of Funds'!M25</f>
        <v>0</v>
      </c>
      <c r="N387" s="1712"/>
      <c r="O387" s="1712"/>
      <c r="P387" s="1647"/>
      <c r="Q387" s="1647"/>
    </row>
    <row r="388" spans="1:17" ht="51">
      <c r="A388" s="1647"/>
      <c r="B388" s="1647" t="s">
        <v>802</v>
      </c>
      <c r="C388" s="1647"/>
      <c r="D388" s="1647"/>
      <c r="E388" s="1647"/>
      <c r="F388" s="1710"/>
      <c r="G388" s="1710"/>
      <c r="H388" s="1703" t="str">
        <f>'Part III-Sources of Funds'!H26</f>
        <v>Raymond James Tax Credit Funds, Inc.</v>
      </c>
      <c r="I388" s="1703">
        <f>'Part III-Sources of Funds'!I26</f>
        <v>0</v>
      </c>
      <c r="J388" s="1703">
        <f>'Part III-Sources of Funds'!J26</f>
        <v>0</v>
      </c>
      <c r="K388" s="1703">
        <f>'Part III-Sources of Funds'!K26</f>
        <v>0</v>
      </c>
      <c r="L388" s="1729">
        <f>'Part III-Sources of Funds'!L26</f>
        <v>5547639</v>
      </c>
      <c r="M388" s="1729">
        <f>'Part III-Sources of Funds'!M26</f>
        <v>0</v>
      </c>
      <c r="N388" s="1647"/>
      <c r="O388" s="1647"/>
      <c r="P388" s="1647"/>
      <c r="Q388" s="1647"/>
    </row>
    <row r="389" spans="1:17" ht="51">
      <c r="A389" s="1647"/>
      <c r="B389" s="1647" t="s">
        <v>803</v>
      </c>
      <c r="C389" s="1647"/>
      <c r="D389" s="1647"/>
      <c r="E389" s="1647"/>
      <c r="F389" s="1710"/>
      <c r="G389" s="1710"/>
      <c r="H389" s="1703" t="str">
        <f>'Part III-Sources of Funds'!H27</f>
        <v>Raymond James Tax Credit Funds, Inc.</v>
      </c>
      <c r="I389" s="1703">
        <f>'Part III-Sources of Funds'!I27</f>
        <v>0</v>
      </c>
      <c r="J389" s="1703">
        <f>'Part III-Sources of Funds'!J27</f>
        <v>0</v>
      </c>
      <c r="K389" s="1703">
        <f>'Part III-Sources of Funds'!K27</f>
        <v>0</v>
      </c>
      <c r="L389" s="1729">
        <f>'Part III-Sources of Funds'!L27</f>
        <v>1356126</v>
      </c>
      <c r="M389" s="1729">
        <f>'Part III-Sources of Funds'!M27</f>
        <v>0</v>
      </c>
      <c r="N389" s="1647"/>
      <c r="O389" s="1710"/>
      <c r="P389" s="1710"/>
      <c r="Q389" s="1647"/>
    </row>
    <row r="390" spans="1:17" ht="13.5">
      <c r="A390" s="1647"/>
      <c r="B390" s="1647" t="s">
        <v>242</v>
      </c>
      <c r="C390" s="1647"/>
      <c r="D390" s="1703">
        <f>'Part III-Sources of Funds'!D28</f>
        <v>0</v>
      </c>
      <c r="E390" s="1703">
        <f>'Part III-Sources of Funds'!E28</f>
        <v>0</v>
      </c>
      <c r="F390" s="1703">
        <f>'Part III-Sources of Funds'!F28</f>
        <v>0</v>
      </c>
      <c r="G390" s="1703">
        <f>'Part III-Sources of Funds'!G28</f>
        <v>0</v>
      </c>
      <c r="H390" s="1703">
        <f>'Part III-Sources of Funds'!H28</f>
        <v>0</v>
      </c>
      <c r="I390" s="1703">
        <f>'Part III-Sources of Funds'!I28</f>
        <v>0</v>
      </c>
      <c r="J390" s="1703">
        <f>'Part III-Sources of Funds'!J28</f>
        <v>0</v>
      </c>
      <c r="K390" s="1703">
        <f>'Part III-Sources of Funds'!K28</f>
        <v>0</v>
      </c>
      <c r="L390" s="1729">
        <f>'Part III-Sources of Funds'!L28</f>
        <v>0</v>
      </c>
      <c r="M390" s="1729">
        <f>'Part III-Sources of Funds'!M28</f>
        <v>0</v>
      </c>
      <c r="N390" s="1647"/>
      <c r="O390" s="1710"/>
      <c r="P390" s="1710"/>
      <c r="Q390" s="1647"/>
    </row>
    <row r="391" spans="1:17" ht="13.5">
      <c r="A391" s="1647"/>
      <c r="B391" s="1647" t="s">
        <v>242</v>
      </c>
      <c r="C391" s="1647"/>
      <c r="D391" s="1703">
        <f>'Part III-Sources of Funds'!D29</f>
        <v>0</v>
      </c>
      <c r="E391" s="1703">
        <f>'Part III-Sources of Funds'!E29</f>
        <v>0</v>
      </c>
      <c r="F391" s="1703">
        <f>'Part III-Sources of Funds'!F29</f>
        <v>0</v>
      </c>
      <c r="G391" s="1703">
        <f>'Part III-Sources of Funds'!G29</f>
        <v>0</v>
      </c>
      <c r="H391" s="1703">
        <f>'Part III-Sources of Funds'!H29</f>
        <v>0</v>
      </c>
      <c r="I391" s="1703">
        <f>'Part III-Sources of Funds'!I29</f>
        <v>0</v>
      </c>
      <c r="J391" s="1703">
        <f>'Part III-Sources of Funds'!J29</f>
        <v>0</v>
      </c>
      <c r="K391" s="1703">
        <f>'Part III-Sources of Funds'!K29</f>
        <v>0</v>
      </c>
      <c r="L391" s="1729">
        <f>'Part III-Sources of Funds'!L29</f>
        <v>0</v>
      </c>
      <c r="M391" s="1729">
        <f>'Part III-Sources of Funds'!M29</f>
        <v>0</v>
      </c>
      <c r="N391" s="1647"/>
      <c r="O391" s="1710"/>
      <c r="P391" s="1710"/>
      <c r="Q391" s="1710"/>
    </row>
    <row r="392" spans="1:17" ht="13.5">
      <c r="A392" s="1647"/>
      <c r="B392" s="1647" t="s">
        <v>242</v>
      </c>
      <c r="C392" s="1647"/>
      <c r="D392" s="1703">
        <f>'Part III-Sources of Funds'!D30</f>
        <v>0</v>
      </c>
      <c r="E392" s="1703">
        <f>'Part III-Sources of Funds'!E30</f>
        <v>0</v>
      </c>
      <c r="F392" s="1703">
        <f>'Part III-Sources of Funds'!F30</f>
        <v>0</v>
      </c>
      <c r="G392" s="1703">
        <f>'Part III-Sources of Funds'!G30</f>
        <v>0</v>
      </c>
      <c r="H392" s="1703">
        <f>'Part III-Sources of Funds'!H30</f>
        <v>0</v>
      </c>
      <c r="I392" s="1703">
        <f>'Part III-Sources of Funds'!I30</f>
        <v>0</v>
      </c>
      <c r="J392" s="1703">
        <f>'Part III-Sources of Funds'!J30</f>
        <v>0</v>
      </c>
      <c r="K392" s="1703">
        <f>'Part III-Sources of Funds'!K30</f>
        <v>0</v>
      </c>
      <c r="L392" s="1729">
        <f>'Part III-Sources of Funds'!L30</f>
        <v>0</v>
      </c>
      <c r="M392" s="1729">
        <f>'Part III-Sources of Funds'!M30</f>
        <v>0</v>
      </c>
      <c r="N392" s="1647"/>
      <c r="O392" s="1710"/>
      <c r="P392" s="1710"/>
      <c r="Q392" s="1710"/>
    </row>
    <row r="393" spans="1:17" ht="13.5">
      <c r="A393" s="1647"/>
      <c r="B393" s="1648" t="s">
        <v>1298</v>
      </c>
      <c r="C393" s="1647"/>
      <c r="D393" s="1647"/>
      <c r="E393" s="1647"/>
      <c r="F393" s="1647"/>
      <c r="G393" s="1647"/>
      <c r="H393" s="1647"/>
      <c r="I393" s="1647"/>
      <c r="J393" s="1710"/>
      <c r="K393" s="1710"/>
      <c r="L393" s="1713">
        <f>SUM(L382:L392)</f>
        <v>13768765</v>
      </c>
      <c r="M393" s="1713"/>
      <c r="N393" s="1653"/>
      <c r="O393" s="1710"/>
      <c r="P393" s="1710"/>
      <c r="Q393" s="1710"/>
    </row>
    <row r="394" spans="1:17" ht="13.5">
      <c r="A394" s="1647"/>
      <c r="B394" s="1654" t="s">
        <v>1299</v>
      </c>
      <c r="C394" s="1647"/>
      <c r="D394" s="1647"/>
      <c r="E394" s="1647"/>
      <c r="F394" s="1647"/>
      <c r="G394" s="1647"/>
      <c r="H394" s="1647"/>
      <c r="I394" s="1647"/>
      <c r="J394" s="1710"/>
      <c r="K394" s="1710"/>
      <c r="L394" s="1713">
        <f>'Part III-Sources of Funds'!L32</f>
        <v>13768765</v>
      </c>
      <c r="M394" s="1713">
        <f>'Part III-Sources of Funds'!M32</f>
        <v>0</v>
      </c>
      <c r="N394" s="1658"/>
      <c r="O394" s="1710"/>
      <c r="P394" s="1710"/>
      <c r="Q394" s="1710"/>
    </row>
    <row r="395" spans="1:17" ht="13.5">
      <c r="A395" s="1647"/>
      <c r="B395" s="1654" t="s">
        <v>2157</v>
      </c>
      <c r="C395" s="1647"/>
      <c r="D395" s="1647"/>
      <c r="E395" s="1647"/>
      <c r="F395" s="1647"/>
      <c r="G395" s="1647"/>
      <c r="H395" s="1647"/>
      <c r="I395" s="1647"/>
      <c r="J395" s="1710"/>
      <c r="K395" s="1710"/>
      <c r="L395" s="1714">
        <f>L393-L394</f>
        <v>0</v>
      </c>
      <c r="M395" s="1714"/>
      <c r="N395" s="1658"/>
      <c r="O395" s="1710"/>
      <c r="P395" s="1710"/>
      <c r="Q395" s="1710"/>
    </row>
    <row r="396" spans="1:17" ht="13.5">
      <c r="A396" s="1679"/>
      <c r="B396" s="1648"/>
      <c r="C396" s="1653"/>
      <c r="D396" s="1653"/>
      <c r="E396" s="1653"/>
      <c r="F396" s="1653"/>
      <c r="G396" s="1653"/>
      <c r="H396" s="1653"/>
      <c r="I396" s="1653"/>
      <c r="J396" s="1653"/>
      <c r="K396" s="1653"/>
      <c r="L396" s="1653"/>
      <c r="M396" s="1651"/>
      <c r="N396" s="1651"/>
      <c r="O396" s="1715"/>
      <c r="P396" s="1715"/>
      <c r="Q396" s="1715"/>
    </row>
    <row r="397" spans="1:17" ht="13.5">
      <c r="A397" s="1628" t="s">
        <v>742</v>
      </c>
      <c r="B397" s="1648" t="s">
        <v>800</v>
      </c>
      <c r="C397" s="1653"/>
      <c r="D397" s="1653"/>
      <c r="E397" s="1653"/>
      <c r="F397" s="1653"/>
      <c r="G397" s="1653"/>
      <c r="H397" s="1653"/>
      <c r="I397" s="1653"/>
      <c r="J397" s="1653"/>
      <c r="K397" s="1653"/>
      <c r="L397" s="1653"/>
      <c r="M397" s="1651"/>
      <c r="N397" s="1651"/>
      <c r="O397" s="1653"/>
      <c r="P397" s="1715"/>
      <c r="Q397" s="1715"/>
    </row>
    <row r="398" spans="1:17" ht="13.5" customHeight="1">
      <c r="A398" s="1647"/>
      <c r="B398" s="1647"/>
      <c r="C398" s="1647"/>
      <c r="D398" s="1647"/>
      <c r="E398" s="1647"/>
      <c r="F398" s="1651"/>
      <c r="G398" s="1651"/>
      <c r="H398" s="1647"/>
      <c r="I398" s="1647"/>
      <c r="J398" s="1710"/>
      <c r="K398" s="1661" t="s">
        <v>2099</v>
      </c>
      <c r="L398" s="1651" t="s">
        <v>1295</v>
      </c>
      <c r="M398" s="1651" t="s">
        <v>1300</v>
      </c>
      <c r="N398" s="1658" t="s">
        <v>34</v>
      </c>
      <c r="O398" s="1658"/>
      <c r="P398" s="1651"/>
      <c r="Q398" s="1628"/>
    </row>
    <row r="399" spans="1:17">
      <c r="A399" s="1647"/>
      <c r="B399" s="1654" t="s">
        <v>1871</v>
      </c>
      <c r="C399" s="1647"/>
      <c r="D399" s="1647"/>
      <c r="E399" s="1647" t="s">
        <v>1297</v>
      </c>
      <c r="F399" s="1647"/>
      <c r="G399" s="1647"/>
      <c r="H399" s="1647"/>
      <c r="I399" s="1647" t="s">
        <v>488</v>
      </c>
      <c r="J399" s="1647"/>
      <c r="K399" s="1651" t="s">
        <v>1806</v>
      </c>
      <c r="L399" s="1651" t="s">
        <v>2214</v>
      </c>
      <c r="M399" s="1651" t="s">
        <v>2214</v>
      </c>
      <c r="N399" s="1658"/>
      <c r="O399" s="1658"/>
      <c r="P399" s="1647" t="s">
        <v>74</v>
      </c>
      <c r="Q399" s="1647"/>
    </row>
    <row r="400" spans="1:17" ht="51">
      <c r="A400" s="1647"/>
      <c r="B400" s="1647" t="s">
        <v>2614</v>
      </c>
      <c r="C400" s="1647"/>
      <c r="D400" s="1647"/>
      <c r="E400" s="1703" t="str">
        <f>'Part III-Sources of Funds'!E38</f>
        <v>DeKalb County Housing Authority</v>
      </c>
      <c r="F400" s="1703">
        <f>'Part III-Sources of Funds'!F38</f>
        <v>0</v>
      </c>
      <c r="G400" s="1703">
        <f>'Part III-Sources of Funds'!G38</f>
        <v>0</v>
      </c>
      <c r="H400" s="1703">
        <f>'Part III-Sources of Funds'!H38</f>
        <v>0</v>
      </c>
      <c r="I400" s="1779">
        <f>'Part III-Sources of Funds'!I38</f>
        <v>6865000</v>
      </c>
      <c r="J400" s="1647">
        <f>'Part III-Sources of Funds'!J38</f>
        <v>0</v>
      </c>
      <c r="K400" s="1716">
        <f>'Part III-Sources of Funds'!K38</f>
        <v>4.3999999999999997E-2</v>
      </c>
      <c r="L400" s="1651">
        <f>'Part III-Sources of Funds'!L38</f>
        <v>35</v>
      </c>
      <c r="M400" s="1651">
        <f>'Part III-Sources of Funds'!M38</f>
        <v>35</v>
      </c>
      <c r="N400" s="1717">
        <f>'Part III-Sources of Funds'!P38</f>
        <v>384782.82220370776</v>
      </c>
      <c r="O400" s="1717">
        <f>'Part III-Sources of Funds'!Q38</f>
        <v>0</v>
      </c>
      <c r="P400" s="1647" t="str">
        <f>'Part III-Sources of Funds'!N38</f>
        <v>Amortizing</v>
      </c>
      <c r="Q400" s="1647">
        <f>'Part III-Sources of Funds'!O38</f>
        <v>0</v>
      </c>
    </row>
    <row r="401" spans="1:17">
      <c r="A401" s="1647"/>
      <c r="B401" s="1647" t="s">
        <v>2615</v>
      </c>
      <c r="C401" s="1647"/>
      <c r="D401" s="1647"/>
      <c r="E401" s="1703">
        <f>'Part III-Sources of Funds'!E39</f>
        <v>0</v>
      </c>
      <c r="F401" s="1703">
        <f>'Part III-Sources of Funds'!F39</f>
        <v>0</v>
      </c>
      <c r="G401" s="1703">
        <f>'Part III-Sources of Funds'!G39</f>
        <v>0</v>
      </c>
      <c r="H401" s="1703">
        <f>'Part III-Sources of Funds'!H39</f>
        <v>0</v>
      </c>
      <c r="I401" s="1779">
        <f>'Part III-Sources of Funds'!I39</f>
        <v>0</v>
      </c>
      <c r="J401" s="1647">
        <f>'Part III-Sources of Funds'!J39</f>
        <v>0</v>
      </c>
      <c r="K401" s="1716">
        <f>'Part III-Sources of Funds'!K39</f>
        <v>0</v>
      </c>
      <c r="L401" s="1651">
        <f>'Part III-Sources of Funds'!L39</f>
        <v>0</v>
      </c>
      <c r="M401" s="1651">
        <f>'Part III-Sources of Funds'!M39</f>
        <v>0</v>
      </c>
      <c r="N401" s="1717" t="str">
        <f>'Part III-Sources of Funds'!P39</f>
        <v/>
      </c>
      <c r="O401" s="1717">
        <f>'Part III-Sources of Funds'!Q39</f>
        <v>0</v>
      </c>
      <c r="P401" s="1647">
        <f>'Part III-Sources of Funds'!N39</f>
        <v>0</v>
      </c>
      <c r="Q401" s="1647">
        <f>'Part III-Sources of Funds'!O39</f>
        <v>0</v>
      </c>
    </row>
    <row r="402" spans="1:17">
      <c r="A402" s="1647"/>
      <c r="B402" s="1647" t="s">
        <v>2616</v>
      </c>
      <c r="C402" s="1647"/>
      <c r="D402" s="1647"/>
      <c r="E402" s="1703">
        <f>'Part III-Sources of Funds'!E40</f>
        <v>0</v>
      </c>
      <c r="F402" s="1703">
        <f>'Part III-Sources of Funds'!F40</f>
        <v>0</v>
      </c>
      <c r="G402" s="1703">
        <f>'Part III-Sources of Funds'!G40</f>
        <v>0</v>
      </c>
      <c r="H402" s="1703">
        <f>'Part III-Sources of Funds'!H40</f>
        <v>0</v>
      </c>
      <c r="I402" s="1779">
        <f>'Part III-Sources of Funds'!I40</f>
        <v>0</v>
      </c>
      <c r="J402" s="1647">
        <f>'Part III-Sources of Funds'!J40</f>
        <v>0</v>
      </c>
      <c r="K402" s="1716">
        <f>'Part III-Sources of Funds'!K40</f>
        <v>0</v>
      </c>
      <c r="L402" s="1651">
        <f>'Part III-Sources of Funds'!L40</f>
        <v>0</v>
      </c>
      <c r="M402" s="1651">
        <f>'Part III-Sources of Funds'!M40</f>
        <v>0</v>
      </c>
      <c r="N402" s="1717" t="str">
        <f>'Part III-Sources of Funds'!P40</f>
        <v/>
      </c>
      <c r="O402" s="1717">
        <f>'Part III-Sources of Funds'!Q40</f>
        <v>0</v>
      </c>
      <c r="P402" s="1647">
        <f>'Part III-Sources of Funds'!N40</f>
        <v>0</v>
      </c>
      <c r="Q402" s="1647">
        <f>'Part III-Sources of Funds'!O40</f>
        <v>0</v>
      </c>
    </row>
    <row r="403" spans="1:17">
      <c r="A403" s="1647"/>
      <c r="B403" s="1647" t="s">
        <v>741</v>
      </c>
      <c r="C403" s="1703">
        <f>'Part III-Sources of Funds'!C41</f>
        <v>0</v>
      </c>
      <c r="D403" s="1703">
        <f>'Part III-Sources of Funds'!D41</f>
        <v>0</v>
      </c>
      <c r="E403" s="1703">
        <f>'Part III-Sources of Funds'!E41</f>
        <v>0</v>
      </c>
      <c r="F403" s="1703">
        <f>'Part III-Sources of Funds'!F41</f>
        <v>0</v>
      </c>
      <c r="G403" s="1703">
        <f>'Part III-Sources of Funds'!G41</f>
        <v>0</v>
      </c>
      <c r="H403" s="1703">
        <f>'Part III-Sources of Funds'!H41</f>
        <v>0</v>
      </c>
      <c r="I403" s="1779">
        <f>'Part III-Sources of Funds'!I41</f>
        <v>0</v>
      </c>
      <c r="J403" s="1647">
        <f>'Part III-Sources of Funds'!J41</f>
        <v>0</v>
      </c>
      <c r="K403" s="1716">
        <f>'Part III-Sources of Funds'!K41</f>
        <v>0</v>
      </c>
      <c r="L403" s="1651">
        <f>'Part III-Sources of Funds'!L41</f>
        <v>0</v>
      </c>
      <c r="M403" s="1651">
        <f>'Part III-Sources of Funds'!M41</f>
        <v>0</v>
      </c>
      <c r="N403" s="1717" t="str">
        <f>'Part III-Sources of Funds'!P41</f>
        <v/>
      </c>
      <c r="O403" s="1717">
        <f>'Part III-Sources of Funds'!Q41</f>
        <v>0</v>
      </c>
      <c r="P403" s="1647">
        <f>'Part III-Sources of Funds'!N41</f>
        <v>0</v>
      </c>
      <c r="Q403" s="1647">
        <f>'Part III-Sources of Funds'!O41</f>
        <v>0</v>
      </c>
    </row>
    <row r="404" spans="1:17">
      <c r="A404" s="1647"/>
      <c r="B404" s="1647" t="s">
        <v>2749</v>
      </c>
      <c r="C404" s="1647"/>
      <c r="D404" s="1647"/>
      <c r="E404" s="1703">
        <f>'Part III-Sources of Funds'!E42</f>
        <v>0</v>
      </c>
      <c r="F404" s="1703">
        <f>'Part III-Sources of Funds'!F42</f>
        <v>0</v>
      </c>
      <c r="G404" s="1703">
        <f>'Part III-Sources of Funds'!G42</f>
        <v>0</v>
      </c>
      <c r="H404" s="1703">
        <f>'Part III-Sources of Funds'!H42</f>
        <v>0</v>
      </c>
      <c r="I404" s="1779">
        <f>'Part III-Sources of Funds'!I42</f>
        <v>0</v>
      </c>
      <c r="J404" s="1647">
        <f>'Part III-Sources of Funds'!J42</f>
        <v>0</v>
      </c>
      <c r="K404" s="1716"/>
      <c r="L404" s="1651"/>
      <c r="M404" s="1651"/>
      <c r="N404" s="1717" t="str">
        <f>IF(OR(I404&lt;=0,I404=""),"",IF(P404="Amortizing",-PMT(K404/12,M404*12,I404,0,0)*12,""))</f>
        <v/>
      </c>
      <c r="O404" s="1717"/>
      <c r="P404" s="1647"/>
      <c r="Q404" s="1647"/>
    </row>
    <row r="405" spans="1:17" ht="63.75">
      <c r="A405" s="1647"/>
      <c r="B405" s="1647" t="s">
        <v>228</v>
      </c>
      <c r="C405" s="1647"/>
      <c r="D405" s="1718">
        <f>'Part III-Sources of Funds'!D43</f>
        <v>0.19111621174524401</v>
      </c>
      <c r="E405" s="1703" t="str">
        <f>'Part III-Sources of Funds'!E43</f>
        <v>Flatiron Partners &amp; Classic Development</v>
      </c>
      <c r="F405" s="1703">
        <f>'Part III-Sources of Funds'!F43</f>
        <v>0</v>
      </c>
      <c r="G405" s="1703">
        <f>'Part III-Sources of Funds'!G43</f>
        <v>0</v>
      </c>
      <c r="H405" s="1703">
        <f>'Part III-Sources of Funds'!H43</f>
        <v>0</v>
      </c>
      <c r="I405" s="1779">
        <f>'Part III-Sources of Funds'!I43</f>
        <v>462119</v>
      </c>
      <c r="J405" s="1647">
        <f>'Part III-Sources of Funds'!J43</f>
        <v>0</v>
      </c>
      <c r="K405" s="1716">
        <f>'Part III-Sources of Funds'!K43</f>
        <v>0</v>
      </c>
      <c r="L405" s="1651">
        <f>'Part III-Sources of Funds'!L43</f>
        <v>10</v>
      </c>
      <c r="M405" s="1651">
        <f>'Part III-Sources of Funds'!M43</f>
        <v>10</v>
      </c>
      <c r="N405" s="1717">
        <f>'Part III-Sources of Funds'!P43</f>
        <v>46211.9</v>
      </c>
      <c r="O405" s="1717">
        <f>'Part III-Sources of Funds'!Q43</f>
        <v>0</v>
      </c>
      <c r="P405" s="1647" t="str">
        <f>'Part III-Sources of Funds'!N43</f>
        <v>Amortizing</v>
      </c>
      <c r="Q405" s="1647">
        <f>'Part III-Sources of Funds'!O43</f>
        <v>0</v>
      </c>
    </row>
    <row r="406" spans="1:17" ht="13.5">
      <c r="A406" s="1647"/>
      <c r="B406" s="1647"/>
      <c r="C406" s="1647"/>
      <c r="D406" s="1647"/>
      <c r="E406" s="1647"/>
      <c r="F406" s="1647"/>
      <c r="G406" s="1647"/>
      <c r="H406" s="1647"/>
      <c r="I406" s="2133"/>
      <c r="J406" s="1727"/>
      <c r="K406" s="1716"/>
      <c r="L406" s="1651"/>
      <c r="M406" s="1651"/>
      <c r="N406" s="2134"/>
      <c r="O406" s="2134"/>
      <c r="P406" s="1651"/>
      <c r="Q406" s="1651"/>
    </row>
    <row r="407" spans="1:17" ht="13.5">
      <c r="A407" s="1647"/>
      <c r="B407" s="1710" t="s">
        <v>4187</v>
      </c>
      <c r="C407" s="1647"/>
      <c r="D407" s="1710"/>
      <c r="E407" s="1710" t="s">
        <v>4089</v>
      </c>
      <c r="F407" s="1719">
        <f>'Part III-Sources of Funds'!F45</f>
        <v>1108774.2181999211</v>
      </c>
      <c r="G407" s="1710"/>
      <c r="H407" s="1711" t="s">
        <v>4186</v>
      </c>
      <c r="I407" s="1719">
        <f>'Part III-Sources of Funds'!I45</f>
        <v>462119.00000000012</v>
      </c>
      <c r="J407" s="1710"/>
      <c r="K407" s="1716"/>
      <c r="L407" s="1651"/>
      <c r="M407" s="1651"/>
      <c r="N407" s="2134"/>
      <c r="O407" s="2134"/>
      <c r="P407" s="1651"/>
      <c r="Q407" s="1651"/>
    </row>
    <row r="408" spans="1:17" ht="13.5">
      <c r="A408" s="1647"/>
      <c r="B408" s="1710" t="s">
        <v>4507</v>
      </c>
      <c r="C408" s="1647"/>
      <c r="D408" s="1718"/>
      <c r="E408" s="1710"/>
      <c r="F408" s="1720" t="e">
        <f>'Part III-Sources of Funds'!#REF!</f>
        <v>#REF!</v>
      </c>
      <c r="G408" s="1720" t="e">
        <f>'Part III-Sources of Funds'!#REF!</f>
        <v>#REF!</v>
      </c>
      <c r="H408" s="1711" t="s">
        <v>4188</v>
      </c>
      <c r="I408" s="1720">
        <f>'Part III-Sources of Funds'!L45</f>
        <v>0.41678368094655344</v>
      </c>
      <c r="J408" s="1720">
        <f>'Part III-Sources of Funds'!M45</f>
        <v>0</v>
      </c>
      <c r="K408" s="1716"/>
      <c r="L408" s="1651"/>
      <c r="M408" s="1651"/>
      <c r="N408" s="2134"/>
      <c r="O408" s="2134"/>
      <c r="P408" s="1651"/>
      <c r="Q408" s="1651"/>
    </row>
    <row r="409" spans="1:17" ht="13.5">
      <c r="A409" s="1647"/>
      <c r="B409" s="1647"/>
      <c r="C409" s="1647"/>
      <c r="D409" s="1647"/>
      <c r="E409" s="1647"/>
      <c r="F409" s="1647"/>
      <c r="G409" s="1647"/>
      <c r="H409" s="1647"/>
      <c r="I409" s="2133"/>
      <c r="J409" s="1727"/>
      <c r="K409" s="1716"/>
      <c r="L409" s="1651"/>
      <c r="M409" s="1651"/>
      <c r="N409" s="2134"/>
      <c r="O409" s="2134"/>
      <c r="P409" s="1651"/>
      <c r="Q409" s="1651"/>
    </row>
    <row r="410" spans="1:17">
      <c r="A410" s="1647"/>
      <c r="B410" s="1647" t="s">
        <v>2215</v>
      </c>
      <c r="C410" s="1647"/>
      <c r="D410" s="1647"/>
      <c r="E410" s="1703">
        <f>'Part III-Sources of Funds'!E47</f>
        <v>0</v>
      </c>
      <c r="F410" s="1703">
        <f>'Part III-Sources of Funds'!F47</f>
        <v>0</v>
      </c>
      <c r="G410" s="1703">
        <f>'Part III-Sources of Funds'!G47</f>
        <v>0</v>
      </c>
      <c r="H410" s="1703">
        <f>'Part III-Sources of Funds'!H47</f>
        <v>0</v>
      </c>
      <c r="I410" s="1779">
        <f>'Part III-Sources of Funds'!I47</f>
        <v>0</v>
      </c>
      <c r="J410" s="1647">
        <f>'Part III-Sources of Funds'!J47</f>
        <v>0</v>
      </c>
      <c r="K410" s="1647"/>
      <c r="L410" s="1647"/>
      <c r="M410" s="1647"/>
      <c r="N410" s="1647"/>
      <c r="O410" s="1647"/>
      <c r="P410" s="1647"/>
      <c r="Q410" s="1647"/>
    </row>
    <row r="411" spans="1:17" ht="13.5">
      <c r="A411" s="1647"/>
      <c r="B411" s="1647" t="s">
        <v>801</v>
      </c>
      <c r="C411" s="1647"/>
      <c r="D411" s="1647"/>
      <c r="E411" s="1703">
        <f>'Part III-Sources of Funds'!E48</f>
        <v>0</v>
      </c>
      <c r="F411" s="1703">
        <f>'Part III-Sources of Funds'!F48</f>
        <v>0</v>
      </c>
      <c r="G411" s="1703">
        <f>'Part III-Sources of Funds'!G48</f>
        <v>0</v>
      </c>
      <c r="H411" s="1703">
        <f>'Part III-Sources of Funds'!H48</f>
        <v>0</v>
      </c>
      <c r="I411" s="1779">
        <f>'Part III-Sources of Funds'!I48</f>
        <v>0</v>
      </c>
      <c r="J411" s="1647">
        <f>'Part III-Sources of Funds'!J48</f>
        <v>0</v>
      </c>
      <c r="K411" s="1710"/>
      <c r="L411" s="1721" t="s">
        <v>517</v>
      </c>
      <c r="M411" s="1721"/>
      <c r="N411" s="1722" t="s">
        <v>518</v>
      </c>
      <c r="O411" s="1722"/>
      <c r="P411" s="1651" t="s">
        <v>516</v>
      </c>
      <c r="Q411" s="1647"/>
    </row>
    <row r="412" spans="1:17" ht="51">
      <c r="A412" s="1647"/>
      <c r="B412" s="1647" t="s">
        <v>802</v>
      </c>
      <c r="C412" s="1647"/>
      <c r="D412" s="1647"/>
      <c r="E412" s="1703" t="str">
        <f>'Part III-Sources of Funds'!E49</f>
        <v>Raymond James Tax Credit Funds, Inc.</v>
      </c>
      <c r="F412" s="1703">
        <f>'Part III-Sources of Funds'!F49</f>
        <v>0</v>
      </c>
      <c r="G412" s="1703">
        <f>'Part III-Sources of Funds'!G49</f>
        <v>0</v>
      </c>
      <c r="H412" s="1703">
        <f>'Part III-Sources of Funds'!H49</f>
        <v>0</v>
      </c>
      <c r="I412" s="1779">
        <f>'Part III-Sources of Funds'!I49</f>
        <v>6138539</v>
      </c>
      <c r="J412" s="1647">
        <f>'Part III-Sources of Funds'!J49</f>
        <v>0</v>
      </c>
      <c r="K412" s="1710"/>
      <c r="L412" s="1723">
        <f>'Part IV-A-Uses of Funds'!$J$175*10*'Part IV-A-Uses of Funds'!$N$168</f>
        <v>6138539.4000000004</v>
      </c>
      <c r="M412" s="1723"/>
      <c r="N412" s="1724">
        <f>I412-L412</f>
        <v>-0.40000000037252903</v>
      </c>
      <c r="O412" s="1724"/>
      <c r="P412" s="1725" t="s">
        <v>2560</v>
      </c>
      <c r="Q412" s="1647"/>
    </row>
    <row r="413" spans="1:17" ht="51">
      <c r="A413" s="1647"/>
      <c r="B413" s="1647" t="s">
        <v>803</v>
      </c>
      <c r="C413" s="1647"/>
      <c r="D413" s="1647"/>
      <c r="E413" s="1703" t="str">
        <f>'Part III-Sources of Funds'!E50</f>
        <v>Raymond James Tax Credit Funds, Inc.</v>
      </c>
      <c r="F413" s="1703">
        <f>'Part III-Sources of Funds'!F50</f>
        <v>0</v>
      </c>
      <c r="G413" s="1703">
        <f>'Part III-Sources of Funds'!G50</f>
        <v>0</v>
      </c>
      <c r="H413" s="1703">
        <f>'Part III-Sources of Funds'!H50</f>
        <v>0</v>
      </c>
      <c r="I413" s="1779">
        <f>'Part III-Sources of Funds'!I50</f>
        <v>4191368</v>
      </c>
      <c r="J413" s="1647">
        <f>'Part III-Sources of Funds'!J50</f>
        <v>0</v>
      </c>
      <c r="K413" s="1710"/>
      <c r="L413" s="1723">
        <f>'Part IV-A-Uses of Funds'!$J$175*10*'Part IV-A-Uses of Funds'!$Q$168</f>
        <v>4191368.3000000003</v>
      </c>
      <c r="M413" s="1723"/>
      <c r="N413" s="1724">
        <f>I413-L413</f>
        <v>-0.30000000027939677</v>
      </c>
      <c r="O413" s="1724"/>
      <c r="P413" s="1726">
        <f>I412/I422</f>
        <v>0.339261993651859</v>
      </c>
      <c r="Q413" s="1647"/>
    </row>
    <row r="414" spans="1:17" ht="13.5">
      <c r="A414" s="1647"/>
      <c r="B414" s="1647" t="s">
        <v>1410</v>
      </c>
      <c r="C414" s="1647"/>
      <c r="D414" s="1647"/>
      <c r="E414" s="1703">
        <f>'Part III-Sources of Funds'!E51</f>
        <v>0</v>
      </c>
      <c r="F414" s="1703">
        <f>'Part III-Sources of Funds'!F51</f>
        <v>0</v>
      </c>
      <c r="G414" s="1703">
        <f>'Part III-Sources of Funds'!G51</f>
        <v>0</v>
      </c>
      <c r="H414" s="1703">
        <f>'Part III-Sources of Funds'!H51</f>
        <v>0</v>
      </c>
      <c r="I414" s="1779">
        <f>'Part III-Sources of Funds'!I51</f>
        <v>0</v>
      </c>
      <c r="J414" s="1647">
        <f>'Part III-Sources of Funds'!J51</f>
        <v>0</v>
      </c>
      <c r="K414" s="1710"/>
      <c r="L414" s="1710"/>
      <c r="M414" s="1710"/>
      <c r="N414" s="1710"/>
      <c r="O414" s="1710"/>
      <c r="P414" s="1726">
        <f>I413/I422</f>
        <v>0.23164662858843202</v>
      </c>
      <c r="Q414" s="1647"/>
    </row>
    <row r="415" spans="1:17" ht="13.5">
      <c r="A415" s="1647"/>
      <c r="B415" s="1647" t="s">
        <v>531</v>
      </c>
      <c r="C415" s="1647"/>
      <c r="D415" s="1647"/>
      <c r="E415" s="1703">
        <f>'Part III-Sources of Funds'!E52</f>
        <v>0</v>
      </c>
      <c r="F415" s="1703">
        <f>'Part III-Sources of Funds'!F52</f>
        <v>0</v>
      </c>
      <c r="G415" s="1703">
        <f>'Part III-Sources of Funds'!G52</f>
        <v>0</v>
      </c>
      <c r="H415" s="1703">
        <f>'Part III-Sources of Funds'!H52</f>
        <v>0</v>
      </c>
      <c r="I415" s="1779">
        <f>'Part III-Sources of Funds'!I52</f>
        <v>368125</v>
      </c>
      <c r="J415" s="1647">
        <f>'Part III-Sources of Funds'!J52</f>
        <v>0</v>
      </c>
      <c r="K415" s="1647"/>
      <c r="L415" s="1710"/>
      <c r="M415" s="1710"/>
      <c r="N415" s="1710"/>
      <c r="O415" s="1710"/>
      <c r="P415" s="1726">
        <f>SUM(P413:P414)</f>
        <v>0.57090862224029104</v>
      </c>
      <c r="Q415" s="1647"/>
    </row>
    <row r="416" spans="1:17" ht="13.5">
      <c r="A416" s="1647"/>
      <c r="B416" s="1647" t="s">
        <v>1869</v>
      </c>
      <c r="C416" s="1647"/>
      <c r="D416" s="1647"/>
      <c r="E416" s="1703">
        <f>'Part III-Sources of Funds'!E53</f>
        <v>0</v>
      </c>
      <c r="F416" s="1703">
        <f>'Part III-Sources of Funds'!F53</f>
        <v>0</v>
      </c>
      <c r="G416" s="1703">
        <f>'Part III-Sources of Funds'!G53</f>
        <v>0</v>
      </c>
      <c r="H416" s="1703">
        <f>'Part III-Sources of Funds'!H53</f>
        <v>0</v>
      </c>
      <c r="I416" s="1779">
        <f>'Part III-Sources of Funds'!I53</f>
        <v>0</v>
      </c>
      <c r="J416" s="1647">
        <f>'Part III-Sources of Funds'!J53</f>
        <v>0</v>
      </c>
      <c r="K416" s="1710"/>
      <c r="L416" s="1710"/>
      <c r="M416" s="1710"/>
      <c r="N416" s="1703"/>
      <c r="O416" s="1703"/>
      <c r="P416" s="1703"/>
      <c r="Q416" s="1647"/>
    </row>
    <row r="417" spans="1:17" ht="13.5">
      <c r="A417" s="1647"/>
      <c r="B417" s="1647" t="s">
        <v>1870</v>
      </c>
      <c r="C417" s="1647"/>
      <c r="D417" s="1647"/>
      <c r="E417" s="1703">
        <f>'Part III-Sources of Funds'!E54</f>
        <v>0</v>
      </c>
      <c r="F417" s="1703">
        <f>'Part III-Sources of Funds'!F54</f>
        <v>0</v>
      </c>
      <c r="G417" s="1703">
        <f>'Part III-Sources of Funds'!G54</f>
        <v>0</v>
      </c>
      <c r="H417" s="1703">
        <f>'Part III-Sources of Funds'!H54</f>
        <v>0</v>
      </c>
      <c r="I417" s="1779">
        <f>'Part III-Sources of Funds'!I54</f>
        <v>0</v>
      </c>
      <c r="J417" s="1647">
        <f>'Part III-Sources of Funds'!J54</f>
        <v>0</v>
      </c>
      <c r="K417" s="1710"/>
      <c r="L417" s="1710"/>
      <c r="M417" s="1703"/>
      <c r="N417" s="1703"/>
      <c r="O417" s="1703"/>
      <c r="P417" s="1703"/>
      <c r="Q417" s="1647"/>
    </row>
    <row r="418" spans="1:17" ht="63.75">
      <c r="A418" s="1647"/>
      <c r="B418" s="1647" t="s">
        <v>741</v>
      </c>
      <c r="C418" s="1703">
        <f>'Part III-Sources of Funds'!C55</f>
        <v>0</v>
      </c>
      <c r="D418" s="1703">
        <f>'Part III-Sources of Funds'!D55</f>
        <v>0</v>
      </c>
      <c r="E418" s="1703" t="str">
        <f>'Part III-Sources of Funds'!E55</f>
        <v>Return of Fannie Mae Forward Commitment Fee</v>
      </c>
      <c r="F418" s="1703">
        <f>'Part III-Sources of Funds'!F55</f>
        <v>0</v>
      </c>
      <c r="G418" s="1703">
        <f>'Part III-Sources of Funds'!G55</f>
        <v>0</v>
      </c>
      <c r="H418" s="1703">
        <f>'Part III-Sources of Funds'!H55</f>
        <v>0</v>
      </c>
      <c r="I418" s="1779">
        <f>'Part III-Sources of Funds'!I55</f>
        <v>68650</v>
      </c>
      <c r="J418" s="1647">
        <f>'Part III-Sources of Funds'!J55</f>
        <v>0</v>
      </c>
      <c r="K418" s="1710"/>
      <c r="L418" s="1710"/>
      <c r="M418" s="1703"/>
      <c r="N418" s="1703"/>
      <c r="O418" s="1703"/>
      <c r="P418" s="1703"/>
      <c r="Q418" s="1647"/>
    </row>
    <row r="419" spans="1:17">
      <c r="A419" s="1647"/>
      <c r="B419" s="1647" t="s">
        <v>741</v>
      </c>
      <c r="C419" s="1703">
        <f>'Part III-Sources of Funds'!C56</f>
        <v>0</v>
      </c>
      <c r="D419" s="1703">
        <f>'Part III-Sources of Funds'!D56</f>
        <v>0</v>
      </c>
      <c r="E419" s="1703">
        <f>'Part III-Sources of Funds'!E56</f>
        <v>0</v>
      </c>
      <c r="F419" s="1703">
        <f>'Part III-Sources of Funds'!F56</f>
        <v>0</v>
      </c>
      <c r="G419" s="1703">
        <f>'Part III-Sources of Funds'!G56</f>
        <v>0</v>
      </c>
      <c r="H419" s="1703">
        <f>'Part III-Sources of Funds'!H56</f>
        <v>0</v>
      </c>
      <c r="I419" s="1779">
        <f>'Part III-Sources of Funds'!I56</f>
        <v>0</v>
      </c>
      <c r="J419" s="1647">
        <f>'Part III-Sources of Funds'!J56</f>
        <v>0</v>
      </c>
      <c r="K419" s="1647"/>
      <c r="L419" s="1651"/>
      <c r="M419" s="1703"/>
      <c r="N419" s="1703"/>
      <c r="O419" s="1703"/>
      <c r="P419" s="1703"/>
      <c r="Q419" s="1647"/>
    </row>
    <row r="420" spans="1:17">
      <c r="A420" s="1647"/>
      <c r="B420" s="1647" t="s">
        <v>741</v>
      </c>
      <c r="C420" s="1703">
        <f>'Part III-Sources of Funds'!C57</f>
        <v>0</v>
      </c>
      <c r="D420" s="1703">
        <f>'Part III-Sources of Funds'!D57</f>
        <v>0</v>
      </c>
      <c r="E420" s="1703">
        <f>'Part III-Sources of Funds'!E57</f>
        <v>0</v>
      </c>
      <c r="F420" s="1703">
        <f>'Part III-Sources of Funds'!F57</f>
        <v>0</v>
      </c>
      <c r="G420" s="1703">
        <f>'Part III-Sources of Funds'!G57</f>
        <v>0</v>
      </c>
      <c r="H420" s="1703">
        <f>'Part III-Sources of Funds'!H57</f>
        <v>0</v>
      </c>
      <c r="I420" s="1779">
        <f>'Part III-Sources of Funds'!I57</f>
        <v>0</v>
      </c>
      <c r="J420" s="1647">
        <f>'Part III-Sources of Funds'!J57</f>
        <v>0</v>
      </c>
      <c r="K420" s="1647"/>
      <c r="L420" s="1651"/>
      <c r="M420" s="1703"/>
      <c r="N420" s="1703"/>
      <c r="O420" s="1703"/>
      <c r="P420" s="1703"/>
      <c r="Q420" s="1647"/>
    </row>
    <row r="421" spans="1:17" ht="13.5">
      <c r="A421" s="1647"/>
      <c r="B421" s="1654" t="s">
        <v>2216</v>
      </c>
      <c r="C421" s="1647"/>
      <c r="D421" s="1647"/>
      <c r="E421" s="1647"/>
      <c r="F421" s="1647"/>
      <c r="G421" s="1647"/>
      <c r="H421" s="1710"/>
      <c r="I421" s="1713">
        <f>SUM(I400:J405)+SUM(I410:J420)</f>
        <v>18093801</v>
      </c>
      <c r="J421" s="1713"/>
      <c r="K421" s="1647"/>
      <c r="L421" s="1651"/>
      <c r="M421" s="1703"/>
      <c r="N421" s="1703"/>
      <c r="O421" s="1703"/>
      <c r="P421" s="1703"/>
      <c r="Q421" s="1647"/>
    </row>
    <row r="422" spans="1:17" ht="13.5">
      <c r="A422" s="1647"/>
      <c r="B422" s="1654" t="s">
        <v>2217</v>
      </c>
      <c r="C422" s="1647"/>
      <c r="D422" s="1647"/>
      <c r="E422" s="1647"/>
      <c r="F422" s="1647"/>
      <c r="G422" s="1647"/>
      <c r="H422" s="1710"/>
      <c r="I422" s="1713">
        <f>'Part IV-A-Uses of Funds'!$G$132</f>
        <v>18093801</v>
      </c>
      <c r="J422" s="1713"/>
      <c r="K422" s="1647"/>
      <c r="L422" s="1651"/>
      <c r="M422" s="1703"/>
      <c r="N422" s="1703"/>
      <c r="O422" s="1703"/>
      <c r="P422" s="1703"/>
      <c r="Q422" s="1647"/>
    </row>
    <row r="423" spans="1:17" ht="13.5">
      <c r="A423" s="1647"/>
      <c r="B423" s="1654" t="s">
        <v>1525</v>
      </c>
      <c r="C423" s="1647"/>
      <c r="D423" s="1647"/>
      <c r="E423" s="1647"/>
      <c r="F423" s="1647"/>
      <c r="G423" s="1647"/>
      <c r="H423" s="1710"/>
      <c r="I423" s="1714">
        <f>I421-I422</f>
        <v>0</v>
      </c>
      <c r="J423" s="1714"/>
      <c r="K423" s="1647"/>
      <c r="L423" s="1651"/>
      <c r="M423" s="1703"/>
      <c r="N423" s="1703"/>
      <c r="O423" s="1703"/>
      <c r="P423" s="1703"/>
      <c r="Q423" s="1647"/>
    </row>
    <row r="424" spans="1:17">
      <c r="A424" s="1647" t="s">
        <v>3468</v>
      </c>
      <c r="B424" s="1654"/>
      <c r="C424" s="1647"/>
      <c r="D424" s="1647"/>
      <c r="E424" s="1647"/>
      <c r="F424" s="1647"/>
      <c r="G424" s="1647"/>
      <c r="H424" s="1727"/>
      <c r="I424" s="1727"/>
      <c r="J424" s="1653"/>
      <c r="K424" s="1647"/>
      <c r="L424" s="1651"/>
      <c r="M424" s="1703"/>
      <c r="N424" s="1703"/>
      <c r="O424" s="1703"/>
      <c r="P424" s="1703"/>
      <c r="Q424" s="1647"/>
    </row>
    <row r="425" spans="1:17">
      <c r="A425" s="1653"/>
      <c r="B425" s="1653"/>
      <c r="C425" s="1653"/>
      <c r="D425" s="1653"/>
      <c r="E425" s="1653"/>
      <c r="F425" s="1653"/>
      <c r="G425" s="1653"/>
      <c r="H425" s="1653"/>
      <c r="I425" s="1653"/>
      <c r="J425" s="1653"/>
      <c r="K425" s="1653"/>
      <c r="L425" s="1653"/>
      <c r="M425" s="1653"/>
      <c r="N425" s="1653"/>
      <c r="O425" s="1653"/>
      <c r="P425" s="1653"/>
      <c r="Q425" s="1653"/>
    </row>
    <row r="426" spans="1:17" ht="13.5">
      <c r="A426" s="1628" t="s">
        <v>1792</v>
      </c>
      <c r="B426" s="1628" t="s">
        <v>572</v>
      </c>
      <c r="C426" s="1653"/>
      <c r="D426" s="1653"/>
      <c r="E426" s="1653"/>
      <c r="F426" s="1653"/>
      <c r="G426" s="1653"/>
      <c r="H426" s="1653"/>
      <c r="I426" s="1653"/>
      <c r="J426" s="1653"/>
      <c r="K426" s="1715"/>
      <c r="L426" s="1715"/>
      <c r="M426" s="1628" t="s">
        <v>1792</v>
      </c>
      <c r="N426" s="1628" t="s">
        <v>79</v>
      </c>
      <c r="O426" s="1653"/>
      <c r="P426" s="1653"/>
      <c r="Q426" s="1653"/>
    </row>
    <row r="427" spans="1:17" ht="12.75" customHeight="1">
      <c r="A427" s="1708">
        <f>'Part III-Sources of Funds'!A64</f>
        <v>0</v>
      </c>
      <c r="B427" s="1708">
        <f>'Part III-Sources of Funds'!B64</f>
        <v>0</v>
      </c>
      <c r="C427" s="1708">
        <f>'Part III-Sources of Funds'!C64</f>
        <v>0</v>
      </c>
      <c r="D427" s="1708">
        <f>'Part III-Sources of Funds'!D64</f>
        <v>0</v>
      </c>
      <c r="E427" s="1708">
        <f>'Part III-Sources of Funds'!E64</f>
        <v>0</v>
      </c>
      <c r="F427" s="1708">
        <f>'Part III-Sources of Funds'!F64</f>
        <v>0</v>
      </c>
      <c r="G427" s="1708">
        <f>'Part III-Sources of Funds'!G64</f>
        <v>0</v>
      </c>
      <c r="H427" s="1708">
        <f>'Part III-Sources of Funds'!H64</f>
        <v>0</v>
      </c>
      <c r="I427" s="1708">
        <f>'Part III-Sources of Funds'!I64</f>
        <v>0</v>
      </c>
      <c r="J427" s="1708">
        <f>'Part III-Sources of Funds'!J64</f>
        <v>0</v>
      </c>
      <c r="K427" s="1708">
        <f>'Part III-Sources of Funds'!K64</f>
        <v>0</v>
      </c>
      <c r="L427" s="1708">
        <f>'Part III-Sources of Funds'!L64</f>
        <v>0</v>
      </c>
      <c r="M427" s="1708">
        <f>'Part III-Sources of Funds'!M64</f>
        <v>0</v>
      </c>
      <c r="N427" s="1708">
        <f>'Part III-Sources of Funds'!N64</f>
        <v>0</v>
      </c>
      <c r="O427" s="1708">
        <f>'Part III-Sources of Funds'!O64</f>
        <v>0</v>
      </c>
      <c r="P427" s="1708">
        <f>'Part III-Sources of Funds'!P64</f>
        <v>0</v>
      </c>
      <c r="Q427" s="1708">
        <f>'Part III-Sources of Funds'!Q64</f>
        <v>0</v>
      </c>
    </row>
    <row r="437" spans="1:24">
      <c r="A437" s="1628" t="str">
        <f>CONCATENATE("PART FOUR -  USES OF FUNDS","  -  ",'Part I-Project Information'!$O$6," ",'Part I-Project Information'!$F$34,", ",'Part I-Project Information'!F481,", ",'Part I-Project Information'!J482," County")</f>
        <v>PART FOUR -  USES OF FUNDS  -  2019-5 Stone Terrace Phase II, ,  County</v>
      </c>
      <c r="B437" s="1628"/>
      <c r="C437" s="1628"/>
      <c r="D437" s="1628"/>
      <c r="E437" s="1628"/>
      <c r="F437" s="1628"/>
      <c r="G437" s="1628"/>
      <c r="H437" s="1628"/>
      <c r="I437" s="1628"/>
      <c r="J437" s="1628"/>
      <c r="K437" s="1628"/>
      <c r="L437" s="1628"/>
      <c r="M437" s="1628"/>
      <c r="N437" s="1628"/>
      <c r="O437" s="1628"/>
      <c r="P437" s="1628"/>
      <c r="Q437" s="1628"/>
      <c r="R437" s="1628"/>
      <c r="S437" s="1628"/>
      <c r="T437" s="1628"/>
      <c r="U437" s="1647"/>
      <c r="V437" s="1647"/>
      <c r="W437" s="1628" t="str">
        <f>A437</f>
        <v>PART FOUR -  USES OF FUNDS  -  2019-5 Stone Terrace Phase II, ,  County</v>
      </c>
      <c r="X437" s="1628"/>
    </row>
    <row r="438" spans="1:24">
      <c r="A438" s="1653"/>
      <c r="B438" s="1653"/>
      <c r="C438" s="1653"/>
      <c r="D438" s="1653"/>
      <c r="E438" s="1653"/>
      <c r="F438" s="1653"/>
      <c r="G438" s="1653"/>
      <c r="H438" s="1653"/>
      <c r="I438" s="1653"/>
      <c r="J438" s="1653"/>
      <c r="K438" s="1653"/>
      <c r="L438" s="1653"/>
      <c r="M438" s="1653"/>
      <c r="N438" s="1653"/>
      <c r="O438" s="1653"/>
      <c r="P438" s="1653"/>
      <c r="Q438" s="1653"/>
      <c r="R438" s="1653"/>
      <c r="S438" s="1653"/>
      <c r="T438" s="1653"/>
      <c r="U438" s="1653"/>
      <c r="V438" s="1653"/>
      <c r="W438" s="1653"/>
      <c r="X438" s="1653"/>
    </row>
    <row r="439" spans="1:24">
      <c r="A439" s="1628"/>
      <c r="B439" s="1628"/>
      <c r="C439" s="1628"/>
      <c r="D439" s="1628"/>
      <c r="E439" s="1628"/>
      <c r="F439" s="1628"/>
      <c r="G439" s="1628"/>
      <c r="H439" s="1628"/>
      <c r="I439" s="1628"/>
      <c r="J439" s="1628"/>
      <c r="K439" s="1628"/>
      <c r="L439" s="1628"/>
      <c r="M439" s="1628"/>
      <c r="N439" s="1628"/>
      <c r="O439" s="1628"/>
      <c r="P439" s="1628"/>
      <c r="Q439" s="1628"/>
      <c r="R439" s="1628"/>
      <c r="S439" s="1628"/>
      <c r="T439" s="1628"/>
      <c r="U439" s="1647"/>
      <c r="V439" s="1647"/>
      <c r="W439" s="1647"/>
      <c r="X439" s="1647"/>
    </row>
    <row r="440" spans="1:24" ht="16.5">
      <c r="A440" s="1645"/>
      <c r="B440" s="1645"/>
      <c r="C440" s="1645"/>
      <c r="D440" s="1728"/>
      <c r="E440" s="1728"/>
      <c r="F440" s="1728"/>
      <c r="G440" s="1728"/>
      <c r="H440" s="1728"/>
      <c r="I440" s="1628"/>
      <c r="J440" s="1645"/>
      <c r="K440" s="1645"/>
      <c r="L440" s="1645"/>
      <c r="M440" s="1645"/>
      <c r="N440" s="1645"/>
      <c r="O440" s="1645"/>
      <c r="P440" s="1645"/>
      <c r="Q440" s="1645"/>
      <c r="R440" s="1645"/>
      <c r="S440" s="1645"/>
      <c r="T440" s="1645"/>
      <c r="U440" s="1647"/>
      <c r="V440" s="1647"/>
      <c r="W440" s="1647"/>
      <c r="X440" s="1647"/>
    </row>
    <row r="441" spans="1:24" ht="17.25" customHeight="1">
      <c r="A441" s="1728" t="s">
        <v>616</v>
      </c>
      <c r="B441" s="1728" t="s">
        <v>900</v>
      </c>
      <c r="C441" s="1647"/>
      <c r="D441" s="1647"/>
      <c r="E441" s="1647"/>
      <c r="F441" s="1647"/>
      <c r="G441" s="1647"/>
      <c r="H441" s="1728"/>
      <c r="I441" s="1728"/>
      <c r="J441" s="1646" t="s">
        <v>271</v>
      </c>
      <c r="K441" s="1646"/>
      <c r="L441" s="1729"/>
      <c r="M441" s="1730" t="s">
        <v>489</v>
      </c>
      <c r="N441" s="1730"/>
      <c r="O441" s="1647"/>
      <c r="P441" s="1646" t="s">
        <v>272</v>
      </c>
      <c r="Q441" s="1646"/>
      <c r="R441" s="1647"/>
      <c r="S441" s="1646" t="s">
        <v>273</v>
      </c>
      <c r="T441" s="1646"/>
      <c r="U441" s="1647"/>
      <c r="V441" s="1731" t="str">
        <f>B441</f>
        <v>DEVELOPMENT BUDGET</v>
      </c>
      <c r="W441" s="1647"/>
      <c r="X441" s="1647"/>
    </row>
    <row r="442" spans="1:24">
      <c r="A442" s="1647"/>
      <c r="B442" s="1647"/>
      <c r="C442" s="1647"/>
      <c r="D442" s="1647"/>
      <c r="E442" s="1647"/>
      <c r="F442" s="1647"/>
      <c r="G442" s="1628" t="s">
        <v>101</v>
      </c>
      <c r="H442" s="1628"/>
      <c r="I442" s="1647"/>
      <c r="J442" s="1646"/>
      <c r="K442" s="1646"/>
      <c r="L442" s="1729"/>
      <c r="M442" s="1730"/>
      <c r="N442" s="1730"/>
      <c r="O442" s="1647"/>
      <c r="P442" s="1646"/>
      <c r="Q442" s="1646"/>
      <c r="R442" s="1647"/>
      <c r="S442" s="1646"/>
      <c r="T442" s="1646"/>
      <c r="U442" s="1647"/>
      <c r="V442" s="1683" t="s">
        <v>2683</v>
      </c>
      <c r="W442" s="1647"/>
      <c r="X442" s="1683"/>
    </row>
    <row r="443" spans="1:24">
      <c r="A443" s="1647"/>
      <c r="B443" s="1628" t="s">
        <v>102</v>
      </c>
      <c r="C443" s="1647"/>
      <c r="D443" s="1647"/>
      <c r="E443" s="1647"/>
      <c r="F443" s="1647"/>
      <c r="G443" s="1647"/>
      <c r="H443" s="1647"/>
      <c r="I443" s="1647"/>
      <c r="J443" s="1647"/>
      <c r="K443" s="1647"/>
      <c r="L443" s="1647"/>
      <c r="M443" s="1647"/>
      <c r="N443" s="1647"/>
      <c r="O443" s="1645" t="str">
        <f>B443</f>
        <v>PRE-DEVELOPMENT COSTS</v>
      </c>
      <c r="P443" s="1647"/>
      <c r="Q443" s="1647"/>
      <c r="R443" s="1647"/>
      <c r="S443" s="1647"/>
      <c r="T443" s="1647"/>
      <c r="U443" s="1647"/>
      <c r="V443" s="1647"/>
      <c r="W443" s="1647" t="str">
        <f>B443</f>
        <v>PRE-DEVELOPMENT COSTS</v>
      </c>
      <c r="X443" s="1647"/>
    </row>
    <row r="444" spans="1:24">
      <c r="A444" s="1647"/>
      <c r="B444" s="1647" t="s">
        <v>2000</v>
      </c>
      <c r="C444" s="1647"/>
      <c r="D444" s="1647"/>
      <c r="E444" s="1647"/>
      <c r="F444" s="1647"/>
      <c r="G444" s="1729">
        <f>'Part IV-A-Uses of Funds'!G8</f>
        <v>11700</v>
      </c>
      <c r="H444" s="1729">
        <f>'Part IV-A-Uses of Funds'!H8</f>
        <v>0</v>
      </c>
      <c r="I444" s="1647"/>
      <c r="J444" s="1729">
        <f>'Part IV-A-Uses of Funds'!J8</f>
        <v>11700</v>
      </c>
      <c r="K444" s="1729">
        <f>'Part IV-A-Uses of Funds'!K8</f>
        <v>0</v>
      </c>
      <c r="L444" s="1664"/>
      <c r="M444" s="1729">
        <f>'Part IV-A-Uses of Funds'!M8</f>
        <v>0</v>
      </c>
      <c r="N444" s="1729">
        <f>'Part IV-A-Uses of Funds'!N8</f>
        <v>0</v>
      </c>
      <c r="O444" s="1647"/>
      <c r="P444" s="1729">
        <f>'Part IV-A-Uses of Funds'!P8</f>
        <v>0</v>
      </c>
      <c r="Q444" s="1729">
        <f>'Part IV-A-Uses of Funds'!Q8</f>
        <v>0</v>
      </c>
      <c r="R444" s="1647"/>
      <c r="S444" s="1729">
        <f>'Part IV-A-Uses of Funds'!S8</f>
        <v>0</v>
      </c>
      <c r="T444" s="1729">
        <f>'Part IV-A-Uses of Funds'!T8</f>
        <v>0</v>
      </c>
      <c r="U444" s="1647"/>
      <c r="V444" s="1735"/>
      <c r="W444" s="1485">
        <f>'Part IV-A-Uses of Funds'!W8</f>
        <v>0</v>
      </c>
      <c r="X444" s="1485">
        <f>'Part IV-A-Uses of Funds'!X8</f>
        <v>0</v>
      </c>
    </row>
    <row r="445" spans="1:24">
      <c r="A445" s="1647"/>
      <c r="B445" s="1647" t="s">
        <v>457</v>
      </c>
      <c r="C445" s="1647"/>
      <c r="D445" s="1647"/>
      <c r="E445" s="1647"/>
      <c r="F445" s="1647"/>
      <c r="G445" s="1729">
        <f>'Part IV-A-Uses of Funds'!G9</f>
        <v>12000</v>
      </c>
      <c r="H445" s="1729">
        <f>'Part IV-A-Uses of Funds'!H9</f>
        <v>0</v>
      </c>
      <c r="I445" s="1647"/>
      <c r="J445" s="1729">
        <f>'Part IV-A-Uses of Funds'!J9</f>
        <v>12000</v>
      </c>
      <c r="K445" s="1729">
        <f>'Part IV-A-Uses of Funds'!K9</f>
        <v>0</v>
      </c>
      <c r="L445" s="1664"/>
      <c r="M445" s="1729">
        <f>'Part IV-A-Uses of Funds'!M9</f>
        <v>0</v>
      </c>
      <c r="N445" s="1729">
        <f>'Part IV-A-Uses of Funds'!N9</f>
        <v>0</v>
      </c>
      <c r="O445" s="1647"/>
      <c r="P445" s="1729">
        <f>'Part IV-A-Uses of Funds'!P9</f>
        <v>0</v>
      </c>
      <c r="Q445" s="1729">
        <f>'Part IV-A-Uses of Funds'!Q9</f>
        <v>0</v>
      </c>
      <c r="R445" s="1647"/>
      <c r="S445" s="1729">
        <f>'Part IV-A-Uses of Funds'!S9</f>
        <v>0</v>
      </c>
      <c r="T445" s="1729">
        <f>'Part IV-A-Uses of Funds'!T9</f>
        <v>0</v>
      </c>
      <c r="U445" s="1647"/>
      <c r="V445" s="1735"/>
      <c r="W445" s="1485">
        <f>'Part IV-A-Uses of Funds'!W9</f>
        <v>0</v>
      </c>
      <c r="X445" s="1485">
        <f>'Part IV-A-Uses of Funds'!X9</f>
        <v>0</v>
      </c>
    </row>
    <row r="446" spans="1:24">
      <c r="A446" s="1647"/>
      <c r="B446" s="1647" t="s">
        <v>486</v>
      </c>
      <c r="C446" s="1647"/>
      <c r="D446" s="1647"/>
      <c r="E446" s="1647"/>
      <c r="F446" s="1647"/>
      <c r="G446" s="1729">
        <f>'Part IV-A-Uses of Funds'!G10</f>
        <v>6500</v>
      </c>
      <c r="H446" s="1729">
        <f>'Part IV-A-Uses of Funds'!H10</f>
        <v>0</v>
      </c>
      <c r="I446" s="1647"/>
      <c r="J446" s="1729">
        <f>'Part IV-A-Uses of Funds'!J10</f>
        <v>6500</v>
      </c>
      <c r="K446" s="1729">
        <f>'Part IV-A-Uses of Funds'!K10</f>
        <v>0</v>
      </c>
      <c r="L446" s="1664"/>
      <c r="M446" s="1729">
        <f>'Part IV-A-Uses of Funds'!M10</f>
        <v>0</v>
      </c>
      <c r="N446" s="1729">
        <f>'Part IV-A-Uses of Funds'!N10</f>
        <v>0</v>
      </c>
      <c r="O446" s="1647"/>
      <c r="P446" s="1729">
        <f>'Part IV-A-Uses of Funds'!P10</f>
        <v>0</v>
      </c>
      <c r="Q446" s="1729">
        <f>'Part IV-A-Uses of Funds'!Q10</f>
        <v>0</v>
      </c>
      <c r="R446" s="1647"/>
      <c r="S446" s="1729">
        <f>'Part IV-A-Uses of Funds'!S10</f>
        <v>0</v>
      </c>
      <c r="T446" s="1729">
        <f>'Part IV-A-Uses of Funds'!T10</f>
        <v>0</v>
      </c>
      <c r="U446" s="1647"/>
      <c r="V446" s="1735"/>
      <c r="W446" s="1485">
        <f>'Part IV-A-Uses of Funds'!W10</f>
        <v>0</v>
      </c>
      <c r="X446" s="1485">
        <f>'Part IV-A-Uses of Funds'!X10</f>
        <v>0</v>
      </c>
    </row>
    <row r="447" spans="1:24">
      <c r="A447" s="1647"/>
      <c r="B447" s="1647" t="s">
        <v>487</v>
      </c>
      <c r="C447" s="1647"/>
      <c r="D447" s="1647"/>
      <c r="E447" s="1647"/>
      <c r="F447" s="1647"/>
      <c r="G447" s="1729">
        <f>'Part IV-A-Uses of Funds'!G11</f>
        <v>15000</v>
      </c>
      <c r="H447" s="1729">
        <f>'Part IV-A-Uses of Funds'!H11</f>
        <v>0</v>
      </c>
      <c r="I447" s="1647"/>
      <c r="J447" s="1729">
        <f>'Part IV-A-Uses of Funds'!J11</f>
        <v>15000</v>
      </c>
      <c r="K447" s="1729">
        <f>'Part IV-A-Uses of Funds'!K11</f>
        <v>0</v>
      </c>
      <c r="L447" s="1664"/>
      <c r="M447" s="1729">
        <f>'Part IV-A-Uses of Funds'!M11</f>
        <v>0</v>
      </c>
      <c r="N447" s="1729">
        <f>'Part IV-A-Uses of Funds'!N11</f>
        <v>0</v>
      </c>
      <c r="O447" s="1647"/>
      <c r="P447" s="1729">
        <f>'Part IV-A-Uses of Funds'!P11</f>
        <v>0</v>
      </c>
      <c r="Q447" s="1729">
        <f>'Part IV-A-Uses of Funds'!Q11</f>
        <v>0</v>
      </c>
      <c r="R447" s="1647"/>
      <c r="S447" s="1729">
        <f>'Part IV-A-Uses of Funds'!S11</f>
        <v>0</v>
      </c>
      <c r="T447" s="1729">
        <f>'Part IV-A-Uses of Funds'!T11</f>
        <v>0</v>
      </c>
      <c r="U447" s="1647"/>
      <c r="V447" s="1735"/>
      <c r="W447" s="1485">
        <f>'Part IV-A-Uses of Funds'!W11</f>
        <v>0</v>
      </c>
      <c r="X447" s="1485">
        <f>'Part IV-A-Uses of Funds'!X11</f>
        <v>0</v>
      </c>
    </row>
    <row r="448" spans="1:24">
      <c r="A448" s="1647"/>
      <c r="B448" s="1647" t="s">
        <v>2500</v>
      </c>
      <c r="C448" s="1647"/>
      <c r="D448" s="1647"/>
      <c r="E448" s="1647"/>
      <c r="F448" s="1647"/>
      <c r="G448" s="1729">
        <f>'Part IV-A-Uses of Funds'!G12</f>
        <v>14700</v>
      </c>
      <c r="H448" s="1729">
        <f>'Part IV-A-Uses of Funds'!H12</f>
        <v>0</v>
      </c>
      <c r="I448" s="1647"/>
      <c r="J448" s="1729">
        <f>'Part IV-A-Uses of Funds'!J12</f>
        <v>14700</v>
      </c>
      <c r="K448" s="1729">
        <f>'Part IV-A-Uses of Funds'!K12</f>
        <v>0</v>
      </c>
      <c r="L448" s="1664"/>
      <c r="M448" s="1729">
        <f>'Part IV-A-Uses of Funds'!M12</f>
        <v>0</v>
      </c>
      <c r="N448" s="1729">
        <f>'Part IV-A-Uses of Funds'!N12</f>
        <v>0</v>
      </c>
      <c r="O448" s="1647"/>
      <c r="P448" s="1729">
        <f>'Part IV-A-Uses of Funds'!P12</f>
        <v>0</v>
      </c>
      <c r="Q448" s="1729">
        <f>'Part IV-A-Uses of Funds'!Q12</f>
        <v>0</v>
      </c>
      <c r="R448" s="1647"/>
      <c r="S448" s="1729">
        <f>'Part IV-A-Uses of Funds'!S12</f>
        <v>0</v>
      </c>
      <c r="T448" s="1729">
        <f>'Part IV-A-Uses of Funds'!T12</f>
        <v>0</v>
      </c>
      <c r="U448" s="1647"/>
      <c r="V448" s="1735"/>
      <c r="W448" s="1485">
        <f>'Part IV-A-Uses of Funds'!W12</f>
        <v>0</v>
      </c>
      <c r="X448" s="1485">
        <f>'Part IV-A-Uses of Funds'!X12</f>
        <v>0</v>
      </c>
    </row>
    <row r="449" spans="1:24">
      <c r="A449" s="1647"/>
      <c r="B449" s="1647" t="s">
        <v>190</v>
      </c>
      <c r="C449" s="1647"/>
      <c r="D449" s="1647"/>
      <c r="E449" s="1647"/>
      <c r="F449" s="1647"/>
      <c r="G449" s="1729">
        <f>'Part IV-A-Uses of Funds'!G13</f>
        <v>0</v>
      </c>
      <c r="H449" s="1729">
        <f>'Part IV-A-Uses of Funds'!H13</f>
        <v>0</v>
      </c>
      <c r="I449" s="1647"/>
      <c r="J449" s="1729">
        <f>'Part IV-A-Uses of Funds'!J13</f>
        <v>0</v>
      </c>
      <c r="K449" s="1729">
        <f>'Part IV-A-Uses of Funds'!K13</f>
        <v>0</v>
      </c>
      <c r="L449" s="1664"/>
      <c r="M449" s="1729">
        <f>'Part IV-A-Uses of Funds'!M13</f>
        <v>0</v>
      </c>
      <c r="N449" s="1729">
        <f>'Part IV-A-Uses of Funds'!N13</f>
        <v>0</v>
      </c>
      <c r="O449" s="1647"/>
      <c r="P449" s="1729">
        <f>'Part IV-A-Uses of Funds'!P13</f>
        <v>0</v>
      </c>
      <c r="Q449" s="1729">
        <f>'Part IV-A-Uses of Funds'!Q13</f>
        <v>0</v>
      </c>
      <c r="R449" s="1647"/>
      <c r="S449" s="1729">
        <f>'Part IV-A-Uses of Funds'!S13</f>
        <v>0</v>
      </c>
      <c r="T449" s="1729">
        <f>'Part IV-A-Uses of Funds'!T13</f>
        <v>0</v>
      </c>
      <c r="U449" s="1647"/>
      <c r="V449" s="1735"/>
      <c r="W449" s="1485">
        <f>'Part IV-A-Uses of Funds'!W13</f>
        <v>0</v>
      </c>
      <c r="X449" s="1485">
        <f>'Part IV-A-Uses of Funds'!X13</f>
        <v>0</v>
      </c>
    </row>
    <row r="450" spans="1:24" ht="15.75" customHeight="1">
      <c r="A450" s="1732" t="str">
        <f>IF(AND(G450&gt;0,OR(C450="",C450="&lt;Enter detailed description here; use Comments section if needed&gt;")),"X","")</f>
        <v/>
      </c>
      <c r="B450" s="1647" t="s">
        <v>741</v>
      </c>
      <c r="C450" s="1659" t="str">
        <f>'Part IV-A-Uses of Funds'!C14</f>
        <v>&lt;&lt; Enter description here; provide detail &amp; justification in tab Part IV-b &gt;&gt;</v>
      </c>
      <c r="D450" s="1659">
        <f>'Part IV-A-Uses of Funds'!D14</f>
        <v>0</v>
      </c>
      <c r="E450" s="1659">
        <f>'Part IV-A-Uses of Funds'!E14</f>
        <v>0</v>
      </c>
      <c r="F450" s="1659">
        <f>'Part IV-A-Uses of Funds'!F14</f>
        <v>0</v>
      </c>
      <c r="G450" s="1729">
        <f>'Part IV-A-Uses of Funds'!G14</f>
        <v>0</v>
      </c>
      <c r="H450" s="1729">
        <f>'Part IV-A-Uses of Funds'!H14</f>
        <v>0</v>
      </c>
      <c r="I450" s="1647"/>
      <c r="J450" s="1729">
        <f>'Part IV-A-Uses of Funds'!J14</f>
        <v>0</v>
      </c>
      <c r="K450" s="1729">
        <f>'Part IV-A-Uses of Funds'!K14</f>
        <v>0</v>
      </c>
      <c r="L450" s="1664"/>
      <c r="M450" s="1729">
        <f>'Part IV-A-Uses of Funds'!M14</f>
        <v>0</v>
      </c>
      <c r="N450" s="1729">
        <f>'Part IV-A-Uses of Funds'!N14</f>
        <v>0</v>
      </c>
      <c r="O450" s="1647"/>
      <c r="P450" s="1729">
        <f>'Part IV-A-Uses of Funds'!P14</f>
        <v>0</v>
      </c>
      <c r="Q450" s="1729">
        <f>'Part IV-A-Uses of Funds'!Q14</f>
        <v>0</v>
      </c>
      <c r="R450" s="1647"/>
      <c r="S450" s="1729">
        <f>'Part IV-A-Uses of Funds'!S14</f>
        <v>0</v>
      </c>
      <c r="T450" s="1729">
        <f>'Part IV-A-Uses of Funds'!T14</f>
        <v>0</v>
      </c>
      <c r="U450" s="1648" t="str">
        <f>IF(AND(G450&gt;0,OR(C450="",C450="&lt;Enter detailed description here; use Comments section if needed&gt;")),"NO DESCRIPTION PROVIDED - please enter detailed description in Other box at left; use Comments section below if needed.","")</f>
        <v/>
      </c>
      <c r="V450" s="2135"/>
      <c r="W450" s="1485">
        <f>'Part IV-A-Uses of Funds'!W14</f>
        <v>0</v>
      </c>
      <c r="X450" s="1485">
        <f>'Part IV-A-Uses of Funds'!X14</f>
        <v>0</v>
      </c>
    </row>
    <row r="451" spans="1:24" ht="15.75" customHeight="1">
      <c r="A451" s="1732" t="str">
        <f>IF(AND(G451&gt;0,OR(C451="",C451="&lt;Enter detailed description here; use Comments section if needed&gt;")),"X","")</f>
        <v/>
      </c>
      <c r="B451" s="1647" t="s">
        <v>741</v>
      </c>
      <c r="C451" s="1659" t="str">
        <f>'Part IV-A-Uses of Funds'!C15</f>
        <v>&lt;&lt; Enter description here; provide detail &amp; justification in tab Part IV-b &gt;&gt;</v>
      </c>
      <c r="D451" s="1659">
        <f>'Part IV-A-Uses of Funds'!D15</f>
        <v>0</v>
      </c>
      <c r="E451" s="1659">
        <f>'Part IV-A-Uses of Funds'!E15</f>
        <v>0</v>
      </c>
      <c r="F451" s="1659">
        <f>'Part IV-A-Uses of Funds'!F15</f>
        <v>0</v>
      </c>
      <c r="G451" s="1729">
        <f>'Part IV-A-Uses of Funds'!G15</f>
        <v>0</v>
      </c>
      <c r="H451" s="1729">
        <f>'Part IV-A-Uses of Funds'!H15</f>
        <v>0</v>
      </c>
      <c r="I451" s="1647"/>
      <c r="J451" s="1729">
        <f>'Part IV-A-Uses of Funds'!J15</f>
        <v>0</v>
      </c>
      <c r="K451" s="1729">
        <f>'Part IV-A-Uses of Funds'!K15</f>
        <v>0</v>
      </c>
      <c r="L451" s="1664"/>
      <c r="M451" s="1729">
        <f>'Part IV-A-Uses of Funds'!M15</f>
        <v>0</v>
      </c>
      <c r="N451" s="1729">
        <f>'Part IV-A-Uses of Funds'!N15</f>
        <v>0</v>
      </c>
      <c r="O451" s="1647"/>
      <c r="P451" s="1729">
        <f>'Part IV-A-Uses of Funds'!P15</f>
        <v>0</v>
      </c>
      <c r="Q451" s="1729">
        <f>'Part IV-A-Uses of Funds'!Q15</f>
        <v>0</v>
      </c>
      <c r="R451" s="1647"/>
      <c r="S451" s="1729">
        <f>'Part IV-A-Uses of Funds'!S15</f>
        <v>0</v>
      </c>
      <c r="T451" s="1729">
        <f>'Part IV-A-Uses of Funds'!T15</f>
        <v>0</v>
      </c>
      <c r="U451" s="1648" t="str">
        <f>IF(AND(G451&gt;0,OR(C451="",C451="&lt;Enter detailed description here; use Comments section if needed&gt;")),"NO DESCRIPTION PROVIDED - please enter detailed description in Other box at left; use Comments section below if needed.","")</f>
        <v/>
      </c>
      <c r="V451" s="2135"/>
      <c r="W451" s="1485">
        <f>'Part IV-A-Uses of Funds'!W15</f>
        <v>0</v>
      </c>
      <c r="X451" s="1485">
        <f>'Part IV-A-Uses of Funds'!X15</f>
        <v>0</v>
      </c>
    </row>
    <row r="452" spans="1:24" ht="16.5" customHeight="1">
      <c r="A452" s="1732" t="str">
        <f>IF(AND(G452&gt;0,OR(C452="",C452="&lt;Enter detailed description here; use Comments section if needed&gt;")),"X","")</f>
        <v/>
      </c>
      <c r="B452" s="1647" t="s">
        <v>741</v>
      </c>
      <c r="C452" s="1659" t="str">
        <f>'Part IV-A-Uses of Funds'!C16</f>
        <v>&lt;&lt; Enter description here; provide detail &amp; justification in tab Part IV-b &gt;&gt;</v>
      </c>
      <c r="D452" s="1659">
        <f>'Part IV-A-Uses of Funds'!D16</f>
        <v>0</v>
      </c>
      <c r="E452" s="1659">
        <f>'Part IV-A-Uses of Funds'!E16</f>
        <v>0</v>
      </c>
      <c r="F452" s="1659">
        <f>'Part IV-A-Uses of Funds'!F16</f>
        <v>0</v>
      </c>
      <c r="G452" s="1729">
        <f>'Part IV-A-Uses of Funds'!G16</f>
        <v>0</v>
      </c>
      <c r="H452" s="1729">
        <f>'Part IV-A-Uses of Funds'!H16</f>
        <v>0</v>
      </c>
      <c r="I452" s="1647"/>
      <c r="J452" s="1729">
        <f>'Part IV-A-Uses of Funds'!J16</f>
        <v>0</v>
      </c>
      <c r="K452" s="1729">
        <f>'Part IV-A-Uses of Funds'!K16</f>
        <v>0</v>
      </c>
      <c r="L452" s="1664"/>
      <c r="M452" s="1729">
        <f>'Part IV-A-Uses of Funds'!M16</f>
        <v>0</v>
      </c>
      <c r="N452" s="1729">
        <f>'Part IV-A-Uses of Funds'!N16</f>
        <v>0</v>
      </c>
      <c r="O452" s="1647"/>
      <c r="P452" s="1729">
        <f>'Part IV-A-Uses of Funds'!P16</f>
        <v>0</v>
      </c>
      <c r="Q452" s="1729">
        <f>'Part IV-A-Uses of Funds'!Q16</f>
        <v>0</v>
      </c>
      <c r="R452" s="1647"/>
      <c r="S452" s="1729">
        <f>'Part IV-A-Uses of Funds'!S16</f>
        <v>0</v>
      </c>
      <c r="T452" s="1729">
        <f>'Part IV-A-Uses of Funds'!T16</f>
        <v>0</v>
      </c>
      <c r="U452" s="1648" t="str">
        <f>IF(AND(G452&gt;0,OR(C452="",C452="&lt;Enter detailed description here; use Comments section if needed&gt;")),"NO DESCRIPTION PROVIDED - please enter detailed description in Other box at left; use Comments section below if needed.","")</f>
        <v/>
      </c>
      <c r="V452" s="2135"/>
      <c r="W452" s="1485">
        <f>'Part IV-A-Uses of Funds'!W16</f>
        <v>0</v>
      </c>
      <c r="X452" s="1485">
        <f>'Part IV-A-Uses of Funds'!X16</f>
        <v>0</v>
      </c>
    </row>
    <row r="453" spans="1:24">
      <c r="A453" s="1647"/>
      <c r="B453" s="1647"/>
      <c r="C453" s="1647"/>
      <c r="D453" s="1647"/>
      <c r="E453" s="1647"/>
      <c r="F453" s="1733" t="s">
        <v>191</v>
      </c>
      <c r="G453" s="1729">
        <f>SUM(G444:H452)</f>
        <v>59900</v>
      </c>
      <c r="H453" s="1729"/>
      <c r="I453" s="1647"/>
      <c r="J453" s="1729">
        <f>SUM(J444:K452)</f>
        <v>59900</v>
      </c>
      <c r="K453" s="1665"/>
      <c r="L453" s="1664"/>
      <c r="M453" s="1729">
        <f>SUM(M444:N452)</f>
        <v>0</v>
      </c>
      <c r="N453" s="1729"/>
      <c r="O453" s="1647"/>
      <c r="P453" s="1729">
        <f>SUM(P444:Q452)</f>
        <v>0</v>
      </c>
      <c r="Q453" s="1729"/>
      <c r="R453" s="1647"/>
      <c r="S453" s="1729">
        <f>SUM(S444:T452)</f>
        <v>0</v>
      </c>
      <c r="T453" s="1729"/>
      <c r="U453" s="1647"/>
      <c r="V453" s="1735">
        <f>SUM(V444:V452)</f>
        <v>0</v>
      </c>
      <c r="W453" s="1485"/>
      <c r="X453" s="1485"/>
    </row>
    <row r="454" spans="1:24">
      <c r="A454" s="1647"/>
      <c r="B454" s="1628" t="s">
        <v>2197</v>
      </c>
      <c r="C454" s="1647"/>
      <c r="D454" s="1647"/>
      <c r="E454" s="1647"/>
      <c r="F454" s="1647"/>
      <c r="G454" s="1647"/>
      <c r="H454" s="1647"/>
      <c r="I454" s="1647"/>
      <c r="J454" s="1729"/>
      <c r="K454" s="1729"/>
      <c r="L454" s="1647"/>
      <c r="M454" s="1729"/>
      <c r="N454" s="1729"/>
      <c r="O454" s="1734" t="str">
        <f>B454</f>
        <v>ACQUISITION</v>
      </c>
      <c r="P454" s="1729"/>
      <c r="Q454" s="1729"/>
      <c r="R454" s="1647"/>
      <c r="S454" s="1729"/>
      <c r="T454" s="1729"/>
      <c r="U454" s="1647"/>
      <c r="V454" s="1735"/>
      <c r="W454" s="1647" t="str">
        <f>B454</f>
        <v>ACQUISITION</v>
      </c>
      <c r="X454" s="1647"/>
    </row>
    <row r="455" spans="1:24">
      <c r="A455" s="1647"/>
      <c r="B455" s="1647" t="s">
        <v>2198</v>
      </c>
      <c r="C455" s="1647"/>
      <c r="D455" s="1647"/>
      <c r="E455" s="1647"/>
      <c r="F455" s="1647"/>
      <c r="G455" s="1729">
        <f>'Part IV-A-Uses of Funds'!G19</f>
        <v>725000</v>
      </c>
      <c r="H455" s="1729">
        <f>'Part IV-A-Uses of Funds'!H19</f>
        <v>0</v>
      </c>
      <c r="I455" s="1647"/>
      <c r="J455" s="1664"/>
      <c r="K455" s="1729"/>
      <c r="L455" s="1664"/>
      <c r="M455" s="1664"/>
      <c r="N455" s="1729"/>
      <c r="O455" s="1647"/>
      <c r="P455" s="1664"/>
      <c r="Q455" s="1729"/>
      <c r="R455" s="1647"/>
      <c r="S455" s="1729">
        <f>'Part IV-A-Uses of Funds'!S19</f>
        <v>725000</v>
      </c>
      <c r="T455" s="1729">
        <f>'Part IV-A-Uses of Funds'!T19</f>
        <v>0</v>
      </c>
      <c r="U455" s="1647"/>
      <c r="V455" s="1735"/>
      <c r="W455" s="1485">
        <f>'Part IV-A-Uses of Funds'!W19</f>
        <v>0</v>
      </c>
      <c r="X455" s="1485">
        <f>'Part IV-A-Uses of Funds'!X19</f>
        <v>0</v>
      </c>
    </row>
    <row r="456" spans="1:24">
      <c r="A456" s="1647"/>
      <c r="B456" s="1647" t="s">
        <v>1119</v>
      </c>
      <c r="C456" s="1647"/>
      <c r="D456" s="1647"/>
      <c r="E456" s="1647"/>
      <c r="F456" s="1647"/>
      <c r="G456" s="1729">
        <f>'Part IV-A-Uses of Funds'!G20</f>
        <v>0</v>
      </c>
      <c r="H456" s="1729">
        <f>'Part IV-A-Uses of Funds'!H20</f>
        <v>0</v>
      </c>
      <c r="I456" s="1647"/>
      <c r="J456" s="1664"/>
      <c r="K456" s="1729"/>
      <c r="L456" s="1664"/>
      <c r="M456" s="1664"/>
      <c r="N456" s="1729"/>
      <c r="O456" s="1647"/>
      <c r="P456" s="1664"/>
      <c r="Q456" s="1729"/>
      <c r="R456" s="1647"/>
      <c r="S456" s="1729">
        <f>'Part IV-A-Uses of Funds'!S20</f>
        <v>0</v>
      </c>
      <c r="T456" s="1729">
        <f>'Part IV-A-Uses of Funds'!T20</f>
        <v>0</v>
      </c>
      <c r="U456" s="1647"/>
      <c r="V456" s="1735"/>
      <c r="W456" s="1485">
        <f>'Part IV-A-Uses of Funds'!W20</f>
        <v>0</v>
      </c>
      <c r="X456" s="1485">
        <f>'Part IV-A-Uses of Funds'!X20</f>
        <v>0</v>
      </c>
    </row>
    <row r="457" spans="1:24">
      <c r="A457" s="1647"/>
      <c r="B457" s="1647" t="s">
        <v>458</v>
      </c>
      <c r="C457" s="1647"/>
      <c r="D457" s="1647"/>
      <c r="E457" s="1647"/>
      <c r="F457" s="1647"/>
      <c r="G457" s="1729">
        <f>'Part IV-A-Uses of Funds'!G21</f>
        <v>0</v>
      </c>
      <c r="H457" s="1729">
        <f>'Part IV-A-Uses of Funds'!H21</f>
        <v>0</v>
      </c>
      <c r="I457" s="1647"/>
      <c r="J457" s="1664"/>
      <c r="K457" s="1729"/>
      <c r="L457" s="1664"/>
      <c r="M457" s="1729">
        <f>'Part IV-A-Uses of Funds'!M21</f>
        <v>0</v>
      </c>
      <c r="N457" s="1729">
        <f>'Part IV-A-Uses of Funds'!N21</f>
        <v>0</v>
      </c>
      <c r="O457" s="1647"/>
      <c r="P457" s="1664"/>
      <c r="Q457" s="1729"/>
      <c r="R457" s="1647"/>
      <c r="S457" s="1729">
        <f>'Part IV-A-Uses of Funds'!S21</f>
        <v>0</v>
      </c>
      <c r="T457" s="1729">
        <f>'Part IV-A-Uses of Funds'!T21</f>
        <v>0</v>
      </c>
      <c r="U457" s="1647"/>
      <c r="V457" s="1735"/>
      <c r="W457" s="1485">
        <f>'Part IV-A-Uses of Funds'!W21</f>
        <v>0</v>
      </c>
      <c r="X457" s="1485">
        <f>'Part IV-A-Uses of Funds'!X21</f>
        <v>0</v>
      </c>
    </row>
    <row r="458" spans="1:24">
      <c r="A458" s="1647"/>
      <c r="B458" s="1647" t="s">
        <v>430</v>
      </c>
      <c r="C458" s="1647"/>
      <c r="D458" s="1647"/>
      <c r="E458" s="1647"/>
      <c r="F458" s="1647"/>
      <c r="G458" s="1729">
        <f>'Part IV-A-Uses of Funds'!G22</f>
        <v>0</v>
      </c>
      <c r="H458" s="1729">
        <f>'Part IV-A-Uses of Funds'!H22</f>
        <v>0</v>
      </c>
      <c r="I458" s="1647"/>
      <c r="J458" s="1664"/>
      <c r="K458" s="1729"/>
      <c r="L458" s="1664"/>
      <c r="M458" s="1729">
        <f>'Part IV-A-Uses of Funds'!M22</f>
        <v>0</v>
      </c>
      <c r="N458" s="1729">
        <f>'Part IV-A-Uses of Funds'!N22</f>
        <v>0</v>
      </c>
      <c r="O458" s="1647"/>
      <c r="P458" s="1664"/>
      <c r="Q458" s="1729"/>
      <c r="R458" s="1647"/>
      <c r="S458" s="1729">
        <f>'Part IV-A-Uses of Funds'!S22</f>
        <v>0</v>
      </c>
      <c r="T458" s="1729">
        <f>'Part IV-A-Uses of Funds'!T22</f>
        <v>0</v>
      </c>
      <c r="U458" s="1647"/>
      <c r="V458" s="1735"/>
      <c r="W458" s="1485">
        <f>'Part IV-A-Uses of Funds'!W22</f>
        <v>0</v>
      </c>
      <c r="X458" s="1485">
        <f>'Part IV-A-Uses of Funds'!X22</f>
        <v>0</v>
      </c>
    </row>
    <row r="459" spans="1:24">
      <c r="A459" s="1647"/>
      <c r="B459" s="1647"/>
      <c r="C459" s="1647"/>
      <c r="D459" s="1647"/>
      <c r="E459" s="1647"/>
      <c r="F459" s="1733" t="s">
        <v>191</v>
      </c>
      <c r="G459" s="1729">
        <f>SUM(G455:H458)</f>
        <v>725000</v>
      </c>
      <c r="H459" s="1729"/>
      <c r="I459" s="1647"/>
      <c r="J459" s="1664"/>
      <c r="K459" s="1729"/>
      <c r="L459" s="1664"/>
      <c r="M459" s="1729">
        <f>SUM(M457:N458)</f>
        <v>0</v>
      </c>
      <c r="N459" s="1729"/>
      <c r="O459" s="1647"/>
      <c r="P459" s="1664"/>
      <c r="Q459" s="1729"/>
      <c r="R459" s="1647"/>
      <c r="S459" s="1729">
        <f>SUM(S455:T458)</f>
        <v>725000</v>
      </c>
      <c r="T459" s="1729"/>
      <c r="U459" s="1647"/>
      <c r="V459" s="1735">
        <f>SUM(V455:V458)</f>
        <v>0</v>
      </c>
      <c r="W459" s="1485"/>
      <c r="X459" s="1485"/>
    </row>
    <row r="460" spans="1:24">
      <c r="A460" s="1647"/>
      <c r="B460" s="1628" t="s">
        <v>1120</v>
      </c>
      <c r="C460" s="1647"/>
      <c r="D460" s="1647"/>
      <c r="E460" s="1647"/>
      <c r="F460" s="1647"/>
      <c r="G460" s="1647"/>
      <c r="H460" s="1647"/>
      <c r="I460" s="1647"/>
      <c r="J460" s="1664"/>
      <c r="K460" s="1729"/>
      <c r="L460" s="1647"/>
      <c r="M460" s="1664"/>
      <c r="N460" s="1729"/>
      <c r="O460" s="1734" t="str">
        <f>B460</f>
        <v>LAND IMPROVEMENTS</v>
      </c>
      <c r="P460" s="1664"/>
      <c r="Q460" s="1729"/>
      <c r="R460" s="1647"/>
      <c r="S460" s="1664"/>
      <c r="T460" s="1729"/>
      <c r="U460" s="1647"/>
      <c r="V460" s="1735"/>
      <c r="W460" s="1647" t="str">
        <f>B460</f>
        <v>LAND IMPROVEMENTS</v>
      </c>
      <c r="X460" s="1647"/>
    </row>
    <row r="461" spans="1:24">
      <c r="A461" s="1647"/>
      <c r="B461" s="1647" t="s">
        <v>1121</v>
      </c>
      <c r="C461" s="1647"/>
      <c r="D461" s="1647"/>
      <c r="E461" s="1694" t="s">
        <v>3727</v>
      </c>
      <c r="F461" s="1736" t="str">
        <f>IF('Part I-Project Information'!$O$37="","",G461/'Part I-Project Information'!$O$37)</f>
        <v/>
      </c>
      <c r="G461" s="1729">
        <f>'Part IV-A-Uses of Funds'!G25</f>
        <v>2100000</v>
      </c>
      <c r="H461" s="1729">
        <f>'Part IV-A-Uses of Funds'!H25</f>
        <v>0</v>
      </c>
      <c r="I461" s="1647"/>
      <c r="J461" s="1729">
        <f>'Part IV-A-Uses of Funds'!J25</f>
        <v>2100000</v>
      </c>
      <c r="K461" s="1729">
        <f>'Part IV-A-Uses of Funds'!K25</f>
        <v>0</v>
      </c>
      <c r="L461" s="1664"/>
      <c r="M461" s="1729">
        <f>'Part IV-A-Uses of Funds'!M25</f>
        <v>0</v>
      </c>
      <c r="N461" s="1729">
        <f>'Part IV-A-Uses of Funds'!N25</f>
        <v>0</v>
      </c>
      <c r="O461" s="1647"/>
      <c r="P461" s="1729">
        <f>'Part IV-A-Uses of Funds'!P25</f>
        <v>0</v>
      </c>
      <c r="Q461" s="1729">
        <f>'Part IV-A-Uses of Funds'!Q25</f>
        <v>0</v>
      </c>
      <c r="R461" s="1647"/>
      <c r="S461" s="1729">
        <f>'Part IV-A-Uses of Funds'!S25</f>
        <v>0</v>
      </c>
      <c r="T461" s="1729">
        <f>'Part IV-A-Uses of Funds'!T25</f>
        <v>0</v>
      </c>
      <c r="U461" s="1647"/>
      <c r="V461" s="1735"/>
      <c r="W461" s="1485">
        <f>'Part IV-A-Uses of Funds'!W25</f>
        <v>0</v>
      </c>
      <c r="X461" s="1485">
        <f>'Part IV-A-Uses of Funds'!X25</f>
        <v>0</v>
      </c>
    </row>
    <row r="462" spans="1:24">
      <c r="A462" s="1647"/>
      <c r="B462" s="1647" t="s">
        <v>1122</v>
      </c>
      <c r="C462" s="1647"/>
      <c r="D462" s="1647"/>
      <c r="E462" s="1647"/>
      <c r="F462" s="1647"/>
      <c r="G462" s="1729">
        <f>'Part IV-A-Uses of Funds'!G26</f>
        <v>0</v>
      </c>
      <c r="H462" s="1729">
        <f>'Part IV-A-Uses of Funds'!H26</f>
        <v>0</v>
      </c>
      <c r="I462" s="1647"/>
      <c r="J462" s="1729">
        <f>'Part IV-A-Uses of Funds'!J26</f>
        <v>0</v>
      </c>
      <c r="K462" s="1729">
        <f>'Part IV-A-Uses of Funds'!K26</f>
        <v>0</v>
      </c>
      <c r="L462" s="1737"/>
      <c r="M462" s="1729"/>
      <c r="N462" s="1729"/>
      <c r="O462" s="1647"/>
      <c r="P462" s="1729"/>
      <c r="Q462" s="1729"/>
      <c r="R462" s="1647"/>
      <c r="S462" s="1729">
        <f>'Part IV-A-Uses of Funds'!S26</f>
        <v>0</v>
      </c>
      <c r="T462" s="1729">
        <f>'Part IV-A-Uses of Funds'!T26</f>
        <v>0</v>
      </c>
      <c r="U462" s="1647"/>
      <c r="V462" s="1735"/>
      <c r="W462" s="1485">
        <f>'Part IV-A-Uses of Funds'!W26</f>
        <v>0</v>
      </c>
      <c r="X462" s="1485">
        <f>'Part IV-A-Uses of Funds'!X26</f>
        <v>0</v>
      </c>
    </row>
    <row r="463" spans="1:24">
      <c r="A463" s="1647"/>
      <c r="B463" s="1647"/>
      <c r="C463" s="1647"/>
      <c r="D463" s="1647"/>
      <c r="E463" s="1647"/>
      <c r="F463" s="1733" t="s">
        <v>191</v>
      </c>
      <c r="G463" s="1729">
        <f>SUM(G461:H462)</f>
        <v>2100000</v>
      </c>
      <c r="H463" s="1729"/>
      <c r="I463" s="1647"/>
      <c r="J463" s="1729">
        <f>SUM(J461:K462)</f>
        <v>2100000</v>
      </c>
      <c r="K463" s="1729"/>
      <c r="L463" s="1664"/>
      <c r="M463" s="1729">
        <f>M461</f>
        <v>0</v>
      </c>
      <c r="N463" s="1729"/>
      <c r="O463" s="1647"/>
      <c r="P463" s="1729">
        <f>P461</f>
        <v>0</v>
      </c>
      <c r="Q463" s="1729"/>
      <c r="R463" s="1647"/>
      <c r="S463" s="1729">
        <f>SUM(S461:T462)</f>
        <v>0</v>
      </c>
      <c r="T463" s="1729"/>
      <c r="U463" s="1647"/>
      <c r="V463" s="1735">
        <f>SUM(V461:V462)</f>
        <v>0</v>
      </c>
      <c r="W463" s="1485"/>
      <c r="X463" s="1485"/>
    </row>
    <row r="464" spans="1:24">
      <c r="A464" s="1647"/>
      <c r="B464" s="1628" t="s">
        <v>1123</v>
      </c>
      <c r="C464" s="1647"/>
      <c r="D464" s="1647"/>
      <c r="E464" s="1647"/>
      <c r="F464" s="1647"/>
      <c r="G464" s="1647"/>
      <c r="H464" s="1647"/>
      <c r="I464" s="1647"/>
      <c r="J464" s="1664"/>
      <c r="K464" s="1729"/>
      <c r="L464" s="1647"/>
      <c r="M464" s="1664"/>
      <c r="N464" s="1729"/>
      <c r="O464" s="1734" t="str">
        <f>B464</f>
        <v>STRUCTURES</v>
      </c>
      <c r="P464" s="1664"/>
      <c r="Q464" s="1729"/>
      <c r="R464" s="1647"/>
      <c r="S464" s="1664"/>
      <c r="T464" s="1729"/>
      <c r="U464" s="1647"/>
      <c r="V464" s="1735"/>
      <c r="W464" s="1647" t="str">
        <f>B464</f>
        <v>STRUCTURES</v>
      </c>
      <c r="X464" s="1647"/>
    </row>
    <row r="465" spans="1:24">
      <c r="A465" s="1647"/>
      <c r="B465" s="1647" t="s">
        <v>1124</v>
      </c>
      <c r="C465" s="1647"/>
      <c r="D465" s="1647"/>
      <c r="E465" s="1647"/>
      <c r="F465" s="1647"/>
      <c r="G465" s="1729">
        <f>'Part IV-A-Uses of Funds'!G29</f>
        <v>7728000</v>
      </c>
      <c r="H465" s="1729">
        <f>'Part IV-A-Uses of Funds'!H29</f>
        <v>0</v>
      </c>
      <c r="I465" s="1647"/>
      <c r="J465" s="1729">
        <f>'Part IV-A-Uses of Funds'!J29</f>
        <v>7728000</v>
      </c>
      <c r="K465" s="1729">
        <f>'Part IV-A-Uses of Funds'!K29</f>
        <v>0</v>
      </c>
      <c r="L465" s="1664"/>
      <c r="M465" s="1729">
        <f>'Part IV-A-Uses of Funds'!M29</f>
        <v>0</v>
      </c>
      <c r="N465" s="1729">
        <f>'Part IV-A-Uses of Funds'!N29</f>
        <v>0</v>
      </c>
      <c r="O465" s="1647"/>
      <c r="P465" s="1729">
        <f>'Part IV-A-Uses of Funds'!P29</f>
        <v>0</v>
      </c>
      <c r="Q465" s="1729">
        <f>'Part IV-A-Uses of Funds'!Q29</f>
        <v>0</v>
      </c>
      <c r="R465" s="1647"/>
      <c r="S465" s="1729">
        <f>'Part IV-A-Uses of Funds'!S29</f>
        <v>0</v>
      </c>
      <c r="T465" s="1729">
        <f>'Part IV-A-Uses of Funds'!T29</f>
        <v>0</v>
      </c>
      <c r="U465" s="1647"/>
      <c r="V465" s="1735"/>
      <c r="W465" s="1485">
        <f>'Part IV-A-Uses of Funds'!W29</f>
        <v>0</v>
      </c>
      <c r="X465" s="1485">
        <f>'Part IV-A-Uses of Funds'!X29</f>
        <v>0</v>
      </c>
    </row>
    <row r="466" spans="1:24">
      <c r="A466" s="1647"/>
      <c r="B466" s="1647" t="s">
        <v>1125</v>
      </c>
      <c r="C466" s="1647"/>
      <c r="D466" s="1647"/>
      <c r="E466" s="1647"/>
      <c r="F466" s="1647"/>
      <c r="G466" s="1729">
        <f>'Part IV-A-Uses of Funds'!G30</f>
        <v>0</v>
      </c>
      <c r="H466" s="1729">
        <f>'Part IV-A-Uses of Funds'!H30</f>
        <v>0</v>
      </c>
      <c r="I466" s="1647"/>
      <c r="J466" s="1729">
        <f>'Part IV-A-Uses of Funds'!J30</f>
        <v>0</v>
      </c>
      <c r="K466" s="1729">
        <f>'Part IV-A-Uses of Funds'!K30</f>
        <v>0</v>
      </c>
      <c r="L466" s="1664"/>
      <c r="M466" s="1729">
        <f>'Part IV-A-Uses of Funds'!M30</f>
        <v>0</v>
      </c>
      <c r="N466" s="1729">
        <f>'Part IV-A-Uses of Funds'!N30</f>
        <v>0</v>
      </c>
      <c r="O466" s="1647"/>
      <c r="P466" s="1729">
        <f>'Part IV-A-Uses of Funds'!P30</f>
        <v>0</v>
      </c>
      <c r="Q466" s="1729">
        <f>'Part IV-A-Uses of Funds'!Q30</f>
        <v>0</v>
      </c>
      <c r="R466" s="1647"/>
      <c r="S466" s="1729">
        <f>'Part IV-A-Uses of Funds'!S30</f>
        <v>0</v>
      </c>
      <c r="T466" s="1729">
        <f>'Part IV-A-Uses of Funds'!T30</f>
        <v>0</v>
      </c>
      <c r="U466" s="1647"/>
      <c r="V466" s="1735"/>
      <c r="W466" s="1485">
        <f>'Part IV-A-Uses of Funds'!W30</f>
        <v>0</v>
      </c>
      <c r="X466" s="1485">
        <f>'Part IV-A-Uses of Funds'!X30</f>
        <v>0</v>
      </c>
    </row>
    <row r="467" spans="1:24">
      <c r="A467" s="1647"/>
      <c r="B467" s="1647" t="s">
        <v>2780</v>
      </c>
      <c r="C467" s="1647"/>
      <c r="D467" s="1647"/>
      <c r="E467" s="1647"/>
      <c r="F467" s="1647"/>
      <c r="G467" s="1729">
        <f>'Part IV-A-Uses of Funds'!G31</f>
        <v>0</v>
      </c>
      <c r="H467" s="1729">
        <f>'Part IV-A-Uses of Funds'!H31</f>
        <v>0</v>
      </c>
      <c r="I467" s="1647"/>
      <c r="J467" s="1729">
        <f>'Part IV-A-Uses of Funds'!J31</f>
        <v>0</v>
      </c>
      <c r="K467" s="1729">
        <f>'Part IV-A-Uses of Funds'!K31</f>
        <v>0</v>
      </c>
      <c r="L467" s="1664"/>
      <c r="M467" s="1729">
        <f>'Part IV-A-Uses of Funds'!M31</f>
        <v>0</v>
      </c>
      <c r="N467" s="1729">
        <f>'Part IV-A-Uses of Funds'!N31</f>
        <v>0</v>
      </c>
      <c r="O467" s="1647"/>
      <c r="P467" s="1729">
        <f>'Part IV-A-Uses of Funds'!P31</f>
        <v>0</v>
      </c>
      <c r="Q467" s="1729">
        <f>'Part IV-A-Uses of Funds'!Q31</f>
        <v>0</v>
      </c>
      <c r="R467" s="1647"/>
      <c r="S467" s="1729">
        <f>'Part IV-A-Uses of Funds'!S31</f>
        <v>0</v>
      </c>
      <c r="T467" s="1729">
        <f>'Part IV-A-Uses of Funds'!T31</f>
        <v>0</v>
      </c>
      <c r="U467" s="1647"/>
      <c r="V467" s="1735"/>
      <c r="W467" s="1485">
        <f>'Part IV-A-Uses of Funds'!W31</f>
        <v>0</v>
      </c>
      <c r="X467" s="1485">
        <f>'Part IV-A-Uses of Funds'!X31</f>
        <v>0</v>
      </c>
    </row>
    <row r="468" spans="1:24">
      <c r="A468" s="1653"/>
      <c r="B468" s="1647" t="s">
        <v>2779</v>
      </c>
      <c r="C468" s="1653"/>
      <c r="D468" s="1653"/>
      <c r="E468" s="1653"/>
      <c r="F468" s="1653"/>
      <c r="G468" s="1729">
        <f>'Part IV-A-Uses of Funds'!G32</f>
        <v>0</v>
      </c>
      <c r="H468" s="1729">
        <f>'Part IV-A-Uses of Funds'!H32</f>
        <v>0</v>
      </c>
      <c r="I468" s="1647"/>
      <c r="J468" s="1729">
        <f>'Part IV-A-Uses of Funds'!J32</f>
        <v>0</v>
      </c>
      <c r="K468" s="1729">
        <f>'Part IV-A-Uses of Funds'!K32</f>
        <v>0</v>
      </c>
      <c r="L468" s="1664"/>
      <c r="M468" s="1729">
        <f>'Part IV-A-Uses of Funds'!M32</f>
        <v>0</v>
      </c>
      <c r="N468" s="1729">
        <f>'Part IV-A-Uses of Funds'!N32</f>
        <v>0</v>
      </c>
      <c r="O468" s="1647"/>
      <c r="P468" s="1729">
        <f>'Part IV-A-Uses of Funds'!P32</f>
        <v>0</v>
      </c>
      <c r="Q468" s="1729">
        <f>'Part IV-A-Uses of Funds'!Q32</f>
        <v>0</v>
      </c>
      <c r="R468" s="1647"/>
      <c r="S468" s="1729">
        <f>'Part IV-A-Uses of Funds'!S32</f>
        <v>0</v>
      </c>
      <c r="T468" s="1729">
        <f>'Part IV-A-Uses of Funds'!T32</f>
        <v>0</v>
      </c>
      <c r="U468" s="1653"/>
      <c r="V468" s="1735"/>
      <c r="W468" s="1485">
        <f>'Part IV-A-Uses of Funds'!W32</f>
        <v>0</v>
      </c>
      <c r="X468" s="1485">
        <f>'Part IV-A-Uses of Funds'!X32</f>
        <v>0</v>
      </c>
    </row>
    <row r="469" spans="1:24">
      <c r="A469" s="1647"/>
      <c r="B469" s="1647"/>
      <c r="C469" s="1738"/>
      <c r="D469" s="1738"/>
      <c r="E469" s="1739"/>
      <c r="F469" s="1733" t="s">
        <v>191</v>
      </c>
      <c r="G469" s="1729">
        <f>SUM(G465:H468)</f>
        <v>7728000</v>
      </c>
      <c r="H469" s="1729"/>
      <c r="I469" s="1647"/>
      <c r="J469" s="1729">
        <f>SUM(J465:K468)</f>
        <v>7728000</v>
      </c>
      <c r="K469" s="1729"/>
      <c r="L469" s="1664"/>
      <c r="M469" s="1729">
        <f>SUM(M465:N468)</f>
        <v>0</v>
      </c>
      <c r="N469" s="1729"/>
      <c r="O469" s="1647"/>
      <c r="P469" s="1729">
        <f>SUM(P465:Q468)</f>
        <v>0</v>
      </c>
      <c r="Q469" s="1729"/>
      <c r="R469" s="1647"/>
      <c r="S469" s="1729">
        <f>SUM(S465:T468)</f>
        <v>0</v>
      </c>
      <c r="T469" s="1729"/>
      <c r="U469" s="1647"/>
      <c r="V469" s="1735">
        <f>SUM(V465:V468)</f>
        <v>0</v>
      </c>
      <c r="W469" s="1485"/>
      <c r="X469" s="1485"/>
    </row>
    <row r="470" spans="1:24" ht="13.5">
      <c r="A470" s="1647"/>
      <c r="B470" s="1628" t="s">
        <v>2343</v>
      </c>
      <c r="C470" s="1647"/>
      <c r="D470" s="1698" t="s">
        <v>3731</v>
      </c>
      <c r="E470" s="1698"/>
      <c r="F470" s="1740" t="e">
        <f>SUM(F471:F473)</f>
        <v>#VALUE!</v>
      </c>
      <c r="G470" s="1741" t="str">
        <f>IF(G471&gt;E471,"Proposed Builder Profit exceeds DCA Maximum!!!",IF(G472&gt;E472,"Proposed Builder Overhead exceeds DCA Maximum!!!",IF(G473&gt;E473,"Proposed General Requirements exceeds DCA Maximum!!!",IF(G474&gt;E474,"Proposed Contractor Services amount exceeds DCA Maximum!!!",""))))</f>
        <v/>
      </c>
      <c r="H470" s="1653"/>
      <c r="I470" s="1653"/>
      <c r="J470" s="1664"/>
      <c r="K470" s="1729"/>
      <c r="L470" s="1647"/>
      <c r="M470" s="1664"/>
      <c r="N470" s="1729"/>
      <c r="O470" s="1734" t="str">
        <f>B470</f>
        <v>CONTRACTOR SERVICES</v>
      </c>
      <c r="P470" s="1664"/>
      <c r="Q470" s="1729"/>
      <c r="R470" s="1647"/>
      <c r="S470" s="1664"/>
      <c r="T470" s="1729"/>
      <c r="U470" s="1647"/>
      <c r="V470" s="1735"/>
      <c r="W470" s="1647" t="str">
        <f>B470</f>
        <v>CONTRACTOR SERVICES</v>
      </c>
      <c r="X470" s="1647"/>
    </row>
    <row r="471" spans="1:24" ht="13.5">
      <c r="A471" s="1647"/>
      <c r="B471" s="1647" t="s">
        <v>2344</v>
      </c>
      <c r="C471" s="1647"/>
      <c r="D471" s="1742">
        <f>'DCA Underwriting Assumptions'!$R$73</f>
        <v>0.06</v>
      </c>
      <c r="E471" s="1743">
        <f>D471*(G463+G469)</f>
        <v>589680</v>
      </c>
      <c r="F471" s="1742" t="e">
        <f>IF(($G$27+$G$33)=0,0,G471/($G$27+$G$33))</f>
        <v>#VALUE!</v>
      </c>
      <c r="G471" s="1729">
        <f>'Part IV-A-Uses of Funds'!G35</f>
        <v>589000</v>
      </c>
      <c r="H471" s="1729">
        <f>'Part IV-A-Uses of Funds'!H35</f>
        <v>0</v>
      </c>
      <c r="I471" s="1653"/>
      <c r="J471" s="1729">
        <f>'Part IV-A-Uses of Funds'!J35</f>
        <v>589000</v>
      </c>
      <c r="K471" s="1729">
        <f>'Part IV-A-Uses of Funds'!K35</f>
        <v>0</v>
      </c>
      <c r="L471" s="1664"/>
      <c r="M471" s="1729">
        <f>'Part IV-A-Uses of Funds'!M35</f>
        <v>0</v>
      </c>
      <c r="N471" s="1729">
        <f>'Part IV-A-Uses of Funds'!N35</f>
        <v>0</v>
      </c>
      <c r="O471" s="1647"/>
      <c r="P471" s="1729">
        <f>'Part IV-A-Uses of Funds'!P35</f>
        <v>0</v>
      </c>
      <c r="Q471" s="1729">
        <f>'Part IV-A-Uses of Funds'!Q35</f>
        <v>0</v>
      </c>
      <c r="R471" s="1647"/>
      <c r="S471" s="1729">
        <f>'Part IV-A-Uses of Funds'!S35</f>
        <v>0</v>
      </c>
      <c r="T471" s="1729">
        <f>'Part IV-A-Uses of Funds'!T35</f>
        <v>0</v>
      </c>
      <c r="U471" s="1647"/>
      <c r="V471" s="1735"/>
      <c r="W471" s="1485">
        <f>'Part IV-A-Uses of Funds'!W35</f>
        <v>0</v>
      </c>
      <c r="X471" s="1485">
        <f>'Part IV-A-Uses of Funds'!X35</f>
        <v>0</v>
      </c>
    </row>
    <row r="472" spans="1:24" ht="13.5">
      <c r="A472" s="1647"/>
      <c r="B472" s="1647" t="s">
        <v>2736</v>
      </c>
      <c r="C472" s="1647"/>
      <c r="D472" s="1742">
        <f>'DCA Underwriting Assumptions'!$R$74</f>
        <v>0.02</v>
      </c>
      <c r="E472" s="1743">
        <f>D472*(G463+G469)</f>
        <v>196560</v>
      </c>
      <c r="F472" s="1742" t="e">
        <f>IF(($G$27+$G$33)=0,0,G472/($G$27+$G$33))</f>
        <v>#VALUE!</v>
      </c>
      <c r="G472" s="1729">
        <f>'Part IV-A-Uses of Funds'!G36</f>
        <v>196560</v>
      </c>
      <c r="H472" s="1729">
        <f>'Part IV-A-Uses of Funds'!H36</f>
        <v>0</v>
      </c>
      <c r="I472" s="1653"/>
      <c r="J472" s="1729">
        <f>'Part IV-A-Uses of Funds'!J36</f>
        <v>196560</v>
      </c>
      <c r="K472" s="1729">
        <f>'Part IV-A-Uses of Funds'!K36</f>
        <v>0</v>
      </c>
      <c r="L472" s="1664"/>
      <c r="M472" s="1729">
        <f>'Part IV-A-Uses of Funds'!M36</f>
        <v>0</v>
      </c>
      <c r="N472" s="1729">
        <f>'Part IV-A-Uses of Funds'!N36</f>
        <v>0</v>
      </c>
      <c r="O472" s="1647"/>
      <c r="P472" s="1729">
        <f>'Part IV-A-Uses of Funds'!P36</f>
        <v>0</v>
      </c>
      <c r="Q472" s="1729">
        <f>'Part IV-A-Uses of Funds'!Q36</f>
        <v>0</v>
      </c>
      <c r="R472" s="1647"/>
      <c r="S472" s="1729">
        <f>'Part IV-A-Uses of Funds'!S36</f>
        <v>0</v>
      </c>
      <c r="T472" s="1729">
        <f>'Part IV-A-Uses of Funds'!T36</f>
        <v>0</v>
      </c>
      <c r="U472" s="1647"/>
      <c r="V472" s="1735"/>
      <c r="W472" s="1485">
        <f>'Part IV-A-Uses of Funds'!W36</f>
        <v>0</v>
      </c>
      <c r="X472" s="1485">
        <f>'Part IV-A-Uses of Funds'!X36</f>
        <v>0</v>
      </c>
    </row>
    <row r="473" spans="1:24" ht="13.5">
      <c r="A473" s="1647"/>
      <c r="B473" s="1647" t="s">
        <v>2737</v>
      </c>
      <c r="C473" s="1647"/>
      <c r="D473" s="1742">
        <f>'DCA Underwriting Assumptions'!$R$75</f>
        <v>0.06</v>
      </c>
      <c r="E473" s="1743">
        <f>D473*(G463+G469)</f>
        <v>589680</v>
      </c>
      <c r="F473" s="1742" t="e">
        <f>IF(($G$27+$G$33)=0,0,G473/($G$27+$G$33))</f>
        <v>#VALUE!</v>
      </c>
      <c r="G473" s="1729">
        <f>'Part IV-A-Uses of Funds'!G37</f>
        <v>589000</v>
      </c>
      <c r="H473" s="1729">
        <f>'Part IV-A-Uses of Funds'!H37</f>
        <v>0</v>
      </c>
      <c r="I473" s="1653"/>
      <c r="J473" s="1729">
        <f>'Part IV-A-Uses of Funds'!J37</f>
        <v>589000</v>
      </c>
      <c r="K473" s="1729">
        <f>'Part IV-A-Uses of Funds'!K37</f>
        <v>0</v>
      </c>
      <c r="L473" s="1664"/>
      <c r="M473" s="1729">
        <f>'Part IV-A-Uses of Funds'!M37</f>
        <v>0</v>
      </c>
      <c r="N473" s="1729">
        <f>'Part IV-A-Uses of Funds'!N37</f>
        <v>0</v>
      </c>
      <c r="O473" s="1647"/>
      <c r="P473" s="1729">
        <f>'Part IV-A-Uses of Funds'!P37</f>
        <v>0</v>
      </c>
      <c r="Q473" s="1729">
        <f>'Part IV-A-Uses of Funds'!Q37</f>
        <v>0</v>
      </c>
      <c r="R473" s="1647"/>
      <c r="S473" s="1729">
        <f>'Part IV-A-Uses of Funds'!S37</f>
        <v>0</v>
      </c>
      <c r="T473" s="1729">
        <f>'Part IV-A-Uses of Funds'!T37</f>
        <v>0</v>
      </c>
      <c r="U473" s="1647"/>
      <c r="V473" s="1735"/>
      <c r="W473" s="1485">
        <f>'Part IV-A-Uses of Funds'!W37</f>
        <v>0</v>
      </c>
      <c r="X473" s="1485">
        <f>'Part IV-A-Uses of Funds'!X37</f>
        <v>0</v>
      </c>
    </row>
    <row r="474" spans="1:24" ht="13.5">
      <c r="A474" s="1647"/>
      <c r="B474" s="1652" t="s">
        <v>3732</v>
      </c>
      <c r="C474" s="1647"/>
      <c r="D474" s="1740">
        <f>SUM(D471:D473)</f>
        <v>0.14000000000000001</v>
      </c>
      <c r="E474" s="1744">
        <f>SUM(E471:E473)</f>
        <v>1375920</v>
      </c>
      <c r="F474" s="1733" t="s">
        <v>191</v>
      </c>
      <c r="G474" s="1729">
        <f>SUM(G471:H473)</f>
        <v>1374560</v>
      </c>
      <c r="H474" s="1729"/>
      <c r="I474" s="1647"/>
      <c r="J474" s="1729">
        <f>SUM(J471:K473)</f>
        <v>1374560</v>
      </c>
      <c r="K474" s="1729"/>
      <c r="L474" s="1664"/>
      <c r="M474" s="1729">
        <f>SUM(M471:N473)</f>
        <v>0</v>
      </c>
      <c r="N474" s="1729"/>
      <c r="O474" s="1647"/>
      <c r="P474" s="1729">
        <f>SUM(P471:Q473)</f>
        <v>0</v>
      </c>
      <c r="Q474" s="1729"/>
      <c r="R474" s="1647"/>
      <c r="S474" s="1729">
        <f>SUM(S471:T473)</f>
        <v>0</v>
      </c>
      <c r="T474" s="1729"/>
      <c r="U474" s="1647"/>
      <c r="V474" s="1735">
        <f>SUM(V471:V473)</f>
        <v>0</v>
      </c>
      <c r="W474" s="1485"/>
      <c r="X474" s="1485"/>
    </row>
    <row r="475" spans="1:24">
      <c r="A475" s="1645"/>
      <c r="B475" s="1645"/>
      <c r="C475" s="1645"/>
      <c r="D475" s="1645"/>
      <c r="E475" s="1645"/>
      <c r="F475" s="1645"/>
      <c r="G475" s="1645"/>
      <c r="H475" s="1645"/>
      <c r="I475" s="1645"/>
      <c r="J475" s="1645"/>
      <c r="K475" s="1645"/>
      <c r="L475" s="1645"/>
      <c r="M475" s="1645"/>
      <c r="N475" s="1645"/>
      <c r="O475" s="1645"/>
      <c r="P475" s="1645"/>
      <c r="Q475" s="1645"/>
      <c r="R475" s="1645"/>
      <c r="S475" s="1645"/>
      <c r="T475" s="1645"/>
      <c r="U475" s="1647"/>
      <c r="V475" s="1735"/>
      <c r="W475" s="1647"/>
      <c r="X475" s="1647"/>
    </row>
    <row r="476" spans="1:24">
      <c r="A476" s="1647"/>
      <c r="B476" s="1628" t="s">
        <v>4508</v>
      </c>
      <c r="C476" s="1647"/>
      <c r="D476" s="1647"/>
      <c r="E476" s="1647"/>
      <c r="F476" s="1647"/>
      <c r="G476" s="1647"/>
      <c r="H476" s="1647"/>
      <c r="I476" s="1647"/>
      <c r="J476" s="1664"/>
      <c r="K476" s="1729"/>
      <c r="L476" s="1647"/>
      <c r="M476" s="1664"/>
      <c r="N476" s="1729"/>
      <c r="O476" s="1734" t="str">
        <f>B476</f>
        <v>OTHER CONSTRUCTION HARD COSTS (Non-GC work scope items done by Owner)</v>
      </c>
      <c r="P476" s="1664"/>
      <c r="Q476" s="1729"/>
      <c r="R476" s="1647"/>
      <c r="S476" s="1664"/>
      <c r="T476" s="1729"/>
      <c r="U476" s="1647"/>
      <c r="V476" s="1735"/>
      <c r="W476" s="1647" t="str">
        <f>B476</f>
        <v>OTHER CONSTRUCTION HARD COSTS (Non-GC work scope items done by Owner)</v>
      </c>
      <c r="X476" s="1647"/>
    </row>
    <row r="477" spans="1:24" ht="12.75" customHeight="1">
      <c r="A477" s="1653"/>
      <c r="B477" s="1647" t="s">
        <v>741</v>
      </c>
      <c r="C477" s="1659" t="str">
        <f>'Part IV-A-Uses of Funds'!C41</f>
        <v>&lt;&lt; Enter description here; provide detail &amp; justification in tab Part IV-b &gt;&gt;</v>
      </c>
      <c r="D477" s="1810">
        <f>'Part IV-A-Uses of Funds'!D41</f>
        <v>0</v>
      </c>
      <c r="E477" s="1810">
        <f>'Part IV-A-Uses of Funds'!E41</f>
        <v>0</v>
      </c>
      <c r="F477" s="1810">
        <f>'Part IV-A-Uses of Funds'!F41</f>
        <v>0</v>
      </c>
      <c r="G477" s="1729">
        <f>'Part IV-A-Uses of Funds'!G41</f>
        <v>560128</v>
      </c>
      <c r="H477" s="1729">
        <f>'Part IV-A-Uses of Funds'!H41</f>
        <v>0</v>
      </c>
      <c r="I477" s="1647"/>
      <c r="J477" s="1729">
        <f>'Part IV-A-Uses of Funds'!J41</f>
        <v>560128</v>
      </c>
      <c r="K477" s="1729">
        <f>'Part IV-A-Uses of Funds'!K41</f>
        <v>0</v>
      </c>
      <c r="L477" s="1664"/>
      <c r="M477" s="1729">
        <f>'Part IV-A-Uses of Funds'!M41</f>
        <v>0</v>
      </c>
      <c r="N477" s="1729">
        <f>'Part IV-A-Uses of Funds'!N41</f>
        <v>0</v>
      </c>
      <c r="O477" s="1647"/>
      <c r="P477" s="1729">
        <f>'Part IV-A-Uses of Funds'!P41</f>
        <v>0</v>
      </c>
      <c r="Q477" s="1729">
        <f>'Part IV-A-Uses of Funds'!Q41</f>
        <v>0</v>
      </c>
      <c r="R477" s="1647"/>
      <c r="S477" s="1729">
        <f>'Part IV-A-Uses of Funds'!S41</f>
        <v>0</v>
      </c>
      <c r="T477" s="1729">
        <f>'Part IV-A-Uses of Funds'!T41</f>
        <v>0</v>
      </c>
      <c r="U477" s="1653"/>
      <c r="V477" s="1735"/>
      <c r="W477" s="1485">
        <f>'Part IV-A-Uses of Funds'!W41</f>
        <v>0</v>
      </c>
      <c r="X477" s="1485">
        <f>'Part IV-A-Uses of Funds'!X41</f>
        <v>0</v>
      </c>
    </row>
    <row r="478" spans="1:24">
      <c r="A478" s="1645"/>
      <c r="B478" s="1645"/>
      <c r="C478" s="1645"/>
      <c r="D478" s="1645"/>
      <c r="E478" s="1645"/>
      <c r="F478" s="1645"/>
      <c r="G478" s="1645"/>
      <c r="H478" s="1645"/>
      <c r="I478" s="1645"/>
      <c r="J478" s="1645"/>
      <c r="K478" s="1645"/>
      <c r="L478" s="1645"/>
      <c r="M478" s="1645"/>
      <c r="N478" s="1645"/>
      <c r="O478" s="1645"/>
      <c r="P478" s="1645"/>
      <c r="Q478" s="1645"/>
      <c r="R478" s="1645"/>
      <c r="S478" s="1645"/>
      <c r="T478" s="1645"/>
      <c r="U478" s="1647"/>
      <c r="V478" s="1735"/>
      <c r="W478" s="1485">
        <f>'Part IV-A-Uses of Funds'!W42</f>
        <v>0</v>
      </c>
      <c r="X478" s="1485">
        <f>'Part IV-A-Uses of Funds'!X42</f>
        <v>0</v>
      </c>
    </row>
    <row r="479" spans="1:24" ht="12.75" customHeight="1">
      <c r="A479" s="1647"/>
      <c r="B479" s="1745" t="s">
        <v>4509</v>
      </c>
      <c r="C479" s="1746"/>
      <c r="D479" s="1647"/>
      <c r="E479" s="1646" t="s">
        <v>2744</v>
      </c>
      <c r="F479" s="1747">
        <f>B480/'Part VI-Revenues &amp; Expenses'!$O$65</f>
        <v>140032</v>
      </c>
      <c r="G479" s="1748" t="s">
        <v>4510</v>
      </c>
      <c r="H479" s="1647"/>
      <c r="I479" s="1647"/>
      <c r="J479" s="1749">
        <f>B480/'Part VI-Revenues &amp; Expenses'!$O$67</f>
        <v>140032</v>
      </c>
      <c r="K479" s="1749"/>
      <c r="L479" s="1647"/>
      <c r="M479" s="1750" t="s">
        <v>1402</v>
      </c>
      <c r="N479" s="1750"/>
      <c r="O479" s="1647"/>
      <c r="P479" s="1749">
        <f>B480/'Part I-Project Information'!$P$75</f>
        <v>137.24782973956874</v>
      </c>
      <c r="Q479" s="1749"/>
      <c r="R479" s="1647"/>
      <c r="S479" s="1671" t="s">
        <v>2778</v>
      </c>
      <c r="T479" s="1671"/>
      <c r="U479" s="1647"/>
      <c r="V479" s="1735"/>
      <c r="W479" s="1485">
        <f>'Part IV-A-Uses of Funds'!W43</f>
        <v>0</v>
      </c>
      <c r="X479" s="1485">
        <f>'Part IV-A-Uses of Funds'!X43</f>
        <v>0</v>
      </c>
    </row>
    <row r="480" spans="1:24">
      <c r="A480" s="1647"/>
      <c r="B480" s="1751">
        <f>G463+G469+G474+G477</f>
        <v>11762688</v>
      </c>
      <c r="C480" s="1751"/>
      <c r="D480" s="1647"/>
      <c r="E480" s="1646"/>
      <c r="F480" s="1747">
        <f>B480/'Part VI-Revenues &amp; Expenses'!$O$154</f>
        <v>137.24782973956874</v>
      </c>
      <c r="G480" s="1671" t="s">
        <v>4511</v>
      </c>
      <c r="H480" s="1647"/>
      <c r="I480" s="1647"/>
      <c r="J480" s="1749">
        <f>B480/'Part VI-Revenues &amp; Expenses'!$O$156</f>
        <v>137.24782973956874</v>
      </c>
      <c r="K480" s="1749"/>
      <c r="L480" s="1647"/>
      <c r="M480" s="1671" t="s">
        <v>2777</v>
      </c>
      <c r="N480" s="1671"/>
      <c r="O480" s="1647"/>
      <c r="P480" s="1647"/>
      <c r="Q480" s="1647"/>
      <c r="R480" s="1647"/>
      <c r="S480" s="1647"/>
      <c r="T480" s="1647"/>
      <c r="U480" s="1647"/>
      <c r="V480" s="1735"/>
      <c r="W480" s="1485">
        <f>'Part IV-A-Uses of Funds'!W44</f>
        <v>0</v>
      </c>
      <c r="X480" s="1485">
        <f>'Part IV-A-Uses of Funds'!X44</f>
        <v>0</v>
      </c>
    </row>
    <row r="481" spans="1:24">
      <c r="A481" s="1645"/>
      <c r="B481" s="1645"/>
      <c r="C481" s="1645"/>
      <c r="D481" s="1645"/>
      <c r="E481" s="1645"/>
      <c r="F481" s="1645"/>
      <c r="G481" s="1645"/>
      <c r="H481" s="1645"/>
      <c r="I481" s="1645"/>
      <c r="J481" s="1645"/>
      <c r="K481" s="1645"/>
      <c r="L481" s="1645"/>
      <c r="M481" s="1645"/>
      <c r="N481" s="1645"/>
      <c r="O481" s="1645"/>
      <c r="P481" s="1645"/>
      <c r="Q481" s="1645"/>
      <c r="R481" s="1645"/>
      <c r="S481" s="1645"/>
      <c r="T481" s="1645"/>
      <c r="U481" s="1647"/>
      <c r="V481" s="1735"/>
      <c r="W481" s="1647"/>
      <c r="X481" s="1647"/>
    </row>
    <row r="482" spans="1:24">
      <c r="A482" s="1647"/>
      <c r="B482" s="1628" t="s">
        <v>1126</v>
      </c>
      <c r="C482" s="1647"/>
      <c r="D482" s="1647"/>
      <c r="E482" s="1647"/>
      <c r="F482" s="1752" t="s">
        <v>4192</v>
      </c>
      <c r="G482" s="1647"/>
      <c r="H482" s="1647"/>
      <c r="I482" s="1647"/>
      <c r="J482" s="1664"/>
      <c r="K482" s="1729"/>
      <c r="L482" s="1647"/>
      <c r="M482" s="1664"/>
      <c r="N482" s="1729"/>
      <c r="O482" s="1734" t="str">
        <f>B482</f>
        <v>CONSTRUCTION CONTINGENCY</v>
      </c>
      <c r="P482" s="1664"/>
      <c r="Q482" s="1729"/>
      <c r="R482" s="1647"/>
      <c r="S482" s="1664"/>
      <c r="T482" s="1729"/>
      <c r="U482" s="1647"/>
      <c r="V482" s="1735"/>
      <c r="W482" s="1647" t="str">
        <f>B482</f>
        <v>CONSTRUCTION CONTINGENCY</v>
      </c>
      <c r="X482" s="1647"/>
    </row>
    <row r="483" spans="1:24" ht="13.5">
      <c r="A483" s="1653"/>
      <c r="B483" s="1647" t="s">
        <v>1961</v>
      </c>
      <c r="C483" s="1653"/>
      <c r="D483" s="1753" t="s">
        <v>4191</v>
      </c>
      <c r="E483" s="175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588134.40000000002</v>
      </c>
      <c r="F483" s="1755">
        <f>G483/B480</f>
        <v>0</v>
      </c>
      <c r="G483" s="1729">
        <f>'Part IV-A-Uses of Funds'!G47</f>
        <v>0</v>
      </c>
      <c r="H483" s="1729">
        <f>'Part IV-A-Uses of Funds'!H47</f>
        <v>0</v>
      </c>
      <c r="I483" s="1647"/>
      <c r="J483" s="1729">
        <f>'Part IV-A-Uses of Funds'!J47</f>
        <v>0</v>
      </c>
      <c r="K483" s="1729">
        <f>'Part IV-A-Uses of Funds'!K47</f>
        <v>0</v>
      </c>
      <c r="L483" s="1664"/>
      <c r="M483" s="1729">
        <f>'Part IV-A-Uses of Funds'!M47</f>
        <v>0</v>
      </c>
      <c r="N483" s="1729">
        <f>'Part IV-A-Uses of Funds'!N47</f>
        <v>0</v>
      </c>
      <c r="O483" s="1647"/>
      <c r="P483" s="1729">
        <f>'Part IV-A-Uses of Funds'!P47</f>
        <v>0</v>
      </c>
      <c r="Q483" s="1729">
        <f>'Part IV-A-Uses of Funds'!Q47</f>
        <v>0</v>
      </c>
      <c r="R483" s="1647"/>
      <c r="S483" s="1729">
        <f>'Part IV-A-Uses of Funds'!S47</f>
        <v>0</v>
      </c>
      <c r="T483" s="1729">
        <f>'Part IV-A-Uses of Funds'!T47</f>
        <v>0</v>
      </c>
      <c r="U483" s="1653"/>
      <c r="V483" s="1735"/>
      <c r="W483" s="1485">
        <f>'Part IV-A-Uses of Funds'!W47</f>
        <v>0</v>
      </c>
      <c r="X483" s="1485">
        <f>'Part IV-A-Uses of Funds'!X47</f>
        <v>0</v>
      </c>
    </row>
    <row r="484" spans="1:24">
      <c r="A484" s="1645"/>
      <c r="B484" s="1645"/>
      <c r="C484" s="1645"/>
      <c r="D484" s="1645"/>
      <c r="E484" s="1645"/>
      <c r="F484" s="1645"/>
      <c r="G484" s="1645"/>
      <c r="H484" s="1645"/>
      <c r="I484" s="1645"/>
      <c r="J484" s="1645"/>
      <c r="K484" s="1645"/>
      <c r="L484" s="1645"/>
      <c r="M484" s="1645"/>
      <c r="N484" s="1645"/>
      <c r="O484" s="1645"/>
      <c r="P484" s="1645"/>
      <c r="Q484" s="1645"/>
      <c r="R484" s="1645"/>
      <c r="S484" s="1645"/>
      <c r="T484" s="1645"/>
      <c r="U484" s="1647"/>
      <c r="V484" s="1735"/>
      <c r="W484" s="1647"/>
      <c r="X484" s="1647"/>
    </row>
    <row r="485" spans="1:24" ht="17.25" customHeight="1">
      <c r="A485" s="1728" t="s">
        <v>616</v>
      </c>
      <c r="B485" s="1728" t="s">
        <v>4512</v>
      </c>
      <c r="C485" s="1647"/>
      <c r="D485" s="1647"/>
      <c r="E485" s="1647"/>
      <c r="F485" s="1647"/>
      <c r="G485" s="1647"/>
      <c r="H485" s="1647"/>
      <c r="I485" s="1647"/>
      <c r="J485" s="1646" t="s">
        <v>271</v>
      </c>
      <c r="K485" s="1646"/>
      <c r="L485" s="1729"/>
      <c r="M485" s="1730" t="s">
        <v>489</v>
      </c>
      <c r="N485" s="1730"/>
      <c r="O485" s="1647"/>
      <c r="P485" s="1646" t="s">
        <v>272</v>
      </c>
      <c r="Q485" s="1646"/>
      <c r="R485" s="1647"/>
      <c r="S485" s="1646" t="s">
        <v>273</v>
      </c>
      <c r="T485" s="1646"/>
      <c r="U485" s="1647"/>
      <c r="V485" s="1735"/>
      <c r="W485" s="1731" t="str">
        <f>B485</f>
        <v>DEVELOPMENT BUDGET (cont'd)</v>
      </c>
      <c r="X485" s="1647"/>
    </row>
    <row r="486" spans="1:24">
      <c r="A486" s="1647"/>
      <c r="B486" s="1647"/>
      <c r="C486" s="1647"/>
      <c r="D486" s="1647"/>
      <c r="E486" s="1647"/>
      <c r="F486" s="1647"/>
      <c r="G486" s="1628" t="s">
        <v>101</v>
      </c>
      <c r="H486" s="1628"/>
      <c r="I486" s="1647"/>
      <c r="J486" s="1646"/>
      <c r="K486" s="1646"/>
      <c r="L486" s="1729"/>
      <c r="M486" s="1730"/>
      <c r="N486" s="1730"/>
      <c r="O486" s="1647"/>
      <c r="P486" s="1646"/>
      <c r="Q486" s="1646"/>
      <c r="R486" s="1647"/>
      <c r="S486" s="1646"/>
      <c r="T486" s="1646"/>
      <c r="U486" s="1647"/>
      <c r="V486" s="1735"/>
      <c r="W486" s="1683" t="s">
        <v>2683</v>
      </c>
      <c r="X486" s="1683"/>
    </row>
    <row r="487" spans="1:24">
      <c r="A487" s="1647"/>
      <c r="B487" s="1628" t="s">
        <v>722</v>
      </c>
      <c r="C487" s="1647"/>
      <c r="D487" s="1647"/>
      <c r="E487" s="1647"/>
      <c r="F487" s="1647"/>
      <c r="G487" s="1647"/>
      <c r="H487" s="1647"/>
      <c r="I487" s="1647"/>
      <c r="J487" s="1664"/>
      <c r="K487" s="1729"/>
      <c r="L487" s="1647"/>
      <c r="M487" s="1664"/>
      <c r="N487" s="1729"/>
      <c r="O487" s="1734" t="str">
        <f>B487</f>
        <v>CONSTRUCTION PERIOD FINANCING</v>
      </c>
      <c r="P487" s="1664"/>
      <c r="Q487" s="1729"/>
      <c r="R487" s="1647"/>
      <c r="S487" s="1664"/>
      <c r="T487" s="1729"/>
      <c r="U487" s="1647"/>
      <c r="V487" s="1735"/>
      <c r="W487" s="1647" t="str">
        <f>B487</f>
        <v>CONSTRUCTION PERIOD FINANCING</v>
      </c>
      <c r="X487" s="1647"/>
    </row>
    <row r="488" spans="1:24">
      <c r="A488" s="1647"/>
      <c r="B488" s="1647" t="s">
        <v>3733</v>
      </c>
      <c r="C488" s="1647"/>
      <c r="D488" s="1647"/>
      <c r="E488" s="1647"/>
      <c r="F488" s="1647"/>
      <c r="G488" s="1729">
        <f>'Part IV-A-Uses of Funds'!G52</f>
        <v>0</v>
      </c>
      <c r="H488" s="1729">
        <f>'Part IV-A-Uses of Funds'!H52</f>
        <v>0</v>
      </c>
      <c r="I488" s="1647"/>
      <c r="J488" s="1729">
        <f>'Part IV-A-Uses of Funds'!J52</f>
        <v>0</v>
      </c>
      <c r="K488" s="1729">
        <f>'Part IV-A-Uses of Funds'!K52</f>
        <v>0</v>
      </c>
      <c r="L488" s="1664"/>
      <c r="M488" s="1729">
        <f>'Part IV-A-Uses of Funds'!M52</f>
        <v>0</v>
      </c>
      <c r="N488" s="1729">
        <f>'Part IV-A-Uses of Funds'!N52</f>
        <v>0</v>
      </c>
      <c r="O488" s="1647"/>
      <c r="P488" s="1729">
        <f>'Part IV-A-Uses of Funds'!P52</f>
        <v>0</v>
      </c>
      <c r="Q488" s="1729">
        <f>'Part IV-A-Uses of Funds'!Q52</f>
        <v>0</v>
      </c>
      <c r="R488" s="1647"/>
      <c r="S488" s="1729">
        <f>'Part IV-A-Uses of Funds'!S52</f>
        <v>0</v>
      </c>
      <c r="T488" s="1729">
        <f>'Part IV-A-Uses of Funds'!T52</f>
        <v>0</v>
      </c>
      <c r="U488" s="1647"/>
      <c r="V488" s="1735"/>
      <c r="W488" s="1485"/>
      <c r="X488" s="1485"/>
    </row>
    <row r="489" spans="1:24">
      <c r="A489" s="1647"/>
      <c r="B489" s="1647" t="s">
        <v>3734</v>
      </c>
      <c r="C489" s="1647"/>
      <c r="D489" s="1647"/>
      <c r="E489" s="1647"/>
      <c r="F489" s="1647"/>
      <c r="G489" s="1729">
        <f>'Part IV-A-Uses of Funds'!G53</f>
        <v>0</v>
      </c>
      <c r="H489" s="1729">
        <f>'Part IV-A-Uses of Funds'!H53</f>
        <v>0</v>
      </c>
      <c r="I489" s="1647"/>
      <c r="J489" s="1729">
        <f>'Part IV-A-Uses of Funds'!J53</f>
        <v>0</v>
      </c>
      <c r="K489" s="1729">
        <f>'Part IV-A-Uses of Funds'!K53</f>
        <v>0</v>
      </c>
      <c r="L489" s="1664"/>
      <c r="M489" s="1729">
        <f>'Part IV-A-Uses of Funds'!M53</f>
        <v>0</v>
      </c>
      <c r="N489" s="1729">
        <f>'Part IV-A-Uses of Funds'!N53</f>
        <v>0</v>
      </c>
      <c r="O489" s="1647"/>
      <c r="P489" s="1729">
        <f>'Part IV-A-Uses of Funds'!P53</f>
        <v>0</v>
      </c>
      <c r="Q489" s="1729">
        <f>'Part IV-A-Uses of Funds'!Q53</f>
        <v>0</v>
      </c>
      <c r="R489" s="1647"/>
      <c r="S489" s="1729">
        <f>'Part IV-A-Uses of Funds'!S53</f>
        <v>0</v>
      </c>
      <c r="T489" s="1729">
        <f>'Part IV-A-Uses of Funds'!T53</f>
        <v>0</v>
      </c>
      <c r="U489" s="1647"/>
      <c r="V489" s="1735"/>
      <c r="W489" s="1485"/>
      <c r="X489" s="1485"/>
    </row>
    <row r="490" spans="1:24">
      <c r="A490" s="1647"/>
      <c r="B490" s="1647" t="s">
        <v>2346</v>
      </c>
      <c r="C490" s="1647"/>
      <c r="D490" s="1647"/>
      <c r="E490" s="1647"/>
      <c r="F490" s="1647"/>
      <c r="G490" s="1729">
        <f>'Part IV-A-Uses of Funds'!G54</f>
        <v>125000</v>
      </c>
      <c r="H490" s="1729">
        <f>'Part IV-A-Uses of Funds'!H54</f>
        <v>0</v>
      </c>
      <c r="I490" s="1647"/>
      <c r="J490" s="1729">
        <f>'Part IV-A-Uses of Funds'!J54</f>
        <v>125000</v>
      </c>
      <c r="K490" s="1729">
        <f>'Part IV-A-Uses of Funds'!K54</f>
        <v>0</v>
      </c>
      <c r="L490" s="1664"/>
      <c r="M490" s="1729">
        <f>'Part IV-A-Uses of Funds'!M54</f>
        <v>0</v>
      </c>
      <c r="N490" s="1729">
        <f>'Part IV-A-Uses of Funds'!N54</f>
        <v>0</v>
      </c>
      <c r="O490" s="1647"/>
      <c r="P490" s="1729">
        <f>'Part IV-A-Uses of Funds'!P54</f>
        <v>0</v>
      </c>
      <c r="Q490" s="1729">
        <f>'Part IV-A-Uses of Funds'!Q54</f>
        <v>0</v>
      </c>
      <c r="R490" s="1647"/>
      <c r="S490" s="1729">
        <f>'Part IV-A-Uses of Funds'!S54</f>
        <v>0</v>
      </c>
      <c r="T490" s="1729">
        <f>'Part IV-A-Uses of Funds'!T54</f>
        <v>0</v>
      </c>
      <c r="U490" s="1647"/>
      <c r="V490" s="1735"/>
      <c r="W490" s="1485"/>
      <c r="X490" s="1485"/>
    </row>
    <row r="491" spans="1:24">
      <c r="A491" s="1647"/>
      <c r="B491" s="1647" t="s">
        <v>2347</v>
      </c>
      <c r="C491" s="1647"/>
      <c r="D491" s="1647"/>
      <c r="E491" s="1647"/>
      <c r="F491" s="1647"/>
      <c r="G491" s="1729">
        <f>'Part IV-A-Uses of Funds'!G55</f>
        <v>350000</v>
      </c>
      <c r="H491" s="1729">
        <f>'Part IV-A-Uses of Funds'!H55</f>
        <v>0</v>
      </c>
      <c r="I491" s="1647"/>
      <c r="J491" s="1729">
        <f>'Part IV-A-Uses of Funds'!J55</f>
        <v>350000</v>
      </c>
      <c r="K491" s="1729">
        <f>'Part IV-A-Uses of Funds'!K55</f>
        <v>0</v>
      </c>
      <c r="L491" s="1664"/>
      <c r="M491" s="1729">
        <f>'Part IV-A-Uses of Funds'!M55</f>
        <v>0</v>
      </c>
      <c r="N491" s="1729">
        <f>'Part IV-A-Uses of Funds'!N55</f>
        <v>0</v>
      </c>
      <c r="O491" s="1647"/>
      <c r="P491" s="1729">
        <f>'Part IV-A-Uses of Funds'!P55</f>
        <v>0</v>
      </c>
      <c r="Q491" s="1729">
        <f>'Part IV-A-Uses of Funds'!Q55</f>
        <v>0</v>
      </c>
      <c r="R491" s="1647"/>
      <c r="S491" s="1729">
        <f>'Part IV-A-Uses of Funds'!S55</f>
        <v>0</v>
      </c>
      <c r="T491" s="1729">
        <f>'Part IV-A-Uses of Funds'!T55</f>
        <v>0</v>
      </c>
      <c r="U491" s="1647"/>
      <c r="V491" s="1735"/>
      <c r="W491" s="1485"/>
      <c r="X491" s="1485"/>
    </row>
    <row r="492" spans="1:24">
      <c r="A492" s="1647"/>
      <c r="B492" s="1647" t="s">
        <v>2348</v>
      </c>
      <c r="C492" s="1647"/>
      <c r="D492" s="1647"/>
      <c r="E492" s="1647"/>
      <c r="F492" s="1647"/>
      <c r="G492" s="1729">
        <f>'Part IV-A-Uses of Funds'!G56</f>
        <v>65000</v>
      </c>
      <c r="H492" s="1729">
        <f>'Part IV-A-Uses of Funds'!H56</f>
        <v>0</v>
      </c>
      <c r="I492" s="1647"/>
      <c r="J492" s="1729">
        <f>'Part IV-A-Uses of Funds'!J56</f>
        <v>65000</v>
      </c>
      <c r="K492" s="1729">
        <f>'Part IV-A-Uses of Funds'!K56</f>
        <v>0</v>
      </c>
      <c r="L492" s="1664"/>
      <c r="M492" s="1729">
        <f>'Part IV-A-Uses of Funds'!M56</f>
        <v>0</v>
      </c>
      <c r="N492" s="1729">
        <f>'Part IV-A-Uses of Funds'!N56</f>
        <v>0</v>
      </c>
      <c r="O492" s="1647"/>
      <c r="P492" s="1729">
        <f>'Part IV-A-Uses of Funds'!P56</f>
        <v>0</v>
      </c>
      <c r="Q492" s="1729">
        <f>'Part IV-A-Uses of Funds'!Q56</f>
        <v>0</v>
      </c>
      <c r="R492" s="1647"/>
      <c r="S492" s="1729">
        <f>'Part IV-A-Uses of Funds'!S56</f>
        <v>0</v>
      </c>
      <c r="T492" s="1729">
        <f>'Part IV-A-Uses of Funds'!T56</f>
        <v>0</v>
      </c>
      <c r="U492" s="1647"/>
      <c r="V492" s="1735"/>
      <c r="W492" s="1485"/>
      <c r="X492" s="1485"/>
    </row>
    <row r="493" spans="1:24">
      <c r="A493" s="1647"/>
      <c r="B493" s="1647" t="s">
        <v>2687</v>
      </c>
      <c r="C493" s="1647"/>
      <c r="D493" s="1647"/>
      <c r="E493" s="1647"/>
      <c r="F493" s="1647"/>
      <c r="G493" s="1729">
        <f>'Part IV-A-Uses of Funds'!G57</f>
        <v>36000</v>
      </c>
      <c r="H493" s="1729">
        <f>'Part IV-A-Uses of Funds'!H57</f>
        <v>0</v>
      </c>
      <c r="I493" s="1647"/>
      <c r="J493" s="1729">
        <f>'Part IV-A-Uses of Funds'!J57</f>
        <v>36000</v>
      </c>
      <c r="K493" s="1729">
        <f>'Part IV-A-Uses of Funds'!K57</f>
        <v>0</v>
      </c>
      <c r="L493" s="1664"/>
      <c r="M493" s="1729">
        <f>'Part IV-A-Uses of Funds'!M57</f>
        <v>0</v>
      </c>
      <c r="N493" s="1729">
        <f>'Part IV-A-Uses of Funds'!N57</f>
        <v>0</v>
      </c>
      <c r="O493" s="1647"/>
      <c r="P493" s="1729">
        <f>'Part IV-A-Uses of Funds'!P57</f>
        <v>0</v>
      </c>
      <c r="Q493" s="1729">
        <f>'Part IV-A-Uses of Funds'!Q57</f>
        <v>0</v>
      </c>
      <c r="R493" s="1647"/>
      <c r="S493" s="1729">
        <f>'Part IV-A-Uses of Funds'!S57</f>
        <v>0</v>
      </c>
      <c r="T493" s="1729">
        <f>'Part IV-A-Uses of Funds'!T57</f>
        <v>0</v>
      </c>
      <c r="U493" s="1647"/>
      <c r="V493" s="1735"/>
      <c r="W493" s="1485"/>
      <c r="X493" s="1485"/>
    </row>
    <row r="494" spans="1:24">
      <c r="A494" s="1647"/>
      <c r="B494" s="1647" t="s">
        <v>723</v>
      </c>
      <c r="C494" s="1647"/>
      <c r="D494" s="1647"/>
      <c r="E494" s="1647"/>
      <c r="F494" s="1647"/>
      <c r="G494" s="1729">
        <f>'Part IV-A-Uses of Funds'!G58</f>
        <v>10000</v>
      </c>
      <c r="H494" s="1729">
        <f>'Part IV-A-Uses of Funds'!H58</f>
        <v>0</v>
      </c>
      <c r="I494" s="1647"/>
      <c r="J494" s="1729">
        <f>'Part IV-A-Uses of Funds'!J58</f>
        <v>10000</v>
      </c>
      <c r="K494" s="1729">
        <f>'Part IV-A-Uses of Funds'!K58</f>
        <v>0</v>
      </c>
      <c r="L494" s="1664"/>
      <c r="M494" s="1729">
        <f>'Part IV-A-Uses of Funds'!M58</f>
        <v>0</v>
      </c>
      <c r="N494" s="1729">
        <f>'Part IV-A-Uses of Funds'!N58</f>
        <v>0</v>
      </c>
      <c r="O494" s="1647"/>
      <c r="P494" s="1729">
        <f>'Part IV-A-Uses of Funds'!P58</f>
        <v>0</v>
      </c>
      <c r="Q494" s="1729">
        <f>'Part IV-A-Uses of Funds'!Q58</f>
        <v>0</v>
      </c>
      <c r="R494" s="1647"/>
      <c r="S494" s="1729">
        <f>'Part IV-A-Uses of Funds'!S58</f>
        <v>0</v>
      </c>
      <c r="T494" s="1729">
        <f>'Part IV-A-Uses of Funds'!T58</f>
        <v>0</v>
      </c>
      <c r="U494" s="1647"/>
      <c r="V494" s="1735"/>
      <c r="W494" s="1485"/>
      <c r="X494" s="1485"/>
    </row>
    <row r="495" spans="1:24">
      <c r="A495" s="1647"/>
      <c r="B495" s="1647" t="s">
        <v>2349</v>
      </c>
      <c r="C495" s="1647"/>
      <c r="D495" s="1647"/>
      <c r="E495" s="1647"/>
      <c r="F495" s="1647"/>
      <c r="G495" s="1729">
        <f>'Part IV-A-Uses of Funds'!G59</f>
        <v>75000</v>
      </c>
      <c r="H495" s="1729">
        <f>'Part IV-A-Uses of Funds'!H59</f>
        <v>0</v>
      </c>
      <c r="I495" s="1647"/>
      <c r="J495" s="1729">
        <f>'Part IV-A-Uses of Funds'!J59</f>
        <v>75000</v>
      </c>
      <c r="K495" s="1729">
        <f>'Part IV-A-Uses of Funds'!K59</f>
        <v>0</v>
      </c>
      <c r="L495" s="1664"/>
      <c r="M495" s="1729">
        <f>'Part IV-A-Uses of Funds'!M59</f>
        <v>0</v>
      </c>
      <c r="N495" s="1729">
        <f>'Part IV-A-Uses of Funds'!N59</f>
        <v>0</v>
      </c>
      <c r="O495" s="1647"/>
      <c r="P495" s="1729">
        <f>'Part IV-A-Uses of Funds'!P59</f>
        <v>0</v>
      </c>
      <c r="Q495" s="1729">
        <f>'Part IV-A-Uses of Funds'!Q59</f>
        <v>0</v>
      </c>
      <c r="R495" s="1647"/>
      <c r="S495" s="1729">
        <f>'Part IV-A-Uses of Funds'!S59</f>
        <v>0</v>
      </c>
      <c r="T495" s="1729">
        <f>'Part IV-A-Uses of Funds'!T59</f>
        <v>0</v>
      </c>
      <c r="U495" s="1647"/>
      <c r="V495" s="1735"/>
      <c r="W495" s="1485"/>
      <c r="X495" s="1485"/>
    </row>
    <row r="496" spans="1:24">
      <c r="A496" s="1647"/>
      <c r="B496" s="1647" t="s">
        <v>1276</v>
      </c>
      <c r="C496" s="1647"/>
      <c r="D496" s="1647"/>
      <c r="E496" s="1647"/>
      <c r="F496" s="1647"/>
      <c r="G496" s="1729">
        <f>'Part IV-A-Uses of Funds'!G60</f>
        <v>35000</v>
      </c>
      <c r="H496" s="1729">
        <f>'Part IV-A-Uses of Funds'!H60</f>
        <v>0</v>
      </c>
      <c r="I496" s="1647"/>
      <c r="J496" s="1729">
        <f>'Part IV-A-Uses of Funds'!J60</f>
        <v>35000</v>
      </c>
      <c r="K496" s="1729">
        <f>'Part IV-A-Uses of Funds'!K60</f>
        <v>0</v>
      </c>
      <c r="L496" s="1664"/>
      <c r="M496" s="1729">
        <f>'Part IV-A-Uses of Funds'!M60</f>
        <v>0</v>
      </c>
      <c r="N496" s="1729">
        <f>'Part IV-A-Uses of Funds'!N60</f>
        <v>0</v>
      </c>
      <c r="O496" s="1647"/>
      <c r="P496" s="1729">
        <f>'Part IV-A-Uses of Funds'!P60</f>
        <v>0</v>
      </c>
      <c r="Q496" s="1729">
        <f>'Part IV-A-Uses of Funds'!Q60</f>
        <v>0</v>
      </c>
      <c r="R496" s="1647"/>
      <c r="S496" s="1729">
        <f>'Part IV-A-Uses of Funds'!S60</f>
        <v>0</v>
      </c>
      <c r="T496" s="1729">
        <f>'Part IV-A-Uses of Funds'!T60</f>
        <v>0</v>
      </c>
      <c r="U496" s="1647"/>
      <c r="V496" s="1735"/>
      <c r="W496" s="1485"/>
      <c r="X496" s="1485"/>
    </row>
    <row r="497" spans="1:24">
      <c r="A497" s="1647"/>
      <c r="B497" s="1756" t="s">
        <v>1153</v>
      </c>
      <c r="C497" s="1647"/>
      <c r="D497" s="1755"/>
      <c r="E497" s="1755"/>
      <c r="F497" s="1757"/>
      <c r="G497" s="1729">
        <f>'Part IV-A-Uses of Funds'!G61</f>
        <v>75000</v>
      </c>
      <c r="H497" s="1729">
        <f>'Part IV-A-Uses of Funds'!H61</f>
        <v>0</v>
      </c>
      <c r="I497" s="1653"/>
      <c r="J497" s="1729">
        <f>'Part IV-A-Uses of Funds'!J61</f>
        <v>75000</v>
      </c>
      <c r="K497" s="1729">
        <f>'Part IV-A-Uses of Funds'!K61</f>
        <v>0</v>
      </c>
      <c r="L497" s="1664"/>
      <c r="M497" s="1729">
        <f>'Part IV-A-Uses of Funds'!M61</f>
        <v>0</v>
      </c>
      <c r="N497" s="1729">
        <f>'Part IV-A-Uses of Funds'!N61</f>
        <v>0</v>
      </c>
      <c r="O497" s="1647"/>
      <c r="P497" s="1729">
        <f>'Part IV-A-Uses of Funds'!P61</f>
        <v>0</v>
      </c>
      <c r="Q497" s="1729">
        <f>'Part IV-A-Uses of Funds'!Q61</f>
        <v>0</v>
      </c>
      <c r="R497" s="1647"/>
      <c r="S497" s="1729">
        <f>'Part IV-A-Uses of Funds'!S61</f>
        <v>0</v>
      </c>
      <c r="T497" s="1729">
        <f>'Part IV-A-Uses of Funds'!T61</f>
        <v>0</v>
      </c>
      <c r="U497" s="1647"/>
      <c r="V497" s="1735"/>
      <c r="W497" s="1485"/>
      <c r="X497" s="1485"/>
    </row>
    <row r="498" spans="1:24" ht="15.75" customHeight="1">
      <c r="A498" s="1732" t="str">
        <f>IF(AND(G498&gt;0,OR(C498="",C498="&lt;Enter detailed description here; use Comments section if needed&gt;")),"X","")</f>
        <v/>
      </c>
      <c r="B498" s="1647" t="s">
        <v>741</v>
      </c>
      <c r="C498" s="1659" t="str">
        <f>'Part IV-A-Uses of Funds'!C62</f>
        <v>Tax Exempt Bond Interest Expense</v>
      </c>
      <c r="D498" s="1659">
        <f>'Part IV-A-Uses of Funds'!D62</f>
        <v>0</v>
      </c>
      <c r="E498" s="1659">
        <f>'Part IV-A-Uses of Funds'!E62</f>
        <v>0</v>
      </c>
      <c r="F498" s="1659">
        <f>'Part IV-A-Uses of Funds'!F62</f>
        <v>0</v>
      </c>
      <c r="G498" s="1729">
        <f>'Part IV-A-Uses of Funds'!G62</f>
        <v>370000</v>
      </c>
      <c r="H498" s="1729">
        <f>'Part IV-A-Uses of Funds'!H62</f>
        <v>0</v>
      </c>
      <c r="I498" s="1647"/>
      <c r="J498" s="1729">
        <f>'Part IV-A-Uses of Funds'!J62</f>
        <v>370000</v>
      </c>
      <c r="K498" s="1729">
        <f>'Part IV-A-Uses of Funds'!K62</f>
        <v>0</v>
      </c>
      <c r="L498" s="1664"/>
      <c r="M498" s="1729">
        <f>'Part IV-A-Uses of Funds'!M62</f>
        <v>0</v>
      </c>
      <c r="N498" s="1729">
        <f>'Part IV-A-Uses of Funds'!N62</f>
        <v>0</v>
      </c>
      <c r="O498" s="1647"/>
      <c r="P498" s="1729">
        <f>'Part IV-A-Uses of Funds'!P62</f>
        <v>0</v>
      </c>
      <c r="Q498" s="1729">
        <f>'Part IV-A-Uses of Funds'!Q62</f>
        <v>0</v>
      </c>
      <c r="R498" s="1647"/>
      <c r="S498" s="1729">
        <f>'Part IV-A-Uses of Funds'!S62</f>
        <v>0</v>
      </c>
      <c r="T498" s="1729">
        <f>'Part IV-A-Uses of Funds'!T62</f>
        <v>0</v>
      </c>
      <c r="U498" s="1648" t="str">
        <f>IF(AND(G498&gt;0,OR(C498="",C498="&lt;Enter detailed description here; use Comments section if needed&gt;")),"NO DESCRIPTION PROVIDED - please enter detailed description in Other box at left; use Comments section below if needed.","")</f>
        <v/>
      </c>
      <c r="V498" s="1735"/>
      <c r="W498" s="1485"/>
      <c r="X498" s="1485"/>
    </row>
    <row r="499" spans="1:24" ht="16.5" customHeight="1">
      <c r="A499" s="1732" t="str">
        <f>IF(AND(G499&gt;0,OR(C499="",C499="&lt;Enter detailed description here; use Comments section if needed&gt;")),"X","")</f>
        <v/>
      </c>
      <c r="B499" s="1647" t="s">
        <v>741</v>
      </c>
      <c r="C499" s="1659" t="str">
        <f>'Part IV-A-Uses of Funds'!C63</f>
        <v>&lt;&lt; Enter description here; provide detail &amp; justification in tab Part IV-b &gt;&gt;</v>
      </c>
      <c r="D499" s="1659">
        <f>'Part IV-A-Uses of Funds'!D63</f>
        <v>0</v>
      </c>
      <c r="E499" s="1659">
        <f>'Part IV-A-Uses of Funds'!E63</f>
        <v>0</v>
      </c>
      <c r="F499" s="1659">
        <f>'Part IV-A-Uses of Funds'!F63</f>
        <v>0</v>
      </c>
      <c r="G499" s="1729">
        <f>'Part IV-A-Uses of Funds'!G63</f>
        <v>0</v>
      </c>
      <c r="H499" s="1729">
        <f>'Part IV-A-Uses of Funds'!H63</f>
        <v>0</v>
      </c>
      <c r="I499" s="1647"/>
      <c r="J499" s="1729">
        <f>'Part IV-A-Uses of Funds'!J63</f>
        <v>0</v>
      </c>
      <c r="K499" s="1729">
        <f>'Part IV-A-Uses of Funds'!K63</f>
        <v>0</v>
      </c>
      <c r="L499" s="1664"/>
      <c r="M499" s="1729">
        <f>'Part IV-A-Uses of Funds'!M63</f>
        <v>0</v>
      </c>
      <c r="N499" s="1729">
        <f>'Part IV-A-Uses of Funds'!N63</f>
        <v>0</v>
      </c>
      <c r="O499" s="1647"/>
      <c r="P499" s="1729">
        <f>'Part IV-A-Uses of Funds'!P63</f>
        <v>0</v>
      </c>
      <c r="Q499" s="1729">
        <f>'Part IV-A-Uses of Funds'!Q63</f>
        <v>0</v>
      </c>
      <c r="R499" s="1647"/>
      <c r="S499" s="1729">
        <f>'Part IV-A-Uses of Funds'!S63</f>
        <v>0</v>
      </c>
      <c r="T499" s="1729">
        <f>'Part IV-A-Uses of Funds'!T63</f>
        <v>0</v>
      </c>
      <c r="U499" s="1648" t="str">
        <f>IF(AND(G499&gt;0,OR(C499="",C499="&lt;Enter detailed description here; use Comments section if needed&gt;")),"NO DESCRIPTION PROVIDED - please enter detailed description in Other box at left; use Comments section below if needed.","")</f>
        <v/>
      </c>
      <c r="V499" s="1735"/>
      <c r="W499" s="1485"/>
      <c r="X499" s="1485"/>
    </row>
    <row r="500" spans="1:24">
      <c r="A500" s="1647"/>
      <c r="B500" s="1647"/>
      <c r="C500" s="1647"/>
      <c r="D500" s="1647"/>
      <c r="E500" s="1647"/>
      <c r="F500" s="1733" t="s">
        <v>191</v>
      </c>
      <c r="G500" s="1729">
        <f>SUM(G488:H499)</f>
        <v>1141000</v>
      </c>
      <c r="H500" s="1729"/>
      <c r="I500" s="1647"/>
      <c r="J500" s="1729">
        <f>SUM(J488:K499)</f>
        <v>1141000</v>
      </c>
      <c r="K500" s="1729"/>
      <c r="L500" s="1664"/>
      <c r="M500" s="1729">
        <f>SUM(M488:N499)</f>
        <v>0</v>
      </c>
      <c r="N500" s="1729"/>
      <c r="O500" s="1647"/>
      <c r="P500" s="1729">
        <f>SUM(P488:Q499)</f>
        <v>0</v>
      </c>
      <c r="Q500" s="1729"/>
      <c r="R500" s="1647"/>
      <c r="S500" s="1729">
        <f>SUM(S488:T499)</f>
        <v>0</v>
      </c>
      <c r="T500" s="1729"/>
      <c r="U500" s="1647"/>
      <c r="V500" s="1735">
        <f>SUM(V488:V499)</f>
        <v>0</v>
      </c>
      <c r="W500" s="1485"/>
      <c r="X500" s="1485"/>
    </row>
    <row r="501" spans="1:24">
      <c r="A501" s="1647"/>
      <c r="B501" s="1628" t="s">
        <v>476</v>
      </c>
      <c r="C501" s="1647"/>
      <c r="D501" s="1647"/>
      <c r="E501" s="1647"/>
      <c r="F501" s="1647"/>
      <c r="G501" s="1729"/>
      <c r="H501" s="1729"/>
      <c r="I501" s="1647"/>
      <c r="J501" s="1729"/>
      <c r="K501" s="1729"/>
      <c r="L501" s="1647"/>
      <c r="M501" s="1729"/>
      <c r="N501" s="1729"/>
      <c r="O501" s="1734" t="str">
        <f>B501</f>
        <v>PROFESSIONAL SERVICES</v>
      </c>
      <c r="P501" s="1729"/>
      <c r="Q501" s="1729"/>
      <c r="R501" s="1647"/>
      <c r="S501" s="1729"/>
      <c r="T501" s="1729"/>
      <c r="U501" s="1647"/>
      <c r="V501" s="1735"/>
      <c r="W501" s="1647" t="str">
        <f>B501</f>
        <v>PROFESSIONAL SERVICES</v>
      </c>
      <c r="X501" s="1647"/>
    </row>
    <row r="502" spans="1:24">
      <c r="A502" s="1647"/>
      <c r="B502" s="1647" t="s">
        <v>477</v>
      </c>
      <c r="C502" s="1647"/>
      <c r="D502" s="1647"/>
      <c r="E502" s="1647"/>
      <c r="F502" s="1647"/>
      <c r="G502" s="1729">
        <f>'Part IV-A-Uses of Funds'!G66</f>
        <v>200000</v>
      </c>
      <c r="H502" s="1729">
        <f>'Part IV-A-Uses of Funds'!H66</f>
        <v>0</v>
      </c>
      <c r="I502" s="1647"/>
      <c r="J502" s="1729">
        <f>'Part IV-A-Uses of Funds'!J66</f>
        <v>200000</v>
      </c>
      <c r="K502" s="1729">
        <f>'Part IV-A-Uses of Funds'!K66</f>
        <v>0</v>
      </c>
      <c r="L502" s="1664"/>
      <c r="M502" s="1729">
        <f>'Part IV-A-Uses of Funds'!M66</f>
        <v>0</v>
      </c>
      <c r="N502" s="1729">
        <f>'Part IV-A-Uses of Funds'!N66</f>
        <v>0</v>
      </c>
      <c r="O502" s="1647"/>
      <c r="P502" s="1729">
        <f>'Part IV-A-Uses of Funds'!P66</f>
        <v>0</v>
      </c>
      <c r="Q502" s="1729">
        <f>'Part IV-A-Uses of Funds'!Q66</f>
        <v>0</v>
      </c>
      <c r="R502" s="1647"/>
      <c r="S502" s="1729">
        <f>'Part IV-A-Uses of Funds'!S66</f>
        <v>0</v>
      </c>
      <c r="T502" s="1729">
        <f>'Part IV-A-Uses of Funds'!T66</f>
        <v>0</v>
      </c>
      <c r="U502" s="1647"/>
      <c r="V502" s="1735"/>
      <c r="W502" s="1485"/>
      <c r="X502" s="1485"/>
    </row>
    <row r="503" spans="1:24">
      <c r="A503" s="1647"/>
      <c r="B503" s="1647" t="s">
        <v>478</v>
      </c>
      <c r="C503" s="1647"/>
      <c r="D503" s="1647"/>
      <c r="E503" s="1647"/>
      <c r="F503" s="1647"/>
      <c r="G503" s="1729">
        <f>'Part IV-A-Uses of Funds'!G67</f>
        <v>20000</v>
      </c>
      <c r="H503" s="1729">
        <f>'Part IV-A-Uses of Funds'!H67</f>
        <v>0</v>
      </c>
      <c r="I503" s="1647"/>
      <c r="J503" s="1729">
        <f>'Part IV-A-Uses of Funds'!J67</f>
        <v>20000</v>
      </c>
      <c r="K503" s="1729">
        <f>'Part IV-A-Uses of Funds'!K67</f>
        <v>0</v>
      </c>
      <c r="L503" s="1664"/>
      <c r="M503" s="1729">
        <f>'Part IV-A-Uses of Funds'!M67</f>
        <v>0</v>
      </c>
      <c r="N503" s="1729">
        <f>'Part IV-A-Uses of Funds'!N67</f>
        <v>0</v>
      </c>
      <c r="O503" s="1647"/>
      <c r="P503" s="1729">
        <f>'Part IV-A-Uses of Funds'!P67</f>
        <v>0</v>
      </c>
      <c r="Q503" s="1729">
        <f>'Part IV-A-Uses of Funds'!Q67</f>
        <v>0</v>
      </c>
      <c r="R503" s="1647"/>
      <c r="S503" s="1729">
        <f>'Part IV-A-Uses of Funds'!S67</f>
        <v>0</v>
      </c>
      <c r="T503" s="1729">
        <f>'Part IV-A-Uses of Funds'!T67</f>
        <v>0</v>
      </c>
      <c r="U503" s="1647"/>
      <c r="V503" s="1735"/>
      <c r="W503" s="1485"/>
      <c r="X503" s="1485"/>
    </row>
    <row r="504" spans="1:24">
      <c r="A504" s="1647"/>
      <c r="B504" s="1647" t="s">
        <v>1127</v>
      </c>
      <c r="C504" s="1647"/>
      <c r="D504" s="1657" t="s">
        <v>3850</v>
      </c>
      <c r="E504" s="1758">
        <f>'DCA Underwriting Assumptions'!R516</f>
        <v>0</v>
      </c>
      <c r="F504" s="1628" t="str">
        <f>IF(G504&gt;E504,"CHECK!!!","")</f>
        <v/>
      </c>
      <c r="G504" s="1729">
        <f>'Part IV-A-Uses of Funds'!G68</f>
        <v>0</v>
      </c>
      <c r="H504" s="1729">
        <f>'Part IV-A-Uses of Funds'!H68</f>
        <v>0</v>
      </c>
      <c r="I504" s="1647"/>
      <c r="J504" s="1729">
        <f>'Part IV-A-Uses of Funds'!J68</f>
        <v>0</v>
      </c>
      <c r="K504" s="1729">
        <f>'Part IV-A-Uses of Funds'!K68</f>
        <v>0</v>
      </c>
      <c r="L504" s="1664"/>
      <c r="M504" s="1729">
        <f>'Part IV-A-Uses of Funds'!M68</f>
        <v>0</v>
      </c>
      <c r="N504" s="1729">
        <f>'Part IV-A-Uses of Funds'!N68</f>
        <v>0</v>
      </c>
      <c r="O504" s="1647"/>
      <c r="P504" s="1729">
        <f>'Part IV-A-Uses of Funds'!P68</f>
        <v>0</v>
      </c>
      <c r="Q504" s="1729">
        <f>'Part IV-A-Uses of Funds'!Q68</f>
        <v>0</v>
      </c>
      <c r="R504" s="1647"/>
      <c r="S504" s="1729">
        <f>'Part IV-A-Uses of Funds'!S68</f>
        <v>0</v>
      </c>
      <c r="T504" s="1729">
        <f>'Part IV-A-Uses of Funds'!T68</f>
        <v>0</v>
      </c>
      <c r="U504" s="1647"/>
      <c r="V504" s="1735"/>
      <c r="W504" s="1485"/>
      <c r="X504" s="1485"/>
    </row>
    <row r="505" spans="1:24">
      <c r="A505" s="1647"/>
      <c r="B505" s="1647" t="s">
        <v>1128</v>
      </c>
      <c r="C505" s="1647"/>
      <c r="D505" s="1647"/>
      <c r="E505" s="1647"/>
      <c r="F505" s="1647"/>
      <c r="G505" s="1729">
        <f>'Part IV-A-Uses of Funds'!G69</f>
        <v>0</v>
      </c>
      <c r="H505" s="1729">
        <f>'Part IV-A-Uses of Funds'!H69</f>
        <v>0</v>
      </c>
      <c r="I505" s="1647"/>
      <c r="J505" s="1729">
        <f>'Part IV-A-Uses of Funds'!J69</f>
        <v>0</v>
      </c>
      <c r="K505" s="1729">
        <f>'Part IV-A-Uses of Funds'!K69</f>
        <v>0</v>
      </c>
      <c r="L505" s="1664"/>
      <c r="M505" s="1729">
        <f>'Part IV-A-Uses of Funds'!M69</f>
        <v>0</v>
      </c>
      <c r="N505" s="1729">
        <f>'Part IV-A-Uses of Funds'!N69</f>
        <v>0</v>
      </c>
      <c r="O505" s="1647"/>
      <c r="P505" s="1729">
        <f>'Part IV-A-Uses of Funds'!P69</f>
        <v>0</v>
      </c>
      <c r="Q505" s="1729">
        <f>'Part IV-A-Uses of Funds'!Q69</f>
        <v>0</v>
      </c>
      <c r="R505" s="1647"/>
      <c r="S505" s="1729">
        <f>'Part IV-A-Uses of Funds'!S69</f>
        <v>0</v>
      </c>
      <c r="T505" s="1729">
        <f>'Part IV-A-Uses of Funds'!T69</f>
        <v>0</v>
      </c>
      <c r="U505" s="1647"/>
      <c r="V505" s="1735"/>
      <c r="W505" s="1485"/>
      <c r="X505" s="1485"/>
    </row>
    <row r="506" spans="1:24">
      <c r="A506" s="1647"/>
      <c r="B506" s="1647" t="s">
        <v>1129</v>
      </c>
      <c r="C506" s="1647"/>
      <c r="D506" s="1647"/>
      <c r="E506" s="1647"/>
      <c r="F506" s="1647"/>
      <c r="G506" s="1729">
        <f>'Part IV-A-Uses of Funds'!G70</f>
        <v>0</v>
      </c>
      <c r="H506" s="1729">
        <f>'Part IV-A-Uses of Funds'!H70</f>
        <v>0</v>
      </c>
      <c r="I506" s="1647"/>
      <c r="J506" s="1729">
        <f>'Part IV-A-Uses of Funds'!J70</f>
        <v>0</v>
      </c>
      <c r="K506" s="1729">
        <f>'Part IV-A-Uses of Funds'!K70</f>
        <v>0</v>
      </c>
      <c r="L506" s="1664"/>
      <c r="M506" s="1729">
        <f>'Part IV-A-Uses of Funds'!M70</f>
        <v>0</v>
      </c>
      <c r="N506" s="1729">
        <f>'Part IV-A-Uses of Funds'!N70</f>
        <v>0</v>
      </c>
      <c r="O506" s="1647"/>
      <c r="P506" s="1729">
        <f>'Part IV-A-Uses of Funds'!P70</f>
        <v>0</v>
      </c>
      <c r="Q506" s="1729">
        <f>'Part IV-A-Uses of Funds'!Q70</f>
        <v>0</v>
      </c>
      <c r="R506" s="1647"/>
      <c r="S506" s="1729">
        <f>'Part IV-A-Uses of Funds'!S70</f>
        <v>0</v>
      </c>
      <c r="T506" s="1729">
        <f>'Part IV-A-Uses of Funds'!T70</f>
        <v>0</v>
      </c>
      <c r="U506" s="1647"/>
      <c r="V506" s="1735"/>
      <c r="W506" s="1485"/>
      <c r="X506" s="1485"/>
    </row>
    <row r="507" spans="1:24">
      <c r="A507" s="1647"/>
      <c r="B507" s="1647" t="s">
        <v>1130</v>
      </c>
      <c r="C507" s="1647"/>
      <c r="D507" s="1647"/>
      <c r="E507" s="1647"/>
      <c r="F507" s="1647"/>
      <c r="G507" s="1729">
        <f>'Part IV-A-Uses of Funds'!G71</f>
        <v>0</v>
      </c>
      <c r="H507" s="1729">
        <f>'Part IV-A-Uses of Funds'!H71</f>
        <v>0</v>
      </c>
      <c r="I507" s="1647"/>
      <c r="J507" s="1729">
        <f>'Part IV-A-Uses of Funds'!J71</f>
        <v>0</v>
      </c>
      <c r="K507" s="1729">
        <f>'Part IV-A-Uses of Funds'!K71</f>
        <v>0</v>
      </c>
      <c r="L507" s="1664"/>
      <c r="M507" s="1729">
        <f>'Part IV-A-Uses of Funds'!M71</f>
        <v>0</v>
      </c>
      <c r="N507" s="1729">
        <f>'Part IV-A-Uses of Funds'!N71</f>
        <v>0</v>
      </c>
      <c r="O507" s="1647"/>
      <c r="P507" s="1729">
        <f>'Part IV-A-Uses of Funds'!P71</f>
        <v>0</v>
      </c>
      <c r="Q507" s="1729">
        <f>'Part IV-A-Uses of Funds'!Q71</f>
        <v>0</v>
      </c>
      <c r="R507" s="1647"/>
      <c r="S507" s="1729">
        <f>'Part IV-A-Uses of Funds'!S71</f>
        <v>0</v>
      </c>
      <c r="T507" s="1729">
        <f>'Part IV-A-Uses of Funds'!T71</f>
        <v>0</v>
      </c>
      <c r="U507" s="1647"/>
      <c r="V507" s="1735"/>
      <c r="W507" s="1485"/>
      <c r="X507" s="1485"/>
    </row>
    <row r="508" spans="1:24">
      <c r="A508" s="1647"/>
      <c r="B508" s="1647" t="s">
        <v>479</v>
      </c>
      <c r="C508" s="1647"/>
      <c r="D508" s="1647"/>
      <c r="E508" s="1647"/>
      <c r="F508" s="1647"/>
      <c r="G508" s="1729">
        <f>'Part IV-A-Uses of Funds'!G72</f>
        <v>75000</v>
      </c>
      <c r="H508" s="1729">
        <f>'Part IV-A-Uses of Funds'!H72</f>
        <v>0</v>
      </c>
      <c r="I508" s="1647"/>
      <c r="J508" s="1729">
        <f>'Part IV-A-Uses of Funds'!J72</f>
        <v>75000</v>
      </c>
      <c r="K508" s="1729">
        <f>'Part IV-A-Uses of Funds'!K72</f>
        <v>0</v>
      </c>
      <c r="L508" s="1664"/>
      <c r="M508" s="1729">
        <f>'Part IV-A-Uses of Funds'!M72</f>
        <v>0</v>
      </c>
      <c r="N508" s="1729">
        <f>'Part IV-A-Uses of Funds'!N72</f>
        <v>0</v>
      </c>
      <c r="O508" s="1647"/>
      <c r="P508" s="1729">
        <f>'Part IV-A-Uses of Funds'!P72</f>
        <v>0</v>
      </c>
      <c r="Q508" s="1729">
        <f>'Part IV-A-Uses of Funds'!Q72</f>
        <v>0</v>
      </c>
      <c r="R508" s="1647"/>
      <c r="S508" s="1729">
        <f>'Part IV-A-Uses of Funds'!S72</f>
        <v>0</v>
      </c>
      <c r="T508" s="1729">
        <f>'Part IV-A-Uses of Funds'!T72</f>
        <v>0</v>
      </c>
      <c r="U508" s="1647"/>
      <c r="V508" s="1735"/>
      <c r="W508" s="1485"/>
      <c r="X508" s="1485"/>
    </row>
    <row r="509" spans="1:24">
      <c r="A509" s="1647"/>
      <c r="B509" s="1647" t="s">
        <v>480</v>
      </c>
      <c r="C509" s="1647"/>
      <c r="D509" s="1647"/>
      <c r="E509" s="1647"/>
      <c r="F509" s="1647"/>
      <c r="G509" s="1729">
        <f>'Part IV-A-Uses of Funds'!G73</f>
        <v>50000</v>
      </c>
      <c r="H509" s="1729">
        <f>'Part IV-A-Uses of Funds'!H73</f>
        <v>0</v>
      </c>
      <c r="I509" s="1647"/>
      <c r="J509" s="1729">
        <f>'Part IV-A-Uses of Funds'!J73</f>
        <v>50000</v>
      </c>
      <c r="K509" s="1729">
        <f>'Part IV-A-Uses of Funds'!K73</f>
        <v>0</v>
      </c>
      <c r="L509" s="1664"/>
      <c r="M509" s="1729">
        <f>'Part IV-A-Uses of Funds'!M73</f>
        <v>0</v>
      </c>
      <c r="N509" s="1729">
        <f>'Part IV-A-Uses of Funds'!N73</f>
        <v>0</v>
      </c>
      <c r="O509" s="1647"/>
      <c r="P509" s="1729">
        <f>'Part IV-A-Uses of Funds'!P73</f>
        <v>0</v>
      </c>
      <c r="Q509" s="1729">
        <f>'Part IV-A-Uses of Funds'!Q73</f>
        <v>0</v>
      </c>
      <c r="R509" s="1647"/>
      <c r="S509" s="1729">
        <f>'Part IV-A-Uses of Funds'!S73</f>
        <v>0</v>
      </c>
      <c r="T509" s="1729">
        <f>'Part IV-A-Uses of Funds'!T73</f>
        <v>0</v>
      </c>
      <c r="U509" s="1647"/>
      <c r="V509" s="1735"/>
      <c r="W509" s="1485"/>
      <c r="X509" s="1485"/>
    </row>
    <row r="510" spans="1:24">
      <c r="A510" s="1647"/>
      <c r="B510" s="1647" t="s">
        <v>2049</v>
      </c>
      <c r="C510" s="1647"/>
      <c r="D510" s="1647"/>
      <c r="E510" s="1647"/>
      <c r="F510" s="1647"/>
      <c r="G510" s="1729">
        <f>'Part IV-A-Uses of Funds'!G74</f>
        <v>0</v>
      </c>
      <c r="H510" s="1729">
        <f>'Part IV-A-Uses of Funds'!H74</f>
        <v>0</v>
      </c>
      <c r="I510" s="1647"/>
      <c r="J510" s="1729">
        <f>'Part IV-A-Uses of Funds'!J74</f>
        <v>0</v>
      </c>
      <c r="K510" s="1729">
        <f>'Part IV-A-Uses of Funds'!K74</f>
        <v>0</v>
      </c>
      <c r="L510" s="1664"/>
      <c r="M510" s="1729">
        <f>'Part IV-A-Uses of Funds'!M74</f>
        <v>0</v>
      </c>
      <c r="N510" s="1729">
        <f>'Part IV-A-Uses of Funds'!N74</f>
        <v>0</v>
      </c>
      <c r="O510" s="1647"/>
      <c r="P510" s="1729">
        <f>'Part IV-A-Uses of Funds'!P74</f>
        <v>0</v>
      </c>
      <c r="Q510" s="1729">
        <f>'Part IV-A-Uses of Funds'!Q74</f>
        <v>0</v>
      </c>
      <c r="R510" s="1647"/>
      <c r="S510" s="1729">
        <f>'Part IV-A-Uses of Funds'!S74</f>
        <v>0</v>
      </c>
      <c r="T510" s="1729">
        <f>'Part IV-A-Uses of Funds'!T74</f>
        <v>0</v>
      </c>
      <c r="U510" s="1647"/>
      <c r="V510" s="1735"/>
      <c r="W510" s="1485"/>
      <c r="X510" s="1485"/>
    </row>
    <row r="511" spans="1:24">
      <c r="A511" s="1647"/>
      <c r="B511" s="1647" t="s">
        <v>1277</v>
      </c>
      <c r="C511" s="1647"/>
      <c r="D511" s="1647"/>
      <c r="E511" s="1647"/>
      <c r="F511" s="1647"/>
      <c r="G511" s="1729">
        <f>'Part IV-A-Uses of Funds'!G75</f>
        <v>0</v>
      </c>
      <c r="H511" s="1729">
        <f>'Part IV-A-Uses of Funds'!H75</f>
        <v>0</v>
      </c>
      <c r="I511" s="1647"/>
      <c r="J511" s="1729">
        <f>'Part IV-A-Uses of Funds'!J75</f>
        <v>0</v>
      </c>
      <c r="K511" s="1729">
        <f>'Part IV-A-Uses of Funds'!K75</f>
        <v>0</v>
      </c>
      <c r="L511" s="1664"/>
      <c r="M511" s="1729">
        <f>'Part IV-A-Uses of Funds'!M75</f>
        <v>0</v>
      </c>
      <c r="N511" s="1729">
        <f>'Part IV-A-Uses of Funds'!N75</f>
        <v>0</v>
      </c>
      <c r="O511" s="1647"/>
      <c r="P511" s="1729">
        <f>'Part IV-A-Uses of Funds'!P75</f>
        <v>0</v>
      </c>
      <c r="Q511" s="1729">
        <f>'Part IV-A-Uses of Funds'!Q75</f>
        <v>0</v>
      </c>
      <c r="R511" s="1647"/>
      <c r="S511" s="1729">
        <f>'Part IV-A-Uses of Funds'!S75</f>
        <v>0</v>
      </c>
      <c r="T511" s="1729">
        <f>'Part IV-A-Uses of Funds'!T75</f>
        <v>0</v>
      </c>
      <c r="U511" s="1647"/>
      <c r="V511" s="1735"/>
      <c r="W511" s="1485"/>
      <c r="X511" s="1485"/>
    </row>
    <row r="512" spans="1:24" ht="16.5" customHeight="1">
      <c r="A512" s="1732" t="str">
        <f>IF(AND(G512&gt;0,OR(C512="",C512="&lt;Enter detailed description here; use Comments section if needed&gt;")),"X","")</f>
        <v/>
      </c>
      <c r="B512" s="1647" t="s">
        <v>741</v>
      </c>
      <c r="C512" s="1659" t="str">
        <f>'Part IV-A-Uses of Funds'!C76</f>
        <v>&lt;&lt; Enter description here; provide detail &amp; justification in tab Part IV-b &gt;&gt;</v>
      </c>
      <c r="D512" s="1659">
        <f>'Part IV-A-Uses of Funds'!D76</f>
        <v>0</v>
      </c>
      <c r="E512" s="1659">
        <f>'Part IV-A-Uses of Funds'!E76</f>
        <v>0</v>
      </c>
      <c r="F512" s="1659">
        <f>'Part IV-A-Uses of Funds'!F76</f>
        <v>0</v>
      </c>
      <c r="G512" s="1729">
        <f>'Part IV-A-Uses of Funds'!G76</f>
        <v>0</v>
      </c>
      <c r="H512" s="1729">
        <f>'Part IV-A-Uses of Funds'!H76</f>
        <v>0</v>
      </c>
      <c r="I512" s="1647"/>
      <c r="J512" s="1729">
        <f>'Part IV-A-Uses of Funds'!J76</f>
        <v>0</v>
      </c>
      <c r="K512" s="1729">
        <f>'Part IV-A-Uses of Funds'!K76</f>
        <v>0</v>
      </c>
      <c r="L512" s="1664"/>
      <c r="M512" s="1729">
        <f>'Part IV-A-Uses of Funds'!M76</f>
        <v>0</v>
      </c>
      <c r="N512" s="1729">
        <f>'Part IV-A-Uses of Funds'!N76</f>
        <v>0</v>
      </c>
      <c r="O512" s="1647"/>
      <c r="P512" s="1729">
        <f>'Part IV-A-Uses of Funds'!P76</f>
        <v>0</v>
      </c>
      <c r="Q512" s="1729">
        <f>'Part IV-A-Uses of Funds'!Q76</f>
        <v>0</v>
      </c>
      <c r="R512" s="1647"/>
      <c r="S512" s="1729">
        <f>'Part IV-A-Uses of Funds'!S76</f>
        <v>0</v>
      </c>
      <c r="T512" s="1729">
        <f>'Part IV-A-Uses of Funds'!T76</f>
        <v>0</v>
      </c>
      <c r="U512" s="1648" t="str">
        <f>IF(AND(G512&gt;0,OR(C512="",C512="&lt;Enter detailed description here; use Comments section if needed&gt;")),"NO DESCRIPTION PROVIDED - please enter detailed description in Other box at left; use Comments section below if needed.","")</f>
        <v/>
      </c>
      <c r="V512" s="1735"/>
      <c r="W512" s="1485"/>
      <c r="X512" s="1485"/>
    </row>
    <row r="513" spans="1:24">
      <c r="A513" s="1647"/>
      <c r="B513" s="1647"/>
      <c r="C513" s="1647"/>
      <c r="D513" s="1647"/>
      <c r="E513" s="1647"/>
      <c r="F513" s="1733" t="s">
        <v>191</v>
      </c>
      <c r="G513" s="1729">
        <f>SUM(G502:H512)</f>
        <v>345000</v>
      </c>
      <c r="H513" s="1729"/>
      <c r="I513" s="1647"/>
      <c r="J513" s="1729">
        <f>SUM(J502:K512)</f>
        <v>345000</v>
      </c>
      <c r="K513" s="1729"/>
      <c r="L513" s="1664"/>
      <c r="M513" s="1729">
        <f>SUM(M502:N512)</f>
        <v>0</v>
      </c>
      <c r="N513" s="1729"/>
      <c r="O513" s="1647"/>
      <c r="P513" s="1729">
        <f>SUM(P502:Q512)</f>
        <v>0</v>
      </c>
      <c r="Q513" s="1729"/>
      <c r="R513" s="1647"/>
      <c r="S513" s="1729">
        <f>SUM(S502:T512)</f>
        <v>0</v>
      </c>
      <c r="T513" s="1729"/>
      <c r="U513" s="1647"/>
      <c r="V513" s="1735">
        <f>SUM(V502:V512)</f>
        <v>0</v>
      </c>
      <c r="W513" s="1485"/>
      <c r="X513" s="1485"/>
    </row>
    <row r="514" spans="1:24">
      <c r="A514" s="1647"/>
      <c r="B514" s="1628" t="s">
        <v>1269</v>
      </c>
      <c r="C514" s="1647"/>
      <c r="D514" s="1759" t="s">
        <v>3737</v>
      </c>
      <c r="E514" s="1760">
        <f>G519/'Part VI-Revenues &amp; Expenses'!$O$67</f>
        <v>2809.5238095238096</v>
      </c>
      <c r="F514" s="1647"/>
      <c r="G514" s="1647"/>
      <c r="H514" s="1647"/>
      <c r="I514" s="1647"/>
      <c r="J514" s="1664"/>
      <c r="K514" s="1664"/>
      <c r="L514" s="1653"/>
      <c r="M514" s="1664"/>
      <c r="N514" s="1664"/>
      <c r="O514" s="1734" t="str">
        <f>B514</f>
        <v>LOCAL GOVERNMENT FEES</v>
      </c>
      <c r="P514" s="1664"/>
      <c r="Q514" s="1664"/>
      <c r="R514" s="1653"/>
      <c r="S514" s="1664"/>
      <c r="T514" s="1664"/>
      <c r="U514" s="1653"/>
      <c r="V514" s="1735"/>
      <c r="W514" s="1647" t="str">
        <f>B514</f>
        <v>LOCAL GOVERNMENT FEES</v>
      </c>
      <c r="X514" s="1653"/>
    </row>
    <row r="515" spans="1:24">
      <c r="A515" s="1647"/>
      <c r="B515" s="1647" t="s">
        <v>1270</v>
      </c>
      <c r="C515" s="1647"/>
      <c r="D515" s="1647"/>
      <c r="E515" s="1647"/>
      <c r="F515" s="1647"/>
      <c r="G515" s="1729">
        <f>'Part IV-A-Uses of Funds'!G79</f>
        <v>60000</v>
      </c>
      <c r="H515" s="1729">
        <f>'Part IV-A-Uses of Funds'!H79</f>
        <v>0</v>
      </c>
      <c r="I515" s="1647"/>
      <c r="J515" s="1729">
        <f>'Part IV-A-Uses of Funds'!J79</f>
        <v>60000</v>
      </c>
      <c r="K515" s="1729">
        <f>'Part IV-A-Uses of Funds'!K79</f>
        <v>0</v>
      </c>
      <c r="L515" s="1664"/>
      <c r="M515" s="1729">
        <f>'Part IV-A-Uses of Funds'!M79</f>
        <v>0</v>
      </c>
      <c r="N515" s="1729">
        <f>'Part IV-A-Uses of Funds'!N79</f>
        <v>0</v>
      </c>
      <c r="O515" s="1647"/>
      <c r="P515" s="1729">
        <f>'Part IV-A-Uses of Funds'!P79</f>
        <v>0</v>
      </c>
      <c r="Q515" s="1729">
        <f>'Part IV-A-Uses of Funds'!Q79</f>
        <v>0</v>
      </c>
      <c r="R515" s="1647"/>
      <c r="S515" s="1729">
        <f>'Part IV-A-Uses of Funds'!S79</f>
        <v>0</v>
      </c>
      <c r="T515" s="1729">
        <f>'Part IV-A-Uses of Funds'!T79</f>
        <v>0</v>
      </c>
      <c r="U515" s="1647"/>
      <c r="V515" s="1735"/>
      <c r="W515" s="1485"/>
      <c r="X515" s="1485"/>
    </row>
    <row r="516" spans="1:24">
      <c r="A516" s="1647"/>
      <c r="B516" s="1647" t="s">
        <v>1271</v>
      </c>
      <c r="C516" s="1647"/>
      <c r="D516" s="1647"/>
      <c r="E516" s="1647"/>
      <c r="F516" s="1647"/>
      <c r="G516" s="1729">
        <f>'Part IV-A-Uses of Funds'!G80</f>
        <v>0</v>
      </c>
      <c r="H516" s="1729">
        <f>'Part IV-A-Uses of Funds'!H80</f>
        <v>0</v>
      </c>
      <c r="I516" s="1647"/>
      <c r="J516" s="1729">
        <f>'Part IV-A-Uses of Funds'!J80</f>
        <v>0</v>
      </c>
      <c r="K516" s="1729">
        <f>'Part IV-A-Uses of Funds'!K80</f>
        <v>0</v>
      </c>
      <c r="L516" s="1664"/>
      <c r="M516" s="1729">
        <f>'Part IV-A-Uses of Funds'!M80</f>
        <v>0</v>
      </c>
      <c r="N516" s="1729">
        <f>'Part IV-A-Uses of Funds'!N80</f>
        <v>0</v>
      </c>
      <c r="O516" s="1647"/>
      <c r="P516" s="1729">
        <f>'Part IV-A-Uses of Funds'!P80</f>
        <v>0</v>
      </c>
      <c r="Q516" s="1729">
        <f>'Part IV-A-Uses of Funds'!Q80</f>
        <v>0</v>
      </c>
      <c r="R516" s="1647"/>
      <c r="S516" s="1729">
        <f>'Part IV-A-Uses of Funds'!S80</f>
        <v>0</v>
      </c>
      <c r="T516" s="1729">
        <f>'Part IV-A-Uses of Funds'!T80</f>
        <v>0</v>
      </c>
      <c r="U516" s="1647"/>
      <c r="V516" s="1735"/>
      <c r="W516" s="1485"/>
      <c r="X516" s="1485"/>
    </row>
    <row r="517" spans="1:24">
      <c r="A517" s="1647"/>
      <c r="B517" s="1647" t="s">
        <v>1272</v>
      </c>
      <c r="C517" s="1647"/>
      <c r="D517" s="1761" t="s">
        <v>1403</v>
      </c>
      <c r="E517" s="1774" t="str">
        <f>'Part IV-A-Uses of Funds'!E81</f>
        <v>No</v>
      </c>
      <c r="F517" s="1647"/>
      <c r="G517" s="1729">
        <f>'Part IV-A-Uses of Funds'!G81</f>
        <v>88000</v>
      </c>
      <c r="H517" s="1729">
        <f>'Part IV-A-Uses of Funds'!H81</f>
        <v>0</v>
      </c>
      <c r="I517" s="1653"/>
      <c r="J517" s="1729">
        <f>'Part IV-A-Uses of Funds'!J81</f>
        <v>75000</v>
      </c>
      <c r="K517" s="1729">
        <f>'Part IV-A-Uses of Funds'!K81</f>
        <v>0</v>
      </c>
      <c r="L517" s="1664"/>
      <c r="M517" s="1729">
        <f>'Part IV-A-Uses of Funds'!M81</f>
        <v>0</v>
      </c>
      <c r="N517" s="1729">
        <f>'Part IV-A-Uses of Funds'!N81</f>
        <v>0</v>
      </c>
      <c r="O517" s="1647"/>
      <c r="P517" s="1729">
        <f>'Part IV-A-Uses of Funds'!P81</f>
        <v>0</v>
      </c>
      <c r="Q517" s="1729">
        <f>'Part IV-A-Uses of Funds'!Q81</f>
        <v>0</v>
      </c>
      <c r="R517" s="1647"/>
      <c r="S517" s="1729">
        <f>'Part IV-A-Uses of Funds'!S81</f>
        <v>13000</v>
      </c>
      <c r="T517" s="1729">
        <f>'Part IV-A-Uses of Funds'!T81</f>
        <v>0</v>
      </c>
      <c r="U517" s="1647"/>
      <c r="V517" s="1735"/>
      <c r="W517" s="1485"/>
      <c r="X517" s="1485"/>
    </row>
    <row r="518" spans="1:24">
      <c r="A518" s="1647"/>
      <c r="B518" s="1647" t="s">
        <v>1273</v>
      </c>
      <c r="C518" s="1647"/>
      <c r="D518" s="1761" t="s">
        <v>1403</v>
      </c>
      <c r="E518" s="1774" t="str">
        <f>'Part IV-A-Uses of Funds'!E82</f>
        <v>No</v>
      </c>
      <c r="F518" s="1647"/>
      <c r="G518" s="1729">
        <f>'Part IV-A-Uses of Funds'!G82</f>
        <v>88000</v>
      </c>
      <c r="H518" s="1729">
        <f>'Part IV-A-Uses of Funds'!H82</f>
        <v>0</v>
      </c>
      <c r="I518" s="1653"/>
      <c r="J518" s="1729">
        <f>'Part IV-A-Uses of Funds'!J82</f>
        <v>75000</v>
      </c>
      <c r="K518" s="1729">
        <f>'Part IV-A-Uses of Funds'!K82</f>
        <v>0</v>
      </c>
      <c r="L518" s="1664"/>
      <c r="M518" s="1729">
        <f>'Part IV-A-Uses of Funds'!M82</f>
        <v>0</v>
      </c>
      <c r="N518" s="1729">
        <f>'Part IV-A-Uses of Funds'!N82</f>
        <v>0</v>
      </c>
      <c r="O518" s="1647"/>
      <c r="P518" s="1729">
        <f>'Part IV-A-Uses of Funds'!P82</f>
        <v>0</v>
      </c>
      <c r="Q518" s="1729">
        <f>'Part IV-A-Uses of Funds'!Q82</f>
        <v>0</v>
      </c>
      <c r="R518" s="1647"/>
      <c r="S518" s="1729">
        <f>'Part IV-A-Uses of Funds'!S82</f>
        <v>13000</v>
      </c>
      <c r="T518" s="1729">
        <f>'Part IV-A-Uses of Funds'!T82</f>
        <v>0</v>
      </c>
      <c r="U518" s="1647"/>
      <c r="V518" s="1735"/>
      <c r="W518" s="1485"/>
      <c r="X518" s="1485"/>
    </row>
    <row r="519" spans="1:24">
      <c r="A519" s="1647"/>
      <c r="B519" s="1647"/>
      <c r="C519" s="1647"/>
      <c r="D519" s="1647"/>
      <c r="E519" s="1647"/>
      <c r="F519" s="1733" t="s">
        <v>191</v>
      </c>
      <c r="G519" s="1729">
        <f>SUM(G515:H518)</f>
        <v>236000</v>
      </c>
      <c r="H519" s="1729"/>
      <c r="I519" s="1647"/>
      <c r="J519" s="1729">
        <f>SUM(J515:K518)</f>
        <v>210000</v>
      </c>
      <c r="K519" s="1729"/>
      <c r="L519" s="1664"/>
      <c r="M519" s="1729">
        <f>SUM(M515:N518)</f>
        <v>0</v>
      </c>
      <c r="N519" s="1729"/>
      <c r="O519" s="1647"/>
      <c r="P519" s="1729">
        <f>SUM(P515:Q518)</f>
        <v>0</v>
      </c>
      <c r="Q519" s="1729"/>
      <c r="R519" s="1647"/>
      <c r="S519" s="1729">
        <f>SUM(S515:T518)</f>
        <v>26000</v>
      </c>
      <c r="T519" s="1729"/>
      <c r="U519" s="1647"/>
      <c r="V519" s="1735">
        <f>SUM(V515:V518)</f>
        <v>0</v>
      </c>
      <c r="W519" s="1485"/>
      <c r="X519" s="1485"/>
    </row>
    <row r="520" spans="1:24">
      <c r="A520" s="1647"/>
      <c r="B520" s="1628" t="s">
        <v>724</v>
      </c>
      <c r="C520" s="1647"/>
      <c r="D520" s="1647"/>
      <c r="E520" s="1647"/>
      <c r="F520" s="1647"/>
      <c r="G520" s="1647"/>
      <c r="H520" s="1647"/>
      <c r="I520" s="1647"/>
      <c r="J520" s="1664"/>
      <c r="K520" s="1664"/>
      <c r="L520" s="1647"/>
      <c r="M520" s="1664"/>
      <c r="N520" s="1664"/>
      <c r="O520" s="1734" t="str">
        <f>B520</f>
        <v>PERMANENT FINANCING FEES</v>
      </c>
      <c r="P520" s="1664"/>
      <c r="Q520" s="1664"/>
      <c r="R520" s="1647"/>
      <c r="S520" s="1664"/>
      <c r="T520" s="1664"/>
      <c r="U520" s="1647"/>
      <c r="V520" s="1735"/>
      <c r="W520" s="1647" t="str">
        <f>B520</f>
        <v>PERMANENT FINANCING FEES</v>
      </c>
      <c r="X520" s="1647"/>
    </row>
    <row r="521" spans="1:24">
      <c r="A521" s="1647"/>
      <c r="B521" s="1647" t="s">
        <v>1274</v>
      </c>
      <c r="C521" s="1647"/>
      <c r="D521" s="1647"/>
      <c r="E521" s="1647"/>
      <c r="F521" s="1647"/>
      <c r="G521" s="1729">
        <f>'Part IV-A-Uses of Funds'!G85</f>
        <v>100000</v>
      </c>
      <c r="H521" s="1729">
        <f>'Part IV-A-Uses of Funds'!H85</f>
        <v>0</v>
      </c>
      <c r="I521" s="1647"/>
      <c r="J521" s="1729"/>
      <c r="K521" s="1729"/>
      <c r="L521" s="1664"/>
      <c r="M521" s="1729"/>
      <c r="N521" s="1729"/>
      <c r="O521" s="1647"/>
      <c r="P521" s="1729"/>
      <c r="Q521" s="1729"/>
      <c r="R521" s="1647"/>
      <c r="S521" s="1729">
        <f>'Part IV-A-Uses of Funds'!S85</f>
        <v>100000</v>
      </c>
      <c r="T521" s="1729">
        <f>'Part IV-A-Uses of Funds'!T85</f>
        <v>0</v>
      </c>
      <c r="U521" s="1647"/>
      <c r="V521" s="1735"/>
      <c r="W521" s="1485"/>
      <c r="X521" s="1485"/>
    </row>
    <row r="522" spans="1:24">
      <c r="A522" s="1647"/>
      <c r="B522" s="1647" t="s">
        <v>1275</v>
      </c>
      <c r="C522" s="1647"/>
      <c r="D522" s="1647"/>
      <c r="E522" s="1647"/>
      <c r="F522" s="1647"/>
      <c r="G522" s="1729">
        <f>'Part IV-A-Uses of Funds'!G86</f>
        <v>70000</v>
      </c>
      <c r="H522" s="1729">
        <f>'Part IV-A-Uses of Funds'!H86</f>
        <v>0</v>
      </c>
      <c r="I522" s="1647"/>
      <c r="J522" s="1729"/>
      <c r="K522" s="1729"/>
      <c r="L522" s="1664"/>
      <c r="M522" s="1729"/>
      <c r="N522" s="1729"/>
      <c r="O522" s="1647"/>
      <c r="P522" s="1729"/>
      <c r="Q522" s="1729"/>
      <c r="R522" s="1647"/>
      <c r="S522" s="1729">
        <f>'Part IV-A-Uses of Funds'!S86</f>
        <v>70000</v>
      </c>
      <c r="T522" s="1729">
        <f>'Part IV-A-Uses of Funds'!T86</f>
        <v>0</v>
      </c>
      <c r="U522" s="1647"/>
      <c r="V522" s="1735"/>
      <c r="W522" s="1485"/>
      <c r="X522" s="1485"/>
    </row>
    <row r="523" spans="1:24">
      <c r="A523" s="1647"/>
      <c r="B523" s="1647" t="s">
        <v>1276</v>
      </c>
      <c r="C523" s="1647"/>
      <c r="D523" s="1647"/>
      <c r="E523" s="1647"/>
      <c r="F523" s="1647"/>
      <c r="G523" s="1729">
        <f>'Part IV-A-Uses of Funds'!G87</f>
        <v>0</v>
      </c>
      <c r="H523" s="1729">
        <f>'Part IV-A-Uses of Funds'!H87</f>
        <v>0</v>
      </c>
      <c r="I523" s="1647"/>
      <c r="J523" s="1729"/>
      <c r="K523" s="1729"/>
      <c r="L523" s="1664"/>
      <c r="M523" s="1729"/>
      <c r="N523" s="1729"/>
      <c r="O523" s="1647"/>
      <c r="P523" s="1729"/>
      <c r="Q523" s="1729"/>
      <c r="R523" s="1647"/>
      <c r="S523" s="1729">
        <f>'Part IV-A-Uses of Funds'!S87</f>
        <v>0</v>
      </c>
      <c r="T523" s="1729">
        <f>'Part IV-A-Uses of Funds'!T87</f>
        <v>0</v>
      </c>
      <c r="U523" s="1647"/>
      <c r="V523" s="1735"/>
      <c r="W523" s="1485"/>
      <c r="X523" s="1485"/>
    </row>
    <row r="524" spans="1:24">
      <c r="A524" s="1647"/>
      <c r="B524" s="1647" t="s">
        <v>1278</v>
      </c>
      <c r="C524" s="1647"/>
      <c r="D524" s="1647"/>
      <c r="E524" s="1647"/>
      <c r="F524" s="1647"/>
      <c r="G524" s="1729">
        <f>'Part IV-A-Uses of Funds'!G88</f>
        <v>0</v>
      </c>
      <c r="H524" s="1729">
        <f>'Part IV-A-Uses of Funds'!H88</f>
        <v>0</v>
      </c>
      <c r="I524" s="1647"/>
      <c r="J524" s="1729"/>
      <c r="K524" s="1729"/>
      <c r="L524" s="1664"/>
      <c r="M524" s="1729"/>
      <c r="N524" s="1729"/>
      <c r="O524" s="1647"/>
      <c r="P524" s="1729"/>
      <c r="Q524" s="1729"/>
      <c r="R524" s="1647"/>
      <c r="S524" s="1729">
        <f>'Part IV-A-Uses of Funds'!S88</f>
        <v>0</v>
      </c>
      <c r="T524" s="1729">
        <f>'Part IV-A-Uses of Funds'!T88</f>
        <v>0</v>
      </c>
      <c r="U524" s="1647"/>
      <c r="V524" s="1735"/>
      <c r="W524" s="1485"/>
      <c r="X524" s="1485"/>
    </row>
    <row r="525" spans="1:24">
      <c r="A525" s="1647"/>
      <c r="B525" s="1647" t="s">
        <v>2298</v>
      </c>
      <c r="C525" s="1647"/>
      <c r="D525" s="1647"/>
      <c r="E525" s="1647"/>
      <c r="F525" s="1647"/>
      <c r="G525" s="1729">
        <f>'Part IV-A-Uses of Funds'!G89</f>
        <v>555708</v>
      </c>
      <c r="H525" s="1729">
        <f>'Part IV-A-Uses of Funds'!H89</f>
        <v>0</v>
      </c>
      <c r="I525" s="1647"/>
      <c r="J525" s="1729"/>
      <c r="K525" s="1729"/>
      <c r="L525" s="1664"/>
      <c r="M525" s="1729"/>
      <c r="N525" s="1729"/>
      <c r="O525" s="1647"/>
      <c r="P525" s="1729"/>
      <c r="Q525" s="1729"/>
      <c r="R525" s="1647"/>
      <c r="S525" s="1729">
        <f>'Part IV-A-Uses of Funds'!S89</f>
        <v>55708</v>
      </c>
      <c r="T525" s="1729">
        <f>'Part IV-A-Uses of Funds'!T89</f>
        <v>0</v>
      </c>
      <c r="U525" s="1647"/>
      <c r="V525" s="1735"/>
      <c r="W525" s="1485"/>
      <c r="X525" s="1485"/>
    </row>
    <row r="526" spans="1:24" ht="16.5" customHeight="1">
      <c r="A526" s="1732" t="str">
        <f>IF(AND(G526&gt;0,OR(C526="",C526="&lt;Enter detailed description here; use Comments section if needed&gt;")),"X","")</f>
        <v/>
      </c>
      <c r="B526" s="1647" t="s">
        <v>741</v>
      </c>
      <c r="C526" s="1659" t="str">
        <f>'Part IV-A-Uses of Funds'!C90</f>
        <v>&lt;&lt; Enter description here; provide detail &amp; justification in tab Part IV-b &gt;&gt;</v>
      </c>
      <c r="D526" s="1659">
        <f>'Part IV-A-Uses of Funds'!D90</f>
        <v>0</v>
      </c>
      <c r="E526" s="1659">
        <f>'Part IV-A-Uses of Funds'!E90</f>
        <v>0</v>
      </c>
      <c r="F526" s="1659">
        <f>'Part IV-A-Uses of Funds'!F90</f>
        <v>0</v>
      </c>
      <c r="G526" s="1729">
        <f>'Part IV-A-Uses of Funds'!G90</f>
        <v>0</v>
      </c>
      <c r="H526" s="1729">
        <f>'Part IV-A-Uses of Funds'!H90</f>
        <v>0</v>
      </c>
      <c r="I526" s="1647"/>
      <c r="J526" s="1729"/>
      <c r="K526" s="1729"/>
      <c r="L526" s="1664"/>
      <c r="M526" s="1729"/>
      <c r="N526" s="1729"/>
      <c r="O526" s="1647"/>
      <c r="P526" s="1729"/>
      <c r="Q526" s="1729"/>
      <c r="R526" s="1647"/>
      <c r="S526" s="1729">
        <f>'Part IV-A-Uses of Funds'!S90</f>
        <v>0</v>
      </c>
      <c r="T526" s="1729">
        <f>'Part IV-A-Uses of Funds'!T90</f>
        <v>0</v>
      </c>
      <c r="U526" s="1648" t="str">
        <f>IF(AND(G526&gt;0,OR(C526="",C526="&lt;Enter detailed description here; use Comments section if needed&gt;")),"NO DESCRIPTION PROVIDED - please enter detailed description in Other box at left; use Comments section below if needed.","")</f>
        <v/>
      </c>
      <c r="V526" s="1735"/>
      <c r="W526" s="1485"/>
      <c r="X526" s="1485"/>
    </row>
    <row r="527" spans="1:24">
      <c r="A527" s="1647"/>
      <c r="B527" s="1647"/>
      <c r="C527" s="1647"/>
      <c r="D527" s="1647"/>
      <c r="E527" s="1647"/>
      <c r="F527" s="1733" t="s">
        <v>191</v>
      </c>
      <c r="G527" s="1729">
        <f>SUM(G521:H526)</f>
        <v>725708</v>
      </c>
      <c r="H527" s="1729"/>
      <c r="I527" s="1647"/>
      <c r="J527" s="1729"/>
      <c r="K527" s="1729"/>
      <c r="L527" s="1664"/>
      <c r="M527" s="1729"/>
      <c r="N527" s="1729"/>
      <c r="O527" s="1647"/>
      <c r="P527" s="1729"/>
      <c r="Q527" s="1729"/>
      <c r="R527" s="1647"/>
      <c r="S527" s="1729">
        <f>SUM(S521:T526)</f>
        <v>225708</v>
      </c>
      <c r="T527" s="1729"/>
      <c r="U527" s="1647"/>
      <c r="V527" s="1735">
        <f>SUM(V521:V526)</f>
        <v>0</v>
      </c>
      <c r="W527" s="1485"/>
      <c r="X527" s="1485"/>
    </row>
    <row r="528" spans="1:24">
      <c r="A528" s="1645"/>
      <c r="B528" s="1645"/>
      <c r="C528" s="1645"/>
      <c r="D528" s="1645"/>
      <c r="E528" s="1645"/>
      <c r="F528" s="1645"/>
      <c r="G528" s="1645"/>
      <c r="H528" s="1645"/>
      <c r="I528" s="1645"/>
      <c r="J528" s="1645"/>
      <c r="K528" s="1645"/>
      <c r="L528" s="1645"/>
      <c r="M528" s="1645"/>
      <c r="N528" s="1645"/>
      <c r="O528" s="1645"/>
      <c r="P528" s="1645"/>
      <c r="Q528" s="1645"/>
      <c r="R528" s="1645"/>
      <c r="S528" s="1645"/>
      <c r="T528" s="1645"/>
      <c r="U528" s="1647"/>
      <c r="V528" s="1735"/>
      <c r="W528" s="1647"/>
      <c r="X528" s="1647"/>
    </row>
    <row r="529" spans="1:24" ht="17.25" customHeight="1">
      <c r="A529" s="1728" t="s">
        <v>616</v>
      </c>
      <c r="B529" s="1728" t="s">
        <v>4513</v>
      </c>
      <c r="C529" s="1647"/>
      <c r="D529" s="1647"/>
      <c r="E529" s="1647"/>
      <c r="F529" s="1647"/>
      <c r="G529" s="1647"/>
      <c r="H529" s="1647"/>
      <c r="I529" s="1647"/>
      <c r="J529" s="1646" t="s">
        <v>271</v>
      </c>
      <c r="K529" s="1646"/>
      <c r="L529" s="1729"/>
      <c r="M529" s="1730" t="s">
        <v>489</v>
      </c>
      <c r="N529" s="1730"/>
      <c r="O529" s="1647"/>
      <c r="P529" s="1646" t="s">
        <v>272</v>
      </c>
      <c r="Q529" s="1646"/>
      <c r="R529" s="1647"/>
      <c r="S529" s="1646" t="s">
        <v>273</v>
      </c>
      <c r="T529" s="1646"/>
      <c r="U529" s="1647"/>
      <c r="V529" s="1731" t="str">
        <f>B529</f>
        <v>DEVELOPMENT BUDGET  (cont'd)</v>
      </c>
      <c r="W529" s="1647"/>
      <c r="X529" s="1647"/>
    </row>
    <row r="530" spans="1:24">
      <c r="A530" s="1647"/>
      <c r="B530" s="1647"/>
      <c r="C530" s="1647"/>
      <c r="D530" s="1647"/>
      <c r="E530" s="1647"/>
      <c r="F530" s="1647"/>
      <c r="G530" s="1628" t="s">
        <v>101</v>
      </c>
      <c r="H530" s="1628"/>
      <c r="I530" s="1647"/>
      <c r="J530" s="1646"/>
      <c r="K530" s="1646"/>
      <c r="L530" s="1729"/>
      <c r="M530" s="1730"/>
      <c r="N530" s="1730"/>
      <c r="O530" s="1647"/>
      <c r="P530" s="1646"/>
      <c r="Q530" s="1646"/>
      <c r="R530" s="1647"/>
      <c r="S530" s="1646"/>
      <c r="T530" s="1646"/>
      <c r="U530" s="1647"/>
      <c r="V530" s="1683" t="s">
        <v>2683</v>
      </c>
      <c r="W530" s="1647"/>
      <c r="X530" s="1683"/>
    </row>
    <row r="531" spans="1:24">
      <c r="A531" s="1647"/>
      <c r="B531" s="1628" t="s">
        <v>725</v>
      </c>
      <c r="C531" s="1647"/>
      <c r="D531" s="1647"/>
      <c r="E531" s="1647"/>
      <c r="F531" s="1647"/>
      <c r="G531" s="1647"/>
      <c r="H531" s="1647"/>
      <c r="I531" s="1647"/>
      <c r="J531" s="1664"/>
      <c r="K531" s="1664"/>
      <c r="L531" s="1647"/>
      <c r="M531" s="1664"/>
      <c r="N531" s="1664"/>
      <c r="O531" s="1734" t="str">
        <f>B531</f>
        <v>DCA-RELATED COSTS</v>
      </c>
      <c r="P531" s="1664"/>
      <c r="Q531" s="1664"/>
      <c r="R531" s="1647"/>
      <c r="S531" s="1664"/>
      <c r="T531" s="1664"/>
      <c r="U531" s="1647"/>
      <c r="V531" s="1735"/>
      <c r="W531" s="1647" t="str">
        <f>B531</f>
        <v>DCA-RELATED COSTS</v>
      </c>
      <c r="X531" s="1647"/>
    </row>
    <row r="532" spans="1:24">
      <c r="A532" s="1647"/>
      <c r="B532" s="1647" t="str">
        <f>CONCATENATE("DCA HOME Loan Consent Pre-Application Fee ($",'DCA Underwriting Assumptions'!$Q$77, " FP/JV, $",'DCA Underwriting Assumptions'!$Q$78, " NP)")</f>
        <v>DCA HOME Loan Consent Pre-Application Fee ($1000 FP/JV, $500 NP)</v>
      </c>
      <c r="C532" s="1647"/>
      <c r="D532" s="1647"/>
      <c r="E532" s="1647"/>
      <c r="F532" s="1647"/>
      <c r="G532" s="1729">
        <f>'Part IV-A-Uses of Funds'!G96</f>
        <v>0</v>
      </c>
      <c r="H532" s="1729">
        <f>'Part IV-A-Uses of Funds'!H96</f>
        <v>0</v>
      </c>
      <c r="I532" s="1647"/>
      <c r="J532" s="1664"/>
      <c r="K532" s="1664"/>
      <c r="L532" s="1664"/>
      <c r="M532" s="1664"/>
      <c r="N532" s="1664"/>
      <c r="O532" s="1647"/>
      <c r="P532" s="1664"/>
      <c r="Q532" s="1664"/>
      <c r="R532" s="1647"/>
      <c r="S532" s="1729">
        <f>'Part IV-A-Uses of Funds'!S96</f>
        <v>0</v>
      </c>
      <c r="T532" s="1729">
        <f>'Part IV-A-Uses of Funds'!T96</f>
        <v>0</v>
      </c>
      <c r="U532" s="1647"/>
      <c r="V532" s="1735"/>
      <c r="W532" s="1485"/>
      <c r="X532" s="1485"/>
    </row>
    <row r="533" spans="1:24">
      <c r="A533" s="1647"/>
      <c r="B533" s="1647" t="str">
        <f>CONCATENATE("Tax Credit Application Fee ($",'DCA Underwriting Assumptions'!$Q$83, " ForProf/JntVent, $",'DCA Underwriting Assumptions'!$Q$84, " NonProf)")</f>
        <v>Tax Credit Application Fee ($6500 ForProf/JntVent, $5500 NonProf)</v>
      </c>
      <c r="C533" s="1647"/>
      <c r="D533" s="1647"/>
      <c r="E533" s="1647"/>
      <c r="F533" s="1647"/>
      <c r="G533" s="1729">
        <f>'Part IV-A-Uses of Funds'!G97</f>
        <v>5000</v>
      </c>
      <c r="H533" s="1729">
        <f>'Part IV-A-Uses of Funds'!H97</f>
        <v>0</v>
      </c>
      <c r="I533" s="1647"/>
      <c r="J533" s="1664"/>
      <c r="K533" s="1664"/>
      <c r="L533" s="1762"/>
      <c r="M533" s="1664"/>
      <c r="N533" s="1664"/>
      <c r="O533" s="1647"/>
      <c r="P533" s="1664"/>
      <c r="Q533" s="1664"/>
      <c r="R533" s="1647"/>
      <c r="S533" s="1729">
        <f>'Part IV-A-Uses of Funds'!S97</f>
        <v>5000</v>
      </c>
      <c r="T533" s="1729">
        <f>'Part IV-A-Uses of Funds'!T97</f>
        <v>0</v>
      </c>
      <c r="U533" s="1647"/>
      <c r="V533" s="1735"/>
      <c r="W533" s="1485"/>
      <c r="X533" s="1485"/>
    </row>
    <row r="534" spans="1:24">
      <c r="A534" s="1647"/>
      <c r="B534" s="1647" t="s">
        <v>3953</v>
      </c>
      <c r="C534" s="1647"/>
      <c r="D534" s="1647"/>
      <c r="E534" s="1647"/>
      <c r="F534" s="1647"/>
      <c r="G534" s="1729">
        <f>'Part IV-A-Uses of Funds'!G98</f>
        <v>1500</v>
      </c>
      <c r="H534" s="1729">
        <f>'Part IV-A-Uses of Funds'!H98</f>
        <v>0</v>
      </c>
      <c r="I534" s="1647"/>
      <c r="J534" s="1664"/>
      <c r="K534" s="1664"/>
      <c r="L534" s="1762"/>
      <c r="M534" s="1664"/>
      <c r="N534" s="1664"/>
      <c r="O534" s="1647"/>
      <c r="P534" s="1664"/>
      <c r="Q534" s="1664"/>
      <c r="R534" s="1647"/>
      <c r="S534" s="1729">
        <f>'Part IV-A-Uses of Funds'!S98</f>
        <v>1500</v>
      </c>
      <c r="T534" s="1729">
        <f>'Part IV-A-Uses of Funds'!T98</f>
        <v>0</v>
      </c>
      <c r="U534" s="1647"/>
      <c r="V534" s="1735"/>
      <c r="W534" s="1485"/>
      <c r="X534" s="1485"/>
    </row>
    <row r="535" spans="1:24">
      <c r="A535" s="1647"/>
      <c r="B535" s="1647" t="s">
        <v>519</v>
      </c>
      <c r="C535" s="1647"/>
      <c r="D535" s="1647"/>
      <c r="E535" s="1763">
        <f>'DCA Underwriting Assumptions'!$Q$88*J611</f>
        <v>52804.639999999999</v>
      </c>
      <c r="F535" s="1763"/>
      <c r="G535" s="1729">
        <f>'Part IV-A-Uses of Funds'!G99</f>
        <v>52805</v>
      </c>
      <c r="H535" s="1729">
        <f>'Part IV-A-Uses of Funds'!H99</f>
        <v>0</v>
      </c>
      <c r="I535" s="1647"/>
      <c r="J535" s="1764" t="str">
        <f>IF(E535&gt;G535,"WARNING!  LIHTC Allocation Fee proposed is below minimum required.","")</f>
        <v/>
      </c>
      <c r="K535" s="1664"/>
      <c r="L535" s="1664"/>
      <c r="M535" s="1664"/>
      <c r="N535" s="1664"/>
      <c r="O535" s="1647"/>
      <c r="P535" s="1664"/>
      <c r="Q535" s="1664"/>
      <c r="R535" s="1647"/>
      <c r="S535" s="1729">
        <f>'Part IV-A-Uses of Funds'!S99</f>
        <v>52805</v>
      </c>
      <c r="T535" s="1729">
        <f>'Part IV-A-Uses of Funds'!T99</f>
        <v>0</v>
      </c>
      <c r="U535" s="1647"/>
      <c r="V535" s="1735"/>
      <c r="W535" s="1485"/>
      <c r="X535" s="1485"/>
    </row>
    <row r="536" spans="1:24">
      <c r="A536" s="1647"/>
      <c r="B536" s="1647" t="s">
        <v>753</v>
      </c>
      <c r="C536" s="1647"/>
      <c r="D536" s="1647"/>
      <c r="E536" s="1763">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67200</v>
      </c>
      <c r="F536" s="1763"/>
      <c r="G536" s="1729">
        <f>'Part IV-A-Uses of Funds'!G100</f>
        <v>67200</v>
      </c>
      <c r="H536" s="1729">
        <f>'Part IV-A-Uses of Funds'!H100</f>
        <v>0</v>
      </c>
      <c r="I536" s="1647"/>
      <c r="J536" s="1764" t="str">
        <f>IF(E536&gt;G536,"WARNING!  LIHTC Compliance Fee proposed is below minimum required.","")</f>
        <v/>
      </c>
      <c r="K536" s="1653"/>
      <c r="L536" s="1653"/>
      <c r="M536" s="1653"/>
      <c r="N536" s="1653"/>
      <c r="O536" s="1653"/>
      <c r="P536" s="1653"/>
      <c r="Q536" s="1653"/>
      <c r="R536" s="1647"/>
      <c r="S536" s="1729">
        <f>'Part IV-A-Uses of Funds'!S100</f>
        <v>67200</v>
      </c>
      <c r="T536" s="1729">
        <f>'Part IV-A-Uses of Funds'!T100</f>
        <v>0</v>
      </c>
      <c r="U536" s="1647"/>
      <c r="V536" s="1735"/>
      <c r="W536" s="1485"/>
      <c r="X536" s="1485"/>
    </row>
    <row r="537" spans="1:24">
      <c r="A537" s="1647"/>
      <c r="B537" s="1647" t="s">
        <v>4244</v>
      </c>
      <c r="C537" s="1647"/>
      <c r="D537" s="1647"/>
      <c r="E537" s="1647"/>
      <c r="F537" s="1765">
        <f>'DCA Underwriting Assumptions'!$Q$90</f>
        <v>3000</v>
      </c>
      <c r="G537" s="1729">
        <f>'Part IV-A-Uses of Funds'!G101</f>
        <v>0</v>
      </c>
      <c r="H537" s="1729">
        <f>'Part IV-A-Uses of Funds'!H101</f>
        <v>0</v>
      </c>
      <c r="I537" s="1647"/>
      <c r="J537" s="1653"/>
      <c r="K537" s="1653"/>
      <c r="L537" s="1653"/>
      <c r="M537" s="1653"/>
      <c r="N537" s="1653"/>
      <c r="O537" s="1653"/>
      <c r="P537" s="1653"/>
      <c r="Q537" s="1653"/>
      <c r="R537" s="1647"/>
      <c r="S537" s="1729">
        <f>'Part IV-A-Uses of Funds'!S101</f>
        <v>0</v>
      </c>
      <c r="T537" s="1729">
        <f>'Part IV-A-Uses of Funds'!T101</f>
        <v>0</v>
      </c>
      <c r="U537" s="1647"/>
      <c r="V537" s="1735"/>
      <c r="W537" s="1485"/>
      <c r="X537" s="1485"/>
    </row>
    <row r="538" spans="1:24">
      <c r="A538" s="1647"/>
      <c r="B538" s="1647" t="s">
        <v>4245</v>
      </c>
      <c r="C538" s="1647"/>
      <c r="D538" s="1647"/>
      <c r="E538" s="1647"/>
      <c r="F538" s="1765">
        <f>'DCA Underwriting Assumptions'!$Q$113</f>
        <v>3000</v>
      </c>
      <c r="G538" s="1729">
        <f>'Part IV-A-Uses of Funds'!G102</f>
        <v>0</v>
      </c>
      <c r="H538" s="1729">
        <f>'Part IV-A-Uses of Funds'!H102</f>
        <v>0</v>
      </c>
      <c r="I538" s="1647"/>
      <c r="J538" s="1653"/>
      <c r="K538" s="1653"/>
      <c r="L538" s="1653"/>
      <c r="M538" s="1653"/>
      <c r="N538" s="1653"/>
      <c r="O538" s="1653"/>
      <c r="P538" s="1653"/>
      <c r="Q538" s="1653"/>
      <c r="R538" s="1647"/>
      <c r="S538" s="1729">
        <f>'Part IV-A-Uses of Funds'!S102</f>
        <v>0</v>
      </c>
      <c r="T538" s="1729">
        <f>'Part IV-A-Uses of Funds'!T102</f>
        <v>0</v>
      </c>
      <c r="U538" s="1647"/>
      <c r="V538" s="1735"/>
      <c r="W538" s="1485"/>
      <c r="X538" s="1485"/>
    </row>
    <row r="539" spans="1:24" ht="15.75" customHeight="1">
      <c r="A539" s="1732" t="str">
        <f>IF(AND(G539&gt;0,OR(C539="",C539="&lt;Enter detailed description here; use Comments section if needed&gt;")),"X","")</f>
        <v/>
      </c>
      <c r="B539" s="1647" t="s">
        <v>741</v>
      </c>
      <c r="C539" s="1659" t="str">
        <f>'Part IV-A-Uses of Funds'!C103</f>
        <v>&lt;&lt; Enter description here; provide detail &amp; justification in tab Part IV-b &gt;&gt;</v>
      </c>
      <c r="D539" s="1659">
        <f>'Part IV-A-Uses of Funds'!D103</f>
        <v>0</v>
      </c>
      <c r="E539" s="1659">
        <f>'Part IV-A-Uses of Funds'!E103</f>
        <v>0</v>
      </c>
      <c r="F539" s="1659">
        <f>'Part IV-A-Uses of Funds'!F103</f>
        <v>0</v>
      </c>
      <c r="G539" s="1729">
        <f>'Part IV-A-Uses of Funds'!G103</f>
        <v>0</v>
      </c>
      <c r="H539" s="1729">
        <f>'Part IV-A-Uses of Funds'!H103</f>
        <v>0</v>
      </c>
      <c r="I539" s="1647"/>
      <c r="J539" s="1653"/>
      <c r="K539" s="1653"/>
      <c r="L539" s="1653"/>
      <c r="M539" s="1653"/>
      <c r="N539" s="1653"/>
      <c r="O539" s="1653"/>
      <c r="P539" s="1653"/>
      <c r="Q539" s="1653"/>
      <c r="R539" s="1647"/>
      <c r="S539" s="1729">
        <f>'Part IV-A-Uses of Funds'!S103</f>
        <v>0</v>
      </c>
      <c r="T539" s="1729">
        <f>'Part IV-A-Uses of Funds'!T103</f>
        <v>0</v>
      </c>
      <c r="U539" s="1648" t="str">
        <f>IF(AND(G539&gt;0,OR(C539="",C539="&lt;Enter detailed description here; use Comments section if needed&gt;")),"NO DESCRIPTION PROVIDED - please enter detailed description in Other box at left; use Comments section below if needed.","")</f>
        <v/>
      </c>
      <c r="V539" s="1735"/>
      <c r="W539" s="1485"/>
      <c r="X539" s="1485"/>
    </row>
    <row r="540" spans="1:24" ht="16.5" customHeight="1">
      <c r="A540" s="1732" t="str">
        <f>IF(AND(G540&gt;0,OR(C540="",C540="&lt;Enter detailed description here; use Comments section if needed&gt;")),"X","")</f>
        <v/>
      </c>
      <c r="B540" s="1647" t="s">
        <v>741</v>
      </c>
      <c r="C540" s="1659" t="str">
        <f>'Part IV-A-Uses of Funds'!C104</f>
        <v>&lt;&lt; Enter description here; provide detail &amp; justification in tab Part IV-b &gt;&gt;</v>
      </c>
      <c r="D540" s="1659">
        <f>'Part IV-A-Uses of Funds'!D104</f>
        <v>0</v>
      </c>
      <c r="E540" s="1659">
        <f>'Part IV-A-Uses of Funds'!E104</f>
        <v>0</v>
      </c>
      <c r="F540" s="1659">
        <f>'Part IV-A-Uses of Funds'!F104</f>
        <v>0</v>
      </c>
      <c r="G540" s="1729">
        <f>'Part IV-A-Uses of Funds'!G104</f>
        <v>0</v>
      </c>
      <c r="H540" s="1729">
        <f>'Part IV-A-Uses of Funds'!H104</f>
        <v>0</v>
      </c>
      <c r="I540" s="1647"/>
      <c r="J540" s="1653"/>
      <c r="K540" s="1653"/>
      <c r="L540" s="1653"/>
      <c r="M540" s="1653"/>
      <c r="N540" s="1653"/>
      <c r="O540" s="1653"/>
      <c r="P540" s="1653"/>
      <c r="Q540" s="1653"/>
      <c r="R540" s="1647"/>
      <c r="S540" s="1729">
        <f>'Part IV-A-Uses of Funds'!S104</f>
        <v>0</v>
      </c>
      <c r="T540" s="1729">
        <f>'Part IV-A-Uses of Funds'!T104</f>
        <v>0</v>
      </c>
      <c r="U540" s="1648" t="str">
        <f>IF(AND(G540&gt;0,OR(C540="",C540="&lt;Enter detailed description here; use Comments section if needed&gt;")),"NO DESCRIPTION PROVIDED - please enter detailed description in Other box at left; use Comments section below if needed.","")</f>
        <v/>
      </c>
      <c r="V540" s="1735"/>
      <c r="W540" s="1485"/>
      <c r="X540" s="1485"/>
    </row>
    <row r="541" spans="1:24">
      <c r="A541" s="1647"/>
      <c r="B541" s="1647"/>
      <c r="C541" s="1647"/>
      <c r="D541" s="1647"/>
      <c r="E541" s="1647"/>
      <c r="F541" s="1733" t="s">
        <v>191</v>
      </c>
      <c r="G541" s="1729">
        <f>SUM(G532:H540)</f>
        <v>126505</v>
      </c>
      <c r="H541" s="1729"/>
      <c r="I541" s="1647"/>
      <c r="J541" s="1664"/>
      <c r="K541" s="1664"/>
      <c r="L541" s="1664"/>
      <c r="M541" s="1664"/>
      <c r="N541" s="1664"/>
      <c r="O541" s="1647"/>
      <c r="P541" s="1664"/>
      <c r="Q541" s="1664"/>
      <c r="R541" s="1647"/>
      <c r="S541" s="1729">
        <f>SUM(S532:T540)</f>
        <v>126505</v>
      </c>
      <c r="T541" s="1729"/>
      <c r="U541" s="1647"/>
      <c r="V541" s="1735">
        <f>SUM(V532:V540)</f>
        <v>0</v>
      </c>
      <c r="W541" s="1838"/>
      <c r="X541" s="1838"/>
    </row>
    <row r="542" spans="1:24">
      <c r="A542" s="1647"/>
      <c r="B542" s="1628" t="s">
        <v>2299</v>
      </c>
      <c r="C542" s="1647"/>
      <c r="D542" s="1647"/>
      <c r="E542" s="1647"/>
      <c r="F542" s="1647"/>
      <c r="G542" s="1647"/>
      <c r="H542" s="1647"/>
      <c r="I542" s="1647"/>
      <c r="J542" s="1664"/>
      <c r="K542" s="1664"/>
      <c r="L542" s="1647"/>
      <c r="M542" s="1664"/>
      <c r="N542" s="1664"/>
      <c r="O542" s="1734" t="str">
        <f>B542</f>
        <v>EQUITY COSTS</v>
      </c>
      <c r="P542" s="1664"/>
      <c r="Q542" s="1664"/>
      <c r="R542" s="1647"/>
      <c r="S542" s="1664"/>
      <c r="T542" s="1664"/>
      <c r="U542" s="1647"/>
      <c r="V542" s="1735"/>
      <c r="W542" s="1647" t="str">
        <f>B542</f>
        <v>EQUITY COSTS</v>
      </c>
      <c r="X542" s="1647"/>
    </row>
    <row r="543" spans="1:24">
      <c r="A543" s="1647"/>
      <c r="B543" s="1647" t="s">
        <v>279</v>
      </c>
      <c r="C543" s="1647"/>
      <c r="D543" s="1647"/>
      <c r="E543" s="1647"/>
      <c r="F543" s="1647"/>
      <c r="G543" s="1729">
        <f>'Part IV-A-Uses of Funds'!G107</f>
        <v>0</v>
      </c>
      <c r="H543" s="1729">
        <f>'Part IV-A-Uses of Funds'!H107</f>
        <v>0</v>
      </c>
      <c r="I543" s="1647"/>
      <c r="J543" s="1729"/>
      <c r="K543" s="1729"/>
      <c r="L543" s="1664"/>
      <c r="M543" s="1729"/>
      <c r="N543" s="1729"/>
      <c r="O543" s="1647"/>
      <c r="P543" s="1729"/>
      <c r="Q543" s="1729"/>
      <c r="R543" s="1647"/>
      <c r="S543" s="1729">
        <f>'Part IV-A-Uses of Funds'!S107</f>
        <v>0</v>
      </c>
      <c r="T543" s="1729">
        <f>'Part IV-A-Uses of Funds'!T107</f>
        <v>0</v>
      </c>
      <c r="U543" s="1647"/>
      <c r="V543" s="1735"/>
      <c r="W543" s="1485"/>
      <c r="X543" s="1485"/>
    </row>
    <row r="544" spans="1:24">
      <c r="A544" s="1647"/>
      <c r="B544" s="1647" t="s">
        <v>280</v>
      </c>
      <c r="C544" s="1647"/>
      <c r="D544" s="1647"/>
      <c r="E544" s="1647"/>
      <c r="F544" s="1647"/>
      <c r="G544" s="1729">
        <f>'Part IV-A-Uses of Funds'!G108</f>
        <v>24000</v>
      </c>
      <c r="H544" s="1729">
        <f>'Part IV-A-Uses of Funds'!H108</f>
        <v>0</v>
      </c>
      <c r="I544" s="1647"/>
      <c r="J544" s="1729"/>
      <c r="K544" s="1729"/>
      <c r="L544" s="1664"/>
      <c r="M544" s="1729"/>
      <c r="N544" s="1729"/>
      <c r="O544" s="1647"/>
      <c r="P544" s="1729"/>
      <c r="Q544" s="1729"/>
      <c r="R544" s="1647"/>
      <c r="S544" s="1729">
        <f>'Part IV-A-Uses of Funds'!S108</f>
        <v>24000</v>
      </c>
      <c r="T544" s="1729">
        <f>'Part IV-A-Uses of Funds'!T108</f>
        <v>0</v>
      </c>
      <c r="U544" s="1647"/>
      <c r="V544" s="1735"/>
      <c r="W544" s="1485"/>
      <c r="X544" s="1485"/>
    </row>
    <row r="545" spans="1:24">
      <c r="A545" s="1647"/>
      <c r="B545" s="1647" t="s">
        <v>2386</v>
      </c>
      <c r="C545" s="1647"/>
      <c r="D545" s="1647"/>
      <c r="E545" s="1647"/>
      <c r="F545" s="1647"/>
      <c r="G545" s="1729">
        <f>'Part IV-A-Uses of Funds'!G109</f>
        <v>0</v>
      </c>
      <c r="H545" s="1729">
        <f>'Part IV-A-Uses of Funds'!H109</f>
        <v>0</v>
      </c>
      <c r="I545" s="1647"/>
      <c r="J545" s="1729"/>
      <c r="K545" s="1729"/>
      <c r="L545" s="1664"/>
      <c r="M545" s="1729"/>
      <c r="N545" s="1729"/>
      <c r="O545" s="1647"/>
      <c r="P545" s="1729"/>
      <c r="Q545" s="1729"/>
      <c r="R545" s="1647"/>
      <c r="S545" s="1729">
        <f>'Part IV-A-Uses of Funds'!S109</f>
        <v>0</v>
      </c>
      <c r="T545" s="1729">
        <f>'Part IV-A-Uses of Funds'!T109</f>
        <v>0</v>
      </c>
      <c r="U545" s="1647"/>
      <c r="V545" s="1735"/>
      <c r="W545" s="1485"/>
      <c r="X545" s="1485"/>
    </row>
    <row r="546" spans="1:24" ht="16.5" customHeight="1">
      <c r="A546" s="1732" t="str">
        <f>IF(AND(G546&gt;0,OR(C546="",C546="&lt;Enter detailed description here; use Comments section if needed&gt;")),"X","")</f>
        <v/>
      </c>
      <c r="B546" s="1647" t="s">
        <v>741</v>
      </c>
      <c r="C546" s="1659" t="str">
        <f>'Part IV-A-Uses of Funds'!C110</f>
        <v>&lt;&lt; Enter description here; provide detail &amp; justification in tab Part IV-b &gt;&gt;</v>
      </c>
      <c r="D546" s="1659">
        <f>'Part IV-A-Uses of Funds'!D110</f>
        <v>0</v>
      </c>
      <c r="E546" s="1659">
        <f>'Part IV-A-Uses of Funds'!E110</f>
        <v>0</v>
      </c>
      <c r="F546" s="1659">
        <f>'Part IV-A-Uses of Funds'!F110</f>
        <v>0</v>
      </c>
      <c r="G546" s="1729">
        <f>'Part IV-A-Uses of Funds'!G110</f>
        <v>0</v>
      </c>
      <c r="H546" s="1729">
        <f>'Part IV-A-Uses of Funds'!H110</f>
        <v>0</v>
      </c>
      <c r="I546" s="1647"/>
      <c r="J546" s="1729"/>
      <c r="K546" s="1729"/>
      <c r="L546" s="1664"/>
      <c r="M546" s="1729"/>
      <c r="N546" s="1729"/>
      <c r="O546" s="1647"/>
      <c r="P546" s="1729"/>
      <c r="Q546" s="1729"/>
      <c r="R546" s="1647"/>
      <c r="S546" s="1729">
        <f>'Part IV-A-Uses of Funds'!S110</f>
        <v>0</v>
      </c>
      <c r="T546" s="1729">
        <f>'Part IV-A-Uses of Funds'!T110</f>
        <v>0</v>
      </c>
      <c r="U546" s="1648" t="str">
        <f>IF(AND(G546&gt;0,OR(C546="",C546="&lt;Enter detailed description here; use Comments section if needed&gt;")),"NO DESCRIPTION PROVIDED - please enter detailed description in Other box at left; use Comments section below if needed.","")</f>
        <v/>
      </c>
      <c r="V546" s="1735"/>
      <c r="W546" s="1485"/>
      <c r="X546" s="1485"/>
    </row>
    <row r="547" spans="1:24">
      <c r="A547" s="1647"/>
      <c r="B547" s="1647"/>
      <c r="C547" s="1647"/>
      <c r="D547" s="1647"/>
      <c r="E547" s="1647"/>
      <c r="F547" s="1733" t="s">
        <v>191</v>
      </c>
      <c r="G547" s="1729">
        <f>SUM(G543:H546)</f>
        <v>24000</v>
      </c>
      <c r="H547" s="1729"/>
      <c r="I547" s="1647"/>
      <c r="J547" s="1729"/>
      <c r="K547" s="1729"/>
      <c r="L547" s="1664"/>
      <c r="M547" s="1729"/>
      <c r="N547" s="1729"/>
      <c r="O547" s="1647"/>
      <c r="P547" s="1729"/>
      <c r="Q547" s="1729"/>
      <c r="R547" s="1647"/>
      <c r="S547" s="1729">
        <f>SUM(S543:T546)</f>
        <v>24000</v>
      </c>
      <c r="T547" s="1729"/>
      <c r="U547" s="1647"/>
      <c r="V547" s="1735">
        <f>SUM(V543:V546)</f>
        <v>0</v>
      </c>
      <c r="W547" s="1485"/>
      <c r="X547" s="1485"/>
    </row>
    <row r="548" spans="1:24">
      <c r="A548" s="1647"/>
      <c r="B548" s="1628" t="s">
        <v>281</v>
      </c>
      <c r="C548" s="1647"/>
      <c r="D548" s="1647"/>
      <c r="E548" s="1647"/>
      <c r="F548" s="1647"/>
      <c r="G548" s="1647"/>
      <c r="H548" s="1647"/>
      <c r="I548" s="1647"/>
      <c r="J548" s="1664"/>
      <c r="K548" s="1729"/>
      <c r="L548" s="1647"/>
      <c r="M548" s="1664"/>
      <c r="N548" s="1729"/>
      <c r="O548" s="1734" t="str">
        <f>B548</f>
        <v>DEVELOPER'S FEE</v>
      </c>
      <c r="P548" s="1664"/>
      <c r="Q548" s="1729"/>
      <c r="R548" s="1647"/>
      <c r="S548" s="1664"/>
      <c r="T548" s="1729"/>
      <c r="U548" s="1647"/>
      <c r="V548" s="1735"/>
      <c r="W548" s="1647" t="str">
        <f>B548</f>
        <v>DEVELOPER'S FEE</v>
      </c>
      <c r="X548" s="1647"/>
    </row>
    <row r="549" spans="1:24">
      <c r="A549" s="1647"/>
      <c r="B549" s="1647" t="s">
        <v>1860</v>
      </c>
      <c r="C549" s="1647"/>
      <c r="D549" s="1647"/>
      <c r="E549" s="1647"/>
      <c r="F549" s="1716">
        <f>IF($G$118=0,0,G549/$G$118)</f>
        <v>0</v>
      </c>
      <c r="G549" s="1729">
        <f>'Part IV-A-Uses of Funds'!G113</f>
        <v>18000</v>
      </c>
      <c r="H549" s="1729">
        <f>'Part IV-A-Uses of Funds'!H113</f>
        <v>0</v>
      </c>
      <c r="I549" s="1647"/>
      <c r="J549" s="1729">
        <f>'Part IV-A-Uses of Funds'!J113</f>
        <v>18000</v>
      </c>
      <c r="K549" s="1729">
        <f>'Part IV-A-Uses of Funds'!K113</f>
        <v>0</v>
      </c>
      <c r="L549" s="1734"/>
      <c r="M549" s="1729">
        <f>'Part IV-A-Uses of Funds'!M113</f>
        <v>0</v>
      </c>
      <c r="N549" s="1729">
        <f>'Part IV-A-Uses of Funds'!N113</f>
        <v>0</v>
      </c>
      <c r="O549" s="1647"/>
      <c r="P549" s="1729">
        <f>'Part IV-A-Uses of Funds'!P113</f>
        <v>0</v>
      </c>
      <c r="Q549" s="1729">
        <f>'Part IV-A-Uses of Funds'!Q113</f>
        <v>0</v>
      </c>
      <c r="R549" s="1647"/>
      <c r="S549" s="1729">
        <f>'Part IV-A-Uses of Funds'!S113</f>
        <v>0</v>
      </c>
      <c r="T549" s="1729">
        <f>'Part IV-A-Uses of Funds'!T113</f>
        <v>0</v>
      </c>
      <c r="U549" s="1647"/>
      <c r="V549" s="1735"/>
      <c r="W549" s="1485"/>
      <c r="X549" s="1485"/>
    </row>
    <row r="550" spans="1:24">
      <c r="A550" s="1647"/>
      <c r="B550" s="1647" t="s">
        <v>4200</v>
      </c>
      <c r="C550" s="1647"/>
      <c r="D550" s="1647"/>
      <c r="E550" s="1647"/>
      <c r="F550" s="2136">
        <f>'Part IV-A-Uses of Funds'!F114</f>
        <v>0</v>
      </c>
      <c r="G550" s="1647"/>
      <c r="H550" s="1647"/>
      <c r="I550" s="1647"/>
      <c r="J550" s="1647"/>
      <c r="K550" s="1647"/>
      <c r="L550" s="1647"/>
      <c r="M550" s="1647"/>
      <c r="N550" s="1647"/>
      <c r="O550" s="1647"/>
      <c r="P550" s="1647"/>
      <c r="Q550" s="1647"/>
      <c r="R550" s="1647"/>
      <c r="S550" s="1647"/>
      <c r="T550" s="1647"/>
      <c r="U550" s="1647"/>
      <c r="V550" s="1735"/>
      <c r="W550" s="1485"/>
      <c r="X550" s="1485"/>
    </row>
    <row r="551" spans="1:24">
      <c r="A551" s="1647"/>
      <c r="B551" s="1647" t="s">
        <v>1861</v>
      </c>
      <c r="C551" s="1647"/>
      <c r="D551" s="1647"/>
      <c r="E551" s="1647"/>
      <c r="F551" s="1716">
        <f>IF($G$118=0,0,G551/$G$118)</f>
        <v>0</v>
      </c>
      <c r="G551" s="1729">
        <f>'Part IV-A-Uses of Funds'!G115</f>
        <v>0</v>
      </c>
      <c r="H551" s="1729">
        <f>'Part IV-A-Uses of Funds'!H115</f>
        <v>0</v>
      </c>
      <c r="I551" s="1647"/>
      <c r="J551" s="1729">
        <f>'Part IV-A-Uses of Funds'!J115</f>
        <v>0</v>
      </c>
      <c r="K551" s="1729">
        <f>'Part IV-A-Uses of Funds'!K115</f>
        <v>0</v>
      </c>
      <c r="L551" s="1664"/>
      <c r="M551" s="1729">
        <f>'Part IV-A-Uses of Funds'!M115</f>
        <v>0</v>
      </c>
      <c r="N551" s="1729">
        <f>'Part IV-A-Uses of Funds'!N115</f>
        <v>0</v>
      </c>
      <c r="O551" s="1647"/>
      <c r="P551" s="1729">
        <f>'Part IV-A-Uses of Funds'!P115</f>
        <v>0</v>
      </c>
      <c r="Q551" s="1729">
        <f>'Part IV-A-Uses of Funds'!Q115</f>
        <v>0</v>
      </c>
      <c r="R551" s="1647"/>
      <c r="S551" s="1729">
        <f>'Part IV-A-Uses of Funds'!S115</f>
        <v>0</v>
      </c>
      <c r="T551" s="1729">
        <f>'Part IV-A-Uses of Funds'!T115</f>
        <v>0</v>
      </c>
      <c r="U551" s="1647"/>
      <c r="V551" s="1735"/>
      <c r="W551" s="1485"/>
      <c r="X551" s="1485"/>
    </row>
    <row r="552" spans="1:24">
      <c r="A552" s="1647"/>
      <c r="B552" s="1647" t="s">
        <v>3634</v>
      </c>
      <c r="C552" s="1647"/>
      <c r="D552" s="1647"/>
      <c r="E552" s="1647"/>
      <c r="F552" s="1716">
        <f>IF($G$118=0,0,G552/$G$118)</f>
        <v>0</v>
      </c>
      <c r="G552" s="1729">
        <f>'Part IV-A-Uses of Funds'!G116</f>
        <v>0</v>
      </c>
      <c r="H552" s="1729">
        <f>'Part IV-A-Uses of Funds'!H116</f>
        <v>0</v>
      </c>
      <c r="I552" s="1647"/>
      <c r="J552" s="1729">
        <f>'Part IV-A-Uses of Funds'!J116</f>
        <v>0</v>
      </c>
      <c r="K552" s="1729">
        <f>'Part IV-A-Uses of Funds'!K116</f>
        <v>0</v>
      </c>
      <c r="L552" s="1664"/>
      <c r="M552" s="1729">
        <f>'Part IV-A-Uses of Funds'!M116</f>
        <v>0</v>
      </c>
      <c r="N552" s="1729">
        <f>'Part IV-A-Uses of Funds'!N116</f>
        <v>0</v>
      </c>
      <c r="O552" s="1647"/>
      <c r="P552" s="1729">
        <f>'Part IV-A-Uses of Funds'!P116</f>
        <v>0</v>
      </c>
      <c r="Q552" s="1729">
        <f>'Part IV-A-Uses of Funds'!Q116</f>
        <v>0</v>
      </c>
      <c r="R552" s="1647"/>
      <c r="S552" s="1729">
        <f>'Part IV-A-Uses of Funds'!S116</f>
        <v>0</v>
      </c>
      <c r="T552" s="1729">
        <f>'Part IV-A-Uses of Funds'!T116</f>
        <v>0</v>
      </c>
      <c r="U552" s="1647"/>
      <c r="V552" s="1735"/>
      <c r="W552" s="1485"/>
      <c r="X552" s="1485"/>
    </row>
    <row r="553" spans="1:24">
      <c r="A553" s="1647"/>
      <c r="B553" s="1647" t="s">
        <v>1853</v>
      </c>
      <c r="C553" s="1647"/>
      <c r="D553" s="1647"/>
      <c r="E553" s="1647"/>
      <c r="F553" s="1716">
        <f>IF($G$118=0,0,G553/$G$118)</f>
        <v>0</v>
      </c>
      <c r="G553" s="1729">
        <f>'Part IV-A-Uses of Funds'!G117</f>
        <v>2400000</v>
      </c>
      <c r="H553" s="1729">
        <f>'Part IV-A-Uses of Funds'!H117</f>
        <v>0</v>
      </c>
      <c r="I553" s="1647"/>
      <c r="J553" s="1729">
        <f>'Part IV-A-Uses of Funds'!J117</f>
        <v>2400000</v>
      </c>
      <c r="K553" s="1729">
        <f>'Part IV-A-Uses of Funds'!K117</f>
        <v>0</v>
      </c>
      <c r="L553" s="1664"/>
      <c r="M553" s="1729">
        <f>'Part IV-A-Uses of Funds'!M117</f>
        <v>0</v>
      </c>
      <c r="N553" s="1729">
        <f>'Part IV-A-Uses of Funds'!N117</f>
        <v>0</v>
      </c>
      <c r="O553" s="1647"/>
      <c r="P553" s="1729">
        <f>'Part IV-A-Uses of Funds'!P117</f>
        <v>0</v>
      </c>
      <c r="Q553" s="1729">
        <f>'Part IV-A-Uses of Funds'!Q117</f>
        <v>0</v>
      </c>
      <c r="R553" s="1647"/>
      <c r="S553" s="1729">
        <f>'Part IV-A-Uses of Funds'!S117</f>
        <v>0</v>
      </c>
      <c r="T553" s="1729">
        <f>'Part IV-A-Uses of Funds'!T117</f>
        <v>0</v>
      </c>
      <c r="U553" s="1647"/>
      <c r="V553" s="1735"/>
      <c r="W553" s="1485"/>
      <c r="X553" s="1485"/>
    </row>
    <row r="554" spans="1:24">
      <c r="A554" s="1647"/>
      <c r="B554" s="1647"/>
      <c r="C554" s="1648"/>
      <c r="D554" s="1647"/>
      <c r="E554" s="1647"/>
      <c r="F554" s="1733" t="s">
        <v>191</v>
      </c>
      <c r="G554" s="1729">
        <f>SUM(G549:H553)</f>
        <v>2418000</v>
      </c>
      <c r="H554" s="1729"/>
      <c r="I554" s="1647"/>
      <c r="J554" s="1729">
        <f>SUM(J549:K553)</f>
        <v>2418000</v>
      </c>
      <c r="K554" s="1729"/>
      <c r="L554" s="1664"/>
      <c r="M554" s="1729">
        <f>SUM(M549:N553)</f>
        <v>0</v>
      </c>
      <c r="N554" s="1729"/>
      <c r="O554" s="1647"/>
      <c r="P554" s="1729">
        <f>SUM(P549:Q553)</f>
        <v>0</v>
      </c>
      <c r="Q554" s="1729"/>
      <c r="R554" s="1647"/>
      <c r="S554" s="1729">
        <f>SUM(S549:T553)</f>
        <v>0</v>
      </c>
      <c r="T554" s="1729"/>
      <c r="U554" s="1647"/>
      <c r="V554" s="1735">
        <f>SUM(V549:V553)</f>
        <v>0</v>
      </c>
      <c r="W554" s="1485"/>
      <c r="X554" s="1485"/>
    </row>
    <row r="555" spans="1:24">
      <c r="A555" s="1647"/>
      <c r="B555" s="1628" t="s">
        <v>1309</v>
      </c>
      <c r="C555" s="1647"/>
      <c r="D555" s="1647"/>
      <c r="E555" s="1647"/>
      <c r="F555" s="1647"/>
      <c r="G555" s="1647"/>
      <c r="H555" s="1647"/>
      <c r="I555" s="1647"/>
      <c r="J555" s="1729"/>
      <c r="K555" s="1729"/>
      <c r="L555" s="1647"/>
      <c r="M555" s="1729"/>
      <c r="N555" s="1729"/>
      <c r="O555" s="1734" t="str">
        <f>B555</f>
        <v>START-UP AND RESERVES</v>
      </c>
      <c r="P555" s="1729"/>
      <c r="Q555" s="1729"/>
      <c r="R555" s="1647"/>
      <c r="S555" s="1729"/>
      <c r="T555" s="1729"/>
      <c r="U555" s="1647"/>
      <c r="V555" s="1735"/>
      <c r="W555" s="1647" t="str">
        <f>B555</f>
        <v>START-UP AND RESERVES</v>
      </c>
      <c r="X555" s="1647"/>
    </row>
    <row r="556" spans="1:24">
      <c r="A556" s="1647"/>
      <c r="B556" s="1647" t="s">
        <v>251</v>
      </c>
      <c r="C556" s="1647"/>
      <c r="D556" s="1647"/>
      <c r="E556" s="1647"/>
      <c r="F556" s="1647"/>
      <c r="G556" s="1729">
        <f>'Part IV-A-Uses of Funds'!G120</f>
        <v>0</v>
      </c>
      <c r="H556" s="1729">
        <f>'Part IV-A-Uses of Funds'!H120</f>
        <v>0</v>
      </c>
      <c r="I556" s="1647"/>
      <c r="J556" s="1762"/>
      <c r="K556" s="1762"/>
      <c r="L556" s="1762"/>
      <c r="M556" s="1762"/>
      <c r="N556" s="1762"/>
      <c r="O556" s="1647"/>
      <c r="P556" s="1762"/>
      <c r="Q556" s="1762"/>
      <c r="R556" s="1647"/>
      <c r="S556" s="1729">
        <f>'Part IV-A-Uses of Funds'!S120</f>
        <v>0</v>
      </c>
      <c r="T556" s="1729">
        <f>'Part IV-A-Uses of Funds'!T120</f>
        <v>0</v>
      </c>
      <c r="U556" s="1647"/>
      <c r="V556" s="1735"/>
      <c r="W556" s="1485"/>
      <c r="X556" s="1485"/>
    </row>
    <row r="557" spans="1:24">
      <c r="A557" s="1647"/>
      <c r="B557" s="1647" t="s">
        <v>1536</v>
      </c>
      <c r="C557" s="1647"/>
      <c r="D557" s="1647"/>
      <c r="E557" s="1647"/>
      <c r="F557" s="1766">
        <f>+'Part VI-Revenues &amp; Expenses'!$P$226*('DCA Underwriting Assumptions'!$Q$112/12)</f>
        <v>98687.25</v>
      </c>
      <c r="G557" s="1729">
        <f>'Part IV-A-Uses of Funds'!G121</f>
        <v>100000</v>
      </c>
      <c r="H557" s="1729">
        <f>'Part IV-A-Uses of Funds'!H121</f>
        <v>0</v>
      </c>
      <c r="I557" s="1647"/>
      <c r="J557" s="1767" t="str">
        <f>IF(E557&gt;G557,"WARNING! Rent-Up Reserves proposed is below minimum - add comment.","")</f>
        <v/>
      </c>
      <c r="K557" s="1767"/>
      <c r="L557" s="1664"/>
      <c r="M557" s="1729"/>
      <c r="N557" s="1729"/>
      <c r="O557" s="1647"/>
      <c r="P557" s="1729"/>
      <c r="Q557" s="1729"/>
      <c r="R557" s="1647"/>
      <c r="S557" s="1729">
        <f>'Part IV-A-Uses of Funds'!S121</f>
        <v>100000</v>
      </c>
      <c r="T557" s="1729">
        <f>'Part IV-A-Uses of Funds'!T121</f>
        <v>0</v>
      </c>
      <c r="U557" s="1647"/>
      <c r="V557" s="1735"/>
      <c r="W557" s="1485"/>
      <c r="X557" s="1485"/>
    </row>
    <row r="558" spans="1:24">
      <c r="A558" s="1647"/>
      <c r="B558" s="1647" t="s">
        <v>678</v>
      </c>
      <c r="C558" s="1647"/>
      <c r="D558" s="1647"/>
      <c r="E558" s="1647"/>
      <c r="F558" s="1768">
        <f>'Part VI-Revenues &amp; Expenses'!$P$226*('DCA Underwriting Assumptions'!$Q$111/12)+('Part VII-Pro Forma'!$B$25+'Part VII-Pro Forma'!$B$26+'Part VII-Pro Forma'!$B$27+'Part VII-Pro Forma'!$B$28)*'DCA Underwriting Assumptions'!$Q$110/(-12)</f>
        <v>389765.91110185382</v>
      </c>
      <c r="G558" s="1729">
        <f>'Part IV-A-Uses of Funds'!G122</f>
        <v>400000</v>
      </c>
      <c r="H558" s="1729">
        <f>'Part IV-A-Uses of Funds'!H122</f>
        <v>0</v>
      </c>
      <c r="I558" s="1647"/>
      <c r="J558" s="1767" t="str">
        <f>IF(E558&gt;G558,"WARNING! ODR proposed is below minimum - add comment.","")</f>
        <v/>
      </c>
      <c r="K558" s="1762"/>
      <c r="L558" s="1762"/>
      <c r="M558" s="1762"/>
      <c r="N558" s="1762"/>
      <c r="O558" s="1647"/>
      <c r="P558" s="1762"/>
      <c r="Q558" s="1762"/>
      <c r="R558" s="1647"/>
      <c r="S558" s="1729">
        <f>'Part IV-A-Uses of Funds'!S122</f>
        <v>400000</v>
      </c>
      <c r="T558" s="1729">
        <f>'Part IV-A-Uses of Funds'!T122</f>
        <v>0</v>
      </c>
      <c r="U558" s="1647"/>
      <c r="V558" s="1735"/>
      <c r="W558" s="1485"/>
      <c r="X558" s="1485"/>
    </row>
    <row r="559" spans="1:24">
      <c r="A559" s="1647"/>
      <c r="B559" s="1647" t="s">
        <v>1244</v>
      </c>
      <c r="C559" s="1647"/>
      <c r="D559" s="1647"/>
      <c r="E559" s="1647"/>
      <c r="F559" s="1647"/>
      <c r="G559" s="1729">
        <f>'Part IV-A-Uses of Funds'!G123</f>
        <v>0</v>
      </c>
      <c r="H559" s="1729">
        <f>'Part IV-A-Uses of Funds'!H123</f>
        <v>0</v>
      </c>
      <c r="I559" s="1647"/>
      <c r="J559" s="1762"/>
      <c r="K559" s="1762"/>
      <c r="L559" s="1762"/>
      <c r="M559" s="1762"/>
      <c r="N559" s="1762"/>
      <c r="O559" s="1647"/>
      <c r="P559" s="1762"/>
      <c r="Q559" s="1762"/>
      <c r="R559" s="1647"/>
      <c r="S559" s="1729">
        <f>'Part IV-A-Uses of Funds'!S123</f>
        <v>0</v>
      </c>
      <c r="T559" s="1729">
        <f>'Part IV-A-Uses of Funds'!T123</f>
        <v>0</v>
      </c>
      <c r="U559" s="1647"/>
      <c r="V559" s="1735"/>
      <c r="W559" s="1485"/>
      <c r="X559" s="1485"/>
    </row>
    <row r="560" spans="1:24">
      <c r="A560" s="1647"/>
      <c r="B560" s="1647" t="s">
        <v>1245</v>
      </c>
      <c r="C560" s="1647"/>
      <c r="D560" s="1647"/>
      <c r="E560" s="1694" t="s">
        <v>3567</v>
      </c>
      <c r="F560" s="1736">
        <f>IF('Part VI-Revenues &amp; Expenses'!$O$67=0,0,G560/'Part VI-Revenues &amp; Expenses'!$O$67)</f>
        <v>357.14285714285717</v>
      </c>
      <c r="G560" s="1729">
        <f>'Part IV-A-Uses of Funds'!G124</f>
        <v>30000</v>
      </c>
      <c r="H560" s="1729">
        <f>'Part IV-A-Uses of Funds'!H124</f>
        <v>0</v>
      </c>
      <c r="I560" s="1647"/>
      <c r="J560" s="1729">
        <f>'Part IV-A-Uses of Funds'!J124</f>
        <v>30000</v>
      </c>
      <c r="K560" s="1729">
        <f>'Part IV-A-Uses of Funds'!K124</f>
        <v>0</v>
      </c>
      <c r="L560" s="1664"/>
      <c r="M560" s="1729">
        <f>'Part IV-A-Uses of Funds'!M124</f>
        <v>0</v>
      </c>
      <c r="N560" s="1729">
        <f>'Part IV-A-Uses of Funds'!N124</f>
        <v>0</v>
      </c>
      <c r="O560" s="1647"/>
      <c r="P560" s="1729">
        <f>'Part IV-A-Uses of Funds'!P124</f>
        <v>0</v>
      </c>
      <c r="Q560" s="1729">
        <f>'Part IV-A-Uses of Funds'!Q124</f>
        <v>0</v>
      </c>
      <c r="R560" s="1647"/>
      <c r="S560" s="1729">
        <f>'Part IV-A-Uses of Funds'!S124</f>
        <v>0</v>
      </c>
      <c r="T560" s="1729">
        <f>'Part IV-A-Uses of Funds'!T124</f>
        <v>0</v>
      </c>
      <c r="U560" s="1647"/>
      <c r="V560" s="1735"/>
      <c r="W560" s="1485"/>
      <c r="X560" s="1485"/>
    </row>
    <row r="561" spans="1:24" ht="16.5" customHeight="1">
      <c r="A561" s="1732" t="str">
        <f>IF(AND(G561&gt;0,OR(C561="",C561="&lt;Enter detailed description here; use Comments section if needed&gt;")),"X","")</f>
        <v/>
      </c>
      <c r="B561" s="1647" t="s">
        <v>741</v>
      </c>
      <c r="C561" s="1659" t="str">
        <f>'Part IV-A-Uses of Funds'!C125</f>
        <v>&lt;&lt; Enter description here; provide detail &amp; justification in tab Part IV-b &gt;&gt;</v>
      </c>
      <c r="D561" s="1659">
        <f>'Part IV-A-Uses of Funds'!D125</f>
        <v>0</v>
      </c>
      <c r="E561" s="1659">
        <f>'Part IV-A-Uses of Funds'!E125</f>
        <v>0</v>
      </c>
      <c r="F561" s="1659">
        <f>'Part IV-A-Uses of Funds'!F125</f>
        <v>0</v>
      </c>
      <c r="G561" s="1729">
        <f>'Part IV-A-Uses of Funds'!G125</f>
        <v>0</v>
      </c>
      <c r="H561" s="1729">
        <f>'Part IV-A-Uses of Funds'!H125</f>
        <v>0</v>
      </c>
      <c r="I561" s="1647"/>
      <c r="J561" s="1729">
        <f>'Part IV-A-Uses of Funds'!J125</f>
        <v>0</v>
      </c>
      <c r="K561" s="1729">
        <f>'Part IV-A-Uses of Funds'!K125</f>
        <v>0</v>
      </c>
      <c r="L561" s="1664"/>
      <c r="M561" s="1729">
        <f>'Part IV-A-Uses of Funds'!M125</f>
        <v>0</v>
      </c>
      <c r="N561" s="1729">
        <f>'Part IV-A-Uses of Funds'!N125</f>
        <v>0</v>
      </c>
      <c r="O561" s="1647"/>
      <c r="P561" s="1729">
        <f>'Part IV-A-Uses of Funds'!P125</f>
        <v>0</v>
      </c>
      <c r="Q561" s="1729">
        <f>'Part IV-A-Uses of Funds'!Q125</f>
        <v>0</v>
      </c>
      <c r="R561" s="1647"/>
      <c r="S561" s="1729">
        <f>'Part IV-A-Uses of Funds'!S125</f>
        <v>0</v>
      </c>
      <c r="T561" s="1729">
        <f>'Part IV-A-Uses of Funds'!T125</f>
        <v>0</v>
      </c>
      <c r="U561" s="1648" t="str">
        <f>IF(AND(G561&gt;0,OR(C561="",C561="&lt;Enter detailed description here; use Comments section if needed&gt;")),"NO DESCRIPTION PROVIDED - please enter detailed description in Other box at left; use Comments section below if needed.","")</f>
        <v/>
      </c>
      <c r="V561" s="1735"/>
      <c r="W561" s="1485"/>
      <c r="X561" s="1485"/>
    </row>
    <row r="562" spans="1:24">
      <c r="A562" s="1647"/>
      <c r="B562" s="1769"/>
      <c r="C562" s="1647"/>
      <c r="D562" s="1647"/>
      <c r="E562" s="1647"/>
      <c r="F562" s="1733" t="s">
        <v>191</v>
      </c>
      <c r="G562" s="1729">
        <f>SUM(G556:H561)</f>
        <v>530000</v>
      </c>
      <c r="H562" s="1729"/>
      <c r="I562" s="1647"/>
      <c r="J562" s="1729">
        <f>SUM(J560:K561)</f>
        <v>30000</v>
      </c>
      <c r="K562" s="1729"/>
      <c r="L562" s="1664"/>
      <c r="M562" s="1729">
        <f>SUM(M560:N561)</f>
        <v>0</v>
      </c>
      <c r="N562" s="1729"/>
      <c r="O562" s="1647"/>
      <c r="P562" s="1729">
        <f>SUM(P560:Q561)</f>
        <v>0</v>
      </c>
      <c r="Q562" s="1729"/>
      <c r="R562" s="1647"/>
      <c r="S562" s="1729">
        <f>SUM(S556:T561)</f>
        <v>500000</v>
      </c>
      <c r="T562" s="1729"/>
      <c r="U562" s="1647"/>
      <c r="V562" s="1735">
        <f>SUM(V556:V561)</f>
        <v>0</v>
      </c>
      <c r="W562" s="1485"/>
      <c r="X562" s="1485"/>
    </row>
    <row r="563" spans="1:24">
      <c r="A563" s="1647"/>
      <c r="B563" s="1628" t="s">
        <v>610</v>
      </c>
      <c r="C563" s="1654"/>
      <c r="D563" s="1647"/>
      <c r="E563" s="1647"/>
      <c r="F563" s="1647"/>
      <c r="G563" s="1647"/>
      <c r="H563" s="1770"/>
      <c r="I563" s="1770"/>
      <c r="J563" s="1729"/>
      <c r="K563" s="1729"/>
      <c r="L563" s="1647"/>
      <c r="M563" s="1729"/>
      <c r="N563" s="1729"/>
      <c r="O563" s="1734" t="str">
        <f>B563</f>
        <v>OTHER COSTS</v>
      </c>
      <c r="P563" s="1729"/>
      <c r="Q563" s="1729"/>
      <c r="R563" s="1647"/>
      <c r="S563" s="1729"/>
      <c r="T563" s="1729"/>
      <c r="U563" s="1647"/>
      <c r="V563" s="1735"/>
      <c r="W563" s="1647" t="str">
        <f>B563</f>
        <v>OTHER COSTS</v>
      </c>
      <c r="X563" s="1647"/>
    </row>
    <row r="564" spans="1:24">
      <c r="A564" s="1647"/>
      <c r="B564" s="1647" t="s">
        <v>611</v>
      </c>
      <c r="C564" s="1654"/>
      <c r="D564" s="1647"/>
      <c r="E564" s="1647"/>
      <c r="F564" s="1647"/>
      <c r="G564" s="1729">
        <f>'Part IV-A-Uses of Funds'!G128</f>
        <v>0</v>
      </c>
      <c r="H564" s="1729">
        <f>'Part IV-A-Uses of Funds'!H128</f>
        <v>0</v>
      </c>
      <c r="I564" s="1647"/>
      <c r="J564" s="1729">
        <f>'Part IV-A-Uses of Funds'!J128</f>
        <v>0</v>
      </c>
      <c r="K564" s="1729">
        <f>'Part IV-A-Uses of Funds'!K128</f>
        <v>0</v>
      </c>
      <c r="L564" s="1734"/>
      <c r="M564" s="1729">
        <f>'Part IV-A-Uses of Funds'!M128</f>
        <v>0</v>
      </c>
      <c r="N564" s="1729">
        <f>'Part IV-A-Uses of Funds'!N128</f>
        <v>0</v>
      </c>
      <c r="O564" s="1647"/>
      <c r="P564" s="1729">
        <f>'Part IV-A-Uses of Funds'!P128</f>
        <v>0</v>
      </c>
      <c r="Q564" s="1729">
        <f>'Part IV-A-Uses of Funds'!Q128</f>
        <v>0</v>
      </c>
      <c r="R564" s="1647"/>
      <c r="S564" s="1729">
        <f>'Part IV-A-Uses of Funds'!S128</f>
        <v>0</v>
      </c>
      <c r="T564" s="1729">
        <f>'Part IV-A-Uses of Funds'!T128</f>
        <v>0</v>
      </c>
      <c r="U564" s="1647"/>
      <c r="V564" s="1735"/>
      <c r="W564" s="1485"/>
      <c r="X564" s="1485"/>
    </row>
    <row r="565" spans="1:24" ht="16.5" customHeight="1">
      <c r="A565" s="1732" t="str">
        <f>IF(AND(G565&gt;0,OR(C565="",C565="&lt;Enter detailed description here; use Comments section if needed&gt;")),"X","")</f>
        <v/>
      </c>
      <c r="B565" s="1647" t="s">
        <v>741</v>
      </c>
      <c r="C565" s="1659" t="str">
        <f>'Part IV-A-Uses of Funds'!C129</f>
        <v>&lt;&lt; Enter description here; provide detail &amp; justification in tab Part IV-b &gt;&gt;</v>
      </c>
      <c r="D565" s="1659">
        <f>'Part IV-A-Uses of Funds'!D129</f>
        <v>0</v>
      </c>
      <c r="E565" s="1659">
        <f>'Part IV-A-Uses of Funds'!E129</f>
        <v>0</v>
      </c>
      <c r="F565" s="1659">
        <f>'Part IV-A-Uses of Funds'!F129</f>
        <v>0</v>
      </c>
      <c r="G565" s="1729">
        <f>'Part IV-A-Uses of Funds'!G129</f>
        <v>0</v>
      </c>
      <c r="H565" s="1729">
        <f>'Part IV-A-Uses of Funds'!H129</f>
        <v>0</v>
      </c>
      <c r="I565" s="1647"/>
      <c r="J565" s="1729">
        <f>'Part IV-A-Uses of Funds'!J129</f>
        <v>0</v>
      </c>
      <c r="K565" s="1729">
        <f>'Part IV-A-Uses of Funds'!K129</f>
        <v>0</v>
      </c>
      <c r="L565" s="1664"/>
      <c r="M565" s="1729">
        <f>'Part IV-A-Uses of Funds'!M129</f>
        <v>0</v>
      </c>
      <c r="N565" s="1729">
        <f>'Part IV-A-Uses of Funds'!N129</f>
        <v>0</v>
      </c>
      <c r="O565" s="1647"/>
      <c r="P565" s="1729">
        <f>'Part IV-A-Uses of Funds'!P129</f>
        <v>0</v>
      </c>
      <c r="Q565" s="1729">
        <f>'Part IV-A-Uses of Funds'!Q129</f>
        <v>0</v>
      </c>
      <c r="R565" s="1647"/>
      <c r="S565" s="1729">
        <f>'Part IV-A-Uses of Funds'!S129</f>
        <v>0</v>
      </c>
      <c r="T565" s="1729">
        <f>'Part IV-A-Uses of Funds'!T129</f>
        <v>0</v>
      </c>
      <c r="U565" s="1648" t="str">
        <f>IF(AND(G565&gt;0,OR(C565="",C565="&lt;Enter detailed description here; use Comments section if needed&gt;")),"NO DESCRIPTION PROVIDED - please enter detailed description in Other box at left; use Comments section below if needed.","")</f>
        <v/>
      </c>
      <c r="V565" s="1735"/>
      <c r="W565" s="1485"/>
      <c r="X565" s="1485"/>
    </row>
    <row r="566" spans="1:24">
      <c r="A566" s="1647"/>
      <c r="B566" s="1647"/>
      <c r="C566" s="1654"/>
      <c r="D566" s="1647"/>
      <c r="E566" s="1647"/>
      <c r="F566" s="1733" t="s">
        <v>191</v>
      </c>
      <c r="G566" s="1729">
        <f>SUM(G564:H565)</f>
        <v>0</v>
      </c>
      <c r="H566" s="1729"/>
      <c r="I566" s="1647"/>
      <c r="J566" s="1729">
        <f>SUM(J564:K565)</f>
        <v>0</v>
      </c>
      <c r="K566" s="1729"/>
      <c r="L566" s="1664"/>
      <c r="M566" s="1729">
        <f>SUM(M564:N565)</f>
        <v>0</v>
      </c>
      <c r="N566" s="1729"/>
      <c r="O566" s="1647"/>
      <c r="P566" s="1729">
        <f>SUM(P564:Q565)</f>
        <v>0</v>
      </c>
      <c r="Q566" s="1729"/>
      <c r="R566" s="1647"/>
      <c r="S566" s="1729">
        <f>SUM(S564:T565)</f>
        <v>0</v>
      </c>
      <c r="T566" s="1729"/>
      <c r="U566" s="1647"/>
      <c r="V566" s="1735">
        <f>SUM(V564:V565)</f>
        <v>0</v>
      </c>
      <c r="W566" s="1485"/>
      <c r="X566" s="1485"/>
    </row>
    <row r="567" spans="1:24">
      <c r="A567" s="1647"/>
      <c r="B567" s="1647"/>
      <c r="C567" s="1654"/>
      <c r="D567" s="1647"/>
      <c r="E567" s="1647"/>
      <c r="F567" s="1647"/>
      <c r="G567" s="1647"/>
      <c r="H567" s="1770"/>
      <c r="I567" s="1770"/>
      <c r="J567" s="1647"/>
      <c r="K567" s="1647"/>
      <c r="L567" s="1647"/>
      <c r="M567" s="1647"/>
      <c r="N567" s="1647"/>
      <c r="O567" s="1647"/>
      <c r="P567" s="1647"/>
      <c r="Q567" s="1647"/>
      <c r="R567" s="1647"/>
      <c r="S567" s="1647"/>
      <c r="T567" s="1647"/>
      <c r="U567" s="1647"/>
      <c r="V567" s="1735"/>
      <c r="W567" s="1838"/>
      <c r="X567" s="1838"/>
    </row>
    <row r="568" spans="1:24">
      <c r="A568" s="1647"/>
      <c r="B568" s="1648" t="s">
        <v>4514</v>
      </c>
      <c r="C568" s="1647"/>
      <c r="D568" s="1647"/>
      <c r="E568" s="1647"/>
      <c r="F568" s="1647"/>
      <c r="G568" s="1771">
        <f>G453+G459+G463+G469+G474+G477+G483+G500+G513+G519+G527+G541+G547+G554+G562+G566</f>
        <v>18093801</v>
      </c>
      <c r="H568" s="1771"/>
      <c r="I568" s="1647"/>
      <c r="J568" s="1771">
        <f>J453+J459+J463+J469+J474+J477+J483+J500+J513+J519+J527+J541+J547+J554+J562+J566</f>
        <v>15966588</v>
      </c>
      <c r="K568" s="1771"/>
      <c r="L568" s="1647"/>
      <c r="M568" s="1771">
        <f>M453+M459+M463+M469+M474+M477+M483+M500+M513+M519+M527+M541+M547+M554+M562+M566</f>
        <v>0</v>
      </c>
      <c r="N568" s="1771"/>
      <c r="O568" s="1647"/>
      <c r="P568" s="1771">
        <f>P453+P459+P463+P469+P474+P477+P483+P500+P513+P519+P527+P541+P547+P554+P562+P566</f>
        <v>0</v>
      </c>
      <c r="Q568" s="1771"/>
      <c r="R568" s="1647"/>
      <c r="S568" s="1771">
        <f>S453+S459+S463+S469+S474+S477+S483+S500+S513+S519+S527+S541+S547+S554+S562+S566</f>
        <v>1627213</v>
      </c>
      <c r="T568" s="1771"/>
      <c r="U568" s="1647"/>
      <c r="V568" s="1735">
        <f>V453+V459+V463+V469+V474+V477+V483+V500+V513+V519+V527+V541+V547+V554+V562+V566</f>
        <v>0</v>
      </c>
      <c r="W568" s="1485"/>
      <c r="X568" s="1485"/>
    </row>
    <row r="569" spans="1:24">
      <c r="A569" s="1647"/>
      <c r="B569" s="1647"/>
      <c r="C569" s="1654"/>
      <c r="D569" s="1647"/>
      <c r="E569" s="1647"/>
      <c r="F569" s="1647"/>
      <c r="G569" s="1647"/>
      <c r="H569" s="1770"/>
      <c r="I569" s="1770"/>
      <c r="J569" s="1647"/>
      <c r="K569" s="1647"/>
      <c r="L569" s="1647"/>
      <c r="M569" s="1647"/>
      <c r="N569" s="1647"/>
      <c r="O569" s="1647"/>
      <c r="P569" s="1647"/>
      <c r="Q569" s="1647"/>
      <c r="R569" s="1647"/>
      <c r="S569" s="1647"/>
      <c r="T569" s="1647"/>
      <c r="U569" s="1647"/>
      <c r="V569" s="1735"/>
      <c r="W569" s="1647"/>
      <c r="X569" s="1647"/>
    </row>
    <row r="570" spans="1:24">
      <c r="A570" s="1647"/>
      <c r="B570" s="1772" t="s">
        <v>4515</v>
      </c>
      <c r="C570" s="1746"/>
      <c r="D570" s="1773">
        <f>IF('Part VI-Revenues &amp; Expenses'!$O$67=0,0,G568/'Part VI-Revenues &amp; Expenses'!$O$67)</f>
        <v>215402.39285714287</v>
      </c>
      <c r="E570" s="1773"/>
      <c r="F570" s="1774" t="s">
        <v>2763</v>
      </c>
      <c r="G570" s="1773">
        <f>IF('Part I-Project Information'!$P$75=0,0,G568/'Part I-Project Information'!$P$75)</f>
        <v>211.1196793615234</v>
      </c>
      <c r="H570" s="1773"/>
      <c r="I570" s="1775"/>
      <c r="J570" s="1647"/>
      <c r="K570" s="1647"/>
      <c r="L570" s="1647"/>
      <c r="M570" s="1647"/>
      <c r="N570" s="1647"/>
      <c r="O570" s="1647"/>
      <c r="P570" s="1647"/>
      <c r="Q570" s="1647"/>
      <c r="R570" s="1647"/>
      <c r="S570" s="1647"/>
      <c r="T570" s="1647"/>
      <c r="U570" s="1647"/>
      <c r="V570" s="1735"/>
      <c r="W570" s="1647"/>
      <c r="X570" s="1647"/>
    </row>
    <row r="571" spans="1:24">
      <c r="A571" s="1647"/>
      <c r="B571" s="1647"/>
      <c r="C571" s="1647"/>
      <c r="D571" s="1647"/>
      <c r="E571" s="1647"/>
      <c r="F571" s="1647"/>
      <c r="G571" s="1647"/>
      <c r="H571" s="1647"/>
      <c r="I571" s="1775"/>
      <c r="J571" s="1647"/>
      <c r="K571" s="1647"/>
      <c r="L571" s="1775"/>
      <c r="M571" s="1647"/>
      <c r="N571" s="1647"/>
      <c r="O571" s="1647"/>
      <c r="P571" s="1647"/>
      <c r="Q571" s="1647"/>
      <c r="R571" s="1647"/>
      <c r="S571" s="1647"/>
      <c r="T571" s="1647"/>
      <c r="U571" s="1647"/>
      <c r="V571" s="1735"/>
      <c r="W571" s="1647"/>
      <c r="X571" s="1647"/>
    </row>
    <row r="572" spans="1:24">
      <c r="A572" s="1647"/>
      <c r="B572" s="1647"/>
      <c r="C572" s="1647"/>
      <c r="D572" s="1654"/>
      <c r="E572" s="1654"/>
      <c r="F572" s="1647"/>
      <c r="G572" s="1647"/>
      <c r="H572" s="1647"/>
      <c r="I572" s="1770"/>
      <c r="J572" s="1770"/>
      <c r="K572" s="1776"/>
      <c r="L572" s="1654"/>
      <c r="M572" s="1647"/>
      <c r="N572" s="1647"/>
      <c r="O572" s="1647"/>
      <c r="P572" s="1647"/>
      <c r="Q572" s="1647"/>
      <c r="R572" s="1647"/>
      <c r="S572" s="1647"/>
      <c r="T572" s="1647"/>
      <c r="U572" s="1647"/>
      <c r="V572" s="1735"/>
      <c r="W572" s="1647"/>
      <c r="X572" s="1647"/>
    </row>
    <row r="573" spans="1:24" ht="16.5" customHeight="1">
      <c r="A573" s="1728" t="s">
        <v>740</v>
      </c>
      <c r="B573" s="1777" t="s">
        <v>1426</v>
      </c>
      <c r="C573" s="1645"/>
      <c r="D573" s="1664"/>
      <c r="E573" s="1664"/>
      <c r="F573" s="1664"/>
      <c r="G573" s="1647"/>
      <c r="H573" s="1647"/>
      <c r="I573" s="1778"/>
      <c r="J573" s="1646" t="s">
        <v>271</v>
      </c>
      <c r="K573" s="1646"/>
      <c r="L573" s="1647"/>
      <c r="M573" s="1646" t="s">
        <v>100</v>
      </c>
      <c r="N573" s="1646"/>
      <c r="O573" s="1647"/>
      <c r="P573" s="1646" t="s">
        <v>272</v>
      </c>
      <c r="Q573" s="1646"/>
      <c r="R573" s="1647"/>
      <c r="S573" s="1647"/>
      <c r="T573" s="1647"/>
      <c r="U573" s="1647"/>
      <c r="V573" s="1735"/>
      <c r="W573" s="1731" t="str">
        <f>B573</f>
        <v>TAX CREDIT CALCULATION - BASIS METHOD</v>
      </c>
      <c r="X573" s="1647"/>
    </row>
    <row r="574" spans="1:24">
      <c r="A574" s="1647"/>
      <c r="B574" s="1648" t="s">
        <v>2044</v>
      </c>
      <c r="C574" s="1647"/>
      <c r="D574" s="1664"/>
      <c r="E574" s="1664"/>
      <c r="F574" s="1647"/>
      <c r="G574" s="1647"/>
      <c r="H574" s="1647"/>
      <c r="I574" s="1778"/>
      <c r="J574" s="1646"/>
      <c r="K574" s="1646"/>
      <c r="L574" s="1645"/>
      <c r="M574" s="1646"/>
      <c r="N574" s="1646"/>
      <c r="O574" s="1647"/>
      <c r="P574" s="1646"/>
      <c r="Q574" s="1646"/>
      <c r="R574" s="1647"/>
      <c r="S574" s="1647"/>
      <c r="T574" s="1647"/>
      <c r="U574" s="1647"/>
      <c r="V574" s="1735"/>
      <c r="W574" s="1647" t="str">
        <f>B574</f>
        <v>Subtractions From Eligible Basis</v>
      </c>
      <c r="X574" s="1683"/>
    </row>
    <row r="575" spans="1:24">
      <c r="A575" s="1647"/>
      <c r="B575" s="1647"/>
      <c r="C575" s="1647"/>
      <c r="D575" s="1654"/>
      <c r="E575" s="1654"/>
      <c r="F575" s="1647"/>
      <c r="G575" s="1647"/>
      <c r="H575" s="1647"/>
      <c r="I575" s="1770"/>
      <c r="J575" s="1770"/>
      <c r="K575" s="1776"/>
      <c r="L575" s="1654"/>
      <c r="M575" s="1647"/>
      <c r="N575" s="1647"/>
      <c r="O575" s="1647"/>
      <c r="P575" s="1647"/>
      <c r="Q575" s="1647"/>
      <c r="R575" s="1647"/>
      <c r="S575" s="1647"/>
      <c r="T575" s="1647"/>
      <c r="U575" s="1647"/>
      <c r="V575" s="1735"/>
      <c r="W575" s="1647"/>
      <c r="X575" s="1647"/>
    </row>
    <row r="576" spans="1:24">
      <c r="A576" s="1647"/>
      <c r="B576" s="1654" t="s">
        <v>144</v>
      </c>
      <c r="C576" s="1647"/>
      <c r="D576" s="1647"/>
      <c r="E576" s="1647"/>
      <c r="F576" s="1647"/>
      <c r="G576" s="1647"/>
      <c r="H576" s="1647"/>
      <c r="I576" s="1778"/>
      <c r="J576" s="1714">
        <f>'Part IV-A-Uses of Funds'!J140</f>
        <v>0</v>
      </c>
      <c r="K576" s="1714">
        <f>'Part IV-A-Uses of Funds'!K140</f>
        <v>0</v>
      </c>
      <c r="L576" s="1647"/>
      <c r="M576" s="1647"/>
      <c r="N576" s="1647"/>
      <c r="O576" s="1647"/>
      <c r="P576" s="1714">
        <f>'Part IV-A-Uses of Funds'!P140</f>
        <v>0</v>
      </c>
      <c r="Q576" s="1714">
        <f>'Part IV-A-Uses of Funds'!Q140</f>
        <v>0</v>
      </c>
      <c r="R576" s="1647"/>
      <c r="S576" s="1647"/>
      <c r="T576" s="1647"/>
      <c r="U576" s="1647"/>
      <c r="V576" s="1735"/>
      <c r="W576" s="1485"/>
      <c r="X576" s="1485"/>
    </row>
    <row r="577" spans="1:24">
      <c r="A577" s="1647"/>
      <c r="B577" s="1647" t="s">
        <v>2152</v>
      </c>
      <c r="C577" s="1647"/>
      <c r="D577" s="1647"/>
      <c r="E577" s="1647"/>
      <c r="F577" s="1647"/>
      <c r="G577" s="1647"/>
      <c r="H577" s="1647"/>
      <c r="I577" s="1778"/>
      <c r="J577" s="1714">
        <f>'Part IV-A-Uses of Funds'!J141</f>
        <v>0</v>
      </c>
      <c r="K577" s="1714">
        <f>'Part IV-A-Uses of Funds'!K141</f>
        <v>0</v>
      </c>
      <c r="L577" s="1647"/>
      <c r="M577" s="1647"/>
      <c r="N577" s="1647"/>
      <c r="O577" s="1647"/>
      <c r="P577" s="1714">
        <f>'Part IV-A-Uses of Funds'!P141</f>
        <v>0</v>
      </c>
      <c r="Q577" s="1714">
        <f>'Part IV-A-Uses of Funds'!Q141</f>
        <v>0</v>
      </c>
      <c r="R577" s="1647"/>
      <c r="S577" s="1647"/>
      <c r="T577" s="1647"/>
      <c r="U577" s="1647"/>
      <c r="V577" s="1735"/>
      <c r="W577" s="1485"/>
      <c r="X577" s="1485"/>
    </row>
    <row r="578" spans="1:24">
      <c r="A578" s="1647"/>
      <c r="B578" s="1647" t="s">
        <v>1863</v>
      </c>
      <c r="C578" s="1647"/>
      <c r="D578" s="1647"/>
      <c r="E578" s="1647"/>
      <c r="F578" s="1647"/>
      <c r="G578" s="1647"/>
      <c r="H578" s="1647"/>
      <c r="I578" s="1778"/>
      <c r="J578" s="1714">
        <f>'Part IV-A-Uses of Funds'!J142</f>
        <v>0</v>
      </c>
      <c r="K578" s="1714">
        <f>'Part IV-A-Uses of Funds'!K142</f>
        <v>0</v>
      </c>
      <c r="L578" s="1647"/>
      <c r="M578" s="1647"/>
      <c r="N578" s="1647"/>
      <c r="O578" s="1647"/>
      <c r="P578" s="1714">
        <f>'Part IV-A-Uses of Funds'!P142</f>
        <v>0</v>
      </c>
      <c r="Q578" s="1714">
        <f>'Part IV-A-Uses of Funds'!Q142</f>
        <v>0</v>
      </c>
      <c r="R578" s="1647"/>
      <c r="S578" s="1647"/>
      <c r="T578" s="1647"/>
      <c r="U578" s="1647"/>
      <c r="V578" s="1735"/>
      <c r="W578" s="1485"/>
      <c r="X578" s="1485"/>
    </row>
    <row r="579" spans="1:24">
      <c r="A579" s="1647"/>
      <c r="B579" s="1647" t="s">
        <v>1864</v>
      </c>
      <c r="C579" s="1647"/>
      <c r="D579" s="1647"/>
      <c r="E579" s="1647"/>
      <c r="F579" s="1647"/>
      <c r="G579" s="1647"/>
      <c r="H579" s="1647"/>
      <c r="I579" s="1778"/>
      <c r="J579" s="1714">
        <f>'Part IV-A-Uses of Funds'!J143</f>
        <v>0</v>
      </c>
      <c r="K579" s="1714">
        <f>'Part IV-A-Uses of Funds'!K143</f>
        <v>0</v>
      </c>
      <c r="L579" s="1647"/>
      <c r="M579" s="1647"/>
      <c r="N579" s="1647"/>
      <c r="O579" s="1647"/>
      <c r="P579" s="1714">
        <f>'Part IV-A-Uses of Funds'!P143</f>
        <v>0</v>
      </c>
      <c r="Q579" s="1714">
        <f>'Part IV-A-Uses of Funds'!Q143</f>
        <v>0</v>
      </c>
      <c r="R579" s="1647"/>
      <c r="S579" s="1647"/>
      <c r="T579" s="1647"/>
      <c r="U579" s="1647"/>
      <c r="V579" s="1735"/>
      <c r="W579" s="1485"/>
      <c r="X579" s="1485"/>
    </row>
    <row r="580" spans="1:24">
      <c r="A580" s="1647"/>
      <c r="B580" s="1647" t="s">
        <v>254</v>
      </c>
      <c r="C580" s="1647"/>
      <c r="D580" s="1647"/>
      <c r="E580" s="1647"/>
      <c r="F580" s="1647"/>
      <c r="G580" s="1647"/>
      <c r="H580" s="1647"/>
      <c r="I580" s="1778"/>
      <c r="J580" s="1714">
        <f>'Part IV-A-Uses of Funds'!J144</f>
        <v>0</v>
      </c>
      <c r="K580" s="1714">
        <f>'Part IV-A-Uses of Funds'!K144</f>
        <v>0</v>
      </c>
      <c r="L580" s="1647"/>
      <c r="M580" s="1647"/>
      <c r="N580" s="1647"/>
      <c r="O580" s="1647"/>
      <c r="P580" s="1714">
        <f>'Part IV-A-Uses of Funds'!P144</f>
        <v>0</v>
      </c>
      <c r="Q580" s="1714">
        <f>'Part IV-A-Uses of Funds'!Q144</f>
        <v>0</v>
      </c>
      <c r="R580" s="1647"/>
      <c r="S580" s="1647"/>
      <c r="T580" s="1647"/>
      <c r="U580" s="1647"/>
      <c r="V580" s="1735"/>
      <c r="W580" s="1485"/>
      <c r="X580" s="1485"/>
    </row>
    <row r="581" spans="1:24" ht="13.5" customHeight="1">
      <c r="A581" s="1647"/>
      <c r="B581" s="1647" t="s">
        <v>1601</v>
      </c>
      <c r="C581" s="1703" t="str">
        <f>'Part IV-A-Uses of Funds'!C145</f>
        <v>&lt;Enter detailed description here; use Comments section if needed&gt;</v>
      </c>
      <c r="D581" s="1703">
        <f>'Part IV-A-Uses of Funds'!D145</f>
        <v>0</v>
      </c>
      <c r="E581" s="1703">
        <f>'Part IV-A-Uses of Funds'!E145</f>
        <v>0</v>
      </c>
      <c r="F581" s="1703">
        <f>'Part IV-A-Uses of Funds'!F145</f>
        <v>0</v>
      </c>
      <c r="G581" s="1703">
        <f>'Part IV-A-Uses of Funds'!G145</f>
        <v>0</v>
      </c>
      <c r="H581" s="1703">
        <f>'Part IV-A-Uses of Funds'!H145</f>
        <v>0</v>
      </c>
      <c r="I581" s="1703">
        <f>'Part IV-A-Uses of Funds'!I145</f>
        <v>0</v>
      </c>
      <c r="J581" s="1714">
        <f>'Part IV-A-Uses of Funds'!J145</f>
        <v>0</v>
      </c>
      <c r="K581" s="1714">
        <f>'Part IV-A-Uses of Funds'!K145</f>
        <v>0</v>
      </c>
      <c r="L581" s="1647"/>
      <c r="M581" s="1647"/>
      <c r="N581" s="1647"/>
      <c r="O581" s="1647"/>
      <c r="P581" s="1714">
        <f>'Part IV-A-Uses of Funds'!P145</f>
        <v>0</v>
      </c>
      <c r="Q581" s="1714">
        <f>'Part IV-A-Uses of Funds'!Q145</f>
        <v>0</v>
      </c>
      <c r="R581" s="1647"/>
      <c r="S581" s="1647"/>
      <c r="T581" s="1647"/>
      <c r="U581" s="1647"/>
      <c r="V581" s="1735"/>
      <c r="W581" s="1485"/>
      <c r="X581" s="1485"/>
    </row>
    <row r="582" spans="1:24">
      <c r="A582" s="1647"/>
      <c r="B582" s="1628" t="s">
        <v>1865</v>
      </c>
      <c r="C582" s="1663"/>
      <c r="D582" s="1647"/>
      <c r="E582" s="1647"/>
      <c r="F582" s="1647"/>
      <c r="G582" s="1647"/>
      <c r="H582" s="1647"/>
      <c r="I582" s="1647"/>
      <c r="J582" s="1714">
        <f>SUM(J576:K581)</f>
        <v>0</v>
      </c>
      <c r="K582" s="1714"/>
      <c r="L582" s="1647"/>
      <c r="M582" s="1647"/>
      <c r="N582" s="1647"/>
      <c r="O582" s="1647"/>
      <c r="P582" s="1714">
        <f>SUM(P576:Q581)</f>
        <v>0</v>
      </c>
      <c r="Q582" s="1714"/>
      <c r="R582" s="1647"/>
      <c r="S582" s="1647"/>
      <c r="T582" s="1647"/>
      <c r="U582" s="1647"/>
      <c r="V582" s="1735">
        <f>SUM(V576:V581)</f>
        <v>0</v>
      </c>
      <c r="W582" s="1485"/>
      <c r="X582" s="1485"/>
    </row>
    <row r="583" spans="1:24">
      <c r="A583" s="1647"/>
      <c r="B583" s="1647"/>
      <c r="C583" s="1647"/>
      <c r="D583" s="1647"/>
      <c r="E583" s="1647"/>
      <c r="F583" s="1647"/>
      <c r="G583" s="1647"/>
      <c r="H583" s="1647"/>
      <c r="I583" s="1647"/>
      <c r="J583" s="1647"/>
      <c r="K583" s="1647"/>
      <c r="L583" s="1647"/>
      <c r="M583" s="1647"/>
      <c r="N583" s="1647"/>
      <c r="O583" s="1647"/>
      <c r="P583" s="1647"/>
      <c r="Q583" s="1647"/>
      <c r="R583" s="1647"/>
      <c r="S583" s="1647"/>
      <c r="T583" s="1647"/>
      <c r="U583" s="1647"/>
      <c r="V583" s="1735"/>
      <c r="W583" s="1647"/>
      <c r="X583" s="1647"/>
    </row>
    <row r="584" spans="1:24">
      <c r="A584" s="1647"/>
      <c r="B584" s="1628" t="s">
        <v>2340</v>
      </c>
      <c r="C584" s="1647"/>
      <c r="D584" s="1647"/>
      <c r="E584" s="1647"/>
      <c r="F584" s="1647"/>
      <c r="G584" s="1647"/>
      <c r="H584" s="1647"/>
      <c r="I584" s="1647"/>
      <c r="J584" s="1647"/>
      <c r="K584" s="1647"/>
      <c r="L584" s="1647"/>
      <c r="M584" s="1647"/>
      <c r="N584" s="1647"/>
      <c r="O584" s="1647"/>
      <c r="P584" s="1647"/>
      <c r="Q584" s="1647"/>
      <c r="R584" s="1647"/>
      <c r="S584" s="1647"/>
      <c r="T584" s="1647"/>
      <c r="U584" s="1647"/>
      <c r="V584" s="1735"/>
      <c r="W584" s="1647" t="str">
        <f>B584</f>
        <v>Eligible Basis Calculation</v>
      </c>
      <c r="X584" s="1647"/>
    </row>
    <row r="585" spans="1:24">
      <c r="A585" s="1647"/>
      <c r="B585" s="1647" t="s">
        <v>1790</v>
      </c>
      <c r="C585" s="1647"/>
      <c r="D585" s="1647"/>
      <c r="E585" s="1647"/>
      <c r="F585" s="1647"/>
      <c r="G585" s="1647"/>
      <c r="H585" s="1647"/>
      <c r="I585" s="1647"/>
      <c r="J585" s="1779">
        <f>J568</f>
        <v>15966588</v>
      </c>
      <c r="K585" s="1779"/>
      <c r="L585" s="1647"/>
      <c r="M585" s="1779">
        <f>M568</f>
        <v>0</v>
      </c>
      <c r="N585" s="1779"/>
      <c r="O585" s="1647"/>
      <c r="P585" s="1779">
        <f>P568</f>
        <v>0</v>
      </c>
      <c r="Q585" s="1779"/>
      <c r="R585" s="1647"/>
      <c r="S585" s="1647"/>
      <c r="T585" s="1647"/>
      <c r="U585" s="1647"/>
      <c r="V585" s="1735"/>
      <c r="W585" s="1485"/>
      <c r="X585" s="1485"/>
    </row>
    <row r="586" spans="1:24">
      <c r="A586" s="1647"/>
      <c r="B586" s="1647" t="s">
        <v>2220</v>
      </c>
      <c r="C586" s="1647"/>
      <c r="D586" s="1647"/>
      <c r="E586" s="1647"/>
      <c r="F586" s="1647"/>
      <c r="G586" s="1647"/>
      <c r="H586" s="1647"/>
      <c r="I586" s="1647"/>
      <c r="J586" s="1779">
        <f>J582</f>
        <v>0</v>
      </c>
      <c r="K586" s="1779"/>
      <c r="L586" s="1647"/>
      <c r="M586" s="1779"/>
      <c r="N586" s="1779"/>
      <c r="O586" s="1647"/>
      <c r="P586" s="1779">
        <f>P582</f>
        <v>0</v>
      </c>
      <c r="Q586" s="1779"/>
      <c r="R586" s="1647"/>
      <c r="S586" s="1647"/>
      <c r="T586" s="1647"/>
      <c r="U586" s="1647"/>
      <c r="V586" s="1735"/>
      <c r="W586" s="1485"/>
      <c r="X586" s="1485"/>
    </row>
    <row r="587" spans="1:24">
      <c r="A587" s="1647"/>
      <c r="B587" s="1647" t="s">
        <v>2221</v>
      </c>
      <c r="C587" s="1647"/>
      <c r="D587" s="1647"/>
      <c r="E587" s="1647"/>
      <c r="F587" s="1647"/>
      <c r="G587" s="1647"/>
      <c r="H587" s="1647"/>
      <c r="I587" s="1647"/>
      <c r="J587" s="1779">
        <f>J585-J586</f>
        <v>15966588</v>
      </c>
      <c r="K587" s="1779"/>
      <c r="L587" s="1647"/>
      <c r="M587" s="1779">
        <f>M585</f>
        <v>0</v>
      </c>
      <c r="N587" s="1779"/>
      <c r="O587" s="1647"/>
      <c r="P587" s="1779">
        <f>P585-P586</f>
        <v>0</v>
      </c>
      <c r="Q587" s="1779"/>
      <c r="R587" s="1647"/>
      <c r="S587" s="1647"/>
      <c r="T587" s="1647"/>
      <c r="U587" s="1647"/>
      <c r="V587" s="1735"/>
      <c r="W587" s="1485"/>
      <c r="X587" s="1485"/>
    </row>
    <row r="588" spans="1:24">
      <c r="A588" s="1647"/>
      <c r="B588" s="1647" t="s">
        <v>1485</v>
      </c>
      <c r="C588" s="1647"/>
      <c r="D588" s="1647"/>
      <c r="E588" s="1647"/>
      <c r="F588" s="1647"/>
      <c r="G588" s="1651" t="s">
        <v>1714</v>
      </c>
      <c r="H588" s="1647" t="str">
        <f>'Part IV-A-Uses of Funds'!H152</f>
        <v>DDA/QCT</v>
      </c>
      <c r="I588" s="1647">
        <f>'Part IV-A-Uses of Funds'!I152</f>
        <v>0</v>
      </c>
      <c r="J588" s="1780">
        <f>'Part IV-A-Uses of Funds'!J152</f>
        <v>1.3</v>
      </c>
      <c r="K588" s="1780">
        <f>'Part IV-A-Uses of Funds'!K152</f>
        <v>0</v>
      </c>
      <c r="L588" s="1647"/>
      <c r="M588" s="1780"/>
      <c r="N588" s="1780"/>
      <c r="O588" s="1647"/>
      <c r="P588" s="1780">
        <f>'Part IV-A-Uses of Funds'!P152</f>
        <v>0</v>
      </c>
      <c r="Q588" s="1780">
        <f>'Part IV-A-Uses of Funds'!Q152</f>
        <v>0</v>
      </c>
      <c r="R588" s="1647"/>
      <c r="S588" s="1647"/>
      <c r="T588" s="1647"/>
      <c r="U588" s="1647"/>
      <c r="V588" s="1735"/>
      <c r="W588" s="1485"/>
      <c r="X588" s="1485"/>
    </row>
    <row r="589" spans="1:24">
      <c r="A589" s="1647"/>
      <c r="B589" s="1647" t="s">
        <v>2054</v>
      </c>
      <c r="C589" s="1647"/>
      <c r="D589" s="1647"/>
      <c r="E589" s="1647"/>
      <c r="F589" s="1647"/>
      <c r="G589" s="1647"/>
      <c r="H589" s="1647"/>
      <c r="I589" s="1647"/>
      <c r="J589" s="1779">
        <f>J587*J588</f>
        <v>20756564.400000002</v>
      </c>
      <c r="K589" s="1779"/>
      <c r="L589" s="1647"/>
      <c r="M589" s="1779">
        <f>+M587</f>
        <v>0</v>
      </c>
      <c r="N589" s="1779"/>
      <c r="O589" s="1647"/>
      <c r="P589" s="1779">
        <f>P587*P588</f>
        <v>0</v>
      </c>
      <c r="Q589" s="1779"/>
      <c r="R589" s="1647"/>
      <c r="S589" s="1647"/>
      <c r="T589" s="1647"/>
      <c r="U589" s="1647"/>
      <c r="V589" s="1735"/>
      <c r="W589" s="1485"/>
      <c r="X589" s="1485"/>
    </row>
    <row r="590" spans="1:24">
      <c r="A590" s="1647"/>
      <c r="B590" s="1647" t="s">
        <v>2541</v>
      </c>
      <c r="C590" s="1647"/>
      <c r="D590" s="1647"/>
      <c r="E590" s="1647"/>
      <c r="F590" s="1647"/>
      <c r="G590" s="1647"/>
      <c r="H590" s="1647"/>
      <c r="I590" s="1647"/>
      <c r="J590" s="1781">
        <f>MIN('Part VI-Revenues &amp; Expenses'!$O$63/'Part VI-Revenues &amp; Expenses'!$O$65,'Part VI-Revenues &amp; Expenses'!$O$152/'Part VI-Revenues &amp; Expenses'!$O$154)</f>
        <v>1</v>
      </c>
      <c r="K590" s="1781"/>
      <c r="L590" s="1647"/>
      <c r="M590" s="1781">
        <f>MIN('Part VI-Revenues &amp; Expenses'!$O$63/'Part VI-Revenues &amp; Expenses'!$O$65,'Part VI-Revenues &amp; Expenses'!$O$152/'Part VI-Revenues &amp; Expenses'!$O$154)</f>
        <v>1</v>
      </c>
      <c r="N590" s="1781"/>
      <c r="O590" s="1647"/>
      <c r="P590" s="1781">
        <f>MIN('Part VI-Revenues &amp; Expenses'!$O$63/'Part VI-Revenues &amp; Expenses'!$O$65,'Part VI-Revenues &amp; Expenses'!$O$152/'Part VI-Revenues &amp; Expenses'!$O$154)</f>
        <v>1</v>
      </c>
      <c r="Q590" s="1781"/>
      <c r="R590" s="1647"/>
      <c r="S590" s="1647"/>
      <c r="T590" s="1647"/>
      <c r="U590" s="1647"/>
      <c r="V590" s="1735"/>
      <c r="W590" s="1485"/>
      <c r="X590" s="1485"/>
    </row>
    <row r="591" spans="1:24">
      <c r="A591" s="1647"/>
      <c r="B591" s="1647" t="s">
        <v>2045</v>
      </c>
      <c r="C591" s="1647"/>
      <c r="D591" s="1647"/>
      <c r="E591" s="1647"/>
      <c r="F591" s="1647"/>
      <c r="G591" s="1647"/>
      <c r="H591" s="1647"/>
      <c r="I591" s="1647"/>
      <c r="J591" s="1779">
        <f>J589*J590</f>
        <v>20756564.400000002</v>
      </c>
      <c r="K591" s="1779"/>
      <c r="L591" s="1647"/>
      <c r="M591" s="1779">
        <f>M589*M590</f>
        <v>0</v>
      </c>
      <c r="N591" s="1779"/>
      <c r="O591" s="1647"/>
      <c r="P591" s="1779">
        <f>P589*P590</f>
        <v>0</v>
      </c>
      <c r="Q591" s="1779"/>
      <c r="R591" s="1647"/>
      <c r="S591" s="1647"/>
      <c r="T591" s="1647"/>
      <c r="U591" s="1647"/>
      <c r="V591" s="1735"/>
      <c r="W591" s="1485"/>
      <c r="X591" s="1485"/>
    </row>
    <row r="592" spans="1:24">
      <c r="A592" s="1647"/>
      <c r="B592" s="1647" t="s">
        <v>2046</v>
      </c>
      <c r="C592" s="1647"/>
      <c r="D592" s="1647"/>
      <c r="E592" s="1647"/>
      <c r="F592" s="1647"/>
      <c r="G592" s="1647"/>
      <c r="H592" s="1647"/>
      <c r="I592" s="1647"/>
      <c r="J592" s="1780">
        <f>'Part IV-A-Uses of Funds'!J156</f>
        <v>3.1800000000000002E-2</v>
      </c>
      <c r="K592" s="1780">
        <f>'Part IV-A-Uses of Funds'!K156</f>
        <v>0</v>
      </c>
      <c r="L592" s="1647"/>
      <c r="M592" s="1780">
        <f>'Part IV-A-Uses of Funds'!M156</f>
        <v>0</v>
      </c>
      <c r="N592" s="1780">
        <f>'Part IV-A-Uses of Funds'!N156</f>
        <v>0</v>
      </c>
      <c r="O592" s="1647"/>
      <c r="P592" s="1780">
        <f>'Part IV-A-Uses of Funds'!P156</f>
        <v>0</v>
      </c>
      <c r="Q592" s="1780">
        <f>'Part IV-A-Uses of Funds'!Q156</f>
        <v>0</v>
      </c>
      <c r="R592" s="1647"/>
      <c r="S592" s="1647"/>
      <c r="T592" s="1647"/>
      <c r="U592" s="1647"/>
      <c r="V592" s="1735"/>
      <c r="W592" s="1485"/>
      <c r="X592" s="1485"/>
    </row>
    <row r="593" spans="1:24">
      <c r="A593" s="1647"/>
      <c r="B593" s="1647" t="s">
        <v>2542</v>
      </c>
      <c r="C593" s="1647"/>
      <c r="D593" s="1647"/>
      <c r="E593" s="1647"/>
      <c r="F593" s="1647"/>
      <c r="G593" s="1647"/>
      <c r="H593" s="1647"/>
      <c r="I593" s="1647"/>
      <c r="J593" s="1779">
        <f>J591*J592</f>
        <v>660058.74792000011</v>
      </c>
      <c r="K593" s="1779"/>
      <c r="L593" s="1647"/>
      <c r="M593" s="1779">
        <f>M591*M592</f>
        <v>0</v>
      </c>
      <c r="N593" s="1779"/>
      <c r="O593" s="1647"/>
      <c r="P593" s="1779">
        <f>P591*P592</f>
        <v>0</v>
      </c>
      <c r="Q593" s="1779"/>
      <c r="R593" s="1647"/>
      <c r="S593" s="1647"/>
      <c r="T593" s="1647"/>
      <c r="U593" s="1647"/>
      <c r="V593" s="1735"/>
      <c r="W593" s="1485"/>
      <c r="X593" s="1485"/>
    </row>
    <row r="594" spans="1:24">
      <c r="A594" s="1647"/>
      <c r="B594" s="1628" t="s">
        <v>1424</v>
      </c>
      <c r="C594" s="1647"/>
      <c r="D594" s="1647"/>
      <c r="E594" s="1647"/>
      <c r="F594" s="1647"/>
      <c r="G594" s="1647"/>
      <c r="H594" s="1647"/>
      <c r="I594" s="1647"/>
      <c r="J594" s="1714">
        <f>J593+M593+P593</f>
        <v>660058.74792000011</v>
      </c>
      <c r="K594" s="1714"/>
      <c r="L594" s="1714"/>
      <c r="M594" s="1714"/>
      <c r="N594" s="1714"/>
      <c r="O594" s="1714"/>
      <c r="P594" s="1714"/>
      <c r="Q594" s="1714"/>
      <c r="R594" s="1647"/>
      <c r="S594" s="1647"/>
      <c r="T594" s="1647"/>
      <c r="U594" s="1647"/>
      <c r="V594" s="1735"/>
      <c r="W594" s="1838"/>
      <c r="X594" s="1838"/>
    </row>
    <row r="595" spans="1:24">
      <c r="A595" s="1647"/>
      <c r="B595" s="1782"/>
      <c r="C595" s="1647"/>
      <c r="D595" s="1647"/>
      <c r="E595" s="1647"/>
      <c r="F595" s="1647"/>
      <c r="G595" s="1647"/>
      <c r="H595" s="1647"/>
      <c r="I595" s="1647"/>
      <c r="J595" s="1647"/>
      <c r="K595" s="1647"/>
      <c r="L595" s="1727"/>
      <c r="M595" s="1727"/>
      <c r="N595" s="1727"/>
      <c r="O595" s="1727"/>
      <c r="P595" s="1647"/>
      <c r="Q595" s="1647"/>
      <c r="R595" s="1647"/>
      <c r="S595" s="1647"/>
      <c r="T595" s="1647"/>
      <c r="U595" s="1647"/>
      <c r="V595" s="1735"/>
      <c r="W595" s="1647"/>
      <c r="X595" s="1647"/>
    </row>
    <row r="596" spans="1:24" ht="16.5">
      <c r="A596" s="1731" t="s">
        <v>742</v>
      </c>
      <c r="B596" s="1731" t="s">
        <v>1427</v>
      </c>
      <c r="C596" s="1647"/>
      <c r="D596" s="1647"/>
      <c r="E596" s="1647"/>
      <c r="F596" s="1647"/>
      <c r="G596" s="1647"/>
      <c r="H596" s="1770"/>
      <c r="I596" s="1770"/>
      <c r="J596" s="1647"/>
      <c r="K596" s="1647"/>
      <c r="L596" s="1647"/>
      <c r="M596" s="1783"/>
      <c r="N596" s="1647"/>
      <c r="O596" s="1647"/>
      <c r="P596" s="1647"/>
      <c r="Q596" s="1647"/>
      <c r="R596" s="1647"/>
      <c r="S596" s="1647"/>
      <c r="T596" s="1647"/>
      <c r="U596" s="1647"/>
      <c r="V596" s="1735"/>
      <c r="W596" s="1647"/>
      <c r="X596" s="1647"/>
    </row>
    <row r="597" spans="1:24" ht="16.5">
      <c r="A597" s="1647"/>
      <c r="B597" s="1628" t="s">
        <v>174</v>
      </c>
      <c r="C597" s="1647"/>
      <c r="D597" s="1647"/>
      <c r="E597" s="1647"/>
      <c r="F597" s="1647"/>
      <c r="G597" s="1647"/>
      <c r="H597" s="1710"/>
      <c r="I597" s="1647"/>
      <c r="J597" s="1647"/>
      <c r="K597" s="1647"/>
      <c r="L597" s="1647"/>
      <c r="M597" s="1783"/>
      <c r="N597" s="1647"/>
      <c r="O597" s="1647"/>
      <c r="P597" s="1647"/>
      <c r="Q597" s="1647"/>
      <c r="R597" s="1647"/>
      <c r="S597" s="1647"/>
      <c r="T597" s="1647"/>
      <c r="U597" s="1647"/>
      <c r="V597" s="1735"/>
      <c r="W597" s="1731" t="str">
        <f>B596</f>
        <v>TAX CREDIT CALCULATION - GAP METHOD</v>
      </c>
      <c r="X597" s="1647"/>
    </row>
    <row r="598" spans="1:24" ht="13.5" customHeight="1">
      <c r="A598" s="1647"/>
      <c r="B598" s="1649" t="s">
        <v>4516</v>
      </c>
      <c r="C598" s="1647"/>
      <c r="D598" s="1647"/>
      <c r="E598" s="1647"/>
      <c r="F598" s="1647"/>
      <c r="G598" s="1741" t="str">
        <f>IF(J599&gt;J598,"TDC exceeds QAP PUCL!","")</f>
        <v/>
      </c>
      <c r="H598" s="1741"/>
      <c r="I598" s="1741"/>
      <c r="J598" s="1784">
        <f>'Part VIII-Threshold Criteria'!$P$63</f>
        <v>18573020</v>
      </c>
      <c r="K598" s="1784"/>
      <c r="L598" s="1784"/>
      <c r="M598" s="1785" t="s">
        <v>2746</v>
      </c>
      <c r="N598" s="1785"/>
      <c r="O598" s="1785"/>
      <c r="P598" s="1785"/>
      <c r="Q598" s="1785"/>
      <c r="R598" s="1785"/>
      <c r="S598" s="1785" t="s">
        <v>3675</v>
      </c>
      <c r="T598" s="1785"/>
      <c r="U598" s="1647"/>
      <c r="V598" s="1735"/>
      <c r="W598" s="1485"/>
      <c r="X598" s="1485"/>
    </row>
    <row r="599" spans="1:24">
      <c r="A599" s="1647"/>
      <c r="B599" s="1647" t="s">
        <v>4517</v>
      </c>
      <c r="C599" s="1647"/>
      <c r="D599" s="1647"/>
      <c r="E599" s="1647"/>
      <c r="F599" s="1647"/>
      <c r="G599" s="1647"/>
      <c r="H599" s="1647"/>
      <c r="I599" s="1647"/>
      <c r="J599" s="1779">
        <f>'Part IV-A-Uses of Funds'!J163</f>
        <v>18093801</v>
      </c>
      <c r="K599" s="1779">
        <f>'Part IV-A-Uses of Funds'!K163</f>
        <v>0</v>
      </c>
      <c r="L599" s="1779">
        <f>'Part IV-A-Uses of Funds'!L163</f>
        <v>0</v>
      </c>
      <c r="M599" s="1785"/>
      <c r="N599" s="1785"/>
      <c r="O599" s="1785"/>
      <c r="P599" s="1785"/>
      <c r="Q599" s="1785"/>
      <c r="R599" s="1785"/>
      <c r="S599" s="1785"/>
      <c r="T599" s="1785"/>
      <c r="U599" s="1647"/>
      <c r="V599" s="1735"/>
      <c r="W599" s="1485"/>
      <c r="X599" s="1485"/>
    </row>
    <row r="600" spans="1:24">
      <c r="A600" s="1647"/>
      <c r="B600" s="1647" t="s">
        <v>263</v>
      </c>
      <c r="C600" s="1647"/>
      <c r="D600" s="1647"/>
      <c r="E600" s="1647"/>
      <c r="F600" s="1647"/>
      <c r="G600" s="1647"/>
      <c r="H600" s="1647"/>
      <c r="I600" s="1647"/>
      <c r="J600" s="1779">
        <f>'Part III-Sources of Funds'!$I$58-'Part III-Sources of Funds'!$I$42-'Part III-Sources of Funds'!$I$43-'Part III-Sources of Funds'!$I$49-'Part III-Sources of Funds'!$I$50</f>
        <v>7301775</v>
      </c>
      <c r="K600" s="1779"/>
      <c r="L600" s="1779"/>
      <c r="M600" s="1785"/>
      <c r="N600" s="1785"/>
      <c r="O600" s="1785"/>
      <c r="P600" s="1785"/>
      <c r="Q600" s="1785"/>
      <c r="R600" s="1785"/>
      <c r="S600" s="1785"/>
      <c r="T600" s="1785"/>
      <c r="U600" s="1647"/>
      <c r="V600" s="1735"/>
      <c r="W600" s="1485"/>
      <c r="X600" s="1485"/>
    </row>
    <row r="601" spans="1:24" ht="13.5">
      <c r="A601" s="1647"/>
      <c r="B601" s="1647" t="s">
        <v>2232</v>
      </c>
      <c r="C601" s="1647"/>
      <c r="D601" s="1647"/>
      <c r="E601" s="1647"/>
      <c r="F601" s="1647"/>
      <c r="G601" s="1647"/>
      <c r="H601" s="1647"/>
      <c r="I601" s="1647"/>
      <c r="J601" s="1779">
        <f>+J599-J600</f>
        <v>10792026</v>
      </c>
      <c r="K601" s="1779"/>
      <c r="L601" s="1779"/>
      <c r="M601" s="1710" t="s">
        <v>2747</v>
      </c>
      <c r="N601" s="1710"/>
      <c r="O601" s="1786">
        <f>'Part III-Sources of Funds'!$I$42</f>
        <v>0</v>
      </c>
      <c r="P601" s="1786"/>
      <c r="Q601" s="1786"/>
      <c r="R601" s="1786"/>
      <c r="S601" s="1787" t="s">
        <v>1662</v>
      </c>
      <c r="T601" s="2137">
        <f>'Part IV-A-Uses of Funds'!T165</f>
        <v>0</v>
      </c>
      <c r="U601" s="1647"/>
      <c r="V601" s="1735"/>
      <c r="W601" s="1485"/>
      <c r="X601" s="1485"/>
    </row>
    <row r="602" spans="1:24" ht="13.5">
      <c r="A602" s="1647"/>
      <c r="B602" s="1647" t="s">
        <v>1286</v>
      </c>
      <c r="C602" s="1647"/>
      <c r="D602" s="1647"/>
      <c r="E602" s="1647"/>
      <c r="F602" s="1647"/>
      <c r="G602" s="1647"/>
      <c r="H602" s="1647"/>
      <c r="I602" s="1647"/>
      <c r="J602" s="1647" t="str">
        <f>"/ 10"</f>
        <v>/ 10</v>
      </c>
      <c r="K602" s="1647"/>
      <c r="L602" s="1647"/>
      <c r="M602" s="1647"/>
      <c r="N602" s="1786"/>
      <c r="O602" s="1786"/>
      <c r="P602" s="1786"/>
      <c r="Q602" s="1786"/>
      <c r="R602" s="1786"/>
      <c r="S602" s="1647"/>
      <c r="T602" s="1647"/>
      <c r="U602" s="1647"/>
      <c r="V602" s="1735"/>
      <c r="W602" s="1485"/>
      <c r="X602" s="1485"/>
    </row>
    <row r="603" spans="1:24">
      <c r="A603" s="1647"/>
      <c r="B603" s="1647" t="s">
        <v>1287</v>
      </c>
      <c r="C603" s="1647"/>
      <c r="D603" s="1647"/>
      <c r="E603" s="1647"/>
      <c r="F603" s="1647"/>
      <c r="G603" s="1647"/>
      <c r="H603" s="1647"/>
      <c r="I603" s="1647"/>
      <c r="J603" s="1779">
        <f>J601/10</f>
        <v>1079202.6000000001</v>
      </c>
      <c r="K603" s="1779"/>
      <c r="L603" s="1779"/>
      <c r="M603" s="1653"/>
      <c r="N603" s="1647" t="s">
        <v>1288</v>
      </c>
      <c r="O603" s="1647"/>
      <c r="P603" s="1647"/>
      <c r="Q603" s="1647" t="s">
        <v>1799</v>
      </c>
      <c r="R603" s="1647"/>
      <c r="S603" s="1647"/>
      <c r="T603" s="1647"/>
      <c r="U603" s="1647"/>
      <c r="V603" s="1735"/>
      <c r="W603" s="1485"/>
      <c r="X603" s="1485"/>
    </row>
    <row r="604" spans="1:24">
      <c r="A604" s="1647"/>
      <c r="B604" s="1647" t="s">
        <v>4518</v>
      </c>
      <c r="C604" s="1647"/>
      <c r="D604" s="1647"/>
      <c r="E604" s="1647"/>
      <c r="F604" s="1647"/>
      <c r="G604" s="1647"/>
      <c r="H604" s="1647"/>
      <c r="I604" s="1647"/>
      <c r="J604" s="1788">
        <f>N604+Q604</f>
        <v>1.5649999999999999</v>
      </c>
      <c r="K604" s="1788"/>
      <c r="L604" s="1788"/>
      <c r="M604" s="1651" t="s">
        <v>1289</v>
      </c>
      <c r="N604" s="2138">
        <f>'Part IV-A-Uses of Funds'!N168</f>
        <v>0.93</v>
      </c>
      <c r="O604" s="2138">
        <f>'Part IV-A-Uses of Funds'!O168</f>
        <v>0</v>
      </c>
      <c r="P604" s="1651" t="s">
        <v>612</v>
      </c>
      <c r="Q604" s="2138">
        <f>'Part IV-A-Uses of Funds'!Q168</f>
        <v>0.63500000000000001</v>
      </c>
      <c r="R604" s="2138">
        <f>'Part IV-A-Uses of Funds'!R168</f>
        <v>0</v>
      </c>
      <c r="S604" s="1647"/>
      <c r="T604" s="1647"/>
      <c r="U604" s="1647"/>
      <c r="V604" s="1735"/>
      <c r="W604" s="1485"/>
      <c r="X604" s="1485"/>
    </row>
    <row r="605" spans="1:24">
      <c r="A605" s="1647"/>
      <c r="B605" s="1628" t="s">
        <v>1425</v>
      </c>
      <c r="C605" s="1647"/>
      <c r="D605" s="1647"/>
      <c r="E605" s="1647"/>
      <c r="F605" s="1647"/>
      <c r="G605" s="1647"/>
      <c r="H605" s="1647"/>
      <c r="I605" s="1647"/>
      <c r="J605" s="1714">
        <f>IF(J604=0,"",J603/J604)</f>
        <v>689586.3258785943</v>
      </c>
      <c r="K605" s="1714"/>
      <c r="L605" s="1714"/>
      <c r="M605" s="1653"/>
      <c r="N605" s="1647"/>
      <c r="O605" s="1647"/>
      <c r="P605" s="1647"/>
      <c r="Q605" s="1647"/>
      <c r="R605" s="1647"/>
      <c r="S605" s="1647"/>
      <c r="T605" s="1647"/>
      <c r="U605" s="1647"/>
      <c r="V605" s="1735"/>
      <c r="W605" s="1485"/>
      <c r="X605" s="1485"/>
    </row>
    <row r="606" spans="1:24">
      <c r="A606" s="1647"/>
      <c r="B606" s="1647"/>
      <c r="C606" s="1647"/>
      <c r="D606" s="1647"/>
      <c r="E606" s="1647"/>
      <c r="F606" s="1647"/>
      <c r="G606" s="1647"/>
      <c r="H606" s="1647"/>
      <c r="I606" s="1647"/>
      <c r="J606" s="1789"/>
      <c r="K606" s="1789"/>
      <c r="L606" s="1789"/>
      <c r="M606" s="1653"/>
      <c r="N606" s="1651"/>
      <c r="O606" s="1651"/>
      <c r="P606" s="1647"/>
      <c r="Q606" s="1647"/>
      <c r="R606" s="1647"/>
      <c r="S606" s="1647"/>
      <c r="T606" s="1647"/>
      <c r="U606" s="1647"/>
      <c r="V606" s="1735"/>
      <c r="W606" s="1485"/>
      <c r="X606" s="1485"/>
    </row>
    <row r="607" spans="1:24">
      <c r="A607" s="1647"/>
      <c r="B607" s="1628" t="s">
        <v>4519</v>
      </c>
      <c r="C607" s="1647"/>
      <c r="D607" s="1647"/>
      <c r="E607" s="1647"/>
      <c r="F607" s="1647"/>
      <c r="G607" s="1647"/>
      <c r="H607" s="1647"/>
      <c r="I607" s="1647"/>
      <c r="J607" s="1714">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660058.74792000011</v>
      </c>
      <c r="K607" s="1714"/>
      <c r="L607" s="1714"/>
      <c r="M607" s="1653"/>
      <c r="N607" s="1651"/>
      <c r="O607" s="1651"/>
      <c r="P607" s="1647"/>
      <c r="Q607" s="1647"/>
      <c r="R607" s="1647"/>
      <c r="S607" s="1647"/>
      <c r="T607" s="1647"/>
      <c r="U607" s="1647"/>
      <c r="V607" s="1735"/>
      <c r="W607" s="1485"/>
      <c r="X607" s="1485"/>
    </row>
    <row r="608" spans="1:24">
      <c r="A608" s="1647"/>
      <c r="B608" s="1647"/>
      <c r="C608" s="1647"/>
      <c r="D608" s="1647"/>
      <c r="E608" s="1647"/>
      <c r="F608" s="1647"/>
      <c r="G608" s="1647"/>
      <c r="H608" s="1647"/>
      <c r="I608" s="1647"/>
      <c r="J608" s="1789"/>
      <c r="K608" s="1789"/>
      <c r="L608" s="1789"/>
      <c r="M608" s="1653"/>
      <c r="N608" s="1651"/>
      <c r="O608" s="1651"/>
      <c r="P608" s="1647"/>
      <c r="Q608" s="1647"/>
      <c r="R608" s="1647"/>
      <c r="S608" s="1647"/>
      <c r="T608" s="1647"/>
      <c r="U608" s="1647"/>
      <c r="V608" s="1735"/>
      <c r="W608" s="1838"/>
      <c r="X608" s="1838"/>
    </row>
    <row r="609" spans="1:24">
      <c r="A609" s="1647"/>
      <c r="B609" s="1628" t="s">
        <v>4520</v>
      </c>
      <c r="C609" s="1647"/>
      <c r="D609" s="1647"/>
      <c r="E609" s="1647"/>
      <c r="F609" s="1647"/>
      <c r="G609" s="1647"/>
      <c r="H609" s="1647"/>
      <c r="I609" s="1647"/>
      <c r="J609" s="1714">
        <f>'Part IV-A-Uses of Funds'!J173</f>
        <v>660058</v>
      </c>
      <c r="K609" s="1714">
        <f>'Part IV-A-Uses of Funds'!K173</f>
        <v>0</v>
      </c>
      <c r="L609" s="1714">
        <f>'Part IV-A-Uses of Funds'!L173</f>
        <v>0</v>
      </c>
      <c r="M609" s="1648" t="str">
        <f>IF(J607=0,"",IF(J609&gt;J607,"ALLOCATION CANNOT EXCEED MAXIMUM - REVISE REQUEST!",""))</f>
        <v/>
      </c>
      <c r="N609" s="1651"/>
      <c r="O609" s="1651"/>
      <c r="P609" s="1647"/>
      <c r="Q609" s="1647"/>
      <c r="R609" s="1647"/>
      <c r="S609" s="1647"/>
      <c r="T609" s="1647"/>
      <c r="U609" s="1647"/>
      <c r="V609" s="1735"/>
      <c r="W609" s="1485"/>
      <c r="X609" s="1485"/>
    </row>
    <row r="610" spans="1:24">
      <c r="A610" s="1647"/>
      <c r="B610" s="1647"/>
      <c r="C610" s="1647"/>
      <c r="D610" s="1647"/>
      <c r="E610" s="1647"/>
      <c r="F610" s="1647"/>
      <c r="G610" s="1647"/>
      <c r="H610" s="1647"/>
      <c r="I610" s="1647"/>
      <c r="J610" s="1789"/>
      <c r="K610" s="1789"/>
      <c r="L610" s="1789"/>
      <c r="M610" s="1653"/>
      <c r="N610" s="1651"/>
      <c r="O610" s="1651"/>
      <c r="P610" s="1647"/>
      <c r="Q610" s="1647"/>
      <c r="R610" s="1647"/>
      <c r="S610" s="1647"/>
      <c r="T610" s="1647"/>
      <c r="U610" s="1647"/>
      <c r="V610" s="1735"/>
      <c r="W610" s="1838"/>
      <c r="X610" s="1838"/>
    </row>
    <row r="611" spans="1:24" ht="16.5">
      <c r="A611" s="1731" t="s">
        <v>1792</v>
      </c>
      <c r="B611" s="1731" t="s">
        <v>4521</v>
      </c>
      <c r="C611" s="1647"/>
      <c r="D611" s="1653"/>
      <c r="E611" s="1653"/>
      <c r="F611" s="1654"/>
      <c r="G611" s="1647"/>
      <c r="H611" s="1647"/>
      <c r="I611" s="1647"/>
      <c r="J611" s="1714">
        <f>IF(J609="",0,+MIN(J607,J609))</f>
        <v>660058</v>
      </c>
      <c r="K611" s="1714"/>
      <c r="L611" s="1714"/>
      <c r="M611" s="1647"/>
      <c r="N611" s="1665"/>
      <c r="O611" s="1665"/>
      <c r="P611" s="1665"/>
      <c r="Q611" s="1665"/>
      <c r="R611" s="1665"/>
      <c r="S611" s="1665"/>
      <c r="T611" s="1665"/>
      <c r="U611" s="1647"/>
      <c r="V611" s="1735"/>
      <c r="W611" s="1485"/>
      <c r="X611" s="1485"/>
    </row>
    <row r="612" spans="1:24">
      <c r="A612" s="1653"/>
      <c r="B612" s="1653"/>
      <c r="C612" s="1653"/>
      <c r="D612" s="1653"/>
      <c r="E612" s="1653"/>
      <c r="F612" s="1653"/>
      <c r="G612" s="1653"/>
      <c r="H612" s="1653"/>
      <c r="I612" s="1653"/>
      <c r="J612" s="1653"/>
      <c r="K612" s="1653"/>
      <c r="L612" s="1653"/>
      <c r="M612" s="1653"/>
      <c r="N612" s="1653"/>
      <c r="O612" s="1653"/>
      <c r="P612" s="1653"/>
      <c r="Q612" s="1653"/>
      <c r="R612" s="1653"/>
      <c r="S612" s="1653"/>
      <c r="T612" s="1653"/>
      <c r="U612" s="1653"/>
      <c r="V612" s="1653"/>
      <c r="W612" s="1653"/>
      <c r="X612" s="1653"/>
    </row>
    <row r="613" spans="1:24">
      <c r="A613" s="1653"/>
      <c r="B613" s="1653"/>
      <c r="C613" s="1653"/>
      <c r="D613" s="1653"/>
      <c r="E613" s="1653"/>
      <c r="F613" s="1653"/>
      <c r="G613" s="1653"/>
      <c r="H613" s="1653"/>
      <c r="I613" s="1653"/>
      <c r="J613" s="1653"/>
      <c r="K613" s="1653"/>
      <c r="L613" s="1653"/>
      <c r="M613" s="1653"/>
      <c r="N613" s="1653"/>
      <c r="O613" s="1653"/>
      <c r="P613" s="1653"/>
      <c r="Q613" s="1653"/>
      <c r="R613" s="1653"/>
      <c r="S613" s="1653"/>
      <c r="T613" s="1653"/>
      <c r="U613" s="1653"/>
      <c r="V613" s="1653"/>
      <c r="W613" s="1653"/>
      <c r="X613" s="1653"/>
    </row>
    <row r="614" spans="1:24">
      <c r="A614" s="1628" t="s">
        <v>1794</v>
      </c>
      <c r="B614" s="1679" t="s">
        <v>572</v>
      </c>
      <c r="C614" s="1653"/>
      <c r="D614" s="1653"/>
      <c r="E614" s="1653"/>
      <c r="F614" s="1653"/>
      <c r="G614" s="1653"/>
      <c r="H614" s="1653"/>
      <c r="I614" s="1653"/>
      <c r="J614" s="1653"/>
      <c r="K614" s="1653"/>
      <c r="L614" s="1653"/>
      <c r="M614" s="1653"/>
      <c r="N614" s="1628" t="s">
        <v>530</v>
      </c>
      <c r="O614" s="1628" t="s">
        <v>79</v>
      </c>
      <c r="P614" s="1653"/>
      <c r="Q614" s="1653"/>
      <c r="R614" s="1653"/>
      <c r="S614" s="1653"/>
      <c r="T614" s="1653"/>
      <c r="U614" s="1653"/>
      <c r="V614" s="1653"/>
      <c r="W614" s="1653"/>
      <c r="X614" s="1653"/>
    </row>
    <row r="615" spans="1:24" ht="15.75" customHeight="1">
      <c r="A615" s="1708" t="str">
        <f>'Part IV-A-Uses of Funds'!A179</f>
        <v>* To all applicants: in addition to your other comments, please provide methodology for determining applicable construction hard costs.</v>
      </c>
      <c r="B615" s="1708">
        <f>'Part IV-A-Uses of Funds'!B179</f>
        <v>0</v>
      </c>
      <c r="C615" s="1708">
        <f>'Part IV-A-Uses of Funds'!C179</f>
        <v>0</v>
      </c>
      <c r="D615" s="1708">
        <f>'Part IV-A-Uses of Funds'!D179</f>
        <v>0</v>
      </c>
      <c r="E615" s="1708">
        <f>'Part IV-A-Uses of Funds'!E179</f>
        <v>0</v>
      </c>
      <c r="F615" s="1708">
        <f>'Part IV-A-Uses of Funds'!F179</f>
        <v>0</v>
      </c>
      <c r="G615" s="1708">
        <f>'Part IV-A-Uses of Funds'!G179</f>
        <v>0</v>
      </c>
      <c r="H615" s="1708">
        <f>'Part IV-A-Uses of Funds'!H179</f>
        <v>0</v>
      </c>
      <c r="I615" s="1708">
        <f>'Part IV-A-Uses of Funds'!I179</f>
        <v>0</v>
      </c>
      <c r="J615" s="1708">
        <f>'Part IV-A-Uses of Funds'!J179</f>
        <v>0</v>
      </c>
      <c r="K615" s="1708">
        <f>'Part IV-A-Uses of Funds'!K179</f>
        <v>0</v>
      </c>
      <c r="L615" s="1708">
        <f>'Part IV-A-Uses of Funds'!L179</f>
        <v>0</v>
      </c>
      <c r="M615" s="1708">
        <f>'Part IV-A-Uses of Funds'!M179</f>
        <v>0</v>
      </c>
      <c r="N615" s="1708">
        <f>'Part IV-A-Uses of Funds'!N179</f>
        <v>0</v>
      </c>
      <c r="O615" s="1708">
        <f>'Part IV-A-Uses of Funds'!O179</f>
        <v>0</v>
      </c>
      <c r="P615" s="1708">
        <f>'Part IV-A-Uses of Funds'!P179</f>
        <v>0</v>
      </c>
      <c r="Q615" s="1708">
        <f>'Part IV-A-Uses of Funds'!Q179</f>
        <v>0</v>
      </c>
      <c r="R615" s="1708">
        <f>'Part IV-A-Uses of Funds'!R179</f>
        <v>0</v>
      </c>
      <c r="S615" s="1708">
        <f>'Part IV-A-Uses of Funds'!S179</f>
        <v>0</v>
      </c>
      <c r="T615" s="1708">
        <f>'Part IV-A-Uses of Funds'!T179</f>
        <v>0</v>
      </c>
      <c r="U615" s="1653"/>
      <c r="V615" s="1682"/>
      <c r="W615" s="1790" t="s">
        <v>2693</v>
      </c>
      <c r="X615" s="1790"/>
    </row>
    <row r="623" spans="1:24" ht="15.75">
      <c r="A623" s="1791" t="str">
        <f>CONCATENATE("PART FOUR (b) -  OTHER COSTS","  -  ",'Part I-Project Information'!$O$6," - ",'Part I-Project Information'!$F$34,"  -  ",'Part I-Project Information'!$F$38,"  -  ",'Part I-Project Information'!$J$39,",  ","County")</f>
        <v>PART FOUR (b) -  OTHER COSTS  -  2019-5 - Stone Terrace Phase II  -  Stonecrest  -  DeKalb,  County</v>
      </c>
      <c r="B623" s="1791"/>
      <c r="C623" s="1791"/>
      <c r="D623" s="1791"/>
      <c r="E623" s="1791"/>
      <c r="F623" s="1791"/>
      <c r="G623" s="1791"/>
      <c r="H623" s="1791"/>
    </row>
    <row r="624" spans="1:24">
      <c r="A624" s="2139"/>
      <c r="B624" s="2139"/>
      <c r="C624" s="2139"/>
      <c r="D624" s="2139"/>
      <c r="E624" s="2139"/>
      <c r="F624" s="2139"/>
      <c r="G624" s="2139"/>
      <c r="H624" s="2139"/>
    </row>
    <row r="625" spans="1:8" ht="14.25" customHeight="1">
      <c r="A625" s="2140" t="s">
        <v>3714</v>
      </c>
      <c r="B625" s="2140"/>
      <c r="C625" s="2140"/>
      <c r="D625" s="2140"/>
      <c r="E625" s="2140"/>
      <c r="F625" s="2140"/>
      <c r="G625" s="2140"/>
      <c r="H625" s="2140"/>
    </row>
    <row r="626" spans="1:8">
      <c r="A626" s="2139"/>
      <c r="B626" s="2139"/>
      <c r="C626" s="2139"/>
      <c r="D626" s="2139"/>
      <c r="E626" s="2139"/>
      <c r="F626" s="2139"/>
      <c r="G626" s="2139"/>
      <c r="H626" s="2139"/>
    </row>
    <row r="627" spans="1:8" ht="90" customHeight="1">
      <c r="A627" s="1792" t="s">
        <v>4522</v>
      </c>
      <c r="B627" s="1792"/>
      <c r="C627" s="1792"/>
      <c r="D627" s="1792"/>
      <c r="E627" s="2139"/>
      <c r="F627" s="1793" t="s">
        <v>3705</v>
      </c>
      <c r="G627" s="1794"/>
      <c r="H627" s="1793" t="s">
        <v>3706</v>
      </c>
    </row>
    <row r="628" spans="1:8">
      <c r="A628" s="1794"/>
      <c r="B628" s="1794"/>
      <c r="C628" s="1794"/>
      <c r="D628" s="1794"/>
      <c r="E628" s="2139"/>
      <c r="F628" s="2139"/>
      <c r="G628" s="2139"/>
      <c r="H628" s="2139"/>
    </row>
    <row r="629" spans="1:8" ht="13.5">
      <c r="A629" s="1795"/>
      <c r="B629" s="1795"/>
      <c r="C629" s="1795"/>
      <c r="D629" s="1795"/>
      <c r="E629" s="1795"/>
      <c r="F629" s="1795"/>
      <c r="G629" s="1795"/>
      <c r="H629" s="2141"/>
    </row>
    <row r="630" spans="1:8">
      <c r="A630" s="1796" t="s">
        <v>102</v>
      </c>
      <c r="B630" s="1797"/>
      <c r="C630" s="1797"/>
      <c r="D630" s="1797"/>
      <c r="E630" s="1797"/>
      <c r="F630" s="1797"/>
      <c r="G630" s="1797"/>
      <c r="H630" s="1797"/>
    </row>
    <row r="631" spans="1:8" ht="13.5" customHeight="1">
      <c r="A631" s="1798" t="str">
        <f>'Part IV-A-Uses of Funds'!$C$14</f>
        <v>&lt;&lt; Enter description here; provide detail &amp; justification in tab Part IV-b &gt;&gt;</v>
      </c>
      <c r="B631" s="1798"/>
      <c r="C631" s="1798"/>
      <c r="D631" s="1798"/>
      <c r="E631" s="2141"/>
      <c r="F631" s="2142">
        <f>'Part IV-B-Other Items'!F9</f>
        <v>0</v>
      </c>
      <c r="G631" s="1797"/>
      <c r="H631" s="2142">
        <f>'Part IV-B-Other Items'!H9</f>
        <v>0</v>
      </c>
    </row>
    <row r="632" spans="1:8" ht="13.5">
      <c r="A632" s="1798"/>
      <c r="B632" s="1798"/>
      <c r="C632" s="1798"/>
      <c r="D632" s="1798"/>
      <c r="E632" s="2141"/>
      <c r="F632" s="2142"/>
      <c r="G632" s="1797"/>
      <c r="H632" s="2142"/>
    </row>
    <row r="633" spans="1:8" ht="13.5">
      <c r="A633" s="2141"/>
      <c r="B633" s="2141"/>
      <c r="C633" s="2141"/>
      <c r="D633" s="2141"/>
      <c r="E633" s="2141"/>
      <c r="F633" s="2142"/>
      <c r="G633" s="1797"/>
      <c r="H633" s="2142"/>
    </row>
    <row r="634" spans="1:8" ht="13.5">
      <c r="A634" s="1799" t="s">
        <v>3708</v>
      </c>
      <c r="B634" s="1800">
        <f>'Part IV-A-Uses of Funds'!$G$14</f>
        <v>0</v>
      </c>
      <c r="C634" s="1799" t="s">
        <v>1790</v>
      </c>
      <c r="D634" s="1800">
        <f>'Part IV-A-Uses of Funds'!$J$14+'Part IV-A-Uses of Funds'!$M$14+'Part IV-A-Uses of Funds'!$P$14</f>
        <v>0</v>
      </c>
      <c r="E634" s="2141"/>
      <c r="F634" s="2142"/>
      <c r="G634" s="1797"/>
      <c r="H634" s="2142"/>
    </row>
    <row r="635" spans="1:8" ht="13.5">
      <c r="A635" s="1797"/>
      <c r="B635" s="1801"/>
      <c r="C635" s="1797"/>
      <c r="D635" s="1797"/>
      <c r="E635" s="2141"/>
      <c r="F635" s="2142"/>
      <c r="G635" s="1802"/>
      <c r="H635" s="2142"/>
    </row>
    <row r="636" spans="1:8" ht="13.5" customHeight="1">
      <c r="A636" s="1798" t="str">
        <f>'Part IV-A-Uses of Funds'!$C$15</f>
        <v>&lt;&lt; Enter description here; provide detail &amp; justification in tab Part IV-b &gt;&gt;</v>
      </c>
      <c r="B636" s="1798"/>
      <c r="C636" s="1798"/>
      <c r="D636" s="1798"/>
      <c r="E636" s="2141"/>
      <c r="F636" s="2142">
        <f>'Part IV-B-Other Items'!F14</f>
        <v>0</v>
      </c>
      <c r="G636" s="1797"/>
      <c r="H636" s="2142">
        <f>'Part IV-B-Other Items'!H14</f>
        <v>0</v>
      </c>
    </row>
    <row r="637" spans="1:8" ht="13.5">
      <c r="A637" s="1798"/>
      <c r="B637" s="1798"/>
      <c r="C637" s="1798"/>
      <c r="D637" s="1798"/>
      <c r="E637" s="2141"/>
      <c r="F637" s="2142"/>
      <c r="G637" s="1797"/>
      <c r="H637" s="2142"/>
    </row>
    <row r="638" spans="1:8" ht="13.5">
      <c r="A638" s="2141"/>
      <c r="B638" s="2141"/>
      <c r="C638" s="2141"/>
      <c r="D638" s="2141"/>
      <c r="E638" s="2141"/>
      <c r="F638" s="2142"/>
      <c r="G638" s="1797"/>
      <c r="H638" s="2142"/>
    </row>
    <row r="639" spans="1:8" ht="13.5">
      <c r="A639" s="1799" t="s">
        <v>3708</v>
      </c>
      <c r="B639" s="1800">
        <f>'Part IV-A-Uses of Funds'!$G$15</f>
        <v>0</v>
      </c>
      <c r="C639" s="1799" t="s">
        <v>1790</v>
      </c>
      <c r="D639" s="1800">
        <f>'Part IV-A-Uses of Funds'!$J$15+'Part IV-A-Uses of Funds'!$M$15+'Part IV-A-Uses of Funds'!$P$15</f>
        <v>0</v>
      </c>
      <c r="E639" s="2141"/>
      <c r="F639" s="2142"/>
      <c r="G639" s="1797"/>
      <c r="H639" s="2142"/>
    </row>
    <row r="640" spans="1:8" ht="13.5">
      <c r="A640" s="1797"/>
      <c r="B640" s="1801"/>
      <c r="C640" s="1797"/>
      <c r="D640" s="1797"/>
      <c r="E640" s="2141"/>
      <c r="F640" s="2142"/>
      <c r="G640" s="1802"/>
      <c r="H640" s="2142"/>
    </row>
    <row r="641" spans="1:8" ht="13.5" customHeight="1">
      <c r="A641" s="1798" t="str">
        <f>'Part IV-A-Uses of Funds'!$C$16</f>
        <v>&lt;&lt; Enter description here; provide detail &amp; justification in tab Part IV-b &gt;&gt;</v>
      </c>
      <c r="B641" s="1798"/>
      <c r="C641" s="1798"/>
      <c r="D641" s="1798"/>
      <c r="E641" s="2141"/>
      <c r="F641" s="2142">
        <f>'Part IV-B-Other Items'!F19</f>
        <v>0</v>
      </c>
      <c r="G641" s="1797"/>
      <c r="H641" s="2142">
        <f>'Part IV-B-Other Items'!H19</f>
        <v>0</v>
      </c>
    </row>
    <row r="642" spans="1:8" ht="13.5">
      <c r="A642" s="1798"/>
      <c r="B642" s="1798"/>
      <c r="C642" s="1798"/>
      <c r="D642" s="1798"/>
      <c r="E642" s="2141"/>
      <c r="F642" s="2142"/>
      <c r="G642" s="1797"/>
      <c r="H642" s="2142"/>
    </row>
    <row r="643" spans="1:8" ht="13.5">
      <c r="A643" s="2141"/>
      <c r="B643" s="2141"/>
      <c r="C643" s="2141"/>
      <c r="D643" s="2141"/>
      <c r="E643" s="2141"/>
      <c r="F643" s="2142"/>
      <c r="G643" s="1797"/>
      <c r="H643" s="2142"/>
    </row>
    <row r="644" spans="1:8" ht="13.5">
      <c r="A644" s="1799" t="s">
        <v>3708</v>
      </c>
      <c r="B644" s="1800">
        <f>'Part IV-A-Uses of Funds'!$G$16</f>
        <v>0</v>
      </c>
      <c r="C644" s="1799" t="s">
        <v>1790</v>
      </c>
      <c r="D644" s="1800">
        <f>'Part IV-A-Uses of Funds'!$J$16+'Part IV-A-Uses of Funds'!$M$16+'Part IV-A-Uses of Funds'!$P$16</f>
        <v>0</v>
      </c>
      <c r="E644" s="2141"/>
      <c r="F644" s="2142"/>
      <c r="G644" s="1797"/>
      <c r="H644" s="2142"/>
    </row>
    <row r="645" spans="1:8" ht="13.5">
      <c r="A645" s="1797"/>
      <c r="B645" s="1801"/>
      <c r="C645" s="1797"/>
      <c r="D645" s="1797"/>
      <c r="E645" s="2141"/>
      <c r="F645" s="2142"/>
      <c r="G645" s="1802"/>
      <c r="H645" s="2142"/>
    </row>
    <row r="646" spans="1:8" ht="13.5">
      <c r="A646" s="1796" t="s">
        <v>3707</v>
      </c>
      <c r="B646" s="1797"/>
      <c r="C646" s="1797"/>
      <c r="D646" s="1797"/>
      <c r="E646" s="1797"/>
      <c r="F646" s="1797"/>
      <c r="G646" s="1797"/>
      <c r="H646" s="2141"/>
    </row>
    <row r="647" spans="1:8" ht="12.75" customHeight="1">
      <c r="A647" s="1798" t="str">
        <f>'Part IV-A-Uses of Funds'!$C$41</f>
        <v>&lt;&lt; Enter description here; provide detail &amp; justification in tab Part IV-b &gt;&gt;</v>
      </c>
      <c r="B647" s="1798"/>
      <c r="C647" s="1798"/>
      <c r="D647" s="1798"/>
      <c r="E647" s="1797"/>
      <c r="F647" s="2142">
        <f>'Part IV-B-Other Items'!F25</f>
        <v>0</v>
      </c>
      <c r="G647" s="1797"/>
      <c r="H647" s="2142">
        <f>'Part IV-B-Other Items'!H25</f>
        <v>0</v>
      </c>
    </row>
    <row r="648" spans="1:8" ht="12.75" customHeight="1">
      <c r="A648" s="1798"/>
      <c r="B648" s="1798"/>
      <c r="C648" s="1798"/>
      <c r="D648" s="1798"/>
      <c r="E648" s="1797"/>
      <c r="F648" s="2142"/>
      <c r="G648" s="1797"/>
      <c r="H648" s="2142"/>
    </row>
    <row r="649" spans="1:8">
      <c r="A649" s="1797"/>
      <c r="B649" s="1797"/>
      <c r="C649" s="1797"/>
      <c r="D649" s="1797"/>
      <c r="E649" s="1797"/>
      <c r="F649" s="2142"/>
      <c r="G649" s="1797"/>
      <c r="H649" s="2142"/>
    </row>
    <row r="650" spans="1:8">
      <c r="A650" s="1799" t="s">
        <v>3708</v>
      </c>
      <c r="B650" s="1800">
        <f>'Part IV-A-Uses of Funds'!$G$41</f>
        <v>560128</v>
      </c>
      <c r="C650" s="1799" t="s">
        <v>1790</v>
      </c>
      <c r="D650" s="1800">
        <f>'Part IV-A-Uses of Funds'!$J$41+'Part IV-A-Uses of Funds'!$M$41+'Part IV-A-Uses of Funds'!$P$41</f>
        <v>560128</v>
      </c>
      <c r="E650" s="1797"/>
      <c r="F650" s="2142"/>
      <c r="G650" s="1797"/>
      <c r="H650" s="2142"/>
    </row>
    <row r="651" spans="1:8">
      <c r="A651" s="1797"/>
      <c r="B651" s="1801"/>
      <c r="C651" s="1797"/>
      <c r="D651" s="1797"/>
      <c r="E651" s="1797"/>
      <c r="F651" s="2142"/>
      <c r="G651" s="1802"/>
      <c r="H651" s="2142"/>
    </row>
    <row r="652" spans="1:8" ht="13.5">
      <c r="A652" s="1796" t="s">
        <v>722</v>
      </c>
      <c r="B652" s="1797"/>
      <c r="C652" s="1797"/>
      <c r="D652" s="1797"/>
      <c r="E652" s="1797"/>
      <c r="F652" s="1797"/>
      <c r="G652" s="1797"/>
      <c r="H652" s="2141"/>
    </row>
    <row r="653" spans="1:8" ht="12.75" customHeight="1">
      <c r="A653" s="1798" t="str">
        <f>'Part IV-A-Uses of Funds'!$C$62</f>
        <v>Tax Exempt Bond Interest Expense</v>
      </c>
      <c r="B653" s="1798"/>
      <c r="C653" s="1798"/>
      <c r="D653" s="1798"/>
      <c r="E653" s="1797"/>
      <c r="F653" s="2142" t="str">
        <f>'Part IV-B-Other Items'!F31</f>
        <v>This is based on projected interest on the tax exempt bond proceeds, calculated at the total bond amount multiplied by the interest rate, multiplied again by the term.</v>
      </c>
      <c r="G653" s="1797"/>
      <c r="H653" s="2142" t="str">
        <f>'Part IV-B-Other Items'!H31</f>
        <v>The portion of bond interest expense attributed during construction of the buildings is depreciable basis to those buildings; as buildings are completed and placed in service, the proportion of the interest begins to become excluded from basis.</v>
      </c>
    </row>
    <row r="654" spans="1:8" ht="12.75" customHeight="1">
      <c r="A654" s="1798"/>
      <c r="B654" s="1798"/>
      <c r="C654" s="1798"/>
      <c r="D654" s="1798"/>
      <c r="E654" s="1797"/>
      <c r="F654" s="2142"/>
      <c r="G654" s="1797"/>
      <c r="H654" s="2142"/>
    </row>
    <row r="655" spans="1:8">
      <c r="A655" s="1797"/>
      <c r="B655" s="1797"/>
      <c r="C655" s="1797"/>
      <c r="D655" s="1797"/>
      <c r="E655" s="1797"/>
      <c r="F655" s="2142"/>
      <c r="G655" s="1797"/>
      <c r="H655" s="2142"/>
    </row>
    <row r="656" spans="1:8">
      <c r="A656" s="1799" t="s">
        <v>3708</v>
      </c>
      <c r="B656" s="1800">
        <f>'Part IV-A-Uses of Funds'!$G$62</f>
        <v>370000</v>
      </c>
      <c r="C656" s="1799" t="s">
        <v>1790</v>
      </c>
      <c r="D656" s="1800">
        <f>'Part IV-A-Uses of Funds'!$J$62+'Part IV-A-Uses of Funds'!$M$62+'Part IV-A-Uses of Funds'!$P$62</f>
        <v>370000</v>
      </c>
      <c r="E656" s="1797"/>
      <c r="F656" s="2142"/>
      <c r="G656" s="1797"/>
      <c r="H656" s="2142"/>
    </row>
    <row r="657" spans="1:8" ht="13.5">
      <c r="A657" s="2141"/>
      <c r="B657" s="2141"/>
      <c r="C657" s="2141"/>
      <c r="D657" s="1797"/>
      <c r="E657" s="1797"/>
      <c r="F657" s="2142"/>
      <c r="G657" s="1802"/>
      <c r="H657" s="2142"/>
    </row>
    <row r="658" spans="1:8" ht="12.75" customHeight="1">
      <c r="A658" s="1798" t="str">
        <f>'Part IV-A-Uses of Funds'!$C$63</f>
        <v>&lt;&lt; Enter description here; provide detail &amp; justification in tab Part IV-b &gt;&gt;</v>
      </c>
      <c r="B658" s="1798"/>
      <c r="C658" s="1798"/>
      <c r="D658" s="1798"/>
      <c r="E658" s="1797"/>
      <c r="F658" s="2142">
        <f>'Part IV-B-Other Items'!F36</f>
        <v>0</v>
      </c>
      <c r="G658" s="1797"/>
      <c r="H658" s="2142">
        <f>'Part IV-B-Other Items'!H36</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3708</v>
      </c>
      <c r="B661" s="1800">
        <f>'Part IV-A-Uses of Funds'!$G$63</f>
        <v>0</v>
      </c>
      <c r="C661" s="1799" t="s">
        <v>1790</v>
      </c>
      <c r="D661" s="1800">
        <f>'Part IV-A-Uses of Funds'!$J$63+'Part IV-A-Uses of Funds'!$M$63+'Part IV-A-Uses of Funds'!$P$63</f>
        <v>0</v>
      </c>
      <c r="E661" s="1797"/>
      <c r="F661" s="2142"/>
      <c r="G661" s="1797"/>
      <c r="H661" s="2142"/>
    </row>
    <row r="662" spans="1:8" ht="13.5">
      <c r="A662" s="2141"/>
      <c r="B662" s="2141"/>
      <c r="C662" s="2141"/>
      <c r="D662" s="1797"/>
      <c r="E662" s="1797"/>
      <c r="F662" s="2142"/>
      <c r="G662" s="1802"/>
      <c r="H662" s="2142"/>
    </row>
    <row r="663" spans="1:8" ht="13.5">
      <c r="A663" s="1796" t="s">
        <v>476</v>
      </c>
      <c r="B663" s="1797"/>
      <c r="C663" s="1797"/>
      <c r="D663" s="1797"/>
      <c r="E663" s="1803"/>
      <c r="F663" s="1803"/>
      <c r="G663" s="1797"/>
      <c r="H663" s="2141"/>
    </row>
    <row r="664" spans="1:8" ht="13.5" customHeight="1">
      <c r="A664" s="1798" t="str">
        <f>'Part IV-A-Uses of Funds'!$C$76</f>
        <v>&lt;&lt; Enter description here; provide detail &amp; justification in tab Part IV-b &gt;&gt;</v>
      </c>
      <c r="B664" s="1798"/>
      <c r="C664" s="1798"/>
      <c r="D664" s="1798"/>
      <c r="E664" s="2141"/>
      <c r="F664" s="2142">
        <f>'Part IV-B-Other Items'!F42</f>
        <v>0</v>
      </c>
      <c r="G664" s="1797"/>
      <c r="H664" s="2142">
        <f>'Part IV-B-Other Items'!H42</f>
        <v>0</v>
      </c>
    </row>
    <row r="665" spans="1:8" ht="12.75" customHeight="1">
      <c r="A665" s="1798"/>
      <c r="B665" s="1798"/>
      <c r="C665" s="1798"/>
      <c r="D665" s="1798"/>
      <c r="E665" s="1797"/>
      <c r="F665" s="2142"/>
      <c r="G665" s="1797"/>
      <c r="H665" s="2142"/>
    </row>
    <row r="666" spans="1:8">
      <c r="A666" s="1797"/>
      <c r="B666" s="1797"/>
      <c r="C666" s="1797"/>
      <c r="D666" s="1797"/>
      <c r="E666" s="1797"/>
      <c r="F666" s="2142"/>
      <c r="G666" s="1797"/>
      <c r="H666" s="2142"/>
    </row>
    <row r="667" spans="1:8">
      <c r="A667" s="1799" t="s">
        <v>3708</v>
      </c>
      <c r="B667" s="1800">
        <f>'Part IV-A-Uses of Funds'!$G$76</f>
        <v>0</v>
      </c>
      <c r="C667" s="1799" t="s">
        <v>1790</v>
      </c>
      <c r="D667" s="1800">
        <f>'Part IV-A-Uses of Funds'!$J$76+'Part IV-A-Uses of Funds'!$M$76+'Part IV-A-Uses of Funds'!$P$76</f>
        <v>0</v>
      </c>
      <c r="E667" s="1797"/>
      <c r="F667" s="2142"/>
      <c r="G667" s="1797"/>
      <c r="H667" s="2142"/>
    </row>
    <row r="668" spans="1:8">
      <c r="A668" s="1797"/>
      <c r="B668" s="1801"/>
      <c r="C668" s="1797"/>
      <c r="D668" s="1797"/>
      <c r="E668" s="1797"/>
      <c r="F668" s="2142"/>
      <c r="G668" s="1802"/>
      <c r="H668" s="2142"/>
    </row>
    <row r="669" spans="1:8" ht="13.5">
      <c r="A669" s="1796" t="s">
        <v>724</v>
      </c>
      <c r="B669" s="1797"/>
      <c r="C669" s="1797"/>
      <c r="D669" s="1797"/>
      <c r="E669" s="1797"/>
      <c r="F669" s="1797"/>
      <c r="G669" s="1797"/>
      <c r="H669" s="2141"/>
    </row>
    <row r="670" spans="1:8" ht="13.5" customHeight="1">
      <c r="A670" s="1798" t="str">
        <f>'Part IV-A-Uses of Funds'!$C$90</f>
        <v>&lt;&lt; Enter description here; provide detail &amp; justification in tab Part IV-b &gt;&gt;</v>
      </c>
      <c r="B670" s="1798"/>
      <c r="C670" s="1798"/>
      <c r="D670" s="1798"/>
      <c r="E670" s="2141"/>
      <c r="F670" s="2142">
        <f>'Part IV-B-Other Items'!F48</f>
        <v>0</v>
      </c>
      <c r="G670" s="1797"/>
      <c r="H670" s="2141"/>
    </row>
    <row r="671" spans="1:8" ht="13.5">
      <c r="A671" s="1798"/>
      <c r="B671" s="1798"/>
      <c r="C671" s="1798"/>
      <c r="D671" s="1798"/>
      <c r="E671" s="1797"/>
      <c r="F671" s="2142"/>
      <c r="G671" s="1797"/>
      <c r="H671" s="2141"/>
    </row>
    <row r="672" spans="1:8" ht="13.5">
      <c r="A672" s="1797"/>
      <c r="B672" s="1797"/>
      <c r="C672" s="1797"/>
      <c r="D672" s="1797"/>
      <c r="E672" s="1797"/>
      <c r="F672" s="2142"/>
      <c r="G672" s="1797"/>
      <c r="H672" s="2141"/>
    </row>
    <row r="673" spans="1:8" ht="13.5">
      <c r="A673" s="1799" t="s">
        <v>3708</v>
      </c>
      <c r="B673" s="1800">
        <f>'Part IV-A-Uses of Funds'!$G$90</f>
        <v>0</v>
      </c>
      <c r="C673" s="1804"/>
      <c r="D673" s="1804"/>
      <c r="E673" s="1797"/>
      <c r="F673" s="2142"/>
      <c r="G673" s="1797"/>
      <c r="H673" s="2141"/>
    </row>
    <row r="674" spans="1:8" ht="13.5">
      <c r="A674" s="1797"/>
      <c r="B674" s="1797"/>
      <c r="C674" s="1797"/>
      <c r="D674" s="1797"/>
      <c r="E674" s="1797"/>
      <c r="F674" s="2142"/>
      <c r="G674" s="1802"/>
      <c r="H674" s="2141"/>
    </row>
    <row r="675" spans="1:8" ht="13.5">
      <c r="A675" s="1796" t="s">
        <v>4523</v>
      </c>
      <c r="B675" s="1797"/>
      <c r="C675" s="1797"/>
      <c r="D675" s="1797"/>
      <c r="E675" s="1797"/>
      <c r="F675" s="1797"/>
      <c r="G675" s="1797"/>
      <c r="H675" s="2141"/>
    </row>
    <row r="676" spans="1:8" ht="13.5" customHeight="1">
      <c r="A676" s="1798" t="str">
        <f>'Part IV-A-Uses of Funds'!$C$103</f>
        <v>&lt;&lt; Enter description here; provide detail &amp; justification in tab Part IV-b &gt;&gt;</v>
      </c>
      <c r="B676" s="1798"/>
      <c r="C676" s="1798"/>
      <c r="D676" s="1798"/>
      <c r="E676" s="2141"/>
      <c r="F676" s="2142">
        <f>'Part IV-B-Other Items'!F54</f>
        <v>0</v>
      </c>
      <c r="G676" s="1797"/>
      <c r="H676" s="2141"/>
    </row>
    <row r="677" spans="1:8" ht="13.5">
      <c r="A677" s="1798"/>
      <c r="B677" s="1798"/>
      <c r="C677" s="1798"/>
      <c r="D677" s="1798"/>
      <c r="E677" s="1797"/>
      <c r="F677" s="2142"/>
      <c r="G677" s="1797"/>
      <c r="H677" s="2141"/>
    </row>
    <row r="678" spans="1:8" ht="13.5">
      <c r="A678" s="1797"/>
      <c r="B678" s="1797"/>
      <c r="C678" s="1797"/>
      <c r="D678" s="1797"/>
      <c r="E678" s="1797"/>
      <c r="F678" s="2142"/>
      <c r="G678" s="1797"/>
      <c r="H678" s="2141"/>
    </row>
    <row r="679" spans="1:8" ht="13.5">
      <c r="A679" s="1799" t="s">
        <v>3708</v>
      </c>
      <c r="B679" s="1800">
        <f>'Part IV-A-Uses of Funds'!$G$103</f>
        <v>0</v>
      </c>
      <c r="C679" s="1804"/>
      <c r="D679" s="1804"/>
      <c r="E679" s="1797"/>
      <c r="F679" s="2142"/>
      <c r="G679" s="1797"/>
      <c r="H679" s="2141"/>
    </row>
    <row r="680" spans="1:8" ht="13.5">
      <c r="A680" s="1795"/>
      <c r="B680" s="1795"/>
      <c r="C680" s="1795"/>
      <c r="D680" s="1795"/>
      <c r="E680" s="1795"/>
      <c r="F680" s="2142"/>
      <c r="G680" s="1802"/>
      <c r="H680" s="2141"/>
    </row>
    <row r="681" spans="1:8" ht="13.5" customHeight="1">
      <c r="A681" s="1798" t="str">
        <f>'Part IV-A-Uses of Funds'!$C$104</f>
        <v>&lt;&lt; Enter description here; provide detail &amp; justification in tab Part IV-b &gt;&gt;</v>
      </c>
      <c r="B681" s="1798"/>
      <c r="C681" s="1798"/>
      <c r="D681" s="1798"/>
      <c r="E681" s="2141"/>
      <c r="F681" s="2142">
        <f>'Part IV-B-Other Items'!F59</f>
        <v>0</v>
      </c>
      <c r="G681" s="1797"/>
      <c r="H681" s="2141"/>
    </row>
    <row r="682" spans="1:8" ht="13.5">
      <c r="A682" s="1798"/>
      <c r="B682" s="1798"/>
      <c r="C682" s="1798"/>
      <c r="D682" s="1798"/>
      <c r="E682" s="1797"/>
      <c r="F682" s="2142"/>
      <c r="G682" s="1797"/>
      <c r="H682" s="2141"/>
    </row>
    <row r="683" spans="1:8" ht="13.5">
      <c r="A683" s="1797"/>
      <c r="B683" s="1797"/>
      <c r="C683" s="1797"/>
      <c r="D683" s="1797"/>
      <c r="E683" s="1797"/>
      <c r="F683" s="2142"/>
      <c r="G683" s="1797"/>
      <c r="H683" s="2141"/>
    </row>
    <row r="684" spans="1:8" ht="13.5">
      <c r="A684" s="1799" t="s">
        <v>3708</v>
      </c>
      <c r="B684" s="1800">
        <f>'Part IV-A-Uses of Funds'!$G$104</f>
        <v>0</v>
      </c>
      <c r="C684" s="1804"/>
      <c r="D684" s="1804"/>
      <c r="E684" s="1797"/>
      <c r="F684" s="2142"/>
      <c r="G684" s="1797"/>
      <c r="H684" s="2141"/>
    </row>
    <row r="685" spans="1:8" ht="13.5">
      <c r="A685" s="1795"/>
      <c r="B685" s="1795"/>
      <c r="C685" s="1795"/>
      <c r="D685" s="1795"/>
      <c r="E685" s="1795"/>
      <c r="F685" s="2142"/>
      <c r="G685" s="1802"/>
      <c r="H685" s="2141"/>
    </row>
    <row r="686" spans="1:8" ht="13.5">
      <c r="A686" s="1796" t="s">
        <v>4524</v>
      </c>
      <c r="B686" s="1797"/>
      <c r="C686" s="1797"/>
      <c r="D686" s="1797"/>
      <c r="E686" s="1797"/>
      <c r="F686" s="1797"/>
      <c r="G686" s="1797"/>
      <c r="H686" s="2141"/>
    </row>
    <row r="687" spans="1:8" ht="13.5" customHeight="1">
      <c r="A687" s="1798" t="str">
        <f>'Part IV-A-Uses of Funds'!$C$110</f>
        <v>&lt;&lt; Enter description here; provide detail &amp; justification in tab Part IV-b &gt;&gt;</v>
      </c>
      <c r="B687" s="1798"/>
      <c r="C687" s="1798"/>
      <c r="D687" s="1798"/>
      <c r="E687" s="2141"/>
      <c r="F687" s="2142">
        <f>'Part IV-B-Other Items'!F65</f>
        <v>0</v>
      </c>
      <c r="G687" s="1797"/>
      <c r="H687" s="2141"/>
    </row>
    <row r="688" spans="1:8" ht="13.5">
      <c r="A688" s="1798"/>
      <c r="B688" s="1798"/>
      <c r="C688" s="1798"/>
      <c r="D688" s="1798"/>
      <c r="E688" s="1797"/>
      <c r="F688" s="2142"/>
      <c r="G688" s="1797"/>
      <c r="H688" s="2141"/>
    </row>
    <row r="689" spans="1:8" ht="13.5">
      <c r="A689" s="1797"/>
      <c r="B689" s="1797"/>
      <c r="C689" s="1797"/>
      <c r="D689" s="1797"/>
      <c r="E689" s="1797"/>
      <c r="F689" s="2142"/>
      <c r="G689" s="1797"/>
      <c r="H689" s="2141"/>
    </row>
    <row r="690" spans="1:8" ht="13.5">
      <c r="A690" s="1799" t="s">
        <v>3708</v>
      </c>
      <c r="B690" s="1800">
        <f>'Part IV-A-Uses of Funds'!$G$110</f>
        <v>0</v>
      </c>
      <c r="C690" s="1804"/>
      <c r="D690" s="1804"/>
      <c r="E690" s="1797"/>
      <c r="F690" s="2142"/>
      <c r="G690" s="1797"/>
      <c r="H690" s="2141"/>
    </row>
    <row r="691" spans="1:8" ht="13.5">
      <c r="A691" s="1797"/>
      <c r="B691" s="1801"/>
      <c r="C691" s="1797"/>
      <c r="D691" s="1797"/>
      <c r="E691" s="1797"/>
      <c r="F691" s="2142"/>
      <c r="G691" s="1802"/>
      <c r="H691" s="2141"/>
    </row>
    <row r="692" spans="1:8" ht="13.5">
      <c r="A692" s="1796" t="s">
        <v>1309</v>
      </c>
      <c r="B692" s="1797"/>
      <c r="C692" s="1797"/>
      <c r="D692" s="1797"/>
      <c r="E692" s="1797"/>
      <c r="F692" s="1797"/>
      <c r="G692" s="1797"/>
      <c r="H692" s="2141"/>
    </row>
    <row r="693" spans="1:8" ht="13.5" customHeight="1">
      <c r="A693" s="1798" t="str">
        <f>'Part IV-A-Uses of Funds'!$C$125</f>
        <v>&lt;&lt; Enter description here; provide detail &amp; justification in tab Part IV-b &gt;&gt;</v>
      </c>
      <c r="B693" s="1798"/>
      <c r="C693" s="1798"/>
      <c r="D693" s="1798"/>
      <c r="E693" s="2141"/>
      <c r="F693" s="2142">
        <f>'Part IV-B-Other Items'!F71</f>
        <v>0</v>
      </c>
      <c r="G693" s="1797"/>
      <c r="H693" s="2142">
        <f>'Part IV-B-Other Items'!H71</f>
        <v>0</v>
      </c>
    </row>
    <row r="694" spans="1:8" ht="12.75" customHeight="1">
      <c r="A694" s="1798"/>
      <c r="B694" s="1798"/>
      <c r="C694" s="1798"/>
      <c r="D694" s="1798"/>
      <c r="E694" s="1797"/>
      <c r="F694" s="2142"/>
      <c r="G694" s="1797"/>
      <c r="H694" s="2142"/>
    </row>
    <row r="695" spans="1:8">
      <c r="A695" s="1797"/>
      <c r="B695" s="1797"/>
      <c r="C695" s="1797"/>
      <c r="D695" s="1797"/>
      <c r="E695" s="1797"/>
      <c r="F695" s="2142"/>
      <c r="G695" s="1797"/>
      <c r="H695" s="2142"/>
    </row>
    <row r="696" spans="1:8">
      <c r="A696" s="1799" t="s">
        <v>3708</v>
      </c>
      <c r="B696" s="1800">
        <f>'Part IV-A-Uses of Funds'!$G$125</f>
        <v>0</v>
      </c>
      <c r="C696" s="1799" t="s">
        <v>1790</v>
      </c>
      <c r="D696" s="1800">
        <f>'Part IV-A-Uses of Funds'!$J$125+'Part IV-A-Uses of Funds'!$M$125+'Part IV-A-Uses of Funds'!$P$125</f>
        <v>0</v>
      </c>
      <c r="E696" s="1797"/>
      <c r="F696" s="2142"/>
      <c r="G696" s="1797"/>
      <c r="H696" s="2142"/>
    </row>
    <row r="697" spans="1:8">
      <c r="A697" s="1797"/>
      <c r="B697" s="1801"/>
      <c r="C697" s="1797"/>
      <c r="D697" s="1797"/>
      <c r="E697" s="1797"/>
      <c r="F697" s="2142"/>
      <c r="G697" s="1802"/>
      <c r="H697" s="2142"/>
    </row>
    <row r="698" spans="1:8" ht="13.5">
      <c r="A698" s="1796" t="s">
        <v>4525</v>
      </c>
      <c r="B698" s="1801"/>
      <c r="C698" s="1797"/>
      <c r="D698" s="1797"/>
      <c r="E698" s="1797"/>
      <c r="F698" s="1797"/>
      <c r="G698" s="1802"/>
      <c r="H698" s="2141"/>
    </row>
    <row r="699" spans="1:8" ht="13.5" customHeight="1">
      <c r="A699" s="1798" t="str">
        <f>'Part IV-A-Uses of Funds'!$C$129</f>
        <v>&lt;&lt; Enter description here; provide detail &amp; justification in tab Part IV-b &gt;&gt;</v>
      </c>
      <c r="B699" s="1798"/>
      <c r="C699" s="1798"/>
      <c r="D699" s="1798"/>
      <c r="E699" s="2141"/>
      <c r="F699" s="2142">
        <f>'Part IV-B-Other Items'!F77</f>
        <v>0</v>
      </c>
      <c r="G699" s="1797"/>
      <c r="H699" s="2142">
        <f>'Part IV-B-Other Items'!H77</f>
        <v>0</v>
      </c>
    </row>
    <row r="700" spans="1:8" ht="12.75" customHeight="1">
      <c r="A700" s="1798"/>
      <c r="B700" s="1798"/>
      <c r="C700" s="1798"/>
      <c r="D700" s="1798"/>
      <c r="E700" s="1797"/>
      <c r="F700" s="2142"/>
      <c r="G700" s="1797"/>
      <c r="H700" s="2142"/>
    </row>
    <row r="701" spans="1:8">
      <c r="A701" s="1797"/>
      <c r="B701" s="1797"/>
      <c r="C701" s="1797"/>
      <c r="D701" s="1797"/>
      <c r="E701" s="1797"/>
      <c r="F701" s="2142"/>
      <c r="G701" s="1797"/>
      <c r="H701" s="2142"/>
    </row>
    <row r="702" spans="1:8">
      <c r="A702" s="1799" t="s">
        <v>3708</v>
      </c>
      <c r="B702" s="1800">
        <f>'Part IV-A-Uses of Funds'!$G$129</f>
        <v>0</v>
      </c>
      <c r="C702" s="1799" t="s">
        <v>1790</v>
      </c>
      <c r="D702" s="1800">
        <f>'Part IV-A-Uses of Funds'!$J$129+'Part IV-A-Uses of Funds'!$M$129+'Part IV-A-Uses of Funds'!$P$129</f>
        <v>0</v>
      </c>
      <c r="E702" s="1797"/>
      <c r="F702" s="2142"/>
      <c r="G702" s="1797"/>
      <c r="H702" s="2142"/>
    </row>
    <row r="703" spans="1:8" ht="13.5">
      <c r="A703" s="2141"/>
      <c r="B703" s="2141"/>
      <c r="C703" s="2141"/>
      <c r="D703" s="1797"/>
      <c r="E703" s="1800"/>
      <c r="F703" s="2142"/>
      <c r="G703" s="1802"/>
      <c r="H703" s="2142"/>
    </row>
    <row r="710" spans="1:13">
      <c r="A710" s="1629" t="str">
        <f>CONCATENATE("PART FIVE - UTILITY ALLOWANCES","  -  ",'Part I-Project Information'!$O$6," ",'Part I-Project Information'!$F$34,", ",'Part I-Project Information'!F754,", ",'Part I-Project Information'!J755," County")</f>
        <v>PART FIVE - UTILITY ALLOWANCES  -  2019-5 Stone Terrace Phase II, ,  County</v>
      </c>
      <c r="B710" s="1629"/>
      <c r="C710" s="1629"/>
      <c r="D710" s="1629"/>
      <c r="E710" s="1629"/>
      <c r="F710" s="1629"/>
      <c r="G710" s="1629"/>
      <c r="H710" s="1629"/>
      <c r="I710" s="1629"/>
      <c r="J710" s="1629"/>
      <c r="K710" s="1629"/>
      <c r="L710" s="1629"/>
      <c r="M710" s="1629"/>
    </row>
    <row r="712" spans="1:13">
      <c r="F712" s="1629" t="s">
        <v>515</v>
      </c>
      <c r="I712" s="1805" t="str">
        <f>VLOOKUP('Part I-Project Information'!$J$39,'DCA Underwriting Assumptions'!$G$158:$H$317,2)</f>
        <v>Local PHA</v>
      </c>
    </row>
    <row r="714" spans="1:13">
      <c r="A714" s="1806" t="s">
        <v>3807</v>
      </c>
    </row>
    <row r="716" spans="1:13" ht="51">
      <c r="A716" s="1641" t="s">
        <v>616</v>
      </c>
      <c r="B716" s="1641" t="s">
        <v>2227</v>
      </c>
      <c r="F716" s="742" t="s">
        <v>2519</v>
      </c>
      <c r="I716" s="1635" t="str">
        <f>'Part V-Utility Allowances'!I7</f>
        <v>Housing Authority of DeKalb County, Georgia</v>
      </c>
      <c r="J716" s="1635"/>
      <c r="K716" s="1635"/>
      <c r="L716" s="1635"/>
      <c r="M716" s="1635"/>
    </row>
    <row r="717" spans="1:13">
      <c r="A717" s="1641"/>
      <c r="F717" s="742" t="s">
        <v>636</v>
      </c>
      <c r="I717" s="2143">
        <f>'Part V-Utility Allowances'!I8</f>
        <v>43282</v>
      </c>
      <c r="J717" s="2143">
        <f>'Part V-Utility Allowances'!J8</f>
        <v>0</v>
      </c>
      <c r="K717" s="1637" t="s">
        <v>540</v>
      </c>
      <c r="L717" s="2111" t="str">
        <f>'Part V-Utility Allowances'!L8</f>
        <v>MF</v>
      </c>
      <c r="M717" s="2111">
        <f>'Part V-Utility Allowances'!M8</f>
        <v>0</v>
      </c>
    </row>
    <row r="718" spans="1:13">
      <c r="A718" s="1641"/>
    </row>
    <row r="719" spans="1:13">
      <c r="A719" s="1641"/>
      <c r="B719" s="1641"/>
      <c r="C719" s="1641"/>
      <c r="D719" s="1641"/>
      <c r="E719" s="1641"/>
      <c r="F719" s="1807" t="s">
        <v>609</v>
      </c>
      <c r="G719" s="1807"/>
      <c r="H719" s="1641"/>
      <c r="I719" s="1807" t="s">
        <v>200</v>
      </c>
      <c r="J719" s="1807"/>
      <c r="K719" s="1807"/>
      <c r="L719" s="1807"/>
      <c r="M719" s="1807"/>
    </row>
    <row r="720" spans="1:13">
      <c r="A720" s="1641"/>
      <c r="B720" s="1641" t="s">
        <v>798</v>
      </c>
      <c r="C720" s="1641"/>
      <c r="D720" s="1641" t="s">
        <v>1599</v>
      </c>
      <c r="E720" s="1641"/>
      <c r="F720" s="1639" t="s">
        <v>642</v>
      </c>
      <c r="G720" s="1639" t="s">
        <v>1850</v>
      </c>
      <c r="H720" s="1641"/>
      <c r="I720" s="1639" t="s">
        <v>568</v>
      </c>
      <c r="J720" s="1639">
        <v>1</v>
      </c>
      <c r="K720" s="1639">
        <v>2</v>
      </c>
      <c r="L720" s="1639">
        <v>3</v>
      </c>
      <c r="M720" s="1639">
        <v>4</v>
      </c>
    </row>
    <row r="721" spans="1:13">
      <c r="B721" s="742" t="s">
        <v>1852</v>
      </c>
      <c r="D721" s="2111" t="str">
        <f>'Part V-Utility Allowances'!D12</f>
        <v>Electric Heat Pump</v>
      </c>
      <c r="E721" s="2111">
        <f>'Part V-Utility Allowances'!E12</f>
        <v>0</v>
      </c>
      <c r="F721" s="2144" t="str">
        <f>'Part V-Utility Allowances'!F12</f>
        <v>X</v>
      </c>
      <c r="G721" s="2144">
        <f>'Part V-Utility Allowances'!G12</f>
        <v>0</v>
      </c>
      <c r="I721" s="1637">
        <f>'Part V-Utility Allowances'!I12</f>
        <v>0</v>
      </c>
      <c r="J721" s="1637">
        <f>'Part V-Utility Allowances'!J12</f>
        <v>9</v>
      </c>
      <c r="K721" s="1637">
        <f>'Part V-Utility Allowances'!K12</f>
        <v>11</v>
      </c>
      <c r="L721" s="1637">
        <f>'Part V-Utility Allowances'!L12</f>
        <v>13</v>
      </c>
      <c r="M721" s="1637">
        <f>'Part V-Utility Allowances'!M12</f>
        <v>14</v>
      </c>
    </row>
    <row r="722" spans="1:13">
      <c r="B722" s="742" t="s">
        <v>1597</v>
      </c>
      <c r="D722" s="2111" t="str">
        <f>'Part V-Utility Allowances'!D13</f>
        <v>Electric</v>
      </c>
      <c r="E722" s="2111">
        <f>'Part V-Utility Allowances'!E13</f>
        <v>0</v>
      </c>
      <c r="F722" s="2144" t="str">
        <f>'Part V-Utility Allowances'!F13</f>
        <v>X</v>
      </c>
      <c r="G722" s="2144">
        <f>'Part V-Utility Allowances'!G13</f>
        <v>0</v>
      </c>
      <c r="I722" s="1637">
        <f>'Part V-Utility Allowances'!I13</f>
        <v>0</v>
      </c>
      <c r="J722" s="1637">
        <f>'Part V-Utility Allowances'!J13</f>
        <v>4</v>
      </c>
      <c r="K722" s="1637">
        <f>'Part V-Utility Allowances'!K13</f>
        <v>6</v>
      </c>
      <c r="L722" s="1637">
        <f>'Part V-Utility Allowances'!L13</f>
        <v>8</v>
      </c>
      <c r="M722" s="1637">
        <f>'Part V-Utility Allowances'!M13</f>
        <v>10</v>
      </c>
    </row>
    <row r="723" spans="1:13">
      <c r="B723" s="742" t="s">
        <v>1598</v>
      </c>
      <c r="D723" s="2111" t="str">
        <f>'Part V-Utility Allowances'!D14</f>
        <v>Electric</v>
      </c>
      <c r="E723" s="2111">
        <f>'Part V-Utility Allowances'!E14</f>
        <v>0</v>
      </c>
      <c r="F723" s="2144" t="str">
        <f>'Part V-Utility Allowances'!F14</f>
        <v>X</v>
      </c>
      <c r="G723" s="2144">
        <f>'Part V-Utility Allowances'!G14</f>
        <v>0</v>
      </c>
      <c r="I723" s="1637">
        <f>'Part V-Utility Allowances'!I14</f>
        <v>0</v>
      </c>
      <c r="J723" s="1637">
        <f>'Part V-Utility Allowances'!J14</f>
        <v>10</v>
      </c>
      <c r="K723" s="1637">
        <f>'Part V-Utility Allowances'!K14</f>
        <v>13</v>
      </c>
      <c r="L723" s="1637">
        <f>'Part V-Utility Allowances'!L14</f>
        <v>16</v>
      </c>
      <c r="M723" s="1637">
        <f>'Part V-Utility Allowances'!M14</f>
        <v>19</v>
      </c>
    </row>
    <row r="724" spans="1:13">
      <c r="B724" s="742" t="s">
        <v>467</v>
      </c>
      <c r="D724" s="742" t="s">
        <v>1596</v>
      </c>
      <c r="F724" s="2144" t="str">
        <f>'Part V-Utility Allowances'!F15</f>
        <v>X</v>
      </c>
      <c r="G724" s="2144">
        <f>'Part V-Utility Allowances'!G15</f>
        <v>0</v>
      </c>
      <c r="I724" s="1637">
        <f>'Part V-Utility Allowances'!I15</f>
        <v>0</v>
      </c>
      <c r="J724" s="1637">
        <f>'Part V-Utility Allowances'!J15</f>
        <v>8</v>
      </c>
      <c r="K724" s="1637">
        <f>'Part V-Utility Allowances'!K15</f>
        <v>11</v>
      </c>
      <c r="L724" s="1637">
        <f>'Part V-Utility Allowances'!L15</f>
        <v>13</v>
      </c>
      <c r="M724" s="1637">
        <f>'Part V-Utility Allowances'!M15</f>
        <v>16</v>
      </c>
    </row>
    <row r="725" spans="1:13">
      <c r="B725" s="742" t="s">
        <v>3804</v>
      </c>
      <c r="D725" s="742" t="s">
        <v>1596</v>
      </c>
      <c r="F725" s="2144">
        <f>'Part V-Utility Allowances'!F16</f>
        <v>0</v>
      </c>
      <c r="G725" s="2144" t="str">
        <f>'Part V-Utility Allowances'!G16</f>
        <v>X</v>
      </c>
      <c r="I725" s="1637">
        <f>'Part V-Utility Allowances'!I16</f>
        <v>0</v>
      </c>
      <c r="J725" s="1637">
        <f>'Part V-Utility Allowances'!J16</f>
        <v>0</v>
      </c>
      <c r="K725" s="1637">
        <f>'Part V-Utility Allowances'!K16</f>
        <v>0</v>
      </c>
      <c r="L725" s="1637">
        <f>'Part V-Utility Allowances'!L16</f>
        <v>0</v>
      </c>
      <c r="M725" s="1637">
        <f>'Part V-Utility Allowances'!M16</f>
        <v>0</v>
      </c>
    </row>
    <row r="726" spans="1:13">
      <c r="B726" s="742" t="s">
        <v>3805</v>
      </c>
      <c r="D726" s="742" t="s">
        <v>1596</v>
      </c>
      <c r="F726" s="2144">
        <f>'Part V-Utility Allowances'!F17</f>
        <v>0</v>
      </c>
      <c r="G726" s="2144" t="str">
        <f>'Part V-Utility Allowances'!G17</f>
        <v>X</v>
      </c>
      <c r="I726" s="1637">
        <f>'Part V-Utility Allowances'!I17</f>
        <v>0</v>
      </c>
      <c r="J726" s="1637">
        <f>'Part V-Utility Allowances'!J17</f>
        <v>0</v>
      </c>
      <c r="K726" s="1637">
        <f>'Part V-Utility Allowances'!K17</f>
        <v>0</v>
      </c>
      <c r="L726" s="1637">
        <f>'Part V-Utility Allowances'!L17</f>
        <v>0</v>
      </c>
      <c r="M726" s="1637">
        <f>'Part V-Utility Allowances'!M17</f>
        <v>0</v>
      </c>
    </row>
    <row r="727" spans="1:13">
      <c r="B727" s="742" t="s">
        <v>3806</v>
      </c>
      <c r="D727" s="742" t="s">
        <v>1596</v>
      </c>
      <c r="F727" s="2144" t="str">
        <f>'Part V-Utility Allowances'!F18</f>
        <v>X</v>
      </c>
      <c r="G727" s="2144">
        <f>'Part V-Utility Allowances'!G18</f>
        <v>0</v>
      </c>
      <c r="I727" s="1637">
        <f>'Part V-Utility Allowances'!I18</f>
        <v>0</v>
      </c>
      <c r="J727" s="1637">
        <f>'Part V-Utility Allowances'!J18</f>
        <v>16</v>
      </c>
      <c r="K727" s="1637">
        <f>'Part V-Utility Allowances'!K18</f>
        <v>23</v>
      </c>
      <c r="L727" s="1637">
        <f>'Part V-Utility Allowances'!L18</f>
        <v>29</v>
      </c>
      <c r="M727" s="1637">
        <f>'Part V-Utility Allowances'!M18</f>
        <v>36</v>
      </c>
    </row>
    <row r="728" spans="1:13">
      <c r="B728" s="742" t="s">
        <v>1370</v>
      </c>
      <c r="D728" s="742" t="s">
        <v>4526</v>
      </c>
      <c r="E728" s="1637" t="str">
        <f>'Part V-Utility Allowances'!E19</f>
        <v>Yes</v>
      </c>
      <c r="F728" s="2144">
        <f>'Part V-Utility Allowances'!F19</f>
        <v>0</v>
      </c>
      <c r="G728" s="2144" t="str">
        <f>'Part V-Utility Allowances'!G19</f>
        <v>X</v>
      </c>
      <c r="I728" s="1637">
        <f>'Part V-Utility Allowances'!I19</f>
        <v>0</v>
      </c>
      <c r="J728" s="1637">
        <f>'Part V-Utility Allowances'!J19</f>
        <v>0</v>
      </c>
      <c r="K728" s="1637">
        <f>'Part V-Utility Allowances'!K19</f>
        <v>0</v>
      </c>
      <c r="L728" s="1637">
        <f>'Part V-Utility Allowances'!L19</f>
        <v>0</v>
      </c>
      <c r="M728" s="1637">
        <f>'Part V-Utility Allowances'!M19</f>
        <v>0</v>
      </c>
    </row>
    <row r="729" spans="1:13">
      <c r="B729" s="742" t="s">
        <v>1851</v>
      </c>
      <c r="F729" s="2144" t="str">
        <f>'Part V-Utility Allowances'!F21</f>
        <v>X</v>
      </c>
      <c r="G729" s="2144">
        <f>'Part V-Utility Allowances'!G21</f>
        <v>0</v>
      </c>
      <c r="I729" s="1637">
        <f>'Part V-Utility Allowances'!I21</f>
        <v>0</v>
      </c>
      <c r="J729" s="1637">
        <f>'Part V-Utility Allowances'!J21</f>
        <v>14</v>
      </c>
      <c r="K729" s="1637">
        <f>'Part V-Utility Allowances'!K21</f>
        <v>14</v>
      </c>
      <c r="L729" s="1637">
        <f>'Part V-Utility Allowances'!L21</f>
        <v>14</v>
      </c>
      <c r="M729" s="1637">
        <f>'Part V-Utility Allowances'!M21</f>
        <v>14</v>
      </c>
    </row>
    <row r="730" spans="1:13">
      <c r="B730" s="1641" t="s">
        <v>1020</v>
      </c>
      <c r="F730" s="1637"/>
      <c r="G730" s="1637"/>
      <c r="I730" s="1639">
        <f>IF(SUM(I721:I729)=0,0,IF(OR($D721="&lt;&lt;Select Fuel &gt;&gt;",$D722="&lt;&lt;Select Fuel &gt;&gt;",$D723="&lt;&lt;Select Fuel &gt;&gt;"),"Select Fuel",IF($E728="&lt;Select&gt;","Submeter?",SUM(I721:I729))))</f>
        <v>0</v>
      </c>
      <c r="J730" s="1639">
        <f>IF(SUM(J721:J729)=0,0,IF(OR($D721="&lt;&lt;Select Fuel &gt;&gt;",$D722="&lt;&lt;Select Fuel &gt;&gt;",$D723="&lt;&lt;Select Fuel &gt;&gt;"),"Select Fuel",IF($E728="&lt;Select&gt;","Submeter?",SUM(J721:J729))))</f>
        <v>61</v>
      </c>
      <c r="K730" s="1639">
        <f>IF(SUM(K721:K729)=0,0,IF(OR($D721="&lt;&lt;Select Fuel &gt;&gt;",$D722="&lt;&lt;Select Fuel &gt;&gt;",$D723="&lt;&lt;Select Fuel &gt;&gt;"),"Select Fuel",IF($E728="&lt;Select&gt;","Submeter?",SUM(K721:K729))))</f>
        <v>78</v>
      </c>
      <c r="L730" s="1639">
        <f>IF(SUM(L721:L729)=0,0,IF(OR($D721="&lt;&lt;Select Fuel &gt;&gt;",$D722="&lt;&lt;Select Fuel &gt;&gt;",$D723="&lt;&lt;Select Fuel &gt;&gt;"),"Select Fuel",IF($E728="&lt;Select&gt;","Submeter?",SUM(L721:L729))))</f>
        <v>93</v>
      </c>
      <c r="M730" s="1639">
        <f>IF(SUM(M721:M729)=0,0,IF(OR($D721="&lt;&lt;Select Fuel &gt;&gt;",$D722="&lt;&lt;Select Fuel &gt;&gt;",$D723="&lt;&lt;Select Fuel &gt;&gt;"),"Select Fuel",IF($E728="&lt;Select&gt;","Submeter?",SUM(M721:M729))))</f>
        <v>109</v>
      </c>
    </row>
    <row r="732" spans="1:13">
      <c r="A732" s="1641" t="s">
        <v>740</v>
      </c>
      <c r="B732" s="1641" t="s">
        <v>2228</v>
      </c>
      <c r="F732" s="742" t="s">
        <v>2519</v>
      </c>
      <c r="I732" s="1635">
        <f>'Part V-Utility Allowances'!I24</f>
        <v>0</v>
      </c>
      <c r="J732" s="1635">
        <f>'Part V-Utility Allowances'!J24</f>
        <v>0</v>
      </c>
      <c r="K732" s="1635">
        <f>'Part V-Utility Allowances'!K24</f>
        <v>0</v>
      </c>
      <c r="L732" s="1635">
        <f>'Part V-Utility Allowances'!L24</f>
        <v>0</v>
      </c>
      <c r="M732" s="1635">
        <f>'Part V-Utility Allowances'!M24</f>
        <v>0</v>
      </c>
    </row>
    <row r="733" spans="1:13">
      <c r="A733" s="1641"/>
      <c r="B733" s="1641"/>
      <c r="F733" s="742" t="s">
        <v>636</v>
      </c>
      <c r="I733" s="2143">
        <f>'Part V-Utility Allowances'!I25</f>
        <v>0</v>
      </c>
      <c r="J733" s="2143">
        <f>'Part V-Utility Allowances'!J25</f>
        <v>0</v>
      </c>
      <c r="K733" s="1637" t="s">
        <v>540</v>
      </c>
      <c r="L733" s="2111">
        <f>'Part V-Utility Allowances'!L25</f>
        <v>0</v>
      </c>
      <c r="M733" s="2111">
        <f>'Part V-Utility Allowances'!M25</f>
        <v>0</v>
      </c>
    </row>
    <row r="734" spans="1:13">
      <c r="A734" s="1641"/>
    </row>
    <row r="735" spans="1:13">
      <c r="A735" s="1641"/>
      <c r="B735" s="1641"/>
      <c r="C735" s="1641"/>
      <c r="D735" s="1641"/>
      <c r="E735" s="1641"/>
      <c r="F735" s="1807" t="s">
        <v>609</v>
      </c>
      <c r="G735" s="1807"/>
      <c r="H735" s="1641"/>
      <c r="I735" s="1807" t="s">
        <v>200</v>
      </c>
      <c r="J735" s="1807"/>
      <c r="K735" s="1807"/>
      <c r="L735" s="1807"/>
      <c r="M735" s="1807"/>
    </row>
    <row r="736" spans="1:13">
      <c r="A736" s="1641"/>
      <c r="B736" s="1641" t="s">
        <v>798</v>
      </c>
      <c r="C736" s="1641"/>
      <c r="D736" s="1641" t="s">
        <v>1599</v>
      </c>
      <c r="E736" s="1641"/>
      <c r="F736" s="1639" t="s">
        <v>642</v>
      </c>
      <c r="G736" s="1639" t="s">
        <v>1850</v>
      </c>
      <c r="H736" s="1641"/>
      <c r="I736" s="1639" t="s">
        <v>568</v>
      </c>
      <c r="J736" s="1639">
        <v>1</v>
      </c>
      <c r="K736" s="1639">
        <v>2</v>
      </c>
      <c r="L736" s="1639">
        <v>3</v>
      </c>
      <c r="M736" s="1639">
        <v>4</v>
      </c>
    </row>
    <row r="737" spans="1:13">
      <c r="B737" s="742" t="s">
        <v>1852</v>
      </c>
      <c r="D737" s="2111" t="str">
        <f>'Part V-Utility Allowances'!D29</f>
        <v>&lt;&lt;Select Fuel &gt;&gt;</v>
      </c>
      <c r="E737" s="2111">
        <f>'Part V-Utility Allowances'!E29</f>
        <v>0</v>
      </c>
      <c r="F737" s="2144">
        <f>'Part V-Utility Allowances'!F29</f>
        <v>0</v>
      </c>
      <c r="G737" s="2144">
        <f>'Part V-Utility Allowances'!G29</f>
        <v>0</v>
      </c>
      <c r="I737" s="1637">
        <f>'Part V-Utility Allowances'!I29</f>
        <v>0</v>
      </c>
      <c r="J737" s="1637">
        <f>'Part V-Utility Allowances'!J29</f>
        <v>0</v>
      </c>
      <c r="K737" s="1637">
        <f>'Part V-Utility Allowances'!K29</f>
        <v>0</v>
      </c>
      <c r="L737" s="1637">
        <f>'Part V-Utility Allowances'!L29</f>
        <v>0</v>
      </c>
      <c r="M737" s="1637">
        <f>'Part V-Utility Allowances'!M29</f>
        <v>0</v>
      </c>
    </row>
    <row r="738" spans="1:13">
      <c r="B738" s="742" t="s">
        <v>1597</v>
      </c>
      <c r="D738" s="2111" t="str">
        <f>'Part V-Utility Allowances'!D30</f>
        <v>&lt;&lt;Select Fuel &gt;&gt;</v>
      </c>
      <c r="E738" s="2111">
        <f>'Part V-Utility Allowances'!E30</f>
        <v>0</v>
      </c>
      <c r="F738" s="2144">
        <f>'Part V-Utility Allowances'!F30</f>
        <v>0</v>
      </c>
      <c r="G738" s="2144">
        <f>'Part V-Utility Allowances'!G30</f>
        <v>0</v>
      </c>
      <c r="I738" s="1637">
        <f>'Part V-Utility Allowances'!I30</f>
        <v>0</v>
      </c>
      <c r="J738" s="1637">
        <f>'Part V-Utility Allowances'!J30</f>
        <v>0</v>
      </c>
      <c r="K738" s="1637">
        <f>'Part V-Utility Allowances'!K30</f>
        <v>0</v>
      </c>
      <c r="L738" s="1637">
        <f>'Part V-Utility Allowances'!L30</f>
        <v>0</v>
      </c>
      <c r="M738" s="1637">
        <f>'Part V-Utility Allowances'!M30</f>
        <v>0</v>
      </c>
    </row>
    <row r="739" spans="1:13">
      <c r="B739" s="742" t="s">
        <v>1598</v>
      </c>
      <c r="D739" s="2111" t="str">
        <f>'Part V-Utility Allowances'!D31</f>
        <v>&lt;&lt;Select Fuel &gt;&gt;</v>
      </c>
      <c r="E739" s="2111">
        <f>'Part V-Utility Allowances'!E31</f>
        <v>0</v>
      </c>
      <c r="F739" s="2144">
        <f>'Part V-Utility Allowances'!F31</f>
        <v>0</v>
      </c>
      <c r="G739" s="2144">
        <f>'Part V-Utility Allowances'!G31</f>
        <v>0</v>
      </c>
      <c r="I739" s="1637">
        <f>'Part V-Utility Allowances'!I31</f>
        <v>0</v>
      </c>
      <c r="J739" s="1637">
        <f>'Part V-Utility Allowances'!J31</f>
        <v>0</v>
      </c>
      <c r="K739" s="1637">
        <f>'Part V-Utility Allowances'!K31</f>
        <v>0</v>
      </c>
      <c r="L739" s="1637">
        <f>'Part V-Utility Allowances'!L31</f>
        <v>0</v>
      </c>
      <c r="M739" s="1637">
        <f>'Part V-Utility Allowances'!M31</f>
        <v>0</v>
      </c>
    </row>
    <row r="740" spans="1:13">
      <c r="B740" s="742" t="s">
        <v>467</v>
      </c>
      <c r="D740" s="742" t="s">
        <v>1596</v>
      </c>
      <c r="F740" s="2144">
        <f>'Part V-Utility Allowances'!F32</f>
        <v>0</v>
      </c>
      <c r="G740" s="2144">
        <f>'Part V-Utility Allowances'!G32</f>
        <v>0</v>
      </c>
      <c r="I740" s="1637">
        <f>'Part V-Utility Allowances'!I32</f>
        <v>0</v>
      </c>
      <c r="J740" s="1637">
        <f>'Part V-Utility Allowances'!J32</f>
        <v>0</v>
      </c>
      <c r="K740" s="1637">
        <f>'Part V-Utility Allowances'!K32</f>
        <v>0</v>
      </c>
      <c r="L740" s="1637">
        <f>'Part V-Utility Allowances'!L32</f>
        <v>0</v>
      </c>
      <c r="M740" s="1637">
        <f>'Part V-Utility Allowances'!M32</f>
        <v>0</v>
      </c>
    </row>
    <row r="741" spans="1:13">
      <c r="B741" s="742" t="s">
        <v>3804</v>
      </c>
      <c r="D741" s="742" t="s">
        <v>1596</v>
      </c>
      <c r="F741" s="2144">
        <f>'Part V-Utility Allowances'!F33</f>
        <v>0</v>
      </c>
      <c r="G741" s="2144">
        <f>'Part V-Utility Allowances'!G33</f>
        <v>0</v>
      </c>
      <c r="I741" s="1637">
        <f>'Part V-Utility Allowances'!I33</f>
        <v>0</v>
      </c>
      <c r="J741" s="1637">
        <f>'Part V-Utility Allowances'!J33</f>
        <v>0</v>
      </c>
      <c r="K741" s="1637">
        <f>'Part V-Utility Allowances'!K33</f>
        <v>0</v>
      </c>
      <c r="L741" s="1637">
        <f>'Part V-Utility Allowances'!L33</f>
        <v>0</v>
      </c>
      <c r="M741" s="1637">
        <f>'Part V-Utility Allowances'!M33</f>
        <v>0</v>
      </c>
    </row>
    <row r="742" spans="1:13">
      <c r="B742" s="742" t="s">
        <v>3805</v>
      </c>
      <c r="D742" s="742" t="s">
        <v>1596</v>
      </c>
      <c r="F742" s="2144">
        <f>'Part V-Utility Allowances'!F34</f>
        <v>0</v>
      </c>
      <c r="G742" s="2144">
        <f>'Part V-Utility Allowances'!G34</f>
        <v>0</v>
      </c>
      <c r="I742" s="1637">
        <f>'Part V-Utility Allowances'!I34</f>
        <v>0</v>
      </c>
      <c r="J742" s="1637">
        <f>'Part V-Utility Allowances'!J34</f>
        <v>0</v>
      </c>
      <c r="K742" s="1637">
        <f>'Part V-Utility Allowances'!K34</f>
        <v>0</v>
      </c>
      <c r="L742" s="1637">
        <f>'Part V-Utility Allowances'!L34</f>
        <v>0</v>
      </c>
      <c r="M742" s="1637">
        <f>'Part V-Utility Allowances'!M34</f>
        <v>0</v>
      </c>
    </row>
    <row r="743" spans="1:13">
      <c r="B743" s="742" t="s">
        <v>3806</v>
      </c>
      <c r="D743" s="742" t="s">
        <v>1596</v>
      </c>
      <c r="F743" s="2144">
        <f>'Part V-Utility Allowances'!F35</f>
        <v>0</v>
      </c>
      <c r="G743" s="2144">
        <f>'Part V-Utility Allowances'!G35</f>
        <v>0</v>
      </c>
      <c r="I743" s="1637">
        <f>'Part V-Utility Allowances'!I35</f>
        <v>0</v>
      </c>
      <c r="J743" s="1637">
        <f>'Part V-Utility Allowances'!J35</f>
        <v>0</v>
      </c>
      <c r="K743" s="1637">
        <f>'Part V-Utility Allowances'!K35</f>
        <v>0</v>
      </c>
      <c r="L743" s="1637">
        <f>'Part V-Utility Allowances'!L35</f>
        <v>0</v>
      </c>
      <c r="M743" s="1637">
        <f>'Part V-Utility Allowances'!M35</f>
        <v>0</v>
      </c>
    </row>
    <row r="744" spans="1:13">
      <c r="B744" s="742" t="s">
        <v>1370</v>
      </c>
      <c r="D744" s="742" t="s">
        <v>4526</v>
      </c>
      <c r="E744" s="1637" t="str">
        <f>'Part V-Utility Allowances'!E36</f>
        <v>&lt;Select&gt;</v>
      </c>
      <c r="F744" s="2144">
        <f>'Part V-Utility Allowances'!F36</f>
        <v>0</v>
      </c>
      <c r="G744" s="2144">
        <f>'Part V-Utility Allowances'!G36</f>
        <v>0</v>
      </c>
      <c r="I744" s="1637">
        <f>'Part V-Utility Allowances'!I36</f>
        <v>0</v>
      </c>
      <c r="J744" s="1637">
        <f>'Part V-Utility Allowances'!J36</f>
        <v>0</v>
      </c>
      <c r="K744" s="1637">
        <f>'Part V-Utility Allowances'!K36</f>
        <v>0</v>
      </c>
      <c r="L744" s="1637">
        <f>'Part V-Utility Allowances'!L36</f>
        <v>0</v>
      </c>
      <c r="M744" s="1637">
        <f>'Part V-Utility Allowances'!M36</f>
        <v>0</v>
      </c>
    </row>
    <row r="745" spans="1:13">
      <c r="B745" s="742" t="s">
        <v>1851</v>
      </c>
      <c r="F745" s="2144">
        <f>'Part V-Utility Allowances'!F38</f>
        <v>0</v>
      </c>
      <c r="G745" s="2144">
        <f>'Part V-Utility Allowances'!G38</f>
        <v>0</v>
      </c>
      <c r="I745" s="1637">
        <f>'Part V-Utility Allowances'!I38</f>
        <v>0</v>
      </c>
      <c r="J745" s="1637">
        <f>'Part V-Utility Allowances'!J38</f>
        <v>0</v>
      </c>
      <c r="K745" s="1637">
        <f>'Part V-Utility Allowances'!K38</f>
        <v>0</v>
      </c>
      <c r="L745" s="1637">
        <f>'Part V-Utility Allowances'!L38</f>
        <v>0</v>
      </c>
      <c r="M745" s="1637">
        <f>'Part V-Utility Allowances'!M38</f>
        <v>0</v>
      </c>
    </row>
    <row r="746" spans="1:13">
      <c r="B746" s="1641" t="s">
        <v>1020</v>
      </c>
      <c r="F746" s="1637"/>
      <c r="G746" s="1637"/>
      <c r="I746" s="1639">
        <f>IF(SUM(I737:I745)=0,0,IF(OR($D737="&lt;&lt;Select Fuel &gt;&gt;",$D739="&lt;&lt;Select Fuel &gt;&gt;",$D740="&lt;&lt;Select Fuel &gt;&gt;"),"Select Fuel",IF($E744="&lt;Select&gt;","Submeter?",SUM(I737:I745))))</f>
        <v>0</v>
      </c>
      <c r="J746" s="1639">
        <f>IF(SUM(J737:J745)=0,0,IF(OR($D737="&lt;&lt;Select Fuel &gt;&gt;",$D739="&lt;&lt;Select Fuel &gt;&gt;",$D740="&lt;&lt;Select Fuel &gt;&gt;"),"Select Fuel",IF($E744="&lt;Select&gt;","Submeter?",SUM(J737:J745))))</f>
        <v>0</v>
      </c>
      <c r="K746" s="1639">
        <f>IF(SUM(K737:K745)=0,0,IF(OR($D737="&lt;&lt;Select Fuel &gt;&gt;",$D739="&lt;&lt;Select Fuel &gt;&gt;",$D740="&lt;&lt;Select Fuel &gt;&gt;"),"Select Fuel",IF($E744="&lt;Select&gt;","Submeter?",SUM(K737:K745))))</f>
        <v>0</v>
      </c>
      <c r="L746" s="1639">
        <f>IF(SUM(L737:L745)=0,0,IF(OR($D737="&lt;&lt;Select Fuel &gt;&gt;",$D739="&lt;&lt;Select Fuel &gt;&gt;",$D740="&lt;&lt;Select Fuel &gt;&gt;"),"Select Fuel",IF($E744="&lt;Select&gt;","Submeter?",SUM(L737:L745))))</f>
        <v>0</v>
      </c>
      <c r="M746" s="1639">
        <f>IF(SUM(M737:M745)=0,0,IF(OR($D737="&lt;&lt;Select Fuel &gt;&gt;",$D739="&lt;&lt;Select Fuel &gt;&gt;",$D740="&lt;&lt;Select Fuel &gt;&gt;"),"Select Fuel",IF($E744="&lt;Select&gt;","Submeter?",SUM(M737:M745))))</f>
        <v>0</v>
      </c>
    </row>
    <row r="748" spans="1:13">
      <c r="B748" s="1216" t="s">
        <v>4527</v>
      </c>
      <c r="F748" s="1637"/>
      <c r="G748" s="1637"/>
      <c r="I748" s="1639"/>
      <c r="J748" s="1639"/>
      <c r="K748" s="1639"/>
      <c r="L748" s="1639"/>
      <c r="M748" s="1639"/>
    </row>
    <row r="749" spans="1:13">
      <c r="A749" s="1641"/>
      <c r="B749" s="1641" t="s">
        <v>572</v>
      </c>
    </row>
    <row r="750" spans="1:13">
      <c r="B750" s="1485">
        <f>'Part V-Utility Allowances'!B43</f>
        <v>0</v>
      </c>
      <c r="C750" s="1485">
        <f>'Part V-Utility Allowances'!C43</f>
        <v>0</v>
      </c>
      <c r="D750" s="1485">
        <f>'Part V-Utility Allowances'!D43</f>
        <v>0</v>
      </c>
      <c r="E750" s="1485">
        <f>'Part V-Utility Allowances'!E43</f>
        <v>0</v>
      </c>
      <c r="F750" s="1485">
        <f>'Part V-Utility Allowances'!F43</f>
        <v>0</v>
      </c>
      <c r="G750" s="1485">
        <f>'Part V-Utility Allowances'!G43</f>
        <v>0</v>
      </c>
      <c r="H750" s="1485">
        <f>'Part V-Utility Allowances'!H43</f>
        <v>0</v>
      </c>
      <c r="I750" s="1485">
        <f>'Part V-Utility Allowances'!I43</f>
        <v>0</v>
      </c>
      <c r="J750" s="1485">
        <f>'Part V-Utility Allowances'!J43</f>
        <v>0</v>
      </c>
      <c r="K750" s="1485">
        <f>'Part V-Utility Allowances'!K43</f>
        <v>0</v>
      </c>
      <c r="L750" s="1485">
        <f>'Part V-Utility Allowances'!L43</f>
        <v>0</v>
      </c>
      <c r="M750" s="1485">
        <f>'Part V-Utility Allowances'!M43</f>
        <v>0</v>
      </c>
    </row>
    <row r="752" spans="1:13">
      <c r="A752" s="1641"/>
      <c r="B752" s="1641" t="s">
        <v>1845</v>
      </c>
    </row>
    <row r="753" spans="1:277">
      <c r="B753" s="1485">
        <f>'Part V-Utility Allowances'!B46</f>
        <v>0</v>
      </c>
      <c r="C753" s="1485">
        <f>'Part V-Utility Allowances'!C46</f>
        <v>0</v>
      </c>
      <c r="D753" s="1485">
        <f>'Part V-Utility Allowances'!D46</f>
        <v>0</v>
      </c>
      <c r="E753" s="1485">
        <f>'Part V-Utility Allowances'!E46</f>
        <v>0</v>
      </c>
      <c r="F753" s="1485">
        <f>'Part V-Utility Allowances'!F46</f>
        <v>0</v>
      </c>
      <c r="G753" s="1485">
        <f>'Part V-Utility Allowances'!G46</f>
        <v>0</v>
      </c>
      <c r="H753" s="1485">
        <f>'Part V-Utility Allowances'!H46</f>
        <v>0</v>
      </c>
      <c r="I753" s="1485">
        <f>'Part V-Utility Allowances'!I46</f>
        <v>0</v>
      </c>
      <c r="J753" s="1485">
        <f>'Part V-Utility Allowances'!J46</f>
        <v>0</v>
      </c>
      <c r="K753" s="1485">
        <f>'Part V-Utility Allowances'!K46</f>
        <v>0</v>
      </c>
      <c r="L753" s="1485">
        <f>'Part V-Utility Allowances'!L46</f>
        <v>0</v>
      </c>
      <c r="M753" s="1485">
        <f>'Part V-Utility Allowances'!M46</f>
        <v>0</v>
      </c>
    </row>
    <row r="758" spans="1:277" s="1631" customFormat="1" ht="14.1" customHeight="1">
      <c r="A758" s="1629" t="str">
        <f>CONCATENATE("PART SIX - PROJECTED REVENUES &amp; EXPENSES","  -  ",'Part I-Project Information'!$O$6," ",'Part I-Project Information'!$F$34,", ",'Part I-Project Information'!F802,", ",'Part I-Project Information'!J803," County")</f>
        <v>PART SIX - PROJECTED REVENUES &amp; EXPENSES  -  2019-5 Stone Terrace Phase II, ,  County</v>
      </c>
      <c r="B758" s="1629"/>
      <c r="C758" s="1629"/>
      <c r="D758" s="1629"/>
      <c r="E758" s="1629"/>
      <c r="F758" s="1629"/>
      <c r="G758" s="1629"/>
      <c r="H758" s="1629"/>
      <c r="I758" s="1629"/>
      <c r="J758" s="1629"/>
      <c r="K758" s="1629"/>
      <c r="L758" s="1629"/>
      <c r="M758" s="1629"/>
      <c r="N758" s="1629"/>
      <c r="O758" s="1629"/>
      <c r="P758" s="1629"/>
      <c r="U758" s="1629" t="str">
        <f>A758</f>
        <v>PART SIX - PROJECTED REVENUES &amp; EXPENSES  -  2019-5 Stone Terrace Phase II, ,  County</v>
      </c>
      <c r="V758" s="1629"/>
      <c r="EU758" s="1630"/>
      <c r="EV758" s="1630"/>
      <c r="EW758" s="1630"/>
      <c r="EX758" s="1630"/>
      <c r="EY758" s="1630"/>
      <c r="EZ758" s="1630"/>
      <c r="FA758" s="1630"/>
      <c r="FB758" s="1630"/>
      <c r="FC758" s="1630"/>
      <c r="FD758" s="1630"/>
      <c r="FE758" s="1630"/>
      <c r="FF758" s="1630"/>
      <c r="FG758" s="1630"/>
      <c r="FH758" s="1630"/>
      <c r="FI758" s="1630"/>
      <c r="FJ758" s="1630"/>
      <c r="FK758" s="1630"/>
      <c r="FL758" s="1630"/>
      <c r="FM758" s="1630"/>
      <c r="FN758" s="1630"/>
      <c r="FO758" s="1630"/>
      <c r="FP758" s="1630"/>
      <c r="FQ758" s="1630"/>
      <c r="FR758" s="1630"/>
      <c r="FS758" s="1630"/>
      <c r="FT758" s="1630"/>
      <c r="FU758" s="1630"/>
      <c r="FV758" s="1630"/>
      <c r="FW758" s="1630"/>
      <c r="FX758" s="1630"/>
      <c r="FY758" s="1630"/>
      <c r="FZ758" s="1630"/>
      <c r="GA758" s="1630"/>
      <c r="GB758" s="1630"/>
      <c r="GC758" s="1630"/>
      <c r="GD758" s="1630"/>
      <c r="GE758" s="1630"/>
      <c r="GF758" s="1630"/>
      <c r="GG758" s="1630"/>
      <c r="GH758" s="1630"/>
      <c r="GI758" s="1630"/>
      <c r="GJ758" s="1630"/>
      <c r="GK758" s="1630"/>
      <c r="GL758" s="1630"/>
      <c r="GM758" s="1630"/>
      <c r="GN758" s="1630"/>
      <c r="GO758" s="1630"/>
      <c r="GP758" s="1630"/>
      <c r="GQ758" s="1630"/>
      <c r="GR758" s="1630"/>
      <c r="GS758" s="1630"/>
      <c r="GT758" s="1630"/>
      <c r="GU758" s="1630"/>
      <c r="GV758" s="1630"/>
      <c r="GW758" s="1630"/>
      <c r="GX758" s="1630"/>
      <c r="GY758" s="1630"/>
      <c r="GZ758" s="1630"/>
      <c r="HA758" s="1630"/>
      <c r="HB758" s="1630"/>
      <c r="HC758" s="1630"/>
      <c r="HD758" s="1630"/>
      <c r="HE758" s="1630"/>
      <c r="HF758" s="1630"/>
      <c r="HG758" s="1630"/>
      <c r="HH758" s="1630"/>
      <c r="HI758" s="1630"/>
      <c r="HJ758" s="1630"/>
      <c r="HK758" s="1630"/>
      <c r="HL758" s="1630"/>
      <c r="HO758" s="1630"/>
      <c r="HP758" s="1630"/>
      <c r="HQ758" s="1630"/>
      <c r="HV758" s="1629"/>
      <c r="IA758" s="1629"/>
    </row>
    <row r="759" spans="1:277" ht="6" customHeight="1">
      <c r="W759" s="1486"/>
      <c r="X759" s="1486"/>
      <c r="Y759" s="1486"/>
      <c r="Z759" s="1486"/>
      <c r="AA759" s="1486"/>
      <c r="AB759" s="1486"/>
      <c r="AC759" s="1486"/>
      <c r="AD759" s="1486"/>
      <c r="AE759" s="1486"/>
      <c r="AF759" s="1486"/>
      <c r="AG759" s="1486"/>
      <c r="AH759" s="1486"/>
      <c r="AI759" s="1486"/>
      <c r="AJ759" s="1486"/>
      <c r="AK759" s="1486"/>
      <c r="AL759" s="1486"/>
      <c r="AM759" s="1486"/>
      <c r="AN759" s="1486"/>
      <c r="AO759" s="1486"/>
      <c r="AP759" s="1486"/>
      <c r="AQ759" s="1486"/>
      <c r="AR759" s="1486"/>
      <c r="AS759" s="1486"/>
      <c r="AT759" s="1486"/>
      <c r="AU759" s="1486"/>
      <c r="AV759" s="1486"/>
      <c r="AW759" s="1486"/>
      <c r="AX759" s="1486"/>
      <c r="AY759" s="1486"/>
      <c r="AZ759" s="1486"/>
      <c r="BA759" s="1486"/>
      <c r="BB759" s="1486"/>
      <c r="BC759" s="1486"/>
      <c r="BD759" s="1486"/>
      <c r="BE759" s="1486"/>
      <c r="BF759" s="1486"/>
      <c r="BG759" s="1486"/>
      <c r="BH759" s="1486"/>
      <c r="BI759" s="1486"/>
      <c r="BJ759" s="1486"/>
      <c r="BK759" s="1486"/>
      <c r="BL759" s="1486"/>
      <c r="BM759" s="1486"/>
      <c r="BN759" s="1486"/>
      <c r="BO759" s="1486"/>
      <c r="BP759" s="1486"/>
      <c r="BQ759" s="1486"/>
      <c r="BR759" s="1486"/>
      <c r="BS759" s="1486"/>
      <c r="BT759" s="1486"/>
      <c r="BU759" s="1486"/>
      <c r="BV759" s="1486"/>
      <c r="BW759" s="1486"/>
      <c r="BX759" s="1486"/>
      <c r="BY759" s="1486"/>
      <c r="BZ759" s="1486"/>
      <c r="CA759" s="1486"/>
      <c r="CB759" s="1486"/>
      <c r="CC759" s="1486"/>
      <c r="CD759" s="1486"/>
      <c r="CE759" s="1486"/>
      <c r="CF759" s="1486"/>
      <c r="CG759" s="1486"/>
      <c r="CH759" s="1486"/>
      <c r="CI759" s="1486"/>
      <c r="CJ759" s="1486"/>
      <c r="CK759" s="1486"/>
      <c r="CL759" s="1486"/>
      <c r="CM759" s="1486"/>
      <c r="CN759" s="1486"/>
      <c r="CO759" s="1486"/>
      <c r="CP759" s="1486"/>
      <c r="CQ759" s="1486"/>
      <c r="CR759" s="1486"/>
      <c r="CS759" s="1486"/>
      <c r="CT759" s="1486"/>
      <c r="CU759" s="1486"/>
      <c r="CV759" s="1486"/>
      <c r="CW759" s="1486"/>
      <c r="CX759" s="1486"/>
      <c r="CY759" s="1486"/>
      <c r="CZ759" s="1486"/>
      <c r="DA759" s="1486"/>
      <c r="DB759" s="1486"/>
      <c r="DC759" s="1486"/>
      <c r="DD759" s="1486"/>
      <c r="DE759" s="1486"/>
      <c r="DF759" s="1486"/>
      <c r="DG759" s="1486"/>
      <c r="DH759" s="1486"/>
      <c r="DI759" s="1486"/>
      <c r="DJ759" s="1486"/>
      <c r="DK759" s="1486"/>
      <c r="DL759" s="1486"/>
      <c r="DM759" s="1486"/>
      <c r="DN759" s="1486"/>
      <c r="DO759" s="1486"/>
      <c r="DP759" s="1486"/>
      <c r="DQ759" s="1486"/>
      <c r="DR759" s="1486"/>
      <c r="DS759" s="1486"/>
      <c r="DT759" s="1486"/>
      <c r="DU759" s="1486"/>
      <c r="DV759" s="1486"/>
      <c r="DW759" s="1486"/>
      <c r="DX759" s="1486"/>
      <c r="DY759" s="1486"/>
      <c r="DZ759" s="1486"/>
      <c r="EA759" s="1486"/>
      <c r="EB759" s="1486"/>
      <c r="EC759" s="1486"/>
      <c r="ED759" s="1486"/>
      <c r="EE759" s="1486"/>
      <c r="EF759" s="1486"/>
      <c r="EG759" s="1486"/>
      <c r="EH759" s="1486"/>
      <c r="EI759" s="1486"/>
      <c r="EJ759" s="1486"/>
      <c r="EK759" s="1486"/>
      <c r="EL759" s="1486"/>
      <c r="EM759" s="1486"/>
      <c r="EN759" s="1486"/>
      <c r="EO759" s="1486"/>
      <c r="EP759" s="1486"/>
      <c r="EQ759" s="1486"/>
      <c r="ER759" s="1486"/>
      <c r="ES759" s="1486"/>
      <c r="ET759" s="1486"/>
      <c r="EU759" s="1486"/>
      <c r="EV759" s="1486"/>
      <c r="EW759" s="1632"/>
      <c r="EX759" s="1632"/>
      <c r="EY759" s="1632"/>
      <c r="EZ759" s="1632"/>
      <c r="FA759" s="1632"/>
      <c r="FB759" s="1632"/>
      <c r="FC759" s="1632"/>
      <c r="FD759" s="1632"/>
      <c r="FE759" s="1632"/>
      <c r="FF759" s="1632"/>
      <c r="FG759" s="1632"/>
      <c r="FH759" s="1632"/>
      <c r="FI759" s="1632"/>
      <c r="FJ759" s="1632"/>
      <c r="FK759" s="1632"/>
      <c r="FL759" s="1632"/>
      <c r="FM759" s="1632"/>
      <c r="FN759" s="1632"/>
      <c r="FO759" s="1632"/>
      <c r="FP759" s="1632"/>
      <c r="FQ759" s="1632"/>
      <c r="FR759" s="1632"/>
      <c r="FS759" s="1632"/>
      <c r="FT759" s="1632"/>
      <c r="FU759" s="1632"/>
      <c r="FV759" s="1632"/>
      <c r="FW759" s="1632"/>
      <c r="FX759" s="1632"/>
      <c r="FY759" s="1632"/>
      <c r="FZ759" s="1632"/>
      <c r="GA759" s="1632"/>
      <c r="GB759" s="1632"/>
      <c r="GC759" s="1632"/>
      <c r="GD759" s="1632"/>
      <c r="GE759" s="1632"/>
      <c r="GF759" s="1632"/>
      <c r="GG759" s="1632"/>
      <c r="GH759" s="1632"/>
      <c r="GI759" s="1632"/>
      <c r="GJ759" s="1632"/>
      <c r="GK759" s="1632"/>
      <c r="GL759" s="1632"/>
      <c r="GM759" s="1632"/>
      <c r="GN759" s="1632"/>
      <c r="GO759" s="1632"/>
      <c r="GP759" s="1632"/>
      <c r="GQ759" s="1632"/>
      <c r="GR759" s="1632"/>
      <c r="GS759" s="1632"/>
      <c r="GT759" s="1632"/>
      <c r="GU759" s="1632"/>
      <c r="GV759" s="1632"/>
      <c r="GW759" s="1632"/>
      <c r="GX759" s="1632"/>
      <c r="GY759" s="1632"/>
      <c r="GZ759" s="1632"/>
      <c r="HA759" s="1632"/>
      <c r="HB759" s="1632"/>
      <c r="HC759" s="1632"/>
      <c r="HD759" s="1632"/>
      <c r="HE759" s="1632"/>
      <c r="HF759" s="1632"/>
      <c r="HG759" s="1632"/>
      <c r="HH759" s="1632"/>
      <c r="HI759" s="1632"/>
      <c r="HJ759" s="1632"/>
      <c r="HK759" s="1632"/>
      <c r="HL759" s="1632"/>
      <c r="HM759" s="1632"/>
      <c r="HN759" s="1632"/>
      <c r="HO759" s="1632"/>
      <c r="HP759" s="1632"/>
      <c r="HQ759" s="1632"/>
      <c r="HR759" s="1632"/>
      <c r="HS759" s="1632"/>
      <c r="HT759" s="1486"/>
      <c r="HU759" s="1486"/>
      <c r="HV759" s="1486"/>
      <c r="HW759" s="1486"/>
      <c r="HX759" s="1486"/>
      <c r="HY759" s="1486"/>
      <c r="HZ759" s="1486"/>
      <c r="IA759" s="1486"/>
      <c r="IB759" s="1486"/>
      <c r="IC759" s="1486"/>
      <c r="II759" s="1486"/>
      <c r="IJ759" s="1486"/>
      <c r="IK759" s="1486"/>
      <c r="IL759" s="1486"/>
      <c r="IM759" s="1486"/>
      <c r="IN759" s="1486"/>
      <c r="IO759" s="1486"/>
      <c r="IP759" s="1486"/>
      <c r="IQ759" s="1486"/>
      <c r="IR759" s="1486"/>
      <c r="IS759" s="1486"/>
      <c r="IT759" s="1486"/>
      <c r="IU759" s="1486"/>
      <c r="IV759" s="1486"/>
      <c r="IW759" s="1486"/>
      <c r="IX759" s="1486"/>
      <c r="IY759" s="1486"/>
      <c r="IZ759" s="1486"/>
      <c r="JA759" s="1486"/>
      <c r="JB759" s="1486"/>
    </row>
    <row r="760" spans="1:277" s="1631" customFormat="1" ht="12.6" customHeight="1">
      <c r="A760" s="1629" t="s">
        <v>616</v>
      </c>
      <c r="B760" s="1629" t="s">
        <v>2366</v>
      </c>
      <c r="D760" s="1652" t="s">
        <v>3570</v>
      </c>
      <c r="G760" s="1629"/>
      <c r="H760" s="1629"/>
      <c r="I760" s="1629"/>
      <c r="J760" s="1629"/>
      <c r="K760" s="1629"/>
      <c r="L760" s="1629"/>
      <c r="S760" s="1629"/>
      <c r="T760" s="1629"/>
      <c r="U760" s="1629" t="str">
        <f>B760</f>
        <v>RENT SCHEDULE</v>
      </c>
      <c r="W760" s="1634"/>
      <c r="X760" s="1634"/>
      <c r="Y760" s="1634"/>
      <c r="Z760" s="1634"/>
      <c r="AA760" s="1634"/>
      <c r="AB760" s="1634"/>
      <c r="AC760" s="1634"/>
      <c r="AD760" s="1634"/>
      <c r="AE760" s="1634"/>
      <c r="AF760" s="1634"/>
      <c r="AG760" s="1634"/>
      <c r="AH760" s="1634"/>
      <c r="AI760" s="1634"/>
      <c r="AJ760" s="1634"/>
      <c r="AK760" s="1634"/>
      <c r="AL760" s="1634"/>
      <c r="AM760" s="1634"/>
      <c r="AN760" s="1634"/>
      <c r="AO760" s="1634"/>
      <c r="AP760" s="1634"/>
      <c r="AQ760" s="1634"/>
      <c r="AR760" s="1634"/>
      <c r="AS760" s="1634"/>
      <c r="AT760" s="1634"/>
      <c r="AU760" s="1634"/>
      <c r="AV760" s="1634"/>
      <c r="AW760" s="1634"/>
      <c r="AX760" s="1634"/>
      <c r="AY760" s="1634"/>
      <c r="AZ760" s="1634"/>
      <c r="BA760" s="1634"/>
      <c r="BB760" s="1634"/>
      <c r="BC760" s="1634"/>
      <c r="BD760" s="1634"/>
      <c r="BE760" s="1634"/>
      <c r="BF760" s="1634"/>
      <c r="BG760" s="1634"/>
      <c r="BH760" s="1634"/>
      <c r="BI760" s="1634"/>
      <c r="BJ760" s="1634"/>
      <c r="BK760" s="1634"/>
      <c r="BL760" s="1634"/>
      <c r="BM760" s="1634"/>
      <c r="BN760" s="1634"/>
      <c r="BO760" s="1634"/>
      <c r="BP760" s="1634"/>
      <c r="BQ760" s="1634"/>
      <c r="BR760" s="1634"/>
      <c r="BS760" s="1634"/>
      <c r="BT760" s="1634"/>
      <c r="BU760" s="1634"/>
      <c r="BV760" s="1634"/>
      <c r="BW760" s="1634"/>
      <c r="BX760" s="1634"/>
      <c r="BY760" s="1634"/>
      <c r="BZ760" s="1634"/>
      <c r="CA760" s="1634"/>
      <c r="CB760" s="1634"/>
      <c r="CC760" s="1634"/>
      <c r="CD760" s="1634"/>
      <c r="CE760" s="1634"/>
      <c r="CF760" s="1634"/>
      <c r="CG760" s="1634"/>
      <c r="CH760" s="1634"/>
      <c r="CI760" s="1634"/>
      <c r="CJ760" s="1634"/>
      <c r="CK760" s="1634"/>
      <c r="CL760" s="1634"/>
      <c r="CM760" s="1634"/>
      <c r="CN760" s="1634"/>
      <c r="CO760" s="1634"/>
      <c r="CP760" s="1634"/>
      <c r="CQ760" s="1634"/>
      <c r="CR760" s="1634"/>
      <c r="CS760" s="1634"/>
      <c r="CT760" s="1634"/>
      <c r="CU760" s="1634"/>
      <c r="CV760" s="1634"/>
      <c r="CW760" s="1634"/>
      <c r="CX760" s="1634"/>
      <c r="CY760" s="1634"/>
      <c r="CZ760" s="1634"/>
      <c r="DA760" s="1634"/>
      <c r="DB760" s="1634"/>
      <c r="DC760" s="1634"/>
      <c r="DD760" s="1634"/>
      <c r="DE760" s="1634"/>
      <c r="DF760" s="1634"/>
      <c r="DG760" s="1634"/>
      <c r="DH760" s="1634"/>
      <c r="DI760" s="1634"/>
      <c r="DJ760" s="1634"/>
      <c r="DK760" s="1634"/>
      <c r="DL760" s="1634"/>
      <c r="DM760" s="1634"/>
      <c r="DN760" s="1634"/>
      <c r="DO760" s="1634"/>
      <c r="DP760" s="1634"/>
      <c r="DQ760" s="1634"/>
      <c r="DR760" s="1634"/>
      <c r="DS760" s="1634"/>
      <c r="DT760" s="1634"/>
      <c r="DU760" s="1634"/>
      <c r="DV760" s="1634"/>
      <c r="DW760" s="1634"/>
      <c r="DX760" s="1634"/>
      <c r="DY760" s="1634"/>
      <c r="DZ760" s="1634"/>
      <c r="EA760" s="1634"/>
      <c r="EB760" s="1634"/>
      <c r="EC760" s="1634"/>
      <c r="ED760" s="1634"/>
      <c r="EE760" s="1634"/>
      <c r="EF760" s="1634"/>
      <c r="EG760" s="1634"/>
      <c r="EH760" s="1634"/>
      <c r="EI760" s="1634"/>
      <c r="EJ760" s="1634"/>
      <c r="EK760" s="1634"/>
      <c r="EL760" s="1634"/>
      <c r="EM760" s="1634"/>
      <c r="EN760" s="1634"/>
      <c r="EO760" s="1634"/>
      <c r="EP760" s="1634"/>
      <c r="EQ760" s="1634"/>
      <c r="ER760" s="1634"/>
      <c r="ES760" s="1634"/>
      <c r="ET760" s="1634"/>
      <c r="EU760" s="1634"/>
      <c r="EV760" s="1634"/>
      <c r="EW760" s="1633"/>
      <c r="EX760" s="1633"/>
      <c r="EY760" s="1633"/>
      <c r="EZ760" s="1633"/>
      <c r="FA760" s="1633"/>
      <c r="FB760" s="1632" t="s">
        <v>485</v>
      </c>
      <c r="FC760" s="1632" t="s">
        <v>2440</v>
      </c>
      <c r="FD760" s="1632" t="s">
        <v>2441</v>
      </c>
      <c r="FE760" s="1632" t="s">
        <v>2442</v>
      </c>
      <c r="FF760" s="1632" t="s">
        <v>2443</v>
      </c>
      <c r="FG760" s="1632" t="s">
        <v>485</v>
      </c>
      <c r="FH760" s="1632" t="s">
        <v>2440</v>
      </c>
      <c r="FI760" s="1632" t="s">
        <v>2441</v>
      </c>
      <c r="FJ760" s="1632" t="s">
        <v>2442</v>
      </c>
      <c r="FK760" s="1632" t="s">
        <v>2443</v>
      </c>
      <c r="FL760" s="1633"/>
      <c r="FM760" s="1633"/>
      <c r="FN760" s="1633"/>
      <c r="FO760" s="1633"/>
      <c r="FP760" s="1633"/>
      <c r="FQ760" s="1633"/>
      <c r="FR760" s="1633"/>
      <c r="FS760" s="1633"/>
      <c r="FT760" s="1633"/>
      <c r="FU760" s="1633"/>
      <c r="FV760" s="1632" t="s">
        <v>485</v>
      </c>
      <c r="FW760" s="1632" t="s">
        <v>2440</v>
      </c>
      <c r="FX760" s="1632" t="s">
        <v>2441</v>
      </c>
      <c r="FY760" s="1632" t="s">
        <v>2442</v>
      </c>
      <c r="FZ760" s="1632" t="s">
        <v>2443</v>
      </c>
      <c r="GA760" s="1632" t="s">
        <v>485</v>
      </c>
      <c r="GB760" s="1632" t="s">
        <v>2440</v>
      </c>
      <c r="GC760" s="1632" t="s">
        <v>2441</v>
      </c>
      <c r="GD760" s="1632" t="s">
        <v>2442</v>
      </c>
      <c r="GE760" s="1632" t="s">
        <v>2443</v>
      </c>
      <c r="GF760" s="1632" t="s">
        <v>485</v>
      </c>
      <c r="GG760" s="1632" t="s">
        <v>2440</v>
      </c>
      <c r="GH760" s="1632" t="s">
        <v>2441</v>
      </c>
      <c r="GI760" s="1632" t="s">
        <v>2442</v>
      </c>
      <c r="GJ760" s="1632" t="s">
        <v>2443</v>
      </c>
      <c r="GK760" s="1632" t="s">
        <v>485</v>
      </c>
      <c r="GL760" s="1632" t="s">
        <v>2440</v>
      </c>
      <c r="GM760" s="1632" t="s">
        <v>2441</v>
      </c>
      <c r="GN760" s="1632" t="s">
        <v>2442</v>
      </c>
      <c r="GO760" s="1632" t="s">
        <v>2443</v>
      </c>
      <c r="GP760" s="1632" t="s">
        <v>485</v>
      </c>
      <c r="GQ760" s="1632" t="s">
        <v>2440</v>
      </c>
      <c r="GR760" s="1632" t="s">
        <v>2441</v>
      </c>
      <c r="GS760" s="1632" t="s">
        <v>2442</v>
      </c>
      <c r="GT760" s="1632" t="s">
        <v>2443</v>
      </c>
      <c r="GU760" s="1632" t="s">
        <v>485</v>
      </c>
      <c r="GV760" s="1632" t="s">
        <v>2440</v>
      </c>
      <c r="GW760" s="1632" t="s">
        <v>2441</v>
      </c>
      <c r="GX760" s="1632" t="s">
        <v>2442</v>
      </c>
      <c r="GY760" s="1632" t="s">
        <v>2443</v>
      </c>
      <c r="GZ760" s="1632" t="s">
        <v>485</v>
      </c>
      <c r="HA760" s="1632" t="s">
        <v>2440</v>
      </c>
      <c r="HB760" s="1632" t="s">
        <v>2441</v>
      </c>
      <c r="HC760" s="1632" t="s">
        <v>2442</v>
      </c>
      <c r="HD760" s="1632" t="s">
        <v>2443</v>
      </c>
      <c r="HE760" s="1632" t="s">
        <v>485</v>
      </c>
      <c r="HF760" s="1632" t="s">
        <v>2440</v>
      </c>
      <c r="HG760" s="1632" t="s">
        <v>2441</v>
      </c>
      <c r="HH760" s="1632" t="s">
        <v>2442</v>
      </c>
      <c r="HI760" s="1632" t="s">
        <v>2443</v>
      </c>
      <c r="HJ760" s="1632" t="s">
        <v>485</v>
      </c>
      <c r="HK760" s="1632" t="s">
        <v>2440</v>
      </c>
      <c r="HL760" s="1632" t="s">
        <v>2441</v>
      </c>
      <c r="HM760" s="1632" t="s">
        <v>2442</v>
      </c>
      <c r="HN760" s="1632" t="s">
        <v>2443</v>
      </c>
      <c r="HO760" s="1632" t="s">
        <v>485</v>
      </c>
      <c r="HP760" s="1632" t="s">
        <v>2440</v>
      </c>
      <c r="HQ760" s="1632" t="s">
        <v>2441</v>
      </c>
      <c r="HR760" s="1632" t="s">
        <v>2442</v>
      </c>
      <c r="HS760" s="1632" t="s">
        <v>2443</v>
      </c>
      <c r="HT760" s="1632" t="s">
        <v>485</v>
      </c>
      <c r="HU760" s="1632" t="s">
        <v>2440</v>
      </c>
      <c r="HV760" s="1632" t="s">
        <v>2441</v>
      </c>
      <c r="HW760" s="1632" t="s">
        <v>2442</v>
      </c>
      <c r="HX760" s="1632" t="s">
        <v>2443</v>
      </c>
      <c r="HY760" s="1632" t="s">
        <v>485</v>
      </c>
      <c r="HZ760" s="1632" t="s">
        <v>2440</v>
      </c>
      <c r="IA760" s="1632" t="s">
        <v>2441</v>
      </c>
      <c r="IB760" s="1632" t="s">
        <v>2442</v>
      </c>
      <c r="IC760" s="1632" t="s">
        <v>2443</v>
      </c>
      <c r="II760" s="1634"/>
      <c r="IJ760" s="1634"/>
      <c r="IK760" s="1634"/>
      <c r="IL760" s="1634"/>
      <c r="IM760" s="1634"/>
      <c r="IN760" s="1634"/>
      <c r="IO760" s="1634"/>
      <c r="IP760" s="1634"/>
      <c r="IQ760" s="1634"/>
      <c r="IR760" s="1634"/>
      <c r="IS760" s="1634"/>
      <c r="IT760" s="1634"/>
      <c r="IU760" s="1634"/>
      <c r="IV760" s="1634"/>
      <c r="IW760" s="1634"/>
      <c r="IX760" s="1634"/>
      <c r="IY760" s="1634"/>
      <c r="IZ760" s="1634"/>
      <c r="JA760" s="1634"/>
      <c r="JB760" s="1634"/>
      <c r="JC760" s="1635" t="s">
        <v>3423</v>
      </c>
      <c r="JD760" s="1635" t="s">
        <v>3424</v>
      </c>
      <c r="JE760" s="1635" t="s">
        <v>3425</v>
      </c>
      <c r="JF760" s="1635" t="s">
        <v>3426</v>
      </c>
      <c r="JG760" s="1635" t="s">
        <v>3427</v>
      </c>
    </row>
    <row r="761" spans="1:277" s="1631" customFormat="1" ht="3" customHeight="1">
      <c r="B761" s="1629"/>
      <c r="D761" s="1629"/>
      <c r="P761" s="1808" t="s">
        <v>4528</v>
      </c>
      <c r="Q761" s="1809"/>
      <c r="R761" s="1636"/>
      <c r="S761" s="1636"/>
      <c r="T761" s="1636"/>
      <c r="U761" s="1636"/>
      <c r="W761" s="1810" t="s">
        <v>919</v>
      </c>
      <c r="X761" s="1810" t="s">
        <v>756</v>
      </c>
      <c r="Y761" s="1810" t="s">
        <v>757</v>
      </c>
      <c r="Z761" s="1810" t="s">
        <v>758</v>
      </c>
      <c r="AA761" s="1810" t="s">
        <v>759</v>
      </c>
      <c r="AB761" s="1810" t="s">
        <v>920</v>
      </c>
      <c r="AC761" s="1810" t="s">
        <v>2310</v>
      </c>
      <c r="AD761" s="1810" t="s">
        <v>2311</v>
      </c>
      <c r="AE761" s="1810" t="s">
        <v>2312</v>
      </c>
      <c r="AF761" s="1810" t="s">
        <v>2313</v>
      </c>
      <c r="AG761" s="1810" t="s">
        <v>921</v>
      </c>
      <c r="AH761" s="1810" t="s">
        <v>2314</v>
      </c>
      <c r="AI761" s="1810" t="s">
        <v>2315</v>
      </c>
      <c r="AJ761" s="1810" t="s">
        <v>2316</v>
      </c>
      <c r="AK761" s="1810" t="s">
        <v>2317</v>
      </c>
      <c r="AL761" s="1810" t="s">
        <v>129</v>
      </c>
      <c r="AM761" s="1810" t="s">
        <v>2318</v>
      </c>
      <c r="AN761" s="1810" t="s">
        <v>2319</v>
      </c>
      <c r="AO761" s="1810" t="s">
        <v>2320</v>
      </c>
      <c r="AP761" s="1810" t="s">
        <v>1148</v>
      </c>
      <c r="AQ761" s="1810" t="s">
        <v>556</v>
      </c>
      <c r="AR761" s="1810" t="s">
        <v>557</v>
      </c>
      <c r="AS761" s="1810" t="s">
        <v>577</v>
      </c>
      <c r="AT761" s="1810" t="s">
        <v>578</v>
      </c>
      <c r="AU761" s="1810" t="s">
        <v>579</v>
      </c>
      <c r="AV761" s="1810" t="s">
        <v>580</v>
      </c>
      <c r="AW761" s="1810" t="s">
        <v>581</v>
      </c>
      <c r="AX761" s="1810" t="s">
        <v>582</v>
      </c>
      <c r="AY761" s="1810" t="s">
        <v>583</v>
      </c>
      <c r="AZ761" s="1810" t="s">
        <v>584</v>
      </c>
      <c r="BA761" s="1810" t="s">
        <v>585</v>
      </c>
      <c r="BB761" s="1810" t="s">
        <v>586</v>
      </c>
      <c r="BC761" s="1810" t="s">
        <v>931</v>
      </c>
      <c r="BD761" s="1810" t="s">
        <v>932</v>
      </c>
      <c r="BE761" s="1810" t="s">
        <v>933</v>
      </c>
      <c r="BF761" s="1810" t="s">
        <v>496</v>
      </c>
      <c r="BG761" s="1810" t="s">
        <v>497</v>
      </c>
      <c r="BH761" s="1810" t="s">
        <v>498</v>
      </c>
      <c r="BI761" s="1810" t="s">
        <v>499</v>
      </c>
      <c r="BJ761" s="1810" t="s">
        <v>500</v>
      </c>
      <c r="BK761" s="1810" t="s">
        <v>880</v>
      </c>
      <c r="BL761" s="1810" t="s">
        <v>881</v>
      </c>
      <c r="BM761" s="1810" t="s">
        <v>882</v>
      </c>
      <c r="BN761" s="1810" t="s">
        <v>883</v>
      </c>
      <c r="BO761" s="1810" t="s">
        <v>884</v>
      </c>
      <c r="BP761" s="1810" t="s">
        <v>885</v>
      </c>
      <c r="BQ761" s="1810" t="s">
        <v>886</v>
      </c>
      <c r="BR761" s="1810" t="s">
        <v>887</v>
      </c>
      <c r="BS761" s="1810" t="s">
        <v>888</v>
      </c>
      <c r="BT761" s="1810" t="s">
        <v>889</v>
      </c>
      <c r="BU761" s="1810" t="s">
        <v>2430</v>
      </c>
      <c r="BV761" s="1810" t="s">
        <v>2431</v>
      </c>
      <c r="BW761" s="1810" t="s">
        <v>2432</v>
      </c>
      <c r="BX761" s="1810" t="s">
        <v>2433</v>
      </c>
      <c r="BY761" s="1810" t="s">
        <v>2434</v>
      </c>
      <c r="BZ761" s="1810" t="s">
        <v>117</v>
      </c>
      <c r="CA761" s="1810" t="s">
        <v>1151</v>
      </c>
      <c r="CB761" s="1810" t="s">
        <v>1152</v>
      </c>
      <c r="CC761" s="1810" t="s">
        <v>1213</v>
      </c>
      <c r="CD761" s="1810" t="s">
        <v>1214</v>
      </c>
      <c r="CE761" s="1635" t="s">
        <v>132</v>
      </c>
      <c r="CF761" s="1635" t="s">
        <v>1215</v>
      </c>
      <c r="CG761" s="1635" t="s">
        <v>1216</v>
      </c>
      <c r="CH761" s="1635" t="s">
        <v>1217</v>
      </c>
      <c r="CI761" s="1635" t="s">
        <v>1218</v>
      </c>
      <c r="CJ761" s="1635" t="s">
        <v>131</v>
      </c>
      <c r="CK761" s="1635" t="s">
        <v>911</v>
      </c>
      <c r="CL761" s="1635" t="s">
        <v>912</v>
      </c>
      <c r="CM761" s="1635" t="s">
        <v>913</v>
      </c>
      <c r="CN761" s="1635" t="s">
        <v>914</v>
      </c>
      <c r="CO761" s="1635" t="s">
        <v>130</v>
      </c>
      <c r="CP761" s="1635" t="s">
        <v>915</v>
      </c>
      <c r="CQ761" s="1635" t="s">
        <v>916</v>
      </c>
      <c r="CR761" s="1635" t="s">
        <v>917</v>
      </c>
      <c r="CS761" s="1635" t="s">
        <v>918</v>
      </c>
      <c r="CT761" s="1635" t="s">
        <v>809</v>
      </c>
      <c r="CU761" s="1635" t="s">
        <v>810</v>
      </c>
      <c r="CV761" s="1635" t="s">
        <v>811</v>
      </c>
      <c r="CW761" s="1635" t="s">
        <v>812</v>
      </c>
      <c r="CX761" s="1635" t="s">
        <v>813</v>
      </c>
      <c r="CY761" s="1635" t="s">
        <v>957</v>
      </c>
      <c r="CZ761" s="1635" t="s">
        <v>958</v>
      </c>
      <c r="DA761" s="1635" t="s">
        <v>959</v>
      </c>
      <c r="DB761" s="1635" t="s">
        <v>960</v>
      </c>
      <c r="DC761" s="1635" t="s">
        <v>2429</v>
      </c>
      <c r="DD761" s="1635" t="s">
        <v>1433</v>
      </c>
      <c r="DE761" s="1635" t="s">
        <v>1434</v>
      </c>
      <c r="DF761" s="1635" t="s">
        <v>1435</v>
      </c>
      <c r="DG761" s="1635" t="s">
        <v>1436</v>
      </c>
      <c r="DH761" s="1635" t="s">
        <v>1437</v>
      </c>
      <c r="DI761" s="1635" t="s">
        <v>436</v>
      </c>
      <c r="DJ761" s="1635" t="s">
        <v>437</v>
      </c>
      <c r="DK761" s="1635" t="s">
        <v>438</v>
      </c>
      <c r="DL761" s="1635" t="s">
        <v>439</v>
      </c>
      <c r="DM761" s="1635" t="s">
        <v>440</v>
      </c>
      <c r="DN761" s="1635" t="s">
        <v>17</v>
      </c>
      <c r="DO761" s="1635" t="s">
        <v>18</v>
      </c>
      <c r="DP761" s="1635" t="s">
        <v>19</v>
      </c>
      <c r="DQ761" s="1635" t="s">
        <v>20</v>
      </c>
      <c r="DR761" s="1635" t="s">
        <v>21</v>
      </c>
      <c r="DS761" s="1635" t="s">
        <v>222</v>
      </c>
      <c r="DT761" s="1635" t="s">
        <v>223</v>
      </c>
      <c r="DU761" s="1635" t="s">
        <v>224</v>
      </c>
      <c r="DV761" s="1635" t="s">
        <v>1811</v>
      </c>
      <c r="DW761" s="1635" t="s">
        <v>1812</v>
      </c>
      <c r="DX761" s="1635" t="s">
        <v>1813</v>
      </c>
      <c r="DY761" s="1635" t="s">
        <v>592</v>
      </c>
      <c r="DZ761" s="1635" t="s">
        <v>593</v>
      </c>
      <c r="EA761" s="1635" t="s">
        <v>594</v>
      </c>
      <c r="EB761" s="1635" t="s">
        <v>595</v>
      </c>
      <c r="EC761" s="1635" t="s">
        <v>22</v>
      </c>
      <c r="ED761" s="1635" t="s">
        <v>23</v>
      </c>
      <c r="EE761" s="1635" t="s">
        <v>24</v>
      </c>
      <c r="EF761" s="1635" t="s">
        <v>25</v>
      </c>
      <c r="EG761" s="1635" t="s">
        <v>26</v>
      </c>
      <c r="EH761" s="1635" t="s">
        <v>495</v>
      </c>
      <c r="EI761" s="1635" t="s">
        <v>432</v>
      </c>
      <c r="EJ761" s="1635" t="s">
        <v>433</v>
      </c>
      <c r="EK761" s="1635" t="s">
        <v>434</v>
      </c>
      <c r="EL761" s="1635" t="s">
        <v>435</v>
      </c>
      <c r="EM761" s="1635" t="s">
        <v>2208</v>
      </c>
      <c r="EN761" s="1635" t="s">
        <v>2209</v>
      </c>
      <c r="EO761" s="1635" t="s">
        <v>2210</v>
      </c>
      <c r="EP761" s="1635" t="s">
        <v>1479</v>
      </c>
      <c r="EQ761" s="1635" t="s">
        <v>1480</v>
      </c>
      <c r="ER761" s="1635" t="s">
        <v>27</v>
      </c>
      <c r="ES761" s="1635" t="s">
        <v>28</v>
      </c>
      <c r="ET761" s="1635" t="s">
        <v>29</v>
      </c>
      <c r="EU761" s="1635" t="s">
        <v>30</v>
      </c>
      <c r="EV761" s="1635" t="s">
        <v>31</v>
      </c>
      <c r="EW761" s="1630"/>
      <c r="EX761" s="1630"/>
      <c r="EY761" s="1630"/>
      <c r="EZ761" s="1630"/>
      <c r="FA761" s="1630"/>
      <c r="FB761" s="1630"/>
      <c r="FC761" s="1630"/>
      <c r="FD761" s="1630"/>
      <c r="FE761" s="1630"/>
      <c r="FF761" s="1630"/>
      <c r="FG761" s="1630"/>
      <c r="FH761" s="1630"/>
      <c r="FI761" s="1630"/>
      <c r="FJ761" s="1630"/>
      <c r="FK761" s="1630"/>
      <c r="FL761" s="1630"/>
      <c r="FM761" s="1630"/>
      <c r="FN761" s="1630"/>
      <c r="FO761" s="1630"/>
      <c r="FP761" s="1630"/>
      <c r="FQ761" s="1630"/>
      <c r="FR761" s="1630"/>
      <c r="FS761" s="1630"/>
      <c r="FT761" s="1630"/>
      <c r="FU761" s="1630"/>
      <c r="FV761" s="1630"/>
      <c r="FW761" s="1630"/>
      <c r="FX761" s="1630"/>
      <c r="FY761" s="1630"/>
      <c r="FZ761" s="1630"/>
      <c r="GA761" s="1630"/>
      <c r="GB761" s="1630"/>
      <c r="GC761" s="1630"/>
      <c r="GD761" s="1630"/>
      <c r="GE761" s="1630"/>
      <c r="GF761" s="1630"/>
      <c r="GG761" s="1630"/>
      <c r="GH761" s="1630"/>
      <c r="GI761" s="1630"/>
      <c r="GJ761" s="1630"/>
      <c r="GK761" s="1630"/>
      <c r="GL761" s="1630"/>
      <c r="GM761" s="1630"/>
      <c r="GN761" s="1630"/>
      <c r="GO761" s="1630"/>
      <c r="GP761" s="1630"/>
      <c r="GQ761" s="1630"/>
      <c r="GR761" s="1630"/>
      <c r="GS761" s="1630"/>
      <c r="GT761" s="1630"/>
      <c r="GU761" s="1630"/>
      <c r="GV761" s="1630"/>
      <c r="GW761" s="1630"/>
      <c r="GX761" s="1630"/>
      <c r="GY761" s="1630"/>
      <c r="GZ761" s="1630"/>
      <c r="HA761" s="1630"/>
      <c r="HB761" s="1630"/>
      <c r="HC761" s="1630"/>
      <c r="HD761" s="1630"/>
      <c r="HE761" s="1630"/>
      <c r="HF761" s="1630"/>
      <c r="HG761" s="1630"/>
      <c r="HH761" s="1630"/>
      <c r="HI761" s="1630"/>
      <c r="HJ761" s="1630"/>
      <c r="HK761" s="1630"/>
      <c r="HL761" s="1630"/>
      <c r="HM761" s="1630"/>
      <c r="HN761" s="1630"/>
      <c r="HO761" s="1630"/>
      <c r="HP761" s="1630"/>
      <c r="HQ761" s="1630"/>
      <c r="HR761" s="1630"/>
      <c r="HS761" s="1630"/>
      <c r="ID761" s="1635" t="s">
        <v>1625</v>
      </c>
      <c r="IE761" s="1635" t="s">
        <v>2523</v>
      </c>
      <c r="IF761" s="1635" t="s">
        <v>2524</v>
      </c>
      <c r="IG761" s="1635" t="s">
        <v>386</v>
      </c>
      <c r="IH761" s="1635" t="s">
        <v>387</v>
      </c>
      <c r="II761" s="1635" t="s">
        <v>388</v>
      </c>
      <c r="IJ761" s="1635" t="s">
        <v>389</v>
      </c>
      <c r="IK761" s="1635" t="s">
        <v>390</v>
      </c>
      <c r="IL761" s="1635" t="s">
        <v>391</v>
      </c>
      <c r="IM761" s="1635" t="s">
        <v>392</v>
      </c>
      <c r="IN761" s="1635" t="s">
        <v>202</v>
      </c>
      <c r="IO761" s="1635" t="s">
        <v>203</v>
      </c>
      <c r="IP761" s="1635" t="s">
        <v>204</v>
      </c>
      <c r="IQ761" s="1635" t="s">
        <v>205</v>
      </c>
      <c r="IR761" s="1635" t="s">
        <v>206</v>
      </c>
      <c r="IS761" s="1635" t="s">
        <v>207</v>
      </c>
      <c r="IT761" s="1635" t="s">
        <v>208</v>
      </c>
      <c r="IU761" s="1635" t="s">
        <v>209</v>
      </c>
      <c r="IV761" s="1635" t="s">
        <v>210</v>
      </c>
      <c r="IW761" s="1635" t="s">
        <v>211</v>
      </c>
      <c r="IX761" s="1635" t="s">
        <v>212</v>
      </c>
      <c r="IY761" s="1635" t="s">
        <v>213</v>
      </c>
      <c r="IZ761" s="1635" t="s">
        <v>214</v>
      </c>
      <c r="JA761" s="1635" t="s">
        <v>215</v>
      </c>
      <c r="JB761" s="1635" t="s">
        <v>216</v>
      </c>
      <c r="JC761" s="1635"/>
      <c r="JD761" s="1635"/>
      <c r="JE761" s="1635"/>
      <c r="JF761" s="1635"/>
      <c r="JG761" s="1635"/>
    </row>
    <row r="762" spans="1:277" s="1631" customFormat="1" ht="13.35" customHeight="1">
      <c r="A762" s="1811" t="str">
        <f>IF(A805&gt;0,"Finish Row!","")</f>
        <v/>
      </c>
      <c r="B762" s="1629" t="s">
        <v>1846</v>
      </c>
      <c r="E762" s="1629"/>
      <c r="G762" s="1630" t="str">
        <f>'Part VI-Revenues &amp; Expenses'!G5</f>
        <v>&lt;Select&gt;</v>
      </c>
      <c r="H762" s="1629"/>
      <c r="I762" s="1812" t="s">
        <v>798</v>
      </c>
      <c r="J762" s="1812" t="s">
        <v>3565</v>
      </c>
      <c r="K762" s="1636"/>
      <c r="L762" s="1636"/>
      <c r="M762" s="1805" t="s">
        <v>576</v>
      </c>
      <c r="O762" s="1813" t="s">
        <v>1035</v>
      </c>
      <c r="P762" s="1808"/>
      <c r="Q762" s="1809"/>
      <c r="W762" s="1810"/>
      <c r="X762" s="1810"/>
      <c r="Y762" s="1810"/>
      <c r="Z762" s="1810"/>
      <c r="AA762" s="1810"/>
      <c r="AB762" s="1810"/>
      <c r="AC762" s="1810"/>
      <c r="AD762" s="1810"/>
      <c r="AE762" s="1810"/>
      <c r="AF762" s="1810"/>
      <c r="AG762" s="1810"/>
      <c r="AH762" s="1810"/>
      <c r="AI762" s="1810"/>
      <c r="AJ762" s="1810"/>
      <c r="AK762" s="1810"/>
      <c r="AL762" s="1810"/>
      <c r="AM762" s="1810"/>
      <c r="AN762" s="1810"/>
      <c r="AO762" s="1810"/>
      <c r="AP762" s="1810"/>
      <c r="AQ762" s="1810"/>
      <c r="AR762" s="1810"/>
      <c r="AS762" s="1810"/>
      <c r="AT762" s="1810"/>
      <c r="AU762" s="1810"/>
      <c r="AV762" s="1810"/>
      <c r="AW762" s="1810"/>
      <c r="AX762" s="1810"/>
      <c r="AY762" s="1810"/>
      <c r="AZ762" s="1810"/>
      <c r="BA762" s="1810"/>
      <c r="BB762" s="1810"/>
      <c r="BC762" s="1810"/>
      <c r="BD762" s="1810"/>
      <c r="BE762" s="1810"/>
      <c r="BF762" s="1810"/>
      <c r="BG762" s="1810"/>
      <c r="BH762" s="1810"/>
      <c r="BI762" s="1810"/>
      <c r="BJ762" s="1810"/>
      <c r="BK762" s="1810"/>
      <c r="BL762" s="1810"/>
      <c r="BM762" s="1810"/>
      <c r="BN762" s="1810"/>
      <c r="BO762" s="1810"/>
      <c r="BP762" s="1810"/>
      <c r="BQ762" s="1810"/>
      <c r="BR762" s="1810"/>
      <c r="BS762" s="1810"/>
      <c r="BT762" s="1810"/>
      <c r="BU762" s="1810"/>
      <c r="BV762" s="1810"/>
      <c r="BW762" s="1810"/>
      <c r="BX762" s="1810"/>
      <c r="BY762" s="1810"/>
      <c r="BZ762" s="1810"/>
      <c r="CA762" s="1810"/>
      <c r="CB762" s="1810"/>
      <c r="CC762" s="1810"/>
      <c r="CD762" s="1810"/>
      <c r="CE762" s="1635"/>
      <c r="CF762" s="1635"/>
      <c r="CG762" s="1635"/>
      <c r="CH762" s="1635"/>
      <c r="CI762" s="1635"/>
      <c r="CJ762" s="1635"/>
      <c r="CK762" s="1635"/>
      <c r="CL762" s="1635"/>
      <c r="CM762" s="1635"/>
      <c r="CN762" s="1635"/>
      <c r="CO762" s="1635"/>
      <c r="CP762" s="1635"/>
      <c r="CQ762" s="1635"/>
      <c r="CR762" s="1635"/>
      <c r="CS762" s="1635"/>
      <c r="CT762" s="1635"/>
      <c r="CU762" s="1635"/>
      <c r="CV762" s="1635"/>
      <c r="CW762" s="1635"/>
      <c r="CX762" s="1635"/>
      <c r="CY762" s="1635"/>
      <c r="CZ762" s="1635"/>
      <c r="DA762" s="1635"/>
      <c r="DB762" s="1635"/>
      <c r="DC762" s="1635"/>
      <c r="DD762" s="1635"/>
      <c r="DE762" s="1635"/>
      <c r="DF762" s="1635"/>
      <c r="DG762" s="1635"/>
      <c r="DH762" s="1635"/>
      <c r="DI762" s="1635"/>
      <c r="DJ762" s="1635"/>
      <c r="DK762" s="1635"/>
      <c r="DL762" s="1635"/>
      <c r="DM762" s="1635"/>
      <c r="DN762" s="1635"/>
      <c r="DO762" s="1635"/>
      <c r="DP762" s="1635"/>
      <c r="DQ762" s="1635"/>
      <c r="DR762" s="1635"/>
      <c r="DS762" s="1635"/>
      <c r="DT762" s="1635"/>
      <c r="DU762" s="1635"/>
      <c r="DV762" s="1635"/>
      <c r="DW762" s="1635"/>
      <c r="DX762" s="1635"/>
      <c r="DY762" s="1635"/>
      <c r="DZ762" s="1635"/>
      <c r="EA762" s="1635"/>
      <c r="EB762" s="1635"/>
      <c r="EC762" s="1635"/>
      <c r="ED762" s="1635"/>
      <c r="EE762" s="1635"/>
      <c r="EF762" s="1635"/>
      <c r="EG762" s="1635"/>
      <c r="EH762" s="1635"/>
      <c r="EI762" s="1635"/>
      <c r="EJ762" s="1635"/>
      <c r="EK762" s="1635"/>
      <c r="EL762" s="1635"/>
      <c r="EM762" s="1635"/>
      <c r="EN762" s="1635"/>
      <c r="EO762" s="1635"/>
      <c r="EP762" s="1635"/>
      <c r="EQ762" s="1635"/>
      <c r="ER762" s="1635"/>
      <c r="ES762" s="1635"/>
      <c r="ET762" s="1635"/>
      <c r="EU762" s="1635"/>
      <c r="EV762" s="1635"/>
      <c r="EW762" s="1630"/>
      <c r="EX762" s="1630"/>
      <c r="EY762" s="1630"/>
      <c r="EZ762" s="1630"/>
      <c r="FA762" s="1630"/>
      <c r="FB762" s="1630"/>
      <c r="FC762" s="1630"/>
      <c r="FD762" s="1630"/>
      <c r="FE762" s="1630"/>
      <c r="FF762" s="1630"/>
      <c r="FG762" s="1630"/>
      <c r="FH762" s="1630"/>
      <c r="FI762" s="1630"/>
      <c r="FJ762" s="1630"/>
      <c r="FK762" s="1630"/>
      <c r="FL762" s="1630"/>
      <c r="FM762" s="1630"/>
      <c r="FN762" s="1630"/>
      <c r="FO762" s="1630"/>
      <c r="FP762" s="1630"/>
      <c r="FQ762" s="1630"/>
      <c r="FR762" s="1630"/>
      <c r="FS762" s="1630"/>
      <c r="FT762" s="1630"/>
      <c r="FU762" s="1630"/>
      <c r="FV762" s="1630"/>
      <c r="FW762" s="1630"/>
      <c r="FX762" s="1630"/>
      <c r="FY762" s="1630"/>
      <c r="FZ762" s="1630"/>
      <c r="GA762" s="1630"/>
      <c r="GB762" s="1630"/>
      <c r="GC762" s="1630"/>
      <c r="GD762" s="1630"/>
      <c r="GE762" s="1630"/>
      <c r="GF762" s="1630"/>
      <c r="GG762" s="1630"/>
      <c r="GH762" s="1630"/>
      <c r="GI762" s="1630"/>
      <c r="GJ762" s="1630"/>
      <c r="GK762" s="1630"/>
      <c r="GL762" s="1630"/>
      <c r="GM762" s="1630"/>
      <c r="GN762" s="1630"/>
      <c r="GO762" s="1630"/>
      <c r="GP762" s="1630"/>
      <c r="GQ762" s="1630"/>
      <c r="GR762" s="1630"/>
      <c r="GS762" s="1630"/>
      <c r="GT762" s="1630"/>
      <c r="GU762" s="1630"/>
      <c r="GV762" s="1630"/>
      <c r="GW762" s="1630"/>
      <c r="GX762" s="1630"/>
      <c r="GY762" s="1630"/>
      <c r="GZ762" s="1630"/>
      <c r="HA762" s="1630"/>
      <c r="HB762" s="1630"/>
      <c r="HC762" s="1630"/>
      <c r="HD762" s="1630"/>
      <c r="HE762" s="1630"/>
      <c r="HF762" s="1630"/>
      <c r="HG762" s="1630"/>
      <c r="HH762" s="1630"/>
      <c r="HI762" s="1630"/>
      <c r="HJ762" s="1630"/>
      <c r="HK762" s="1630"/>
      <c r="HL762" s="1630"/>
      <c r="HM762" s="1630"/>
      <c r="HN762" s="1630"/>
      <c r="HO762" s="1630"/>
      <c r="HP762" s="1630"/>
      <c r="HQ762" s="1630"/>
      <c r="HR762" s="1630"/>
      <c r="HS762" s="1630"/>
      <c r="ID762" s="1635"/>
      <c r="IE762" s="1635"/>
      <c r="IF762" s="1635"/>
      <c r="IG762" s="1635"/>
      <c r="IH762" s="1635"/>
      <c r="II762" s="1635"/>
      <c r="IJ762" s="1635"/>
      <c r="IK762" s="1635"/>
      <c r="IL762" s="1635"/>
      <c r="IM762" s="1635"/>
      <c r="IN762" s="1635"/>
      <c r="IO762" s="1635"/>
      <c r="IP762" s="1635"/>
      <c r="IQ762" s="1635"/>
      <c r="IR762" s="1635"/>
      <c r="IS762" s="1635"/>
      <c r="IT762" s="1635"/>
      <c r="IU762" s="1635"/>
      <c r="IV762" s="1635"/>
      <c r="IW762" s="1635"/>
      <c r="IX762" s="1635"/>
      <c r="IY762" s="1635"/>
      <c r="IZ762" s="1635"/>
      <c r="JA762" s="1635"/>
      <c r="JB762" s="1635"/>
      <c r="JC762" s="1635"/>
      <c r="JD762" s="1635"/>
      <c r="JE762" s="1635"/>
      <c r="JF762" s="1635"/>
      <c r="JG762" s="1635"/>
      <c r="JH762" s="1636" t="s">
        <v>3418</v>
      </c>
      <c r="JI762" s="1636" t="s">
        <v>3419</v>
      </c>
      <c r="JJ762" s="1636" t="s">
        <v>3420</v>
      </c>
      <c r="JK762" s="1636" t="s">
        <v>3421</v>
      </c>
      <c r="JL762" s="1636" t="s">
        <v>3422</v>
      </c>
      <c r="JM762" s="1635" t="s">
        <v>3432</v>
      </c>
      <c r="JN762" s="1635" t="s">
        <v>3434</v>
      </c>
      <c r="JO762" s="1635" t="s">
        <v>3435</v>
      </c>
      <c r="JP762" s="1635" t="s">
        <v>3436</v>
      </c>
      <c r="JQ762" s="1635" t="s">
        <v>3437</v>
      </c>
    </row>
    <row r="763" spans="1:277" s="1631" customFormat="1" ht="13.35" customHeight="1">
      <c r="A763" s="1811"/>
      <c r="B763" s="1814" t="s">
        <v>1805</v>
      </c>
      <c r="E763" s="1629"/>
      <c r="F763" s="1637" t="str">
        <f>'Part VI-Revenues &amp; Expenses'!F6</f>
        <v>&lt;Select&gt;</v>
      </c>
      <c r="G763" s="1812" t="s">
        <v>3665</v>
      </c>
      <c r="H763" s="1808" t="s">
        <v>3892</v>
      </c>
      <c r="I763" s="1812" t="s">
        <v>799</v>
      </c>
      <c r="J763" s="1812" t="s">
        <v>3668</v>
      </c>
      <c r="K763" s="1636"/>
      <c r="L763" s="1636"/>
      <c r="M763" s="1815" t="str">
        <f>'Part I-Project Information'!$O$40</f>
        <v>Atlanta-Sandy Springs-Marietta</v>
      </c>
      <c r="N763" s="1815"/>
      <c r="O763" s="1816">
        <f>VLOOKUP('Part I-Project Information'!$O$40,'DCA Underwriting Assumptions'!$C$158:$D$268,2)</f>
        <v>74800</v>
      </c>
      <c r="P763" s="1808"/>
      <c r="Q763" s="1809"/>
      <c r="S763" s="1629" t="s">
        <v>2698</v>
      </c>
      <c r="T763" s="1629"/>
      <c r="W763" s="1810"/>
      <c r="X763" s="1810"/>
      <c r="Y763" s="1810"/>
      <c r="Z763" s="1810"/>
      <c r="AA763" s="1810"/>
      <c r="AB763" s="1810"/>
      <c r="AC763" s="1810"/>
      <c r="AD763" s="1810"/>
      <c r="AE763" s="1810"/>
      <c r="AF763" s="1810"/>
      <c r="AG763" s="1810"/>
      <c r="AH763" s="1810"/>
      <c r="AI763" s="1810"/>
      <c r="AJ763" s="1810"/>
      <c r="AK763" s="1810"/>
      <c r="AL763" s="1810"/>
      <c r="AM763" s="1810"/>
      <c r="AN763" s="1810"/>
      <c r="AO763" s="1810"/>
      <c r="AP763" s="1810"/>
      <c r="AQ763" s="1810"/>
      <c r="AR763" s="1810"/>
      <c r="AS763" s="1810"/>
      <c r="AT763" s="1810"/>
      <c r="AU763" s="1810"/>
      <c r="AV763" s="1810"/>
      <c r="AW763" s="1810"/>
      <c r="AX763" s="1810"/>
      <c r="AY763" s="1810"/>
      <c r="AZ763" s="1810"/>
      <c r="BA763" s="1810"/>
      <c r="BB763" s="1810"/>
      <c r="BC763" s="1810"/>
      <c r="BD763" s="1810"/>
      <c r="BE763" s="1810"/>
      <c r="BF763" s="1810"/>
      <c r="BG763" s="1810"/>
      <c r="BH763" s="1810"/>
      <c r="BI763" s="1810"/>
      <c r="BJ763" s="1810"/>
      <c r="BK763" s="1810"/>
      <c r="BL763" s="1810"/>
      <c r="BM763" s="1810"/>
      <c r="BN763" s="1810"/>
      <c r="BO763" s="1810"/>
      <c r="BP763" s="1810"/>
      <c r="BQ763" s="1810"/>
      <c r="BR763" s="1810"/>
      <c r="BS763" s="1810"/>
      <c r="BT763" s="1810"/>
      <c r="BU763" s="1810"/>
      <c r="BV763" s="1810"/>
      <c r="BW763" s="1810"/>
      <c r="BX763" s="1810"/>
      <c r="BY763" s="1810"/>
      <c r="BZ763" s="1810"/>
      <c r="CA763" s="1810"/>
      <c r="CB763" s="1810"/>
      <c r="CC763" s="1810"/>
      <c r="CD763" s="1810"/>
      <c r="CE763" s="1635"/>
      <c r="CF763" s="1635"/>
      <c r="CG763" s="1635"/>
      <c r="CH763" s="1635"/>
      <c r="CI763" s="1635"/>
      <c r="CJ763" s="1635"/>
      <c r="CK763" s="1635"/>
      <c r="CL763" s="1635"/>
      <c r="CM763" s="1635"/>
      <c r="CN763" s="1635"/>
      <c r="CO763" s="1635"/>
      <c r="CP763" s="1635"/>
      <c r="CQ763" s="1635"/>
      <c r="CR763" s="1635"/>
      <c r="CS763" s="1635"/>
      <c r="CT763" s="1635"/>
      <c r="CU763" s="1635"/>
      <c r="CV763" s="1635"/>
      <c r="CW763" s="1635"/>
      <c r="CX763" s="1635"/>
      <c r="CY763" s="1635"/>
      <c r="CZ763" s="1635"/>
      <c r="DA763" s="1635"/>
      <c r="DB763" s="1635"/>
      <c r="DC763" s="1635"/>
      <c r="DD763" s="1635"/>
      <c r="DE763" s="1635"/>
      <c r="DF763" s="1635"/>
      <c r="DG763" s="1635"/>
      <c r="DH763" s="1635"/>
      <c r="DI763" s="1635"/>
      <c r="DJ763" s="1635"/>
      <c r="DK763" s="1635"/>
      <c r="DL763" s="1635"/>
      <c r="DM763" s="1635"/>
      <c r="DN763" s="1635"/>
      <c r="DO763" s="1635"/>
      <c r="DP763" s="1635"/>
      <c r="DQ763" s="1635"/>
      <c r="DR763" s="1635"/>
      <c r="DS763" s="1635"/>
      <c r="DT763" s="1635"/>
      <c r="DU763" s="1635"/>
      <c r="DV763" s="1635"/>
      <c r="DW763" s="1635"/>
      <c r="DX763" s="1635"/>
      <c r="DY763" s="1635"/>
      <c r="DZ763" s="1635"/>
      <c r="EA763" s="1635"/>
      <c r="EB763" s="1635"/>
      <c r="EC763" s="1635"/>
      <c r="ED763" s="1635"/>
      <c r="EE763" s="1635"/>
      <c r="EF763" s="1635"/>
      <c r="EG763" s="1635"/>
      <c r="EH763" s="1635"/>
      <c r="EI763" s="1635"/>
      <c r="EJ763" s="1635"/>
      <c r="EK763" s="1635"/>
      <c r="EL763" s="1635"/>
      <c r="EM763" s="1635"/>
      <c r="EN763" s="1635"/>
      <c r="EO763" s="1635"/>
      <c r="EP763" s="1635"/>
      <c r="EQ763" s="1635"/>
      <c r="ER763" s="1635"/>
      <c r="ES763" s="1635"/>
      <c r="ET763" s="1635"/>
      <c r="EU763" s="1635"/>
      <c r="EV763" s="1635"/>
      <c r="EW763" s="1630"/>
      <c r="EX763" s="1630"/>
      <c r="EY763" s="1630"/>
      <c r="EZ763" s="1630"/>
      <c r="FA763" s="1630"/>
      <c r="FB763" s="1630"/>
      <c r="FC763" s="1630"/>
      <c r="FD763" s="1630"/>
      <c r="FE763" s="1630"/>
      <c r="FF763" s="1630"/>
      <c r="FG763" s="1630"/>
      <c r="FH763" s="1630"/>
      <c r="FI763" s="1630"/>
      <c r="FJ763" s="1630"/>
      <c r="FK763" s="1630"/>
      <c r="FL763" s="1630"/>
      <c r="FM763" s="1630"/>
      <c r="FN763" s="1630"/>
      <c r="FO763" s="1630"/>
      <c r="FP763" s="1630"/>
      <c r="FQ763" s="1630"/>
      <c r="FR763" s="1630"/>
      <c r="FS763" s="1630"/>
      <c r="FT763" s="1630"/>
      <c r="FU763" s="1630"/>
      <c r="FV763" s="1630"/>
      <c r="FW763" s="1630"/>
      <c r="FX763" s="1630"/>
      <c r="FY763" s="1630"/>
      <c r="FZ763" s="1630"/>
      <c r="GA763" s="1630"/>
      <c r="GB763" s="1630"/>
      <c r="GC763" s="1630"/>
      <c r="GD763" s="1630"/>
      <c r="GE763" s="1630"/>
      <c r="GF763" s="1630"/>
      <c r="GG763" s="1630"/>
      <c r="GH763" s="1630"/>
      <c r="GI763" s="1630"/>
      <c r="GJ763" s="1630"/>
      <c r="GK763" s="1630"/>
      <c r="GL763" s="1630"/>
      <c r="GM763" s="1630"/>
      <c r="GN763" s="1630"/>
      <c r="GO763" s="1630"/>
      <c r="GP763" s="1630"/>
      <c r="GQ763" s="1630"/>
      <c r="GR763" s="1630"/>
      <c r="GS763" s="1630"/>
      <c r="GT763" s="1630"/>
      <c r="GU763" s="1630"/>
      <c r="GV763" s="1630"/>
      <c r="GW763" s="1630"/>
      <c r="GX763" s="1630"/>
      <c r="GY763" s="1630"/>
      <c r="GZ763" s="1630"/>
      <c r="HA763" s="1630"/>
      <c r="HB763" s="1630"/>
      <c r="HC763" s="1630"/>
      <c r="HD763" s="1630"/>
      <c r="HE763" s="1630"/>
      <c r="HF763" s="1630"/>
      <c r="HG763" s="1630"/>
      <c r="HH763" s="1630"/>
      <c r="HI763" s="1630"/>
      <c r="HJ763" s="1630"/>
      <c r="HK763" s="1630"/>
      <c r="HL763" s="1630"/>
      <c r="HM763" s="1630"/>
      <c r="HN763" s="1630"/>
      <c r="HO763" s="1630"/>
      <c r="HP763" s="1630"/>
      <c r="HQ763" s="1630"/>
      <c r="HR763" s="1630"/>
      <c r="HS763" s="1630"/>
      <c r="ID763" s="1635"/>
      <c r="IE763" s="1635"/>
      <c r="IF763" s="1635"/>
      <c r="IG763" s="1635"/>
      <c r="IH763" s="1635"/>
      <c r="II763" s="1635"/>
      <c r="IJ763" s="1635"/>
      <c r="IK763" s="1635"/>
      <c r="IL763" s="1635"/>
      <c r="IM763" s="1635"/>
      <c r="IN763" s="1635"/>
      <c r="IO763" s="1635"/>
      <c r="IP763" s="1635"/>
      <c r="IQ763" s="1635"/>
      <c r="IR763" s="1635"/>
      <c r="IS763" s="1635"/>
      <c r="IT763" s="1635"/>
      <c r="IU763" s="1635"/>
      <c r="IV763" s="1635"/>
      <c r="IW763" s="1635"/>
      <c r="IX763" s="1635"/>
      <c r="IY763" s="1635"/>
      <c r="IZ763" s="1635"/>
      <c r="JA763" s="1635"/>
      <c r="JB763" s="1635"/>
      <c r="JC763" s="1635"/>
      <c r="JD763" s="1635"/>
      <c r="JE763" s="1635"/>
      <c r="JF763" s="1635"/>
      <c r="JG763" s="1635"/>
      <c r="JH763" s="1636"/>
      <c r="JI763" s="1636"/>
      <c r="JJ763" s="1636"/>
      <c r="JK763" s="1636"/>
      <c r="JL763" s="1636"/>
      <c r="JM763" s="1635"/>
      <c r="JN763" s="1635"/>
      <c r="JO763" s="1635"/>
      <c r="JP763" s="1635"/>
      <c r="JQ763" s="1635"/>
    </row>
    <row r="764" spans="1:277" s="1631" customFormat="1" ht="11.25" customHeight="1">
      <c r="A764" s="1811"/>
      <c r="B764" s="1629"/>
      <c r="D764" s="1629"/>
      <c r="G764" s="1812" t="s">
        <v>3666</v>
      </c>
      <c r="H764" s="1808"/>
      <c r="I764" s="1785" t="s">
        <v>3852</v>
      </c>
      <c r="J764" s="1812" t="s">
        <v>3669</v>
      </c>
      <c r="K764" s="1636"/>
      <c r="L764" s="1636"/>
      <c r="P764" s="1808"/>
      <c r="Q764" s="1809"/>
      <c r="R764" s="1636"/>
      <c r="S764" s="1817"/>
      <c r="T764" s="1818" t="s">
        <v>2695</v>
      </c>
      <c r="U764" s="1636"/>
      <c r="W764" s="1810"/>
      <c r="X764" s="1810"/>
      <c r="Y764" s="1810"/>
      <c r="Z764" s="1810"/>
      <c r="AA764" s="1810"/>
      <c r="AB764" s="1810"/>
      <c r="AC764" s="1810"/>
      <c r="AD764" s="1810"/>
      <c r="AE764" s="1810"/>
      <c r="AF764" s="1810"/>
      <c r="AG764" s="1810"/>
      <c r="AH764" s="1810"/>
      <c r="AI764" s="1810"/>
      <c r="AJ764" s="1810"/>
      <c r="AK764" s="1810"/>
      <c r="AL764" s="1810"/>
      <c r="AM764" s="1810"/>
      <c r="AN764" s="1810"/>
      <c r="AO764" s="1810"/>
      <c r="AP764" s="1810"/>
      <c r="AQ764" s="1810"/>
      <c r="AR764" s="1810"/>
      <c r="AS764" s="1810"/>
      <c r="AT764" s="1810"/>
      <c r="AU764" s="1810"/>
      <c r="AV764" s="1810"/>
      <c r="AW764" s="1810"/>
      <c r="AX764" s="1810"/>
      <c r="AY764" s="1810"/>
      <c r="AZ764" s="1810"/>
      <c r="BA764" s="1810"/>
      <c r="BB764" s="1810"/>
      <c r="BC764" s="1810"/>
      <c r="BD764" s="1810"/>
      <c r="BE764" s="1810"/>
      <c r="BF764" s="1810"/>
      <c r="BG764" s="1810"/>
      <c r="BH764" s="1810"/>
      <c r="BI764" s="1810"/>
      <c r="BJ764" s="1810"/>
      <c r="BK764" s="1810"/>
      <c r="BL764" s="1810"/>
      <c r="BM764" s="1810"/>
      <c r="BN764" s="1810"/>
      <c r="BO764" s="1810"/>
      <c r="BP764" s="1810"/>
      <c r="BQ764" s="1810"/>
      <c r="BR764" s="1810"/>
      <c r="BS764" s="1810"/>
      <c r="BT764" s="1810"/>
      <c r="BU764" s="1810"/>
      <c r="BV764" s="1810"/>
      <c r="BW764" s="1810"/>
      <c r="BX764" s="1810"/>
      <c r="BY764" s="1810"/>
      <c r="BZ764" s="1810"/>
      <c r="CA764" s="1810"/>
      <c r="CB764" s="1810"/>
      <c r="CC764" s="1810"/>
      <c r="CD764" s="1810"/>
      <c r="CE764" s="1635"/>
      <c r="CF764" s="1635"/>
      <c r="CG764" s="1635"/>
      <c r="CH764" s="1635"/>
      <c r="CI764" s="1635"/>
      <c r="CJ764" s="1635"/>
      <c r="CK764" s="1635"/>
      <c r="CL764" s="1635"/>
      <c r="CM764" s="1635"/>
      <c r="CN764" s="1635"/>
      <c r="CO764" s="1635"/>
      <c r="CP764" s="1635"/>
      <c r="CQ764" s="1635"/>
      <c r="CR764" s="1635"/>
      <c r="CS764" s="1635"/>
      <c r="CT764" s="1635"/>
      <c r="CU764" s="1635"/>
      <c r="CV764" s="1635"/>
      <c r="CW764" s="1635"/>
      <c r="CX764" s="1635"/>
      <c r="CY764" s="1635"/>
      <c r="CZ764" s="1635"/>
      <c r="DA764" s="1635"/>
      <c r="DB764" s="1635"/>
      <c r="DC764" s="1635"/>
      <c r="DD764" s="1635"/>
      <c r="DE764" s="1635"/>
      <c r="DF764" s="1635"/>
      <c r="DG764" s="1635"/>
      <c r="DH764" s="1635"/>
      <c r="DI764" s="1635"/>
      <c r="DJ764" s="1635"/>
      <c r="DK764" s="1635"/>
      <c r="DL764" s="1635"/>
      <c r="DM764" s="1635"/>
      <c r="DN764" s="1635"/>
      <c r="DO764" s="1635"/>
      <c r="DP764" s="1635"/>
      <c r="DQ764" s="1635"/>
      <c r="DR764" s="1635"/>
      <c r="DS764" s="1635"/>
      <c r="DT764" s="1635"/>
      <c r="DU764" s="1635"/>
      <c r="DV764" s="1635"/>
      <c r="DW764" s="1635"/>
      <c r="DX764" s="1635"/>
      <c r="DY764" s="1635"/>
      <c r="DZ764" s="1635"/>
      <c r="EA764" s="1635"/>
      <c r="EB764" s="1635"/>
      <c r="EC764" s="1635"/>
      <c r="ED764" s="1635"/>
      <c r="EE764" s="1635"/>
      <c r="EF764" s="1635"/>
      <c r="EG764" s="1635"/>
      <c r="EH764" s="1635"/>
      <c r="EI764" s="1635"/>
      <c r="EJ764" s="1635"/>
      <c r="EK764" s="1635"/>
      <c r="EL764" s="1635"/>
      <c r="EM764" s="1635"/>
      <c r="EN764" s="1635"/>
      <c r="EO764" s="1635"/>
      <c r="EP764" s="1635"/>
      <c r="EQ764" s="1635"/>
      <c r="ER764" s="1635"/>
      <c r="ES764" s="1635"/>
      <c r="ET764" s="1635"/>
      <c r="EU764" s="1635"/>
      <c r="EV764" s="1635"/>
      <c r="EW764" s="1630"/>
      <c r="EX764" s="1630"/>
      <c r="EY764" s="1630"/>
      <c r="EZ764" s="1630"/>
      <c r="FA764" s="1630"/>
      <c r="FB764" s="1630"/>
      <c r="FC764" s="1630"/>
      <c r="FD764" s="1630"/>
      <c r="FE764" s="1630"/>
      <c r="FF764" s="1630"/>
      <c r="FG764" s="1630"/>
      <c r="FH764" s="1630"/>
      <c r="FI764" s="1630"/>
      <c r="FJ764" s="1630"/>
      <c r="FK764" s="1630"/>
      <c r="FL764" s="1630"/>
      <c r="FM764" s="1630"/>
      <c r="FN764" s="1630"/>
      <c r="FO764" s="1630"/>
      <c r="FP764" s="1630"/>
      <c r="FQ764" s="1630"/>
      <c r="FR764" s="1630"/>
      <c r="FS764" s="1630"/>
      <c r="FT764" s="1630"/>
      <c r="FU764" s="1630"/>
      <c r="FV764" s="1637"/>
      <c r="FW764" s="1637"/>
      <c r="FX764" s="1637"/>
      <c r="FY764" s="1637"/>
      <c r="FZ764" s="1637"/>
      <c r="GA764" s="1637"/>
      <c r="GB764" s="1637"/>
      <c r="GC764" s="1637"/>
      <c r="GD764" s="1637"/>
      <c r="GE764" s="1637"/>
      <c r="GF764" s="1637"/>
      <c r="GG764" s="1637"/>
      <c r="GH764" s="1637"/>
      <c r="GI764" s="1637"/>
      <c r="GJ764" s="1637"/>
      <c r="GK764" s="1637"/>
      <c r="GL764" s="1637"/>
      <c r="GM764" s="1637"/>
      <c r="GN764" s="1637"/>
      <c r="GO764" s="1637"/>
      <c r="GP764" s="1637"/>
      <c r="GQ764" s="1637"/>
      <c r="GR764" s="1637"/>
      <c r="GS764" s="1637"/>
      <c r="GT764" s="1637"/>
      <c r="GU764" s="1637"/>
      <c r="GV764" s="1637"/>
      <c r="GW764" s="1637"/>
      <c r="GX764" s="1637"/>
      <c r="GY764" s="1637"/>
      <c r="GZ764" s="1637"/>
      <c r="HA764" s="1637"/>
      <c r="HB764" s="1637"/>
      <c r="HC764" s="1637"/>
      <c r="HD764" s="1637"/>
      <c r="HE764" s="1637"/>
      <c r="HF764" s="1637"/>
      <c r="HG764" s="1637"/>
      <c r="HH764" s="1637"/>
      <c r="HI764" s="1637"/>
      <c r="HJ764" s="1637"/>
      <c r="HK764" s="1637"/>
      <c r="HL764" s="1637"/>
      <c r="HM764" s="1637"/>
      <c r="HN764" s="1637"/>
      <c r="HO764" s="1637"/>
      <c r="HP764" s="1637"/>
      <c r="HQ764" s="1637"/>
      <c r="HR764" s="1637"/>
      <c r="HS764" s="1637"/>
      <c r="HT764" s="1637"/>
      <c r="HU764" s="1637"/>
      <c r="HV764" s="1637"/>
      <c r="HW764" s="1637"/>
      <c r="HX764" s="1637"/>
      <c r="HY764" s="1637"/>
      <c r="HZ764" s="1637"/>
      <c r="IA764" s="1637"/>
      <c r="IB764" s="1637"/>
      <c r="IC764" s="1637"/>
      <c r="ID764" s="1635"/>
      <c r="IE764" s="1635"/>
      <c r="IF764" s="1635"/>
      <c r="IG764" s="1635"/>
      <c r="IH764" s="1635"/>
      <c r="II764" s="1635"/>
      <c r="IJ764" s="1635"/>
      <c r="IK764" s="1635"/>
      <c r="IL764" s="1635"/>
      <c r="IM764" s="1635"/>
      <c r="IN764" s="1635"/>
      <c r="IO764" s="1635"/>
      <c r="IP764" s="1635"/>
      <c r="IQ764" s="1635"/>
      <c r="IR764" s="1635"/>
      <c r="IS764" s="1635"/>
      <c r="IT764" s="1635"/>
      <c r="IU764" s="1635"/>
      <c r="IV764" s="1635"/>
      <c r="IW764" s="1635"/>
      <c r="IX764" s="1635"/>
      <c r="IY764" s="1635"/>
      <c r="IZ764" s="1635"/>
      <c r="JA764" s="1635"/>
      <c r="JB764" s="1635"/>
      <c r="JC764" s="1635"/>
      <c r="JD764" s="1635"/>
      <c r="JE764" s="1635"/>
      <c r="JF764" s="1635"/>
      <c r="JG764" s="1635"/>
      <c r="JH764" s="1636"/>
      <c r="JI764" s="1636"/>
      <c r="JJ764" s="1636"/>
      <c r="JK764" s="1636"/>
      <c r="JL764" s="1636"/>
      <c r="JM764" s="1635"/>
      <c r="JN764" s="1635"/>
      <c r="JO764" s="1635"/>
      <c r="JP764" s="1635"/>
      <c r="JQ764" s="1635"/>
    </row>
    <row r="765" spans="1:277" s="1486" customFormat="1" ht="11.25" customHeight="1">
      <c r="A765" s="1811"/>
      <c r="B765" s="1819" t="s">
        <v>1478</v>
      </c>
      <c r="C765" s="1812" t="s">
        <v>172</v>
      </c>
      <c r="D765" s="1812" t="s">
        <v>545</v>
      </c>
      <c r="E765" s="1812" t="s">
        <v>1476</v>
      </c>
      <c r="F765" s="1812" t="s">
        <v>1476</v>
      </c>
      <c r="G765" s="1812" t="s">
        <v>1478</v>
      </c>
      <c r="H765" s="1812" t="s">
        <v>3666</v>
      </c>
      <c r="I765" s="1785"/>
      <c r="J765" s="1812" t="s">
        <v>4529</v>
      </c>
      <c r="K765" s="1820" t="s">
        <v>145</v>
      </c>
      <c r="L765" s="1820"/>
      <c r="M765" s="1812" t="s">
        <v>2367</v>
      </c>
      <c r="N765" s="1812" t="s">
        <v>532</v>
      </c>
      <c r="O765" s="1812" t="s">
        <v>383</v>
      </c>
      <c r="P765" s="1808"/>
      <c r="Q765" s="1820" t="s">
        <v>3574</v>
      </c>
      <c r="R765" s="1820"/>
      <c r="S765" s="1812" t="s">
        <v>2694</v>
      </c>
      <c r="T765" s="1812" t="s">
        <v>2696</v>
      </c>
      <c r="U765" s="1812"/>
      <c r="W765" s="1810"/>
      <c r="X765" s="1810"/>
      <c r="Y765" s="1810"/>
      <c r="Z765" s="1810"/>
      <c r="AA765" s="1810"/>
      <c r="AB765" s="1810"/>
      <c r="AC765" s="1810"/>
      <c r="AD765" s="1810"/>
      <c r="AE765" s="1810"/>
      <c r="AF765" s="1810"/>
      <c r="AG765" s="1810"/>
      <c r="AH765" s="1810"/>
      <c r="AI765" s="1810"/>
      <c r="AJ765" s="1810"/>
      <c r="AK765" s="1810"/>
      <c r="AL765" s="1810"/>
      <c r="AM765" s="1810"/>
      <c r="AN765" s="1810"/>
      <c r="AO765" s="1810"/>
      <c r="AP765" s="1810"/>
      <c r="AQ765" s="1810"/>
      <c r="AR765" s="1810"/>
      <c r="AS765" s="1810"/>
      <c r="AT765" s="1810"/>
      <c r="AU765" s="1810"/>
      <c r="AV765" s="1810"/>
      <c r="AW765" s="1810"/>
      <c r="AX765" s="1810"/>
      <c r="AY765" s="1810"/>
      <c r="AZ765" s="1810"/>
      <c r="BA765" s="1810"/>
      <c r="BB765" s="1810"/>
      <c r="BC765" s="1810"/>
      <c r="BD765" s="1810"/>
      <c r="BE765" s="1810"/>
      <c r="BF765" s="1810"/>
      <c r="BG765" s="1810"/>
      <c r="BH765" s="1810"/>
      <c r="BI765" s="1810"/>
      <c r="BJ765" s="1810"/>
      <c r="BK765" s="1810"/>
      <c r="BL765" s="1810"/>
      <c r="BM765" s="1810"/>
      <c r="BN765" s="1810"/>
      <c r="BO765" s="1810"/>
      <c r="BP765" s="1810"/>
      <c r="BQ765" s="1810"/>
      <c r="BR765" s="1810"/>
      <c r="BS765" s="1810"/>
      <c r="BT765" s="1810"/>
      <c r="BU765" s="1810"/>
      <c r="BV765" s="1810"/>
      <c r="BW765" s="1810"/>
      <c r="BX765" s="1810"/>
      <c r="BY765" s="1810"/>
      <c r="BZ765" s="1810"/>
      <c r="CA765" s="1810"/>
      <c r="CB765" s="1810"/>
      <c r="CC765" s="1810"/>
      <c r="CD765" s="1810"/>
      <c r="CE765" s="1635"/>
      <c r="CF765" s="1635"/>
      <c r="CG765" s="1635"/>
      <c r="CH765" s="1635"/>
      <c r="CI765" s="1635"/>
      <c r="CJ765" s="1635"/>
      <c r="CK765" s="1635"/>
      <c r="CL765" s="1635"/>
      <c r="CM765" s="1635"/>
      <c r="CN765" s="1635"/>
      <c r="CO765" s="1635"/>
      <c r="CP765" s="1635"/>
      <c r="CQ765" s="1635"/>
      <c r="CR765" s="1635"/>
      <c r="CS765" s="1635"/>
      <c r="CT765" s="1635"/>
      <c r="CU765" s="1635"/>
      <c r="CV765" s="1635"/>
      <c r="CW765" s="1635"/>
      <c r="CX765" s="1635"/>
      <c r="CY765" s="1635"/>
      <c r="CZ765" s="1635"/>
      <c r="DA765" s="1635"/>
      <c r="DB765" s="1635"/>
      <c r="DC765" s="1635"/>
      <c r="DD765" s="1635"/>
      <c r="DE765" s="1635"/>
      <c r="DF765" s="1635"/>
      <c r="DG765" s="1635"/>
      <c r="DH765" s="1635"/>
      <c r="DI765" s="1635"/>
      <c r="DJ765" s="1635"/>
      <c r="DK765" s="1635"/>
      <c r="DL765" s="1635"/>
      <c r="DM765" s="1635"/>
      <c r="DN765" s="1635"/>
      <c r="DO765" s="1635"/>
      <c r="DP765" s="1635"/>
      <c r="DQ765" s="1635"/>
      <c r="DR765" s="1635"/>
      <c r="DS765" s="1635"/>
      <c r="DT765" s="1635"/>
      <c r="DU765" s="1635"/>
      <c r="DV765" s="1635"/>
      <c r="DW765" s="1635"/>
      <c r="DX765" s="1635"/>
      <c r="DY765" s="1635"/>
      <c r="DZ765" s="1635"/>
      <c r="EA765" s="1635"/>
      <c r="EB765" s="1635"/>
      <c r="EC765" s="1635"/>
      <c r="ED765" s="1635"/>
      <c r="EE765" s="1635"/>
      <c r="EF765" s="1635"/>
      <c r="EG765" s="1635"/>
      <c r="EH765" s="1635"/>
      <c r="EI765" s="1635"/>
      <c r="EJ765" s="1635"/>
      <c r="EK765" s="1635"/>
      <c r="EL765" s="1635"/>
      <c r="EM765" s="1635"/>
      <c r="EN765" s="1635"/>
      <c r="EO765" s="1635"/>
      <c r="EP765" s="1635"/>
      <c r="EQ765" s="1635"/>
      <c r="ER765" s="1635"/>
      <c r="ES765" s="1635"/>
      <c r="ET765" s="1635"/>
      <c r="EU765" s="1635"/>
      <c r="EV765" s="1635"/>
      <c r="EW765" s="1635" t="s">
        <v>1462</v>
      </c>
      <c r="EX765" s="1637" t="s">
        <v>2440</v>
      </c>
      <c r="EY765" s="1637" t="s">
        <v>2441</v>
      </c>
      <c r="EZ765" s="1637" t="s">
        <v>2442</v>
      </c>
      <c r="FA765" s="1637" t="s">
        <v>2443</v>
      </c>
      <c r="FB765" s="1635" t="s">
        <v>2497</v>
      </c>
      <c r="FC765" s="1635" t="s">
        <v>2497</v>
      </c>
      <c r="FD765" s="1635" t="s">
        <v>2497</v>
      </c>
      <c r="FE765" s="1635" t="s">
        <v>2497</v>
      </c>
      <c r="FF765" s="1635" t="s">
        <v>2497</v>
      </c>
      <c r="FG765" s="1635" t="s">
        <v>3366</v>
      </c>
      <c r="FH765" s="1635" t="s">
        <v>3366</v>
      </c>
      <c r="FI765" s="1635" t="s">
        <v>3366</v>
      </c>
      <c r="FJ765" s="1635" t="s">
        <v>3366</v>
      </c>
      <c r="FK765" s="1635" t="s">
        <v>3366</v>
      </c>
      <c r="FL765" s="1637" t="s">
        <v>568</v>
      </c>
      <c r="FM765" s="1637" t="s">
        <v>2440</v>
      </c>
      <c r="FN765" s="1637" t="s">
        <v>2441</v>
      </c>
      <c r="FO765" s="1637" t="s">
        <v>2442</v>
      </c>
      <c r="FP765" s="1637" t="s">
        <v>2443</v>
      </c>
      <c r="FQ765" s="1637" t="s">
        <v>568</v>
      </c>
      <c r="FR765" s="1637" t="s">
        <v>2440</v>
      </c>
      <c r="FS765" s="1637" t="s">
        <v>2441</v>
      </c>
      <c r="FT765" s="1637" t="s">
        <v>2442</v>
      </c>
      <c r="FU765" s="1637" t="s">
        <v>2443</v>
      </c>
      <c r="FV765" s="1635" t="s">
        <v>2499</v>
      </c>
      <c r="FW765" s="1635" t="s">
        <v>2499</v>
      </c>
      <c r="FX765" s="1635" t="s">
        <v>2499</v>
      </c>
      <c r="FY765" s="1635" t="s">
        <v>2499</v>
      </c>
      <c r="FZ765" s="1635" t="s">
        <v>2499</v>
      </c>
      <c r="GA765" s="1635" t="s">
        <v>3362</v>
      </c>
      <c r="GB765" s="1635" t="s">
        <v>3362</v>
      </c>
      <c r="GC765" s="1635" t="s">
        <v>3362</v>
      </c>
      <c r="GD765" s="1635" t="s">
        <v>3362</v>
      </c>
      <c r="GE765" s="1635" t="s">
        <v>3362</v>
      </c>
      <c r="GF765" s="1635" t="s">
        <v>358</v>
      </c>
      <c r="GG765" s="1635" t="s">
        <v>358</v>
      </c>
      <c r="GH765" s="1635" t="s">
        <v>358</v>
      </c>
      <c r="GI765" s="1635" t="s">
        <v>358</v>
      </c>
      <c r="GJ765" s="1635" t="s">
        <v>358</v>
      </c>
      <c r="GK765" s="1635" t="s">
        <v>3361</v>
      </c>
      <c r="GL765" s="1635" t="s">
        <v>3361</v>
      </c>
      <c r="GM765" s="1635" t="s">
        <v>3361</v>
      </c>
      <c r="GN765" s="1635" t="s">
        <v>3361</v>
      </c>
      <c r="GO765" s="1635" t="s">
        <v>3361</v>
      </c>
      <c r="GP765" s="1635" t="s">
        <v>359</v>
      </c>
      <c r="GQ765" s="1635" t="s">
        <v>359</v>
      </c>
      <c r="GR765" s="1635" t="s">
        <v>359</v>
      </c>
      <c r="GS765" s="1635" t="s">
        <v>359</v>
      </c>
      <c r="GT765" s="1635" t="s">
        <v>359</v>
      </c>
      <c r="GU765" s="1635" t="s">
        <v>3360</v>
      </c>
      <c r="GV765" s="1635" t="s">
        <v>3360</v>
      </c>
      <c r="GW765" s="1635" t="s">
        <v>3360</v>
      </c>
      <c r="GX765" s="1635" t="s">
        <v>3360</v>
      </c>
      <c r="GY765" s="1635" t="s">
        <v>3360</v>
      </c>
      <c r="GZ765" s="1635" t="s">
        <v>360</v>
      </c>
      <c r="HA765" s="1635" t="s">
        <v>360</v>
      </c>
      <c r="HB765" s="1635" t="s">
        <v>360</v>
      </c>
      <c r="HC765" s="1635" t="s">
        <v>360</v>
      </c>
      <c r="HD765" s="1635" t="s">
        <v>360</v>
      </c>
      <c r="HE765" s="1635" t="s">
        <v>3363</v>
      </c>
      <c r="HF765" s="1635" t="s">
        <v>3363</v>
      </c>
      <c r="HG765" s="1635" t="s">
        <v>3363</v>
      </c>
      <c r="HH765" s="1635" t="s">
        <v>3363</v>
      </c>
      <c r="HI765" s="1635" t="s">
        <v>3363</v>
      </c>
      <c r="HJ765" s="1635" t="s">
        <v>361</v>
      </c>
      <c r="HK765" s="1635" t="s">
        <v>361</v>
      </c>
      <c r="HL765" s="1635" t="s">
        <v>361</v>
      </c>
      <c r="HM765" s="1635" t="s">
        <v>361</v>
      </c>
      <c r="HN765" s="1635" t="s">
        <v>361</v>
      </c>
      <c r="HO765" s="1635" t="s">
        <v>3364</v>
      </c>
      <c r="HP765" s="1635" t="s">
        <v>3364</v>
      </c>
      <c r="HQ765" s="1635" t="s">
        <v>3364</v>
      </c>
      <c r="HR765" s="1635" t="s">
        <v>3364</v>
      </c>
      <c r="HS765" s="1635" t="s">
        <v>3364</v>
      </c>
      <c r="HT765" s="1635" t="s">
        <v>1461</v>
      </c>
      <c r="HU765" s="1635" t="s">
        <v>1461</v>
      </c>
      <c r="HV765" s="1635" t="s">
        <v>1461</v>
      </c>
      <c r="HW765" s="1635" t="s">
        <v>1461</v>
      </c>
      <c r="HX765" s="1635" t="s">
        <v>1461</v>
      </c>
      <c r="HY765" s="1635" t="s">
        <v>3365</v>
      </c>
      <c r="HZ765" s="1635" t="s">
        <v>3365</v>
      </c>
      <c r="IA765" s="1635" t="s">
        <v>3365</v>
      </c>
      <c r="IB765" s="1635" t="s">
        <v>3365</v>
      </c>
      <c r="IC765" s="1635" t="s">
        <v>3365</v>
      </c>
      <c r="ID765" s="1635"/>
      <c r="IE765" s="1635"/>
      <c r="IF765" s="1635"/>
      <c r="IG765" s="1635"/>
      <c r="IH765" s="1635"/>
      <c r="II765" s="1635"/>
      <c r="IJ765" s="1635"/>
      <c r="IK765" s="1635"/>
      <c r="IL765" s="1635"/>
      <c r="IM765" s="1635"/>
      <c r="IN765" s="1635"/>
      <c r="IO765" s="1635"/>
      <c r="IP765" s="1635"/>
      <c r="IQ765" s="1635"/>
      <c r="IR765" s="1635"/>
      <c r="IS765" s="1635"/>
      <c r="IT765" s="1635"/>
      <c r="IU765" s="1635"/>
      <c r="IV765" s="1635"/>
      <c r="IW765" s="1635"/>
      <c r="IX765" s="1635"/>
      <c r="IY765" s="1635"/>
      <c r="IZ765" s="1635"/>
      <c r="JA765" s="1635"/>
      <c r="JB765" s="1635"/>
      <c r="JC765" s="1635"/>
      <c r="JD765" s="1635"/>
      <c r="JE765" s="1635"/>
      <c r="JF765" s="1635"/>
      <c r="JG765" s="1635"/>
      <c r="JH765" s="1636"/>
      <c r="JI765" s="1636"/>
      <c r="JJ765" s="1636"/>
      <c r="JK765" s="1636"/>
      <c r="JL765" s="1636"/>
      <c r="JM765" s="1635"/>
      <c r="JN765" s="1635"/>
      <c r="JO765" s="1635"/>
      <c r="JP765" s="1635"/>
      <c r="JQ765" s="1635"/>
    </row>
    <row r="766" spans="1:277" s="1486" customFormat="1" ht="11.25" customHeight="1">
      <c r="A766" s="1811"/>
      <c r="B766" s="1819" t="s">
        <v>1296</v>
      </c>
      <c r="C766" s="1812" t="s">
        <v>171</v>
      </c>
      <c r="D766" s="1812" t="s">
        <v>173</v>
      </c>
      <c r="E766" s="1812" t="s">
        <v>1477</v>
      </c>
      <c r="F766" s="1812" t="s">
        <v>1279</v>
      </c>
      <c r="G766" s="1812" t="s">
        <v>3667</v>
      </c>
      <c r="H766" s="1812" t="s">
        <v>1478</v>
      </c>
      <c r="I766" s="1785"/>
      <c r="J766" s="1821" t="s">
        <v>350</v>
      </c>
      <c r="K766" s="1812" t="s">
        <v>1530</v>
      </c>
      <c r="L766" s="1812" t="s">
        <v>539</v>
      </c>
      <c r="M766" s="1812" t="s">
        <v>1476</v>
      </c>
      <c r="N766" s="1812" t="s">
        <v>3315</v>
      </c>
      <c r="O766" s="1812" t="s">
        <v>384</v>
      </c>
      <c r="P766" s="1808"/>
      <c r="Q766" s="1812" t="s">
        <v>3575</v>
      </c>
      <c r="R766" s="1812" t="s">
        <v>1040</v>
      </c>
      <c r="S766" s="1812" t="s">
        <v>1478</v>
      </c>
      <c r="T766" s="1812" t="s">
        <v>2697</v>
      </c>
      <c r="U766" s="1807" t="s">
        <v>1845</v>
      </c>
      <c r="V766" s="1807"/>
      <c r="W766" s="1810"/>
      <c r="X766" s="1810"/>
      <c r="Y766" s="1810"/>
      <c r="Z766" s="1810"/>
      <c r="AA766" s="1810"/>
      <c r="AB766" s="1810"/>
      <c r="AC766" s="1810"/>
      <c r="AD766" s="1810"/>
      <c r="AE766" s="1810"/>
      <c r="AF766" s="1810"/>
      <c r="AG766" s="1810"/>
      <c r="AH766" s="1810"/>
      <c r="AI766" s="1810"/>
      <c r="AJ766" s="1810"/>
      <c r="AK766" s="1810"/>
      <c r="AL766" s="1810"/>
      <c r="AM766" s="1810"/>
      <c r="AN766" s="1810"/>
      <c r="AO766" s="1810"/>
      <c r="AP766" s="1810"/>
      <c r="AQ766" s="1810"/>
      <c r="AR766" s="1810"/>
      <c r="AS766" s="1810"/>
      <c r="AT766" s="1810"/>
      <c r="AU766" s="1810"/>
      <c r="AV766" s="1810"/>
      <c r="AW766" s="1810"/>
      <c r="AX766" s="1810"/>
      <c r="AY766" s="1810"/>
      <c r="AZ766" s="1810"/>
      <c r="BA766" s="1810"/>
      <c r="BB766" s="1810"/>
      <c r="BC766" s="1810"/>
      <c r="BD766" s="1810"/>
      <c r="BE766" s="1810"/>
      <c r="BF766" s="1810"/>
      <c r="BG766" s="1810"/>
      <c r="BH766" s="1810"/>
      <c r="BI766" s="1810"/>
      <c r="BJ766" s="1810"/>
      <c r="BK766" s="1810"/>
      <c r="BL766" s="1810"/>
      <c r="BM766" s="1810"/>
      <c r="BN766" s="1810"/>
      <c r="BO766" s="1810"/>
      <c r="BP766" s="1810"/>
      <c r="BQ766" s="1810"/>
      <c r="BR766" s="1810"/>
      <c r="BS766" s="1810"/>
      <c r="BT766" s="1810"/>
      <c r="BU766" s="1810"/>
      <c r="BV766" s="1810"/>
      <c r="BW766" s="1810"/>
      <c r="BX766" s="1810"/>
      <c r="BY766" s="1810"/>
      <c r="BZ766" s="1810"/>
      <c r="CA766" s="1810"/>
      <c r="CB766" s="1810"/>
      <c r="CC766" s="1810"/>
      <c r="CD766" s="1810"/>
      <c r="CE766" s="1635"/>
      <c r="CF766" s="1635"/>
      <c r="CG766" s="1635"/>
      <c r="CH766" s="1635"/>
      <c r="CI766" s="1635"/>
      <c r="CJ766" s="1635"/>
      <c r="CK766" s="1635"/>
      <c r="CL766" s="1635"/>
      <c r="CM766" s="1635"/>
      <c r="CN766" s="1635"/>
      <c r="CO766" s="1635"/>
      <c r="CP766" s="1635"/>
      <c r="CQ766" s="1635"/>
      <c r="CR766" s="1635"/>
      <c r="CS766" s="1635"/>
      <c r="CT766" s="1635"/>
      <c r="CU766" s="1635"/>
      <c r="CV766" s="1635"/>
      <c r="CW766" s="1635"/>
      <c r="CX766" s="1635"/>
      <c r="CY766" s="1635"/>
      <c r="CZ766" s="1635"/>
      <c r="DA766" s="1635"/>
      <c r="DB766" s="1635"/>
      <c r="DC766" s="1635"/>
      <c r="DD766" s="1635"/>
      <c r="DE766" s="1635"/>
      <c r="DF766" s="1635"/>
      <c r="DG766" s="1635"/>
      <c r="DH766" s="1635"/>
      <c r="DI766" s="1635"/>
      <c r="DJ766" s="1635"/>
      <c r="DK766" s="1635"/>
      <c r="DL766" s="1635"/>
      <c r="DM766" s="1635"/>
      <c r="DN766" s="1635"/>
      <c r="DO766" s="1635"/>
      <c r="DP766" s="1635"/>
      <c r="DQ766" s="1635"/>
      <c r="DR766" s="1635"/>
      <c r="DS766" s="1635"/>
      <c r="DT766" s="1635"/>
      <c r="DU766" s="1635"/>
      <c r="DV766" s="1635"/>
      <c r="DW766" s="1635"/>
      <c r="DX766" s="1635"/>
      <c r="DY766" s="1635"/>
      <c r="DZ766" s="1635"/>
      <c r="EA766" s="1635"/>
      <c r="EB766" s="1635"/>
      <c r="EC766" s="1635"/>
      <c r="ED766" s="1635"/>
      <c r="EE766" s="1635"/>
      <c r="EF766" s="1635"/>
      <c r="EG766" s="1635"/>
      <c r="EH766" s="1635"/>
      <c r="EI766" s="1635"/>
      <c r="EJ766" s="1635"/>
      <c r="EK766" s="1635"/>
      <c r="EL766" s="1635"/>
      <c r="EM766" s="1635"/>
      <c r="EN766" s="1635"/>
      <c r="EO766" s="1635"/>
      <c r="EP766" s="1635"/>
      <c r="EQ766" s="1635"/>
      <c r="ER766" s="1635"/>
      <c r="ES766" s="1635"/>
      <c r="ET766" s="1635"/>
      <c r="EU766" s="1635"/>
      <c r="EV766" s="1635"/>
      <c r="EW766" s="1635"/>
      <c r="EX766" s="1637" t="s">
        <v>2496</v>
      </c>
      <c r="EY766" s="1637" t="s">
        <v>2496</v>
      </c>
      <c r="EZ766" s="1637" t="s">
        <v>2496</v>
      </c>
      <c r="FA766" s="1637" t="s">
        <v>2496</v>
      </c>
      <c r="FB766" s="1635"/>
      <c r="FC766" s="1635"/>
      <c r="FD766" s="1635"/>
      <c r="FE766" s="1635"/>
      <c r="FF766" s="1635"/>
      <c r="FG766" s="1635"/>
      <c r="FH766" s="1635"/>
      <c r="FI766" s="1635"/>
      <c r="FJ766" s="1635"/>
      <c r="FK766" s="1635"/>
      <c r="FL766" s="1637" t="s">
        <v>2498</v>
      </c>
      <c r="FM766" s="1637" t="s">
        <v>2498</v>
      </c>
      <c r="FN766" s="1637" t="s">
        <v>2498</v>
      </c>
      <c r="FO766" s="1637" t="s">
        <v>2498</v>
      </c>
      <c r="FP766" s="1637" t="s">
        <v>2498</v>
      </c>
      <c r="FQ766" s="1637" t="s">
        <v>3367</v>
      </c>
      <c r="FR766" s="1637" t="s">
        <v>3367</v>
      </c>
      <c r="FS766" s="1637" t="s">
        <v>3367</v>
      </c>
      <c r="FT766" s="1637" t="s">
        <v>3367</v>
      </c>
      <c r="FU766" s="1637" t="s">
        <v>3367</v>
      </c>
      <c r="FV766" s="1635"/>
      <c r="FW766" s="1635"/>
      <c r="FX766" s="1635"/>
      <c r="FY766" s="1635"/>
      <c r="FZ766" s="1635"/>
      <c r="GA766" s="1635"/>
      <c r="GB766" s="1635"/>
      <c r="GC766" s="1635"/>
      <c r="GD766" s="1635"/>
      <c r="GE766" s="1635"/>
      <c r="GF766" s="1635"/>
      <c r="GG766" s="1635"/>
      <c r="GH766" s="1635"/>
      <c r="GI766" s="1635"/>
      <c r="GJ766" s="1635"/>
      <c r="GK766" s="1635"/>
      <c r="GL766" s="1635"/>
      <c r="GM766" s="1635"/>
      <c r="GN766" s="1635"/>
      <c r="GO766" s="1635"/>
      <c r="GP766" s="1635"/>
      <c r="GQ766" s="1635"/>
      <c r="GR766" s="1635"/>
      <c r="GS766" s="1635"/>
      <c r="GT766" s="1635"/>
      <c r="GU766" s="1635"/>
      <c r="GV766" s="1635"/>
      <c r="GW766" s="1635"/>
      <c r="GX766" s="1635"/>
      <c r="GY766" s="1635"/>
      <c r="GZ766" s="1635"/>
      <c r="HA766" s="1635"/>
      <c r="HB766" s="1635"/>
      <c r="HC766" s="1635"/>
      <c r="HD766" s="1635"/>
      <c r="HE766" s="1635"/>
      <c r="HF766" s="1635"/>
      <c r="HG766" s="1635"/>
      <c r="HH766" s="1635"/>
      <c r="HI766" s="1635"/>
      <c r="HJ766" s="1635"/>
      <c r="HK766" s="1635"/>
      <c r="HL766" s="1635"/>
      <c r="HM766" s="1635"/>
      <c r="HN766" s="1635"/>
      <c r="HO766" s="1635"/>
      <c r="HP766" s="1635"/>
      <c r="HQ766" s="1635"/>
      <c r="HR766" s="1635"/>
      <c r="HS766" s="1635"/>
      <c r="HT766" s="1635"/>
      <c r="HU766" s="1635"/>
      <c r="HV766" s="1635"/>
      <c r="HW766" s="1635"/>
      <c r="HX766" s="1635"/>
      <c r="HY766" s="1635"/>
      <c r="HZ766" s="1635"/>
      <c r="IA766" s="1635"/>
      <c r="IB766" s="1635"/>
      <c r="IC766" s="1635"/>
      <c r="ID766" s="1635"/>
      <c r="IE766" s="1635"/>
      <c r="IF766" s="1635"/>
      <c r="IG766" s="1635"/>
      <c r="IH766" s="1635"/>
      <c r="II766" s="1635"/>
      <c r="IJ766" s="1635"/>
      <c r="IK766" s="1635"/>
      <c r="IL766" s="1635"/>
      <c r="IM766" s="1635"/>
      <c r="IN766" s="1635"/>
      <c r="IO766" s="1635"/>
      <c r="IP766" s="1635"/>
      <c r="IQ766" s="1635"/>
      <c r="IR766" s="1635"/>
      <c r="IS766" s="1635"/>
      <c r="IT766" s="1635"/>
      <c r="IU766" s="1635"/>
      <c r="IV766" s="1635"/>
      <c r="IW766" s="1635"/>
      <c r="IX766" s="1635"/>
      <c r="IY766" s="1635"/>
      <c r="IZ766" s="1635"/>
      <c r="JA766" s="1635"/>
      <c r="JB766" s="1635"/>
      <c r="JC766" s="1635"/>
      <c r="JD766" s="1635"/>
      <c r="JE766" s="1635"/>
      <c r="JF766" s="1635"/>
      <c r="JG766" s="1635"/>
      <c r="JH766" s="1636"/>
      <c r="JI766" s="1636"/>
      <c r="JJ766" s="1636"/>
      <c r="JK766" s="1636"/>
      <c r="JL766" s="1636"/>
      <c r="JM766" s="1635"/>
      <c r="JN766" s="1635"/>
      <c r="JO766" s="1635"/>
      <c r="JP766" s="1635"/>
      <c r="JQ766" s="1635"/>
    </row>
    <row r="767" spans="1:277" ht="12" customHeight="1">
      <c r="A767" s="1813" t="str">
        <f t="shared" ref="A767:A804" si="0">IF(AND(E767&gt;0,OR(B767="",C767="",D767="",F767="",G767="", H767="",M767="",N767="",O767="",P767="")),1,"")</f>
        <v/>
      </c>
      <c r="B767" s="2145" t="str">
        <f>'Part VI-Revenues &amp; Expenses'!B10</f>
        <v>N/A-CS</v>
      </c>
      <c r="C767" s="2146">
        <f>'Part VI-Revenues &amp; Expenses'!C10</f>
        <v>0</v>
      </c>
      <c r="D767" s="2147">
        <f>'Part VI-Revenues &amp; Expenses'!D10</f>
        <v>0</v>
      </c>
      <c r="E767" s="2148">
        <f>'Part VI-Revenues &amp; Expenses'!E10</f>
        <v>0</v>
      </c>
      <c r="F767" s="2148">
        <f>'Part VI-Revenues &amp; Expenses'!F10</f>
        <v>0</v>
      </c>
      <c r="G767" s="2148">
        <f>'Part VI-Revenues &amp; Expenses'!G10</f>
        <v>0</v>
      </c>
      <c r="H767" s="2148">
        <f>'Part VI-Revenues &amp; Expenses'!H10</f>
        <v>0</v>
      </c>
      <c r="I767" s="2148">
        <f>'Part VI-Revenues &amp; Expenses'!I10</f>
        <v>0</v>
      </c>
      <c r="J767" s="2149">
        <f>'Part VI-Revenues &amp; Expenses'!J10</f>
        <v>0</v>
      </c>
      <c r="K767" s="1822">
        <f t="shared" ref="K767:K804" si="1">MAX(0,H767-I767)</f>
        <v>0</v>
      </c>
      <c r="L767" s="1822">
        <f t="shared" ref="L767:L804" si="2">MAX(0,E767*K767)</f>
        <v>0</v>
      </c>
      <c r="M767" s="2133">
        <f>'Part VI-Revenues &amp; Expenses'!M10</f>
        <v>0</v>
      </c>
      <c r="N767" s="2133">
        <f>'Part VI-Revenues &amp; Expenses'!N10</f>
        <v>0</v>
      </c>
      <c r="O767" s="2133">
        <f>'Part VI-Revenues &amp; Expenses'!O10</f>
        <v>0</v>
      </c>
      <c r="P767" s="1633">
        <f>'Part VI-Revenues &amp; Expenses'!P10</f>
        <v>0</v>
      </c>
      <c r="Q767" s="1823" t="str">
        <f>'Part VI-Revenues &amp; Expenses'!Q10</f>
        <v/>
      </c>
      <c r="R767" s="1824" t="str">
        <f>'Part VI-Revenues &amp; Expenses'!R10</f>
        <v/>
      </c>
      <c r="S767" s="1823">
        <f>'Part VI-Revenues &amp; Expenses'!S10</f>
        <v>0</v>
      </c>
      <c r="T767" s="1824">
        <f>'Part VI-Revenues &amp; Expenses'!T10</f>
        <v>0</v>
      </c>
      <c r="U767" s="1838"/>
      <c r="V767" s="1838"/>
      <c r="W767" s="742" t="str">
        <f t="shared" ref="W767:W804" si="3">IF(AND(C767="Efficiency",B767="60% AMI",NOT(M767="Common Space")),E767,"")</f>
        <v/>
      </c>
      <c r="X767" s="742" t="str">
        <f t="shared" ref="X767:X804" si="4">IF(AND(C767=1,B767="60% AMI",NOT(M767="Common Space")),E767,"")</f>
        <v/>
      </c>
      <c r="Y767" s="742" t="str">
        <f t="shared" ref="Y767:Y804" si="5">IF(AND(C767=2,B767="60% AMI",NOT(M767="Common Space")),E767,"")</f>
        <v/>
      </c>
      <c r="Z767" s="742" t="str">
        <f t="shared" ref="Z767:Z804" si="6">IF(AND(C767=3,B767="60% AMI",NOT(M767="Common Space")),E767,"")</f>
        <v/>
      </c>
      <c r="AA767" s="742" t="str">
        <f t="shared" ref="AA767:AA804" si="7">IF(AND(C767=4,B767="60% AMI",NOT(M767="Common Space")),E767,"")</f>
        <v/>
      </c>
      <c r="AB767" s="742" t="str">
        <f t="shared" ref="AB767:AB804" si="8">IF(AND(C767="Efficiency",B767="50% AMI",NOT(M767="Common Space")),E767,"")</f>
        <v/>
      </c>
      <c r="AC767" s="742" t="str">
        <f t="shared" ref="AC767:AC804" si="9">IF(AND(C767=1,B767="50% AMI",NOT(M767="Common Space")),E767,"")</f>
        <v/>
      </c>
      <c r="AD767" s="742" t="str">
        <f t="shared" ref="AD767:AD804" si="10">IF(AND(C767=2,B767="50% AMI",NOT(M767="Common Space")),E767,"")</f>
        <v/>
      </c>
      <c r="AE767" s="742" t="str">
        <f t="shared" ref="AE767:AE804" si="11">IF(AND(C767=3,B767="50% AMI",NOT(M767="Common Space")),E767,"")</f>
        <v/>
      </c>
      <c r="AF767" s="742" t="str">
        <f t="shared" ref="AF767:AF804" si="12">IF(AND(C767=4,B767="50% AMI",NOT(M767="Common Space")),E767,"")</f>
        <v/>
      </c>
      <c r="AG767" s="742" t="str">
        <f t="shared" ref="AG767:AG804" si="13">IF(AND(C767="Efficiency",B767="30% AMI",NOT(M767="Common Space")),E767,"")</f>
        <v/>
      </c>
      <c r="AH767" s="742" t="str">
        <f t="shared" ref="AH767:AH804" si="14">IF(AND(C767=1,B767="30% AMI",NOT(M767="Common Space")),E767,"")</f>
        <v/>
      </c>
      <c r="AI767" s="742" t="str">
        <f t="shared" ref="AI767:AI804" si="15">IF(AND(C767=2,B767="30% AMI",NOT(M767="Common Space")),E767,"")</f>
        <v/>
      </c>
      <c r="AJ767" s="742" t="str">
        <f t="shared" ref="AJ767:AJ804" si="16">IF(AND(C767=3,B767="30% AMI",NOT(M767="Common Space")),E767,"")</f>
        <v/>
      </c>
      <c r="AK767" s="742" t="str">
        <f t="shared" ref="AK767:AK804" si="17">IF(AND(C767=4,B767="30% AMI",NOT(M767="Common Space")),E767,"")</f>
        <v/>
      </c>
      <c r="AL767" s="742" t="str">
        <f t="shared" ref="AL767:AL804" si="18">IF(AND(C767="Efficiency",B767="Unrestricted",NOT(M767="Common Space")),E767,"")</f>
        <v/>
      </c>
      <c r="AM767" s="742" t="str">
        <f t="shared" ref="AM767:AM804" si="19">IF(AND(C767=1,B767="Unrestricted",NOT(M767="Common Space")),E767,"")</f>
        <v/>
      </c>
      <c r="AN767" s="742" t="str">
        <f t="shared" ref="AN767:AN804" si="20">IF(AND(C767=2,B767="Unrestricted",NOT(M767="Common Space")),E767,"")</f>
        <v/>
      </c>
      <c r="AO767" s="742" t="str">
        <f t="shared" ref="AO767:AO804" si="21">IF(AND(C767=3,B767="Unrestricted",NOT(M767="Common Space")),E767,"")</f>
        <v/>
      </c>
      <c r="AP767" s="742" t="str">
        <f t="shared" ref="AP767:AP804" si="22">IF(AND(C767=4,B767="Unrestricted",NOT(M767="Common Space")),E767,"")</f>
        <v/>
      </c>
      <c r="AQ767" s="742" t="str">
        <f t="shared" ref="AQ767:AQ804" si="23">IF(OR(AND($C767="Efficiency",NOT($J767=""),NOT($J767="PHA Oper Sub"),$B767="30% AMI",NOT($M767="Common Space")),AND($C767="Efficiency",NOT($J767=""),NOT($J767="PHA Oper Sub"),$B767="HOME 30% AMI",NOT($M767="Common Space"))),$E767,"")</f>
        <v/>
      </c>
      <c r="AR767" s="742" t="str">
        <f t="shared" ref="AR767:AR804" si="24">IF(OR(AND($C767=1,NOT($J767=""),NOT($J767="PHA Oper Sub"),$B767="30% AMI",NOT($M767="Common Space")),AND($C767=1,NOT($J767=""),NOT($J767="PHA Oper Sub"),$B767="HOME 30% AMI",NOT($M767="Common Space"))),$E767,"")</f>
        <v/>
      </c>
      <c r="AS767" s="742" t="str">
        <f t="shared" ref="AS767:AS804" si="25">IF(OR(AND($C767=2,NOT($J767=""),NOT($J767="PHA Oper Sub"),$B767="30% AMI",NOT($M767="Common Space")),AND($C767=2,NOT($J767=""),NOT($J767="PHA Oper Sub"),$B767="HOME 30% AMI",NOT($M767="Common Space"))),$E767,"")</f>
        <v/>
      </c>
      <c r="AT767" s="742" t="str">
        <f t="shared" ref="AT767:AT804" si="26">IF(OR(AND($C767=3,NOT($J767=""),NOT($J767="PHA Oper Sub"),$B767="30% AMI",NOT($M767="Common Space")),AND($C767=3,NOT($J767=""),NOT($J767="PHA Oper Sub"),$B767="HOME 30% AMI",NOT($M767="Common Space"))),$E767,"")</f>
        <v/>
      </c>
      <c r="AU767" s="742" t="str">
        <f t="shared" ref="AU767:AU804" si="27">IF(OR(AND($C767=4,NOT($J767=""),NOT($J767="PHA Oper Sub"),$B767="30% AMI",NOT($M767="Common Space")),AND($C767=4,NOT($J767=""),NOT($J767="PHA Oper Sub"),$B767="HOME 30% AMI",NOT($M767="Common Space"))),$E767,"")</f>
        <v/>
      </c>
      <c r="AV767" s="742" t="str">
        <f t="shared" ref="AV767:AV804" si="28">IF(OR(AND($C767="Efficiency",NOT($J767=""),NOT($J767="PHA Oper Sub"),NOT($J767=0),$B767="50% AMI",NOT($M767="Common Space")),AND($C767="Efficiency",NOT($J767=""),NOT($J767=0),NOT($J767="PHA Oper Sub"),$B767="HOME 50% AMI",NOT($M767="Common Space"))),$E767,"")</f>
        <v/>
      </c>
      <c r="AW767" s="742" t="str">
        <f t="shared" ref="AW767:AW804" si="29">IF(OR(AND($C767=1,NOT($J767=""),NOT($J767=0),NOT($J767="PHA Oper Sub"),$B767="50% AMI",NOT($M767="Common Space")),AND($C767=1,NOT($J767=""),NOT($J767=0),NOT($J767="PHA Oper Sub"),$B767="HOME 50% AMI",NOT($M767="Common Space"))),$E767,"")</f>
        <v/>
      </c>
      <c r="AX767" s="742" t="str">
        <f t="shared" ref="AX767:AX804" si="30">IF(OR(AND($C767=2,NOT($J767=""),NOT($J767=0),NOT($J767="PHA Oper Sub"),$B767="50% AMI",NOT($M767="Common Space")),AND($C767=2,NOT($J767=""),NOT($J767=0),NOT($J767="PHA Oper Sub"),$B767="HOME 50% AMI",NOT($M767="Common Space"))),$E767,"")</f>
        <v/>
      </c>
      <c r="AY767" s="742" t="str">
        <f t="shared" ref="AY767:AY804" si="31">IF(OR(AND($C767=3,NOT($J767=""),NOT($J767=0),NOT($J767="PHA Oper Sub"),$B767="50% AMI",NOT($M767="Common Space")),AND($C767=3,NOT($J767=""),NOT($J767=0),NOT($J767="PHA Oper Sub"),$B767="HOME 50% AMI",NOT($M767="Common Space"))),$E767,"")</f>
        <v/>
      </c>
      <c r="AZ767" s="742" t="str">
        <f t="shared" ref="AZ767:AZ804" si="32">IF(OR(AND($C767=4,NOT($J767=""),NOT($J767=0),NOT($J767="PHA Oper Sub"),$B767="50% AMI",NOT($M767="Common Space")),AND($C767=4,NOT($J767=""),NOT($J767=0),NOT($J767="PHA Oper Sub"),$B767="HOME 50% AMI",NOT($M767="Common Space"))),$E767,"")</f>
        <v/>
      </c>
      <c r="BA767" s="742" t="str">
        <f t="shared" ref="BA767:BA804" si="33">IF(OR(AND($C767="Efficiency",NOT($J767=""),NOT($J767=0),NOT($J767="PHA Oper Sub"),$B767="60% AMI",NOT($M767="Common Space")),AND($C767="Efficiency",NOT($J767=""),NOT($J767=0),NOT($J767="PHA Oper Sub"),$B767="HOME 60% AMI",NOT($M767="Common Space"))),$E767,"")</f>
        <v/>
      </c>
      <c r="BB767" s="742" t="str">
        <f t="shared" ref="BB767:BB804" si="34">IF(OR(AND($C767=1,NOT($J767=""),NOT($J767=0),NOT($J767="PHA Oper Sub"),$B767="60% AMI",NOT($M767="Common Space")),AND($C767=1,NOT($J767=""),NOT($J767=0),NOT($J767="PHA Oper Sub"),$B767="HOME 60% AMI",NOT($M767="Common Space"))),$E767,"")</f>
        <v/>
      </c>
      <c r="BC767" s="742" t="str">
        <f t="shared" ref="BC767:BC804" si="35">IF(OR(AND($C767=2,NOT($J767=""),NOT($J767=0),NOT($J767="PHA Oper Sub"),$B767="60% AMI",NOT($M767="Common Space")),AND($C767=2,NOT($J767=""),NOT($J767=0),NOT($J767="PHA Oper Sub"),$B767="HOME 60% AMI",NOT($M767="Common Space"))),$E767,"")</f>
        <v/>
      </c>
      <c r="BD767" s="742" t="str">
        <f t="shared" ref="BD767:BD804" si="36">IF(OR(AND($C767=3,NOT($J767=""),NOT($J767=0),NOT($J767="PHA Oper Sub"),$B767="60% AMI",NOT($M767="Common Space")),AND($C767=3,NOT($J767=""),NOT($J767=0),NOT($J767="PHA Oper Sub"),$B767="HOME 60% AMI",NOT($M767="Common Space"))),$E767,"")</f>
        <v/>
      </c>
      <c r="BE767" s="742" t="str">
        <f t="shared" ref="BE767:BE804" si="37">IF(OR(AND($C767=4,NOT($J767=""),NOT($J767=0),NOT($J767="PHA Oper Sub"),$B767="60% AMI",NOT($M767="Common Space")),AND($C767=4,NOT($J767=""),NOT($J767=0),NOT($J767="PHA Oper Sub"),$B767="HOME 60% AMI",NOT($M767="Common Space"))),$E767,"")</f>
        <v/>
      </c>
      <c r="BF767" s="742" t="str">
        <f t="shared" ref="BF767:BF804" si="38">IF(OR(AND($C767="Efficiency",$J767="PHA Oper Sub",$B767="30% AMI",NOT($M767="Common Space")),AND($C767="Efficiency",$J767="PHA Oper Sub",$B767="HOME 30% AMI",NOT($M767="Common Space"))),$E767,"")</f>
        <v/>
      </c>
      <c r="BG767" s="742" t="str">
        <f t="shared" ref="BG767:BG804" si="39">IF(OR(AND($C767=1,$J767="PHA Oper Sub",$B767="30% AMI",NOT($M767="Common Space")),AND($C767=1,$J767="PHA Oper Sub",$B767="HOME 30% AMI",NOT($M767="Common Space"))),$E767,"")</f>
        <v/>
      </c>
      <c r="BH767" s="742" t="str">
        <f t="shared" ref="BH767:BH804" si="40">IF(OR(AND($C767=2,$J767="PHA Oper Sub",$B767="30% AMI",NOT($M767="Common Space")),AND($C767=2,$J767="PHA Oper Sub",$B767="HOME 30% AMI",NOT($M767="Common Space"))),$E767,"")</f>
        <v/>
      </c>
      <c r="BI767" s="742" t="str">
        <f t="shared" ref="BI767:BI804" si="41">IF(OR(AND($C767=3,$J767="PHA Oper Sub",$B767="30% AMI",NOT($M767="Common Space")),AND($C767=3,$J767="PHA Oper Sub",$B767="HOME 30% AMI",NOT($M767="Common Space"))),$E767,"")</f>
        <v/>
      </c>
      <c r="BJ767" s="742" t="str">
        <f t="shared" ref="BJ767:BJ804" si="42">IF(OR(AND($C767=4,$J767="PHA Oper Sub",$B767="30% AMI",NOT($M767="Common Space")),AND($C767=4,$J767="PHA Oper Sub",$B767="HOME 30% AMI",NOT($M767="Common Space"))),$E767,"")</f>
        <v/>
      </c>
      <c r="BK767" s="742" t="str">
        <f t="shared" ref="BK767:BK804" si="43">IF(OR(AND($C767="Efficiency",$J767="PHA Oper Sub",$B767="50% AMI",NOT($M767="Common Space")),AND($C767="Efficiency",$J767="PHA Oper Sub",$B767="HOME 50% AMI",NOT($M767="Common Space"))),$E767,"")</f>
        <v/>
      </c>
      <c r="BL767" s="742" t="str">
        <f t="shared" ref="BL767:BL804" si="44">IF(OR(AND($C767=1,$J767="PHA Oper Sub",$B767="50% AMI",NOT($M767="Common Space")),AND($C767=1,$J767="PHA Oper Sub",$B767="HOME 50% AMI",NOT($M767="Common Space"))),$E767,"")</f>
        <v/>
      </c>
      <c r="BM767" s="742" t="str">
        <f t="shared" ref="BM767:BM804" si="45">IF(OR(AND($C767=2,$J767="PHA Oper Sub",$B767="50% AMI",NOT($M767="Common Space")),AND($C767=2,$J767="PHA Oper Sub",$B767="HOME 50% AMI",NOT($M767="Common Space"))),$E767,"")</f>
        <v/>
      </c>
      <c r="BN767" s="742" t="str">
        <f t="shared" ref="BN767:BN804" si="46">IF(OR(AND($C767=3,$J767="PHA Oper Sub",$B767="50% AMI",NOT($M767="Common Space")),AND($C767=3,$J767="PHA Oper Sub",$B767="HOME 50% AMI",NOT($M767="Common Space"))),$E767,"")</f>
        <v/>
      </c>
      <c r="BO767" s="742" t="str">
        <f t="shared" ref="BO767:BO804" si="47">IF(OR(AND($C767=4,$J767="PHA Oper Sub",$B767="50% AMI",NOT($M767="Common Space")),AND($C767=4,$J767="PHA Oper Sub",$B767="HOME 50% AMI",NOT($M767="Common Space"))),$E767,"")</f>
        <v/>
      </c>
      <c r="BP767" s="742" t="str">
        <f t="shared" ref="BP767:BP804" si="48">IF(OR(AND($C767="Efficiency",$J767="PHA Oper Sub",$B767="60% AMI",NOT($M767="Common Space")),AND($C767="Efficiency",$J767="PHA Oper Sub",$B767="HOME 60% AMI",NOT($M767="Common Space"))),$E767,"")</f>
        <v/>
      </c>
      <c r="BQ767" s="742" t="str">
        <f t="shared" ref="BQ767:BQ804" si="49">IF(OR(AND($C767=1,$J767="PHA Oper Sub",$B767="60% AMI",NOT($M767="Common Space")),AND($C767=1,$J767="PHA Oper Sub",$B767="HOME 60% AMI",NOT($M767="Common Space"))),$E767,"")</f>
        <v/>
      </c>
      <c r="BR767" s="742" t="str">
        <f t="shared" ref="BR767:BR804" si="50">IF(OR(AND($C767=2,$J767="PHA Oper Sub",$B767="60% AMI",NOT($M767="Common Space")),AND($C767=2,$J767="PHA Oper Sub",$B767="HOME 60% AMI",NOT($M767="Common Space"))),$E767,"")</f>
        <v/>
      </c>
      <c r="BS767" s="742" t="str">
        <f t="shared" ref="BS767:BS804" si="51">IF(OR(AND($C767=3,$J767="PHA Oper Sub",$B767="60% AMI",NOT($M767="Common Space")),AND($C767=3,$J767="PHA Oper Sub",$B767="HOME 60% AMI",NOT($M767="Common Space"))),$E767,"")</f>
        <v/>
      </c>
      <c r="BT767" s="742" t="str">
        <f t="shared" ref="BT767:BT804" si="52">IF(OR(AND($C767=4,$J767="PHA Oper Sub",$B767="60% AMI",NOT($M767="Common Space")),AND($C767=4,$J767="PHA Oper Sub",$B767="HOME 60% AMI",NOT($M767="Common Space"))),$E767,"")</f>
        <v/>
      </c>
      <c r="BU767" s="742" t="str">
        <f t="shared" ref="BU767:BU804" si="53">IF(AND(C767="Efficiency",M767="Common Space"),E767,"")</f>
        <v/>
      </c>
      <c r="BV767" s="742" t="str">
        <f t="shared" ref="BV767:BV804" si="54">IF(AND(C767=1,M767="Common Space"),E767,"")</f>
        <v/>
      </c>
      <c r="BW767" s="742" t="str">
        <f t="shared" ref="BW767:BW804" si="55">IF(AND(C767=2,M767="Common Space"),E767,"")</f>
        <v/>
      </c>
      <c r="BX767" s="742" t="str">
        <f t="shared" ref="BX767:BX804" si="56">IF(AND(C767=3,M767="Common Space"),E767,"")</f>
        <v/>
      </c>
      <c r="BY767" s="742" t="str">
        <f t="shared" ref="BY767:BY804" si="57">IF(AND(C767=4,M767="Common Space"),E767,"")</f>
        <v/>
      </c>
      <c r="BZ767" s="742" t="str">
        <f t="shared" ref="BZ767:BZ804" si="58">IF(OR(AND(C767="Efficiency",B767="60% AMI",NOT(M767="Common Space")),AND(C767="Efficiency",B767="HOME 60% AMI",NOT(M767="Common Space"))),E767*F767,"")</f>
        <v/>
      </c>
      <c r="CA767" s="742" t="str">
        <f t="shared" ref="CA767:CA804" si="59">IF(OR(AND(C767=1,B767="60% AMI",NOT(M767="Common Space")),AND(C767=1,B767="HOME 60% AMI",NOT(M767="Common Space"))),E767*F767,"")</f>
        <v/>
      </c>
      <c r="CB767" s="742" t="str">
        <f t="shared" ref="CB767:CB804" si="60">IF(OR(AND(C767=2,B767="60% AMI",NOT(M767="Common Space")),AND(C767=2,B767="HOME 60% AMI",NOT(M767="Common Space"))),E767*F767,"")</f>
        <v/>
      </c>
      <c r="CC767" s="742" t="str">
        <f t="shared" ref="CC767:CC804" si="61">IF(OR(AND(C767=3,B767="60% AMI",NOT(M767="Common Space")),AND(C767=3,B767="HOME 60% AMI",NOT(M767="Common Space"))),E767*F767,"")</f>
        <v/>
      </c>
      <c r="CD767" s="742" t="str">
        <f t="shared" ref="CD767:CD804" si="62">IF(OR(AND(C767=4,B767="60% AMI",NOT(M767="Common Space")),AND(C767=4,B767="HOME 60% AMI",NOT(M767="Common Space"))),E767*F767,"")</f>
        <v/>
      </c>
      <c r="CE767" s="742" t="str">
        <f t="shared" ref="CE767:CE804" si="63">IF(OR(AND(C767="Efficiency",B767="50% AMI",NOT(M767="Common Space")),AND(C767="Efficiency",B767="HOME 50% AMI",NOT(M767="Common Space"))),E767*F767,"")</f>
        <v/>
      </c>
      <c r="CF767" s="742" t="str">
        <f t="shared" ref="CF767:CF804" si="64">IF(OR(AND(C767=1,B767="50% AMI",NOT(M767="Common Space")),AND(C767=1,B767="HOME 50% AMI",NOT(M767="Common Space"))),E767*F767,"")</f>
        <v/>
      </c>
      <c r="CG767" s="742" t="str">
        <f t="shared" ref="CG767:CG804" si="65">IF(OR(AND(C767=2,B767="50% AMI",NOT(M767="Common Space")),AND(C767=2,B767="HOME 50% AMI",NOT(M767="Common Space"))),E767*F767,"")</f>
        <v/>
      </c>
      <c r="CH767" s="742" t="str">
        <f t="shared" ref="CH767:CH804" si="66">IF(OR(AND(C767=3,B767="50% AMI",NOT(M767="Common Space")),AND(C767=3,B767="HOME 50% AMI",NOT(M767="Common Space"))),E767*F767,"")</f>
        <v/>
      </c>
      <c r="CI767" s="742" t="str">
        <f t="shared" ref="CI767:CI804" si="67">IF(OR(AND(C767=4,B767="50% AMI",NOT(M767="Common Space")),AND(C767=4,B767="HOME 50% AMI",NOT(M767="Common Space"))),E767*F767,"")</f>
        <v/>
      </c>
      <c r="CJ767" s="742" t="str">
        <f t="shared" ref="CJ767:CJ804" si="68">IF(OR(AND(C767="Efficiency",B767="30% AMI",NOT(M767="Common Space")),AND(C767="Efficiency",B767="HOME 30% AMI",NOT(M767="Common Space"))),E767*F767,"")</f>
        <v/>
      </c>
      <c r="CK767" s="742" t="str">
        <f t="shared" ref="CK767:CK804" si="69">IF(OR(AND(C767=1,B767="30% AMI",NOT(M767="Common Space")),AND(C767=1,B767="HOME 30% AMI",NOT(M767="Common Space"))),E767*F767,"")</f>
        <v/>
      </c>
      <c r="CL767" s="742" t="str">
        <f t="shared" ref="CL767:CL804" si="70">IF(OR(AND(C767=2,B767="30% AMI",NOT(M767="Common Space")),AND(C767=2,B767="HOME 30% AMI",NOT(M767="Common Space"))),E767*F767,"")</f>
        <v/>
      </c>
      <c r="CM767" s="742" t="str">
        <f t="shared" ref="CM767:CM804" si="71">IF(OR(AND(C767=3,B767="30% AMI",NOT(M767="Common Space")),AND(C767=3,B767="HOME 30% AMI",NOT(M767="Common Space"))),E767*F767,"")</f>
        <v/>
      </c>
      <c r="CN767" s="742" t="str">
        <f t="shared" ref="CN767:CN804" si="72">IF(OR(AND(C767=4,B767="30% AMI",NOT(M767="Common Space")),AND(C767=4,B767="HOME 30% AMI",NOT(M767="Common Space"))),E767*F767,"")</f>
        <v/>
      </c>
      <c r="CO767" s="742" t="str">
        <f t="shared" ref="CO767:CO804" si="73">IF(AND(C767="Efficiency",B767="Unrestricted",NOT(M767="Common Space")),E767*F767,"")</f>
        <v/>
      </c>
      <c r="CP767" s="742" t="str">
        <f t="shared" ref="CP767:CP804" si="74">IF(AND(C767=1,B767="Unrestricted",NOT(M767="Common Space")),E767*F767,"")</f>
        <v/>
      </c>
      <c r="CQ767" s="742" t="str">
        <f t="shared" ref="CQ767:CQ804" si="75">IF(AND(C767=2,B767="Unrestricted",NOT(M767="Common Space")),E767*F767,"")</f>
        <v/>
      </c>
      <c r="CR767" s="742" t="str">
        <f t="shared" ref="CR767:CR804" si="76">IF(AND(C767=3,B767="Unrestricted",NOT(M767="Common Space")),E767*F767,"")</f>
        <v/>
      </c>
      <c r="CS767" s="742" t="str">
        <f t="shared" ref="CS767:CS804" si="77">IF(AND(C767=4,B767="Unrestricted",NOT(M767="Common Space")),E767*F767,"")</f>
        <v/>
      </c>
      <c r="CT767" s="742" t="str">
        <f t="shared" ref="CT767:CT804" si="78">IF(AND(C767="Efficiency",NOT(J767=""),NOT($J767=0),NOT(M767="Common Space")),E767*F767,"")</f>
        <v/>
      </c>
      <c r="CU767" s="742" t="str">
        <f t="shared" ref="CU767:CU804" si="79">IF(AND(C767=1,NOT(J767=""),NOT($J767=0),NOT(M767="Common Space")),E767*F767,"")</f>
        <v/>
      </c>
      <c r="CV767" s="742" t="str">
        <f t="shared" ref="CV767:CV804" si="80">IF(AND(C767=2,NOT(J767=""),NOT($J767=0),NOT(M767="Common Space")),E767*F767,"")</f>
        <v/>
      </c>
      <c r="CW767" s="742" t="str">
        <f t="shared" ref="CW767:CW804" si="81">IF(AND(C767=3,NOT(J767=""),NOT($J767=0),NOT(M767="Common Space")),E767*F767,"")</f>
        <v/>
      </c>
      <c r="CX767" s="742" t="str">
        <f t="shared" ref="CX767:CX804" si="82">IF(AND(C767=4,NOT(J767=""),NOT($J767=0),NOT(M767="Common Space")),E767*F767,"")</f>
        <v/>
      </c>
      <c r="CY767" s="742" t="str">
        <f t="shared" ref="CY767:CY804" si="83">IF(AND(C767="Efficiency",M767="Common Space"),E767*F767,"")</f>
        <v/>
      </c>
      <c r="CZ767" s="742" t="str">
        <f t="shared" ref="CZ767:CZ804" si="84">IF(AND(C767=1,M767="Common Space"),E767*F767,"")</f>
        <v/>
      </c>
      <c r="DA767" s="742" t="str">
        <f t="shared" ref="DA767:DA804" si="85">IF(AND(C767=2,M767="Common Space"),E767*F767,"")</f>
        <v/>
      </c>
      <c r="DB767" s="742" t="str">
        <f t="shared" ref="DB767:DB804" si="86">IF(AND(C767=3,M767="Common Space"),E767*F767,"")</f>
        <v/>
      </c>
      <c r="DC767" s="742" t="str">
        <f t="shared" ref="DC767:DC804" si="87">IF(AND(C767=4,M767="Common Space"),E767*F767,"")</f>
        <v/>
      </c>
      <c r="DD767" s="742" t="str">
        <f t="shared" ref="DD767:DD804" si="88">IF(AND($C767="Efficiency", $O767="New Construction",NOT($B767="Unrestricted"),NOT($B767="NSP 120% AMI"),NOT($B767="N/A-CS"),NOT($M767="Common Space")),$E767,"")</f>
        <v/>
      </c>
      <c r="DE767" s="742" t="str">
        <f t="shared" ref="DE767:DE804" si="89">IF(AND($C767=1, $O767="New Construction",NOT($B767="Unrestricted"),NOT($B767="NSP 120% AMI"),NOT($B767="N/A-CS"),NOT($M767="Common Space")),$E767,"")</f>
        <v/>
      </c>
      <c r="DF767" s="742" t="str">
        <f t="shared" ref="DF767:DF804" si="90">IF(AND($C767=2, $O767="New Construction",NOT($B767="Unrestricted"),NOT($B767="NSP 120% AMI"),NOT($B767="N/A-CS"),NOT($M767="Common Space")),$E767,"")</f>
        <v/>
      </c>
      <c r="DG767" s="742" t="str">
        <f t="shared" ref="DG767:DG804" si="91">IF(AND($C767=3, $O767="New Construction",NOT($B767="Unrestricted"),NOT($B767="NSP 120% AMI"),NOT($B767="N/A-CS"),NOT($M767="Common Space")),$E767,"")</f>
        <v/>
      </c>
      <c r="DH767" s="742" t="str">
        <f t="shared" ref="DH767:DH804" si="92">IF(AND($C767=4, $O767="New Construction",NOT($B767="Unrestricted"),NOT($B767="NSP 120% AMI"),NOT($B767="N/A-CS"),NOT($M767="Common Space")),$E767,"")</f>
        <v/>
      </c>
      <c r="DI767" s="742" t="str">
        <f t="shared" ref="DI767:DI804" si="93">IF(AND($C767="Efficiency", $O767="New Construction",$B767="Unrestricted",NOT($B767="N/A-CS"),NOT($M767="Common Space")),$E767,"")</f>
        <v/>
      </c>
      <c r="DJ767" s="742" t="str">
        <f t="shared" ref="DJ767:DJ804" si="94">IF(AND($C767=1, $O767="New Construction",$B767="Unrestricted",NOT($B767="N/A-CS"),NOT($M767="Common Space")),$E767,"")</f>
        <v/>
      </c>
      <c r="DK767" s="742" t="str">
        <f t="shared" ref="DK767:DK804" si="95">IF(AND($C767=2, $O767="New Construction",$B767="Unrestricted",NOT($B767="N/A-CS"),NOT($M767="Common Space")),$E767,"")</f>
        <v/>
      </c>
      <c r="DL767" s="742" t="str">
        <f t="shared" ref="DL767:DL804" si="96">IF(AND($C767=3, $O767="New Construction",$B767="Unrestricted",NOT($B767="N/A-CS"),NOT($M767="Common Space")),$E767,"")</f>
        <v/>
      </c>
      <c r="DM767" s="742" t="str">
        <f t="shared" ref="DM767:DM804" si="97">IF(AND($C767=4, $O767="New Construction",$B767="Unrestricted",NOT($B767="N/A-CS"),NOT($M767="Common Space")),$E767,"")</f>
        <v/>
      </c>
      <c r="DN767" s="742" t="str">
        <f t="shared" ref="DN767:DN804" si="98">IF(AND($C767="Efficiency", $O767="New Construction",$B767="N/A-CS",$M767="Common Space"),$E767,"")</f>
        <v/>
      </c>
      <c r="DO767" s="742" t="str">
        <f t="shared" ref="DO767:DO804" si="99">IF(AND($C767=1, $O767="New Construction",$B767="N/A-CS",$M767="Common Space"),$E767,"")</f>
        <v/>
      </c>
      <c r="DP767" s="742" t="str">
        <f t="shared" ref="DP767:DP804" si="100">IF(AND($C767=2, $O767="New Construction",$B767="N/A-CS",$M767="Common Space"),$E767,"")</f>
        <v/>
      </c>
      <c r="DQ767" s="742" t="str">
        <f t="shared" ref="DQ767:DQ804" si="101">IF(AND($C767=3, $O767="New Construction",$B767="N/A-CS",$M767="Common Space"),$E767,"")</f>
        <v/>
      </c>
      <c r="DR767" s="742" t="str">
        <f t="shared" ref="DR767:DR804" si="102">IF(AND($C767=4, $O767="New Construction",$B767="N/A-CS",$M767="Common Space"),$E767,"")</f>
        <v/>
      </c>
      <c r="DS767" s="742" t="str">
        <f t="shared" ref="DS767:DS804" si="103">IF(AND($C767="Efficiency", $O767="Acquisition/Rehab",NOT($B767="Unrestricted"),NOT($B767="NSP 120% AMI"),NOT($B767="N/A-CS"),NOT($M767="Common Space")),$E767,"")</f>
        <v/>
      </c>
      <c r="DT767" s="742" t="str">
        <f t="shared" ref="DT767:DT804" si="104">IF(AND($C767=1, $O767="Acquisition/Rehab",NOT($B767="Unrestricted"),NOT($B767="NSP 120% AMI"),NOT($B767="N/A-CS"),NOT($M767="Common Space")),$E767,"")</f>
        <v/>
      </c>
      <c r="DU767" s="742" t="str">
        <f t="shared" ref="DU767:DU804" si="105">IF(AND($C767=2, $O767="Acquisition/Rehab",NOT($B767="Unrestricted"),NOT($B767="NSP 120% AMI"),NOT($B767="N/A-CS"),NOT($M767="Common Space")),$E767,"")</f>
        <v/>
      </c>
      <c r="DV767" s="742" t="str">
        <f t="shared" ref="DV767:DV804" si="106">IF(AND($C767=3, $O767="Acquisition/Rehab",NOT($B767="Unrestricted"),NOT($B767="NSP 120% AMI"),NOT($B767="N/A-CS"),NOT($M767="Common Space")),$E767,"")</f>
        <v/>
      </c>
      <c r="DW767" s="742" t="str">
        <f t="shared" ref="DW767:DW804" si="107">IF(AND($C767=4, $O767="Acquisition/Rehab",NOT($B767="Unrestricted"),NOT($B767="NSP 120% AMI"),NOT($B767="N/A-CS"),NOT($M767="Common Space")),$E767,"")</f>
        <v/>
      </c>
      <c r="DX767" s="742" t="str">
        <f t="shared" ref="DX767:DX804" si="108">IF(AND($C767="Efficiency", $O767="Acquisition/Rehab",$B767="Unrestricted",NOT($B767="N/A-CS"),NOT($M767="Common Space")),$E767,"")</f>
        <v/>
      </c>
      <c r="DY767" s="742" t="str">
        <f t="shared" ref="DY767:DY804" si="109">IF(AND($C767=1, $O767="Acquisition/Rehab",$B767="Unrestricted",NOT($B767="N/A-CS"),NOT($M767="Common Space")),$E767,"")</f>
        <v/>
      </c>
      <c r="DZ767" s="742" t="str">
        <f t="shared" ref="DZ767:DZ804" si="110">IF(AND($C767=2, $O767="Acquisition/Rehab",$B767="Unrestricted",NOT($B767="N/A-CS"),NOT($M767="Common Space")),$E767,"")</f>
        <v/>
      </c>
      <c r="EA767" s="742" t="str">
        <f t="shared" ref="EA767:EA804" si="111">IF(AND($C767=3, $O767="Acquisition/Rehab",$B767="Unrestricted",NOT($B767="N/A-CS"),NOT($M767="Common Space")),$E767,"")</f>
        <v/>
      </c>
      <c r="EB767" s="742" t="str">
        <f t="shared" ref="EB767:EB804" si="112">IF(AND($C767=4, $O767="Acquisition/Rehab",$B767="Unrestricted",NOT($B767="N/A-CS"),NOT($M767="Common Space")),$E767,"")</f>
        <v/>
      </c>
      <c r="EC767" s="742" t="str">
        <f t="shared" ref="EC767:EC804" si="113">IF(AND($C767="Efficiency", $O767="Acquisition/Rehab",$B767="N/A-CS",$M767="Common Space"),$E767,"")</f>
        <v/>
      </c>
      <c r="ED767" s="742" t="str">
        <f t="shared" ref="ED767:ED804" si="114">IF(AND($C767=1, $O767="Acquisition/Rehab",$B767="N/A-CS",$M767="Common Space"),$E767,"")</f>
        <v/>
      </c>
      <c r="EE767" s="742" t="str">
        <f t="shared" ref="EE767:EE804" si="115">IF(AND($C767=2, $O767="Acquisition/Rehab",$B767="N/A-CS",$M767="Common Space"),$E767,"")</f>
        <v/>
      </c>
      <c r="EF767" s="742" t="str">
        <f t="shared" ref="EF767:EF804" si="116">IF(AND($C767=3, $O767="Acquisition/Rehab",$B767="N/A-CS",$M767="Common Space"),$E767,"")</f>
        <v/>
      </c>
      <c r="EG767" s="742" t="str">
        <f t="shared" ref="EG767:EG804" si="117">IF(AND($C767=4, $O767="Acquisition/Rehab",$B767="N/A-CS",$M767="Common Space"),$E767,"")</f>
        <v/>
      </c>
      <c r="EH767" s="742" t="str">
        <f t="shared" ref="EH767:EH804" si="118">IF(AND($C767="Efficiency", $O767="Rehabilitation",NOT($B767="Unrestricted"),NOT($B767="NSP 120% AMI"),NOT($B767="N/A-CS"),NOT($M767="Common Space")),$E767,"")</f>
        <v/>
      </c>
      <c r="EI767" s="742" t="str">
        <f t="shared" ref="EI767:EI804" si="119">IF(AND($C767=1, $O767="Rehabilitation",NOT($B767="Unrestricted"),NOT($B767="NSP 120% AMI"),NOT($B767="N/A-CS"),NOT($M767="Common Space")),$E767,"")</f>
        <v/>
      </c>
      <c r="EJ767" s="742" t="str">
        <f t="shared" ref="EJ767:EJ804" si="120">IF(AND($C767=2, $O767="Rehabilitation",NOT($B767="Unrestricted"),NOT($B767="NSP 120% AMI"),NOT($B767="N/A-CS"),NOT($M767="Common Space")),$E767,"")</f>
        <v/>
      </c>
      <c r="EK767" s="742" t="str">
        <f t="shared" ref="EK767:EK804" si="121">IF(AND($C767=3, $O767="Rehabilitation",NOT($B767="Unrestricted"),NOT($B767="NSP 120% AMI"),NOT($B767="N/A-CS"),NOT($M767="Common Space")),$E767,"")</f>
        <v/>
      </c>
      <c r="EL767" s="742" t="str">
        <f t="shared" ref="EL767:EL804" si="122">IF(AND($C767=4, $O767="Rehabilitation",NOT($B767="Unrestricted"),NOT($B767="NSP 120% AMI"),NOT($B767="N/A-CS"),NOT($M767="Common Space")),$E767,"")</f>
        <v/>
      </c>
      <c r="EM767" s="742" t="str">
        <f t="shared" ref="EM767:EM804" si="123">IF(AND($C767="Efficiency", $O767="Rehabilitation",$B767="Unrestricted",NOT($B767="N/A-CS"),NOT($M767="Common Space")),$E767,"")</f>
        <v/>
      </c>
      <c r="EN767" s="742" t="str">
        <f t="shared" ref="EN767:EN804" si="124">IF(AND($C767=1, $O767="Rehabilitation",$B767="Unrestricted",NOT($B767="N/A-CS"),NOT($M767="Common Space")),$E767,"")</f>
        <v/>
      </c>
      <c r="EO767" s="742" t="str">
        <f t="shared" ref="EO767:EO804" si="125">IF(AND($C767=2, $O767="Rehabilitation",$B767="Unrestricted",NOT($B767="N/A-CS"),NOT($M767="Common Space")),$E767,"")</f>
        <v/>
      </c>
      <c r="EP767" s="742" t="str">
        <f t="shared" ref="EP767:EP804" si="126">IF(AND($C767=3, $O767="Rehabilitation",$B767="Unrestricted",NOT($B767="N/A-CS"),NOT($M767="Common Space")),$E767,"")</f>
        <v/>
      </c>
      <c r="EQ767" s="742" t="str">
        <f t="shared" ref="EQ767:EQ804" si="127">IF(AND($C767=4, $O767="Rehabilitation",$B767="Unrestricted",NOT($B767="N/A-CS"),NOT($M767="Common Space")),$E767,"")</f>
        <v/>
      </c>
      <c r="ER767" s="742" t="str">
        <f t="shared" ref="ER767:ER804" si="128">IF(AND($C767="Efficiency", $O767="Rehabilitation",$B767="N/A-CS",$M767="Common Space"),$E767,"")</f>
        <v/>
      </c>
      <c r="ES767" s="742" t="str">
        <f t="shared" ref="ES767:ES804" si="129">IF(AND($C767=1, $O767="Rehabilitation",$B767="N/A-CS",$M767="Common Space"),$E767,"")</f>
        <v/>
      </c>
      <c r="ET767" s="742" t="str">
        <f t="shared" ref="ET767:ET804" si="130">IF(AND($C767=2, $O767="Rehabilitation",$B767="N/A-CS",$M767="Common Space"),$E767,"")</f>
        <v/>
      </c>
      <c r="EU767" s="742" t="str">
        <f t="shared" ref="EU767:EU804" si="131">IF(AND($C767=3, $O767="Rehabilitation",$B767="N/A-CS",$M767="Common Space"),$E767,"")</f>
        <v/>
      </c>
      <c r="EV767" s="742" t="str">
        <f t="shared" ref="EV767:EV804" si="132">IF(AND($C767=4, $O767="Rehabilitation",$B767="N/A-CS",$M767="Common Space"),$E767,"")</f>
        <v/>
      </c>
      <c r="EW767" s="1638" t="str">
        <f t="shared" ref="EW767:EW804" si="133">IF(AND($C767="Efficiency", NOT(OR($N767="SF Detached",$N767="Mfd Home",$N767="Duplex",$N767="Townhome"))),$E767,"")</f>
        <v/>
      </c>
      <c r="EX767" s="1638" t="str">
        <f t="shared" ref="EX767:EX804" si="134">IF(AND($C767=1, NOT(OR($N767="SF Detached",$N767="Mfd Home",$N767="Duplex",$N767="Townhome"))),$E767,"")</f>
        <v/>
      </c>
      <c r="EY767" s="1638" t="str">
        <f t="shared" ref="EY767:EY804" si="135">IF(AND($C767=2, NOT(OR($N767="SF Detached",$N767="Mfd Home",$N767="Duplex",$N767="Townhome"))),$E767,"")</f>
        <v/>
      </c>
      <c r="EZ767" s="1638" t="str">
        <f t="shared" ref="EZ767:EZ804" si="136">IF(AND($C767=3, NOT(OR($N767="SF Detached",$N767="Mfd Home",$N767="Duplex",$N767="Townhome"))),$E767,"")</f>
        <v/>
      </c>
      <c r="FA767" s="1638" t="str">
        <f t="shared" ref="FA767:FA804" si="137">IF(AND($C767=4, NOT(OR($N767="SF Detached",$N767="Mfd Home",$N767="Duplex",$N767="Townhome"))),$E767,"")</f>
        <v/>
      </c>
      <c r="FB767" s="1638" t="str">
        <f t="shared" ref="FB767:FB804" si="138">IF(AND($C767="Efficiency", $N767="SF Detached",NOT($P767="Yes")),$E767,"")</f>
        <v/>
      </c>
      <c r="FC767" s="1638" t="str">
        <f t="shared" ref="FC767:FC804" si="139">IF(AND($C767=1, $N767="SF Detached",NOT($P767="Yes")),$E767,"")</f>
        <v/>
      </c>
      <c r="FD767" s="1638" t="str">
        <f t="shared" ref="FD767:FD804" si="140">IF(AND($C767=2, $N767="SF Detached",NOT($P767="Yes")),$E767,"")</f>
        <v/>
      </c>
      <c r="FE767" s="1638" t="str">
        <f t="shared" ref="FE767:FE804" si="141">IF(AND($C767=3, $N767="SF Detached",NOT($P767="Yes")),$E767,"")</f>
        <v/>
      </c>
      <c r="FF767" s="1638" t="str">
        <f t="shared" ref="FF767:FF804" si="142">IF(AND($C767=4, $N767="SF Detached",NOT($P767="Yes")),$E767,"")</f>
        <v/>
      </c>
      <c r="FG767" s="1638" t="str">
        <f t="shared" ref="FG767:FG804" si="143">IF(AND($C767="Efficiency", $N767="SF Detached",$P767="Yes"),$E767,"")</f>
        <v/>
      </c>
      <c r="FH767" s="1638" t="str">
        <f t="shared" ref="FH767:FH804" si="144">IF(AND($C767=1, $N767="SF Detached",$P767="Yes"),$E767,"")</f>
        <v/>
      </c>
      <c r="FI767" s="1638" t="str">
        <f t="shared" ref="FI767:FI804" si="145">IF(AND($C767=2, $N767="SF Detached",$P767="Yes"),$E767,"")</f>
        <v/>
      </c>
      <c r="FJ767" s="1638" t="str">
        <f t="shared" ref="FJ767:FJ804" si="146">IF(AND($C767=3, $N767="SF Detached",$P767="Yes"),$E767,"")</f>
        <v/>
      </c>
      <c r="FK767" s="1638" t="str">
        <f t="shared" ref="FK767:FK804" si="147">IF(AND($C767=4, $N767="SF Detached",$P767="Yes"),$E767,"")</f>
        <v/>
      </c>
      <c r="FL767" s="1638" t="str">
        <f t="shared" ref="FL767:FL804" si="148">IF(AND($C767="Efficiency", $N767="Mfd Home",NOT($P767="Yes")),$E767,"")</f>
        <v/>
      </c>
      <c r="FM767" s="1638" t="str">
        <f t="shared" ref="FM767:FM804" si="149">IF(AND($C767=1, $N767="Mfd Home",NOT($P767="Yes")),$E767,"")</f>
        <v/>
      </c>
      <c r="FN767" s="1638" t="str">
        <f t="shared" ref="FN767:FN804" si="150">IF(AND($C767=2, $N767="Mfd Home",NOT($P767="Yes")),$E767,"")</f>
        <v/>
      </c>
      <c r="FO767" s="1638" t="str">
        <f t="shared" ref="FO767:FO804" si="151">IF(AND($C767=3, $N767="Mfd Home",NOT($P767="Yes")),$E767,"")</f>
        <v/>
      </c>
      <c r="FP767" s="1638" t="str">
        <f t="shared" ref="FP767:FP804" si="152">IF(AND($C767=4, $N767="Mfd Home",NOT($P767="Yes")),$E767,"")</f>
        <v/>
      </c>
      <c r="FQ767" s="1638" t="str">
        <f t="shared" ref="FQ767:FQ804" si="153">IF(AND($C767="Efficiency", $N767="Mfd Home",$P767="Yes"),$E767,"")</f>
        <v/>
      </c>
      <c r="FR767" s="1638" t="str">
        <f t="shared" ref="FR767:FR804" si="154">IF(AND($C767=1, $N767="Mfd Home",$P767="Yes"),$E767,"")</f>
        <v/>
      </c>
      <c r="FS767" s="1638" t="str">
        <f t="shared" ref="FS767:FS804" si="155">IF(AND($C767=2, $N767="Mfd Home",$P767="Yes"),$E767,"")</f>
        <v/>
      </c>
      <c r="FT767" s="1638" t="str">
        <f t="shared" ref="FT767:FT804" si="156">IF(AND($C767=3, $N767="Mfd Home",$P767="Yes"),$E767,"")</f>
        <v/>
      </c>
      <c r="FU767" s="1638" t="str">
        <f t="shared" ref="FU767:FU804" si="157">IF(AND($C767=4, $N767="Mfd Home",$P767="Yes"),$E767,"")</f>
        <v/>
      </c>
      <c r="FV767" s="1638" t="str">
        <f t="shared" ref="FV767:FV804" si="158">IF(AND($C767="Efficiency", $N767="Duplex",NOT($P767="Yes")),$E767,"")</f>
        <v/>
      </c>
      <c r="FW767" s="1638" t="str">
        <f t="shared" ref="FW767:FW804" si="159">IF(AND($C767=1, $N767="Duplex",NOT($P767="Yes")),$E767,"")</f>
        <v/>
      </c>
      <c r="FX767" s="1638" t="str">
        <f t="shared" ref="FX767:FX804" si="160">IF(AND($C767=2, $N767="Duplex",NOT($P767="Yes")),$E767,"")</f>
        <v/>
      </c>
      <c r="FY767" s="1638" t="str">
        <f t="shared" ref="FY767:FY804" si="161">IF(AND($C767=3, $N767="Duplex",NOT($P767="Yes")),$E767,"")</f>
        <v/>
      </c>
      <c r="FZ767" s="1638" t="str">
        <f t="shared" ref="FZ767:FZ804" si="162">IF(AND($C767=4, $N767="Duplex",NOT($P767="Yes")),$E767,"")</f>
        <v/>
      </c>
      <c r="GA767" s="1638" t="str">
        <f t="shared" ref="GA767:GA804" si="163">IF(AND($C767="Efficiency", $N767="Duplex",$P767="Yes"),$E767,"")</f>
        <v/>
      </c>
      <c r="GB767" s="1638" t="str">
        <f t="shared" ref="GB767:GB804" si="164">IF(AND($C767=1, $N767="Duplex",$P767="Yes"),$E767,"")</f>
        <v/>
      </c>
      <c r="GC767" s="1638" t="str">
        <f t="shared" ref="GC767:GC804" si="165">IF(AND($C767=2, $N767="Duplex",$P767="Yes"),$E767,"")</f>
        <v/>
      </c>
      <c r="GD767" s="1638" t="str">
        <f t="shared" ref="GD767:GD804" si="166">IF(AND($C767=3, $N767="Duplex",$P767="Yes"),$E767,"")</f>
        <v/>
      </c>
      <c r="GE767" s="1638" t="str">
        <f t="shared" ref="GE767:GE804" si="167">IF(AND($C767=4, $N767="Duplex",$P767="Yes"),$E767,"")</f>
        <v/>
      </c>
      <c r="GF767" s="1638" t="str">
        <f t="shared" ref="GF767:GF804" si="168">IF(AND($C767="Efficiency", $N767="Townhome",NOT($P767="Yes")),$E767,"")</f>
        <v/>
      </c>
      <c r="GG767" s="1638" t="str">
        <f t="shared" ref="GG767:GG804" si="169">IF(AND($C767=1, $N767="Townhome",NOT($P767="Yes")),$E767,"")</f>
        <v/>
      </c>
      <c r="GH767" s="1638" t="str">
        <f t="shared" ref="GH767:GH804" si="170">IF(AND($C767=2, $N767="Townhome",NOT($P767="Yes")),$E767,"")</f>
        <v/>
      </c>
      <c r="GI767" s="1638" t="str">
        <f t="shared" ref="GI767:GI804" si="171">IF(AND($C767=3, $N767="Townhome",NOT($P767="Yes")),$E767,"")</f>
        <v/>
      </c>
      <c r="GJ767" s="1638" t="str">
        <f t="shared" ref="GJ767:GJ804" si="172">IF(AND($C767=4, $N767="Townhome",NOT($P767="Yes")),$E767,"")</f>
        <v/>
      </c>
      <c r="GK767" s="1638" t="str">
        <f t="shared" ref="GK767:GK804" si="173">IF(AND($C767="Efficiency", $N767="Townhome",$P767="Yes"),$E767,"")</f>
        <v/>
      </c>
      <c r="GL767" s="1638" t="str">
        <f t="shared" ref="GL767:GL804" si="174">IF(AND($C767=1, $N767="Townhome",$P767="Yes"),$E767,"")</f>
        <v/>
      </c>
      <c r="GM767" s="1638" t="str">
        <f t="shared" ref="GM767:GM804" si="175">IF(AND($C767=2, $N767="Townhome",$P767="Yes"),$E767,"")</f>
        <v/>
      </c>
      <c r="GN767" s="1638" t="str">
        <f t="shared" ref="GN767:GN804" si="176">IF(AND($C767=3, $N767="Townhome",$P767="Yes"),$E767,"")</f>
        <v/>
      </c>
      <c r="GO767" s="1638" t="str">
        <f t="shared" ref="GO767:GO804" si="177">IF(AND($C767=4, $N767="Townhome",$P767="Yes"),$E767,"")</f>
        <v/>
      </c>
      <c r="GP767" s="1638" t="str">
        <f t="shared" ref="GP767:GP804" si="178">IF(AND($C767="Efficiency", $N767="1-Story",NOT($P767="Yes")),$E767,"")</f>
        <v/>
      </c>
      <c r="GQ767" s="1638" t="str">
        <f t="shared" ref="GQ767:GQ804" si="179">IF(AND($C767=1, $N767="1-Story",NOT($P767="Yes")),$E767,"")</f>
        <v/>
      </c>
      <c r="GR767" s="1638" t="str">
        <f t="shared" ref="GR767:GR804" si="180">IF(AND($C767=2, $N767="1-Story",NOT($P767="Yes")),$E767,"")</f>
        <v/>
      </c>
      <c r="GS767" s="1638" t="str">
        <f t="shared" ref="GS767:GS804" si="181">IF(AND($C767=3, $N767="1-Story",NOT($P767="Yes")),$E767,"")</f>
        <v/>
      </c>
      <c r="GT767" s="1638" t="str">
        <f t="shared" ref="GT767:GT804" si="182">IF(AND($C767=4, $N767="1-Story",NOT($P767="Yes")),$E767,"")</f>
        <v/>
      </c>
      <c r="GU767" s="1638" t="str">
        <f t="shared" ref="GU767:GU804" si="183">IF(AND($C767="Efficiency", $N767="1-Story",$P767="Yes"),$E767,"")</f>
        <v/>
      </c>
      <c r="GV767" s="1638" t="str">
        <f t="shared" ref="GV767:GV804" si="184">IF(AND($C767=1, $N767="1-Story",$P767="Yes"),$E767,"")</f>
        <v/>
      </c>
      <c r="GW767" s="1638" t="str">
        <f t="shared" ref="GW767:GW804" si="185">IF(AND($C767=2, $N767="1-Story",$P767="Yes"),$E767,"")</f>
        <v/>
      </c>
      <c r="GX767" s="1638" t="str">
        <f t="shared" ref="GX767:GX804" si="186">IF(AND($C767=3, $N767="1-Story",$P767="Yes"),$E767,"")</f>
        <v/>
      </c>
      <c r="GY767" s="1638" t="str">
        <f t="shared" ref="GY767:GY804" si="187">IF(AND($C767=4, $N767="1-Story",$P767="Yes"),$E767,"")</f>
        <v/>
      </c>
      <c r="GZ767" s="1638" t="str">
        <f t="shared" ref="GZ767:GZ804" si="188">IF(AND($C767="Efficiency", $N767="2-Story",NOT($P767="Yes")),$E767,"")</f>
        <v/>
      </c>
      <c r="HA767" s="1638" t="str">
        <f t="shared" ref="HA767:HA804" si="189">IF(AND($C767=1, $N767="2-Story",NOT($P767="Yes")),$E767,"")</f>
        <v/>
      </c>
      <c r="HB767" s="1638" t="str">
        <f t="shared" ref="HB767:HB804" si="190">IF(AND($C767=2, $N767="2-Story",NOT($P767="Yes")),$E767,"")</f>
        <v/>
      </c>
      <c r="HC767" s="1638" t="str">
        <f t="shared" ref="HC767:HC804" si="191">IF(AND($C767=3, $N767="2-Story",NOT($P767="Yes")),$E767,"")</f>
        <v/>
      </c>
      <c r="HD767" s="1638" t="str">
        <f t="shared" ref="HD767:HD804" si="192">IF(AND($C767=4, $N767="2-Story",NOT($P767="Yes")),$E767,"")</f>
        <v/>
      </c>
      <c r="HE767" s="1638" t="str">
        <f t="shared" ref="HE767:HE804" si="193">IF(AND($C767="Efficiency", $N767="2-Story",$P767="Yes"),$E767,"")</f>
        <v/>
      </c>
      <c r="HF767" s="1638" t="str">
        <f t="shared" ref="HF767:HF804" si="194">IF(AND($C767=1, $N767="2-Story",$P767="Yes"),$E767,"")</f>
        <v/>
      </c>
      <c r="HG767" s="1638" t="str">
        <f t="shared" ref="HG767:HG804" si="195">IF(AND($C767=2, $N767="2-Story",$P767="Yes"),$E767,"")</f>
        <v/>
      </c>
      <c r="HH767" s="1638" t="str">
        <f t="shared" ref="HH767:HH804" si="196">IF(AND($C767=3, $N767="2-Story",$P767="Yes"),$E767,"")</f>
        <v/>
      </c>
      <c r="HI767" s="1638" t="str">
        <f t="shared" ref="HI767:HI804" si="197">IF(AND($C767=4, $N767="2-Story",$P767="Yes"),$E767,"")</f>
        <v/>
      </c>
      <c r="HJ767" s="1638" t="str">
        <f t="shared" ref="HJ767:HJ804" si="198">IF(AND($C767="Efficiency", $N767="2-Story Walkup",NOT($P767="Yes")),$E767,"")</f>
        <v/>
      </c>
      <c r="HK767" s="1638" t="str">
        <f t="shared" ref="HK767:HK804" si="199">IF(AND($C767=1, $N767="2-Story Walkup",NOT($P767="Yes")),$E767,"")</f>
        <v/>
      </c>
      <c r="HL767" s="1638" t="str">
        <f t="shared" ref="HL767:HL804" si="200">IF(AND($C767=2, $N767="2-Story Walkup",NOT($P767="Yes")),$E767,"")</f>
        <v/>
      </c>
      <c r="HM767" s="1638" t="str">
        <f t="shared" ref="HM767:HM804" si="201">IF(AND($C767=3, $N767="2-Story Walkup",NOT($P767="Yes")),$E767,"")</f>
        <v/>
      </c>
      <c r="HN767" s="1638" t="str">
        <f t="shared" ref="HN767:HN804" si="202">IF(AND($C767=4, $N767="2-Story Walkup",NOT($P767="Yes")),$E767,"")</f>
        <v/>
      </c>
      <c r="HO767" s="1638" t="str">
        <f t="shared" ref="HO767:HO804" si="203">IF(AND($C767="Efficiency", $N767="2-Story Walkup",$P767="Yes"),$E767,"")</f>
        <v/>
      </c>
      <c r="HP767" s="1638" t="str">
        <f t="shared" ref="HP767:HP804" si="204">IF(AND($C767=1, $N767="2-Story Walkup",$P767="Yes"),$E767,"")</f>
        <v/>
      </c>
      <c r="HQ767" s="1638" t="str">
        <f t="shared" ref="HQ767:HQ804" si="205">IF(AND($C767=2, $N767="2-Story Walkup",$P767="Yes"),$E767,"")</f>
        <v/>
      </c>
      <c r="HR767" s="1638" t="str">
        <f t="shared" ref="HR767:HR804" si="206">IF(AND($C767=3, $N767="2-Story Walkup",$P767="Yes"),$E767,"")</f>
        <v/>
      </c>
      <c r="HS767" s="1638" t="str">
        <f t="shared" ref="HS767:HS804" si="207">IF(AND($C767=4, $N767="2-Story Walkup",$P767="Yes"),$E767,"")</f>
        <v/>
      </c>
      <c r="HT767" s="1638" t="str">
        <f t="shared" ref="HT767:HT804" si="208">IF(AND($C767="Efficiency", $N767="3+ Story",NOT($P767="Yes")),$E767,"")</f>
        <v/>
      </c>
      <c r="HU767" s="1638" t="str">
        <f t="shared" ref="HU767:HU804" si="209">IF(AND($C767=1, $N767="3+ Story",NOT($P767="Yes")),$E767,"")</f>
        <v/>
      </c>
      <c r="HV767" s="1638" t="str">
        <f t="shared" ref="HV767:HV804" si="210">IF(AND($C767=2, $N767="3+ Story",NOT($P767="Yes")),$E767,"")</f>
        <v/>
      </c>
      <c r="HW767" s="1638" t="str">
        <f t="shared" ref="HW767:HW804" si="211">IF(AND($C767=3, $N767="3+ Story",NOT($P767="Yes")),$E767,"")</f>
        <v/>
      </c>
      <c r="HX767" s="1638" t="str">
        <f t="shared" ref="HX767:HX804" si="212">IF(AND($C767=4, $N767="3+ Story",NOT($P767="Yes")),$E767,"")</f>
        <v/>
      </c>
      <c r="HY767" s="1638" t="str">
        <f t="shared" ref="HY767:HY804" si="213">IF(AND($C767="Efficiency", $N767="3+ Story",$P767="Yes"),$E767,"")</f>
        <v/>
      </c>
      <c r="HZ767" s="1638" t="str">
        <f t="shared" ref="HZ767:HZ804" si="214">IF(AND($C767=1, $N767="3+ Story",$P767="Yes"),$E767,"")</f>
        <v/>
      </c>
      <c r="IA767" s="1638" t="str">
        <f t="shared" ref="IA767:IA804" si="215">IF(AND($C767=2, $N767="3+ Story",$P767="Yes"),$E767,"")</f>
        <v/>
      </c>
      <c r="IB767" s="1638" t="str">
        <f t="shared" ref="IB767:IB804" si="216">IF(AND($C767=3, $N767="3+ Story",$P767="Yes"),$E767,"")</f>
        <v/>
      </c>
      <c r="IC767" s="1638" t="str">
        <f t="shared" ref="IC767:IC804" si="217">IF(AND($C767=4, $N767="3+ Story",$P767="Yes"),$E767,"")</f>
        <v/>
      </c>
      <c r="ID767" s="1639" t="str">
        <f t="shared" ref="ID767:ID804" si="218">IF(AND($B767="NSP 120% AMI",$C767="Efficiency", NOT($M767="Common Space")),$E767,"")</f>
        <v/>
      </c>
      <c r="IE767" s="1639" t="str">
        <f t="shared" ref="IE767:IE804" si="219">IF(AND($B767="NSP 120% AMI",$C767=1,NOT($M767="Common Space")),$E767,"")</f>
        <v/>
      </c>
      <c r="IF767" s="1639" t="str">
        <f t="shared" ref="IF767:IF804" si="220">IF(AND($B767="NSP 120% AMI",$C767=2,NOT($M767="Common Space")),$E767,"")</f>
        <v/>
      </c>
      <c r="IG767" s="1639" t="str">
        <f t="shared" ref="IG767:IG804" si="221">IF(AND($B767="NSP 120% AMI",$C767=3,NOT($M767="Common Space")),$E767,"")</f>
        <v/>
      </c>
      <c r="IH767" s="1639" t="str">
        <f t="shared" ref="IH767:IH804" si="222">IF(AND($B767="NSP 120% AMI",$C767=4,NOT($M767="Common Space")),$E767,"")</f>
        <v/>
      </c>
      <c r="II767" s="742" t="str">
        <f t="shared" ref="II767:II804" si="223">IF(AND(C767="Efficiency",B767="NSP 120% AMI",NOT(M767="Common Space")),E767*F767,"")</f>
        <v/>
      </c>
      <c r="IJ767" s="742" t="str">
        <f t="shared" ref="IJ767:IJ804" si="224">IF(AND(C767=1,B767="NSP 120% AMI",NOT(M767="Common Space")),E767*F767,"")</f>
        <v/>
      </c>
      <c r="IK767" s="742" t="str">
        <f t="shared" ref="IK767:IK804" si="225">IF(AND(C767=2,B767="NSP 120% AMI",NOT(M767="Common Space")),E767*F767,"")</f>
        <v/>
      </c>
      <c r="IL767" s="742" t="str">
        <f t="shared" ref="IL767:IL804" si="226">IF(AND(C767=3,B767="NSP 120% AMI",NOT(M767="Common Space")),E767*F767,"")</f>
        <v/>
      </c>
      <c r="IM767" s="742" t="str">
        <f t="shared" ref="IM767:IM804" si="227">IF(AND(C767=4,B767="NSP 120% AMI",NOT(M767="Common Space")),E767*F767,"")</f>
        <v/>
      </c>
      <c r="IN767" s="742" t="str">
        <f t="shared" ref="IN767:IN804" si="228">IF(AND($C767="Efficiency", $O767="New Construction",$B767="NSP 120% AMI",NOT($M767="Common Space")),$E767,"")</f>
        <v/>
      </c>
      <c r="IO767" s="742" t="str">
        <f t="shared" ref="IO767:IO804" si="229">IF(AND($C767=1, $O767="New Construction",$B767="NSP 120% AMI",NOT($M767="Common Space")),$E767,"")</f>
        <v/>
      </c>
      <c r="IP767" s="742" t="str">
        <f t="shared" ref="IP767:IP804" si="230">IF(AND($C767=2, $O767="New Construction",$B767="NSP 120% AMI",NOT($M767="Common Space")),$E767,"")</f>
        <v/>
      </c>
      <c r="IQ767" s="742" t="str">
        <f t="shared" ref="IQ767:IQ804" si="231">IF(AND($C767=3, $O767="New Construction",$B767="NSP 120% AMI",NOT($M767="Common Space")),$E767,"")</f>
        <v/>
      </c>
      <c r="IR767" s="742" t="str">
        <f t="shared" ref="IR767:IR804" si="232">IF(AND($C767=4, $O767="New Construction",$B767="NSP 120% AMI",NOT($M767="Common Space")),$E767,"")</f>
        <v/>
      </c>
      <c r="IS767" s="742" t="str">
        <f t="shared" ref="IS767:IS804" si="233">IF(AND($C767="Efficiency", $O767="Acquisition/Rehab",$B767="NSP 120% AMI",NOT($M767="Common Space")),$E767,"")</f>
        <v/>
      </c>
      <c r="IT767" s="742" t="str">
        <f t="shared" ref="IT767:IT804" si="234">IF(AND($C767=1, $O767="Acquisition/Rehab",$B767="NSP 120% AMI",NOT($M767="Common Space")),$E767,"")</f>
        <v/>
      </c>
      <c r="IU767" s="742" t="str">
        <f t="shared" ref="IU767:IU804" si="235">IF(AND($C767=2, $O767="Acquisition/Rehab",$B767="NSP 120% AMI",NOT($M767="Common Space")),$E767,"")</f>
        <v/>
      </c>
      <c r="IV767" s="742" t="str">
        <f t="shared" ref="IV767:IV804" si="236">IF(AND($C767=3, $O767="Acquisition/Rehab",$B767="NSP 120% AMI",NOT($M767="Common Space")),$E767,"")</f>
        <v/>
      </c>
      <c r="IW767" s="742" t="str">
        <f t="shared" ref="IW767:IW804" si="237">IF(AND($C767=4, $O767="Acquisition/Rehab",$B767="NSP 120% AMI",NOT($M767="Common Space")),$E767,"")</f>
        <v/>
      </c>
      <c r="IX767" s="742" t="str">
        <f t="shared" ref="IX767:IX804" si="238">IF(AND($C767="Efficiency", $O767="Rehabilitation",$B767="NSP 120% AMI",NOT($M767="Common Space")),$E767,"")</f>
        <v/>
      </c>
      <c r="IY767" s="742" t="str">
        <f t="shared" ref="IY767:IY804" si="239">IF(AND($C767=1, $O767="Rehabilitation",$B767="NSP 120% AMI",NOT($M767="Common Space")),$E767,"")</f>
        <v/>
      </c>
      <c r="IZ767" s="742" t="str">
        <f t="shared" ref="IZ767:IZ804" si="240">IF(AND($C767=2, $O767="Rehabilitation",$B767="NSP 120% AMI",NOT($M767="Common Space")),$E767,"")</f>
        <v/>
      </c>
      <c r="JA767" s="742" t="str">
        <f t="shared" ref="JA767:JA804" si="241">IF(AND($C767=3, $O767="Rehabilitation",$B767="NSP 120% AMI",NOT($M767="Common Space")),$E767,"")</f>
        <v/>
      </c>
      <c r="JB767" s="742" t="str">
        <f t="shared" ref="JB767:JB804" si="242">IF(AND($C767=4, $O767="Rehabilitation",$B767="NSP 120% AMI",NOT($M767="Common Space")),$E767,"")</f>
        <v/>
      </c>
      <c r="JC767" s="1637">
        <f>IF(AND($C767="Efficiency",$E767&gt;0,OR($N767="1-Story",$N767="2-Story",$N767="3+ Story",$N767="2-Story Walkup",$N767="Townhome"),OR($O767="Acquisition/Rehab",$O767="Rehabilitation"),NOT($P767="Yes")),$E767,0)</f>
        <v>0</v>
      </c>
      <c r="JD767" s="1637">
        <f>IF(AND($C767=1,$E767&gt;0,OR($N767="1-Story",$N767="2-Story",$N767="3+ Story",$N767="2-Story Walkup",$N767="Townhome"),OR($O767="Acquisition/Rehab",$O767="Rehabilitation"),NOT($P767="Yes")),$E767,0)</f>
        <v>0</v>
      </c>
      <c r="JE767" s="1637">
        <f>IF(AND($C767=2,$E767&gt;0,OR($N767="1-Story",$N767="2-Story",$N767="3+ Story",$N767="2-Story Walkup",$N767="Townhome"),OR($O767="Acquisition/Rehab",$O767="Rehabilitation"),NOT($P767="Yes")),$E767,0)</f>
        <v>0</v>
      </c>
      <c r="JF767" s="1637">
        <f>IF(AND($C767=3,$E767&gt;0,OR($N767="1-Story",$N767="2-Story",$N767="3+ Story",$N767="2-Story Walkup",$N767="Townhome"),OR($O767="Acquisition/Rehab",$O767="Rehabilitation"),NOT($P767="Yes")),$E767,0)</f>
        <v>0</v>
      </c>
      <c r="JG767" s="1637">
        <f>IF(AND($C767=4,$E767&gt;0,OR($N767="1-Story",$N767="2-Story",$N767="3+ Story",$N767="2-Story Walkup",$N767="Townhome"),OR($O767="Acquisition/Rehab",$O767="Rehabilitation"),NOT($P767="Yes")),$E767,0)</f>
        <v>0</v>
      </c>
      <c r="JH767" s="1637">
        <f>IF(AND($C767="Efficiency",$E767&gt;0,OR($N767="1-Story",$N767="2-Story",$N767="3+ Story",$N767="2-Story Walkup",$N767="Townhome"),$O767="New Construction"),$E767,0)</f>
        <v>0</v>
      </c>
      <c r="JI767" s="1637">
        <f>IF(AND($C767=1,$E767&gt;0,OR($N767="1-Story",$N767="2-Story",$N767="3+ Story",$N767="2-Story Walkup",$N767="Townhome"),$O767="New Construction"),$E767,0)</f>
        <v>0</v>
      </c>
      <c r="JJ767" s="1637">
        <f>IF(AND($C767=2,$E767&gt;0,OR($N767="1-Story",$N767="2-Story",$N767="3+ Story",$N767="2-Story Walkup",$N767="Townhome"),$O767="New Construction"),$E767,0)</f>
        <v>0</v>
      </c>
      <c r="JK767" s="1637">
        <f>IF(AND($C767=3,$E767&gt;0,OR($N767="1-Story",$N767="2-Story",$N767="3+ Story",$N767="2-Story Walkup",$N767="Townhome"),$O767="New Construction"),$E767,0)</f>
        <v>0</v>
      </c>
      <c r="JL767" s="1637">
        <f>IF(AND($C767=4,$E767&gt;0,OR($N767="1-Story",$N767="2-Story",$N767="3+ Story",$N767="2-Story Walkup",$N767="Townhome"),$O767="New Construction"),$E767,0)</f>
        <v>0</v>
      </c>
      <c r="JM767" s="1637">
        <f>IF(AND($C767="Efficiency",$E767&gt;0,OR($N767="SF Detached",$N767="Duplex",$N767="Mfd Home"),NOT($P767="Yes")),$E767,0)</f>
        <v>0</v>
      </c>
      <c r="JN767" s="1637">
        <f>IF(AND($C767=1,$E767&gt;0,OR($N767="SF Detached",$N767="Duplex",$N767="Mfd Home"),NOT($P767="Yes")),$E767,0)</f>
        <v>0</v>
      </c>
      <c r="JO767" s="1637">
        <f>IF(AND($C767=2,$E767&gt;0,OR($N767="SF Detached",$N767="Duplex",$N767="Mfd Home"),NOT($P767="Yes")),$E767,0)</f>
        <v>0</v>
      </c>
      <c r="JP767" s="1637">
        <f>IF(AND($C767=3,$E767&gt;0,OR($N767="SF Detached",$N767="Duplex",$N767="Mfd Home"),NOT($P767="Yes")),$E767,0)</f>
        <v>0</v>
      </c>
      <c r="JQ767" s="1637">
        <f>IF(AND($C767=4,$E767&gt;0,OR($N767="SF Detached",$N767="Duplex",$N767="Mfd Home"),NOT($P767="Yes")),$E767,0)</f>
        <v>0</v>
      </c>
    </row>
    <row r="768" spans="1:277" ht="12" customHeight="1">
      <c r="A768" s="1813" t="str">
        <f t="shared" si="0"/>
        <v/>
      </c>
      <c r="B768" s="2145" t="str">
        <f>'Part VI-Revenues &amp; Expenses'!B11</f>
        <v>N/A-CS</v>
      </c>
      <c r="C768" s="2146">
        <f>'Part VI-Revenues &amp; Expenses'!C11</f>
        <v>0</v>
      </c>
      <c r="D768" s="2147">
        <f>'Part VI-Revenues &amp; Expenses'!D11</f>
        <v>0</v>
      </c>
      <c r="E768" s="2148">
        <f>'Part VI-Revenues &amp; Expenses'!E11</f>
        <v>0</v>
      </c>
      <c r="F768" s="2148">
        <f>'Part VI-Revenues &amp; Expenses'!F11</f>
        <v>0</v>
      </c>
      <c r="G768" s="2148">
        <f>'Part VI-Revenues &amp; Expenses'!G11</f>
        <v>0</v>
      </c>
      <c r="H768" s="2148">
        <f>'Part VI-Revenues &amp; Expenses'!H11</f>
        <v>0</v>
      </c>
      <c r="I768" s="2148">
        <f>'Part VI-Revenues &amp; Expenses'!I11</f>
        <v>0</v>
      </c>
      <c r="J768" s="2149">
        <f>'Part VI-Revenues &amp; Expenses'!J11</f>
        <v>0</v>
      </c>
      <c r="K768" s="1822">
        <f t="shared" si="1"/>
        <v>0</v>
      </c>
      <c r="L768" s="1822">
        <f t="shared" si="2"/>
        <v>0</v>
      </c>
      <c r="M768" s="2133">
        <f>'Part VI-Revenues &amp; Expenses'!M11</f>
        <v>0</v>
      </c>
      <c r="N768" s="2133">
        <f>'Part VI-Revenues &amp; Expenses'!N11</f>
        <v>0</v>
      </c>
      <c r="O768" s="2133">
        <f>'Part VI-Revenues &amp; Expenses'!O11</f>
        <v>0</v>
      </c>
      <c r="P768" s="1633">
        <f>'Part VI-Revenues &amp; Expenses'!P11</f>
        <v>0</v>
      </c>
      <c r="Q768" s="1823" t="str">
        <f>'Part VI-Revenues &amp; Expenses'!Q11</f>
        <v/>
      </c>
      <c r="R768" s="1824" t="str">
        <f>'Part VI-Revenues &amp; Expenses'!R11</f>
        <v/>
      </c>
      <c r="S768" s="1823">
        <f>'Part VI-Revenues &amp; Expenses'!S11</f>
        <v>0</v>
      </c>
      <c r="T768" s="1824">
        <f>'Part VI-Revenues &amp; Expenses'!T11</f>
        <v>0</v>
      </c>
      <c r="U768" s="1838"/>
      <c r="V768" s="1838"/>
      <c r="W768" s="742" t="str">
        <f t="shared" si="3"/>
        <v/>
      </c>
      <c r="X768" s="742" t="str">
        <f t="shared" si="4"/>
        <v/>
      </c>
      <c r="Y768" s="742" t="str">
        <f t="shared" si="5"/>
        <v/>
      </c>
      <c r="Z768" s="742" t="str">
        <f t="shared" si="6"/>
        <v/>
      </c>
      <c r="AA768" s="742" t="str">
        <f t="shared" si="7"/>
        <v/>
      </c>
      <c r="AB768" s="742" t="str">
        <f t="shared" si="8"/>
        <v/>
      </c>
      <c r="AC768" s="742" t="str">
        <f t="shared" si="9"/>
        <v/>
      </c>
      <c r="AD768" s="742" t="str">
        <f t="shared" si="10"/>
        <v/>
      </c>
      <c r="AE768" s="742" t="str">
        <f t="shared" si="11"/>
        <v/>
      </c>
      <c r="AF768" s="742" t="str">
        <f t="shared" si="12"/>
        <v/>
      </c>
      <c r="AG768" s="742" t="str">
        <f t="shared" si="13"/>
        <v/>
      </c>
      <c r="AH768" s="742" t="str">
        <f t="shared" si="14"/>
        <v/>
      </c>
      <c r="AI768" s="742" t="str">
        <f t="shared" si="15"/>
        <v/>
      </c>
      <c r="AJ768" s="742" t="str">
        <f t="shared" si="16"/>
        <v/>
      </c>
      <c r="AK768" s="742" t="str">
        <f t="shared" si="17"/>
        <v/>
      </c>
      <c r="AL768" s="742" t="str">
        <f t="shared" si="18"/>
        <v/>
      </c>
      <c r="AM768" s="742" t="str">
        <f t="shared" si="19"/>
        <v/>
      </c>
      <c r="AN768" s="742" t="str">
        <f t="shared" si="20"/>
        <v/>
      </c>
      <c r="AO768" s="742" t="str">
        <f t="shared" si="21"/>
        <v/>
      </c>
      <c r="AP768" s="742" t="str">
        <f t="shared" si="22"/>
        <v/>
      </c>
      <c r="AQ768" s="742" t="str">
        <f t="shared" si="23"/>
        <v/>
      </c>
      <c r="AR768" s="742" t="str">
        <f t="shared" si="24"/>
        <v/>
      </c>
      <c r="AS768" s="742" t="str">
        <f t="shared" si="25"/>
        <v/>
      </c>
      <c r="AT768" s="742" t="str">
        <f t="shared" si="26"/>
        <v/>
      </c>
      <c r="AU768" s="742" t="str">
        <f t="shared" si="27"/>
        <v/>
      </c>
      <c r="AV768" s="742" t="str">
        <f t="shared" si="28"/>
        <v/>
      </c>
      <c r="AW768" s="742" t="str">
        <f t="shared" si="29"/>
        <v/>
      </c>
      <c r="AX768" s="742" t="str">
        <f t="shared" si="30"/>
        <v/>
      </c>
      <c r="AY768" s="742" t="str">
        <f t="shared" si="31"/>
        <v/>
      </c>
      <c r="AZ768" s="742" t="str">
        <f t="shared" si="32"/>
        <v/>
      </c>
      <c r="BA768" s="742" t="str">
        <f t="shared" si="33"/>
        <v/>
      </c>
      <c r="BB768" s="742" t="str">
        <f t="shared" si="34"/>
        <v/>
      </c>
      <c r="BC768" s="742" t="str">
        <f t="shared" si="35"/>
        <v/>
      </c>
      <c r="BD768" s="742" t="str">
        <f t="shared" si="36"/>
        <v/>
      </c>
      <c r="BE768" s="742" t="str">
        <f t="shared" si="37"/>
        <v/>
      </c>
      <c r="BF768" s="742" t="str">
        <f t="shared" si="38"/>
        <v/>
      </c>
      <c r="BG768" s="742" t="str">
        <f t="shared" si="39"/>
        <v/>
      </c>
      <c r="BH768" s="742" t="str">
        <f t="shared" si="40"/>
        <v/>
      </c>
      <c r="BI768" s="742" t="str">
        <f t="shared" si="41"/>
        <v/>
      </c>
      <c r="BJ768" s="742" t="str">
        <f t="shared" si="42"/>
        <v/>
      </c>
      <c r="BK768" s="742" t="str">
        <f t="shared" si="43"/>
        <v/>
      </c>
      <c r="BL768" s="742" t="str">
        <f t="shared" si="44"/>
        <v/>
      </c>
      <c r="BM768" s="742" t="str">
        <f t="shared" si="45"/>
        <v/>
      </c>
      <c r="BN768" s="742" t="str">
        <f t="shared" si="46"/>
        <v/>
      </c>
      <c r="BO768" s="742" t="str">
        <f t="shared" si="47"/>
        <v/>
      </c>
      <c r="BP768" s="742" t="str">
        <f t="shared" si="48"/>
        <v/>
      </c>
      <c r="BQ768" s="742" t="str">
        <f t="shared" si="49"/>
        <v/>
      </c>
      <c r="BR768" s="742" t="str">
        <f t="shared" si="50"/>
        <v/>
      </c>
      <c r="BS768" s="742" t="str">
        <f t="shared" si="51"/>
        <v/>
      </c>
      <c r="BT768" s="742" t="str">
        <f t="shared" si="52"/>
        <v/>
      </c>
      <c r="BU768" s="742" t="str">
        <f t="shared" si="53"/>
        <v/>
      </c>
      <c r="BV768" s="742" t="str">
        <f t="shared" si="54"/>
        <v/>
      </c>
      <c r="BW768" s="742" t="str">
        <f t="shared" si="55"/>
        <v/>
      </c>
      <c r="BX768" s="742" t="str">
        <f t="shared" si="56"/>
        <v/>
      </c>
      <c r="BY768" s="742" t="str">
        <f t="shared" si="57"/>
        <v/>
      </c>
      <c r="BZ768" s="742" t="str">
        <f t="shared" si="58"/>
        <v/>
      </c>
      <c r="CA768" s="742" t="str">
        <f t="shared" si="59"/>
        <v/>
      </c>
      <c r="CB768" s="742" t="str">
        <f t="shared" si="60"/>
        <v/>
      </c>
      <c r="CC768" s="742" t="str">
        <f t="shared" si="61"/>
        <v/>
      </c>
      <c r="CD768" s="742" t="str">
        <f t="shared" si="62"/>
        <v/>
      </c>
      <c r="CE768" s="742" t="str">
        <f t="shared" si="63"/>
        <v/>
      </c>
      <c r="CF768" s="742" t="str">
        <f t="shared" si="64"/>
        <v/>
      </c>
      <c r="CG768" s="742" t="str">
        <f t="shared" si="65"/>
        <v/>
      </c>
      <c r="CH768" s="742" t="str">
        <f t="shared" si="66"/>
        <v/>
      </c>
      <c r="CI768" s="742" t="str">
        <f t="shared" si="67"/>
        <v/>
      </c>
      <c r="CJ768" s="742" t="str">
        <f t="shared" si="68"/>
        <v/>
      </c>
      <c r="CK768" s="742" t="str">
        <f t="shared" si="69"/>
        <v/>
      </c>
      <c r="CL768" s="742" t="str">
        <f t="shared" si="70"/>
        <v/>
      </c>
      <c r="CM768" s="742" t="str">
        <f t="shared" si="71"/>
        <v/>
      </c>
      <c r="CN768" s="742" t="str">
        <f t="shared" si="72"/>
        <v/>
      </c>
      <c r="CO768" s="742" t="str">
        <f t="shared" si="73"/>
        <v/>
      </c>
      <c r="CP768" s="742" t="str">
        <f t="shared" si="74"/>
        <v/>
      </c>
      <c r="CQ768" s="742" t="str">
        <f t="shared" si="75"/>
        <v/>
      </c>
      <c r="CR768" s="742" t="str">
        <f t="shared" si="76"/>
        <v/>
      </c>
      <c r="CS768" s="742" t="str">
        <f t="shared" si="77"/>
        <v/>
      </c>
      <c r="CT768" s="742" t="str">
        <f t="shared" si="78"/>
        <v/>
      </c>
      <c r="CU768" s="742" t="str">
        <f t="shared" si="79"/>
        <v/>
      </c>
      <c r="CV768" s="742" t="str">
        <f t="shared" si="80"/>
        <v/>
      </c>
      <c r="CW768" s="742" t="str">
        <f t="shared" si="81"/>
        <v/>
      </c>
      <c r="CX768" s="742" t="str">
        <f t="shared" si="82"/>
        <v/>
      </c>
      <c r="CY768" s="742" t="str">
        <f t="shared" si="83"/>
        <v/>
      </c>
      <c r="CZ768" s="742" t="str">
        <f t="shared" si="84"/>
        <v/>
      </c>
      <c r="DA768" s="742" t="str">
        <f t="shared" si="85"/>
        <v/>
      </c>
      <c r="DB768" s="742" t="str">
        <f t="shared" si="86"/>
        <v/>
      </c>
      <c r="DC768" s="742" t="str">
        <f t="shared" si="87"/>
        <v/>
      </c>
      <c r="DD768" s="742" t="str">
        <f t="shared" si="88"/>
        <v/>
      </c>
      <c r="DE768" s="742" t="str">
        <f t="shared" si="89"/>
        <v/>
      </c>
      <c r="DF768" s="742" t="str">
        <f t="shared" si="90"/>
        <v/>
      </c>
      <c r="DG768" s="742" t="str">
        <f t="shared" si="91"/>
        <v/>
      </c>
      <c r="DH768" s="742" t="str">
        <f t="shared" si="92"/>
        <v/>
      </c>
      <c r="DI768" s="742" t="str">
        <f t="shared" si="93"/>
        <v/>
      </c>
      <c r="DJ768" s="742" t="str">
        <f t="shared" si="94"/>
        <v/>
      </c>
      <c r="DK768" s="742" t="str">
        <f t="shared" si="95"/>
        <v/>
      </c>
      <c r="DL768" s="742" t="str">
        <f t="shared" si="96"/>
        <v/>
      </c>
      <c r="DM768" s="742" t="str">
        <f t="shared" si="97"/>
        <v/>
      </c>
      <c r="DN768" s="742" t="str">
        <f t="shared" si="98"/>
        <v/>
      </c>
      <c r="DO768" s="742" t="str">
        <f t="shared" si="99"/>
        <v/>
      </c>
      <c r="DP768" s="742" t="str">
        <f t="shared" si="100"/>
        <v/>
      </c>
      <c r="DQ768" s="742" t="str">
        <f t="shared" si="101"/>
        <v/>
      </c>
      <c r="DR768" s="742" t="str">
        <f t="shared" si="102"/>
        <v/>
      </c>
      <c r="DS768" s="742" t="str">
        <f t="shared" si="103"/>
        <v/>
      </c>
      <c r="DT768" s="742" t="str">
        <f t="shared" si="104"/>
        <v/>
      </c>
      <c r="DU768" s="742" t="str">
        <f t="shared" si="105"/>
        <v/>
      </c>
      <c r="DV768" s="742" t="str">
        <f t="shared" si="106"/>
        <v/>
      </c>
      <c r="DW768" s="742" t="str">
        <f t="shared" si="107"/>
        <v/>
      </c>
      <c r="DX768" s="742" t="str">
        <f t="shared" si="108"/>
        <v/>
      </c>
      <c r="DY768" s="742" t="str">
        <f t="shared" si="109"/>
        <v/>
      </c>
      <c r="DZ768" s="742" t="str">
        <f t="shared" si="110"/>
        <v/>
      </c>
      <c r="EA768" s="742" t="str">
        <f t="shared" si="111"/>
        <v/>
      </c>
      <c r="EB768" s="742" t="str">
        <f t="shared" si="112"/>
        <v/>
      </c>
      <c r="EC768" s="742" t="str">
        <f t="shared" si="113"/>
        <v/>
      </c>
      <c r="ED768" s="742" t="str">
        <f t="shared" si="114"/>
        <v/>
      </c>
      <c r="EE768" s="742" t="str">
        <f t="shared" si="115"/>
        <v/>
      </c>
      <c r="EF768" s="742" t="str">
        <f t="shared" si="116"/>
        <v/>
      </c>
      <c r="EG768" s="742" t="str">
        <f t="shared" si="117"/>
        <v/>
      </c>
      <c r="EH768" s="742" t="str">
        <f t="shared" si="118"/>
        <v/>
      </c>
      <c r="EI768" s="742" t="str">
        <f t="shared" si="119"/>
        <v/>
      </c>
      <c r="EJ768" s="742" t="str">
        <f t="shared" si="120"/>
        <v/>
      </c>
      <c r="EK768" s="742" t="str">
        <f t="shared" si="121"/>
        <v/>
      </c>
      <c r="EL768" s="742" t="str">
        <f t="shared" si="122"/>
        <v/>
      </c>
      <c r="EM768" s="742" t="str">
        <f t="shared" si="123"/>
        <v/>
      </c>
      <c r="EN768" s="742" t="str">
        <f t="shared" si="124"/>
        <v/>
      </c>
      <c r="EO768" s="742" t="str">
        <f t="shared" si="125"/>
        <v/>
      </c>
      <c r="EP768" s="742" t="str">
        <f t="shared" si="126"/>
        <v/>
      </c>
      <c r="EQ768" s="742" t="str">
        <f t="shared" si="127"/>
        <v/>
      </c>
      <c r="ER768" s="742" t="str">
        <f t="shared" si="128"/>
        <v/>
      </c>
      <c r="ES768" s="742" t="str">
        <f t="shared" si="129"/>
        <v/>
      </c>
      <c r="ET768" s="742" t="str">
        <f t="shared" si="130"/>
        <v/>
      </c>
      <c r="EU768" s="742" t="str">
        <f t="shared" si="131"/>
        <v/>
      </c>
      <c r="EV768" s="742" t="str">
        <f t="shared" si="132"/>
        <v/>
      </c>
      <c r="EW768" s="1638" t="str">
        <f t="shared" si="133"/>
        <v/>
      </c>
      <c r="EX768" s="1638" t="str">
        <f t="shared" si="134"/>
        <v/>
      </c>
      <c r="EY768" s="1638" t="str">
        <f t="shared" si="135"/>
        <v/>
      </c>
      <c r="EZ768" s="1638" t="str">
        <f t="shared" si="136"/>
        <v/>
      </c>
      <c r="FA768" s="1638" t="str">
        <f t="shared" si="137"/>
        <v/>
      </c>
      <c r="FB768" s="1638" t="str">
        <f t="shared" si="138"/>
        <v/>
      </c>
      <c r="FC768" s="1638" t="str">
        <f t="shared" si="139"/>
        <v/>
      </c>
      <c r="FD768" s="1638" t="str">
        <f t="shared" si="140"/>
        <v/>
      </c>
      <c r="FE768" s="1638" t="str">
        <f t="shared" si="141"/>
        <v/>
      </c>
      <c r="FF768" s="1638" t="str">
        <f t="shared" si="142"/>
        <v/>
      </c>
      <c r="FG768" s="1638" t="str">
        <f t="shared" si="143"/>
        <v/>
      </c>
      <c r="FH768" s="1638" t="str">
        <f t="shared" si="144"/>
        <v/>
      </c>
      <c r="FI768" s="1638" t="str">
        <f t="shared" si="145"/>
        <v/>
      </c>
      <c r="FJ768" s="1638" t="str">
        <f t="shared" si="146"/>
        <v/>
      </c>
      <c r="FK768" s="1638" t="str">
        <f t="shared" si="147"/>
        <v/>
      </c>
      <c r="FL768" s="1638" t="str">
        <f t="shared" si="148"/>
        <v/>
      </c>
      <c r="FM768" s="1638" t="str">
        <f t="shared" si="149"/>
        <v/>
      </c>
      <c r="FN768" s="1638" t="str">
        <f t="shared" si="150"/>
        <v/>
      </c>
      <c r="FO768" s="1638" t="str">
        <f t="shared" si="151"/>
        <v/>
      </c>
      <c r="FP768" s="1638" t="str">
        <f t="shared" si="152"/>
        <v/>
      </c>
      <c r="FQ768" s="1638" t="str">
        <f t="shared" si="153"/>
        <v/>
      </c>
      <c r="FR768" s="1638" t="str">
        <f t="shared" si="154"/>
        <v/>
      </c>
      <c r="FS768" s="1638" t="str">
        <f t="shared" si="155"/>
        <v/>
      </c>
      <c r="FT768" s="1638" t="str">
        <f t="shared" si="156"/>
        <v/>
      </c>
      <c r="FU768" s="1638" t="str">
        <f t="shared" si="157"/>
        <v/>
      </c>
      <c r="FV768" s="1638" t="str">
        <f t="shared" si="158"/>
        <v/>
      </c>
      <c r="FW768" s="1638" t="str">
        <f t="shared" si="159"/>
        <v/>
      </c>
      <c r="FX768" s="1638" t="str">
        <f t="shared" si="160"/>
        <v/>
      </c>
      <c r="FY768" s="1638" t="str">
        <f t="shared" si="161"/>
        <v/>
      </c>
      <c r="FZ768" s="1638" t="str">
        <f t="shared" si="162"/>
        <v/>
      </c>
      <c r="GA768" s="1638" t="str">
        <f t="shared" si="163"/>
        <v/>
      </c>
      <c r="GB768" s="1638" t="str">
        <f t="shared" si="164"/>
        <v/>
      </c>
      <c r="GC768" s="1638" t="str">
        <f t="shared" si="165"/>
        <v/>
      </c>
      <c r="GD768" s="1638" t="str">
        <f t="shared" si="166"/>
        <v/>
      </c>
      <c r="GE768" s="1638" t="str">
        <f t="shared" si="167"/>
        <v/>
      </c>
      <c r="GF768" s="1638" t="str">
        <f t="shared" si="168"/>
        <v/>
      </c>
      <c r="GG768" s="1638" t="str">
        <f t="shared" si="169"/>
        <v/>
      </c>
      <c r="GH768" s="1638" t="str">
        <f t="shared" si="170"/>
        <v/>
      </c>
      <c r="GI768" s="1638" t="str">
        <f t="shared" si="171"/>
        <v/>
      </c>
      <c r="GJ768" s="1638" t="str">
        <f t="shared" si="172"/>
        <v/>
      </c>
      <c r="GK768" s="1638" t="str">
        <f t="shared" si="173"/>
        <v/>
      </c>
      <c r="GL768" s="1638" t="str">
        <f t="shared" si="174"/>
        <v/>
      </c>
      <c r="GM768" s="1638" t="str">
        <f t="shared" si="175"/>
        <v/>
      </c>
      <c r="GN768" s="1638" t="str">
        <f t="shared" si="176"/>
        <v/>
      </c>
      <c r="GO768" s="1638" t="str">
        <f t="shared" si="177"/>
        <v/>
      </c>
      <c r="GP768" s="1638" t="str">
        <f t="shared" si="178"/>
        <v/>
      </c>
      <c r="GQ768" s="1638" t="str">
        <f t="shared" si="179"/>
        <v/>
      </c>
      <c r="GR768" s="1638" t="str">
        <f t="shared" si="180"/>
        <v/>
      </c>
      <c r="GS768" s="1638" t="str">
        <f t="shared" si="181"/>
        <v/>
      </c>
      <c r="GT768" s="1638" t="str">
        <f t="shared" si="182"/>
        <v/>
      </c>
      <c r="GU768" s="1638" t="str">
        <f t="shared" si="183"/>
        <v/>
      </c>
      <c r="GV768" s="1638" t="str">
        <f t="shared" si="184"/>
        <v/>
      </c>
      <c r="GW768" s="1638" t="str">
        <f t="shared" si="185"/>
        <v/>
      </c>
      <c r="GX768" s="1638" t="str">
        <f t="shared" si="186"/>
        <v/>
      </c>
      <c r="GY768" s="1638" t="str">
        <f t="shared" si="187"/>
        <v/>
      </c>
      <c r="GZ768" s="1638" t="str">
        <f t="shared" si="188"/>
        <v/>
      </c>
      <c r="HA768" s="1638" t="str">
        <f t="shared" si="189"/>
        <v/>
      </c>
      <c r="HB768" s="1638" t="str">
        <f t="shared" si="190"/>
        <v/>
      </c>
      <c r="HC768" s="1638" t="str">
        <f t="shared" si="191"/>
        <v/>
      </c>
      <c r="HD768" s="1638" t="str">
        <f t="shared" si="192"/>
        <v/>
      </c>
      <c r="HE768" s="1638" t="str">
        <f t="shared" si="193"/>
        <v/>
      </c>
      <c r="HF768" s="1638" t="str">
        <f t="shared" si="194"/>
        <v/>
      </c>
      <c r="HG768" s="1638" t="str">
        <f t="shared" si="195"/>
        <v/>
      </c>
      <c r="HH768" s="1638" t="str">
        <f t="shared" si="196"/>
        <v/>
      </c>
      <c r="HI768" s="1638" t="str">
        <f t="shared" si="197"/>
        <v/>
      </c>
      <c r="HJ768" s="1638" t="str">
        <f t="shared" si="198"/>
        <v/>
      </c>
      <c r="HK768" s="1638" t="str">
        <f t="shared" si="199"/>
        <v/>
      </c>
      <c r="HL768" s="1638" t="str">
        <f t="shared" si="200"/>
        <v/>
      </c>
      <c r="HM768" s="1638" t="str">
        <f t="shared" si="201"/>
        <v/>
      </c>
      <c r="HN768" s="1638" t="str">
        <f t="shared" si="202"/>
        <v/>
      </c>
      <c r="HO768" s="1638" t="str">
        <f t="shared" si="203"/>
        <v/>
      </c>
      <c r="HP768" s="1638" t="str">
        <f t="shared" si="204"/>
        <v/>
      </c>
      <c r="HQ768" s="1638" t="str">
        <f t="shared" si="205"/>
        <v/>
      </c>
      <c r="HR768" s="1638" t="str">
        <f t="shared" si="206"/>
        <v/>
      </c>
      <c r="HS768" s="1638" t="str">
        <f t="shared" si="207"/>
        <v/>
      </c>
      <c r="HT768" s="1638" t="str">
        <f t="shared" si="208"/>
        <v/>
      </c>
      <c r="HU768" s="1638" t="str">
        <f t="shared" si="209"/>
        <v/>
      </c>
      <c r="HV768" s="1638" t="str">
        <f t="shared" si="210"/>
        <v/>
      </c>
      <c r="HW768" s="1638" t="str">
        <f t="shared" si="211"/>
        <v/>
      </c>
      <c r="HX768" s="1638" t="str">
        <f t="shared" si="212"/>
        <v/>
      </c>
      <c r="HY768" s="1638" t="str">
        <f t="shared" si="213"/>
        <v/>
      </c>
      <c r="HZ768" s="1638" t="str">
        <f t="shared" si="214"/>
        <v/>
      </c>
      <c r="IA768" s="1638" t="str">
        <f t="shared" si="215"/>
        <v/>
      </c>
      <c r="IB768" s="1638" t="str">
        <f t="shared" si="216"/>
        <v/>
      </c>
      <c r="IC768" s="1638" t="str">
        <f t="shared" si="217"/>
        <v/>
      </c>
      <c r="ID768" s="1639" t="str">
        <f t="shared" si="218"/>
        <v/>
      </c>
      <c r="IE768" s="1639" t="str">
        <f t="shared" si="219"/>
        <v/>
      </c>
      <c r="IF768" s="1639" t="str">
        <f t="shared" si="220"/>
        <v/>
      </c>
      <c r="IG768" s="1639" t="str">
        <f t="shared" si="221"/>
        <v/>
      </c>
      <c r="IH768" s="1639" t="str">
        <f t="shared" si="222"/>
        <v/>
      </c>
      <c r="II768" s="742" t="str">
        <f t="shared" si="223"/>
        <v/>
      </c>
      <c r="IJ768" s="742" t="str">
        <f t="shared" si="224"/>
        <v/>
      </c>
      <c r="IK768" s="742" t="str">
        <f t="shared" si="225"/>
        <v/>
      </c>
      <c r="IL768" s="742" t="str">
        <f t="shared" si="226"/>
        <v/>
      </c>
      <c r="IM768" s="742" t="str">
        <f t="shared" si="227"/>
        <v/>
      </c>
      <c r="IN768" s="742" t="str">
        <f t="shared" si="228"/>
        <v/>
      </c>
      <c r="IO768" s="742" t="str">
        <f t="shared" si="229"/>
        <v/>
      </c>
      <c r="IP768" s="742" t="str">
        <f t="shared" si="230"/>
        <v/>
      </c>
      <c r="IQ768" s="742" t="str">
        <f t="shared" si="231"/>
        <v/>
      </c>
      <c r="IR768" s="742" t="str">
        <f t="shared" si="232"/>
        <v/>
      </c>
      <c r="IS768" s="742" t="str">
        <f t="shared" si="233"/>
        <v/>
      </c>
      <c r="IT768" s="742" t="str">
        <f t="shared" si="234"/>
        <v/>
      </c>
      <c r="IU768" s="742" t="str">
        <f t="shared" si="235"/>
        <v/>
      </c>
      <c r="IV768" s="742" t="str">
        <f t="shared" si="236"/>
        <v/>
      </c>
      <c r="IW768" s="742" t="str">
        <f t="shared" si="237"/>
        <v/>
      </c>
      <c r="IX768" s="742" t="str">
        <f t="shared" si="238"/>
        <v/>
      </c>
      <c r="IY768" s="742" t="str">
        <f t="shared" si="239"/>
        <v/>
      </c>
      <c r="IZ768" s="742" t="str">
        <f t="shared" si="240"/>
        <v/>
      </c>
      <c r="JA768" s="742" t="str">
        <f t="shared" si="241"/>
        <v/>
      </c>
      <c r="JB768" s="742" t="str">
        <f t="shared" si="242"/>
        <v/>
      </c>
      <c r="JC768" s="1637">
        <f t="shared" ref="JC768:JC804" si="243">IF(AND($C768="Efficiency",$E768&gt;0,OR($N768="1-Story",$N768="2-Story",$N768="3+ Story",$N768="2-Story Walkup",$N768="Townhome"),OR($O768="Acquisition/Rehab",$O768="Rehabilitation"),NOT($P768="Yes")),$E768,0)</f>
        <v>0</v>
      </c>
      <c r="JD768" s="1637">
        <f t="shared" ref="JD768:JD804" si="244">IF(AND($C768=1,$E768&gt;0,OR($N768="1-Story",$N768="2-Story",$N768="3+ Story",$N768="2-Story Walkup",$N768="Townhome"),OR($O768="Acquisition/Rehab",$O768="Rehabilitation"),NOT($P768="Yes")),$E768,0)</f>
        <v>0</v>
      </c>
      <c r="JE768" s="1637">
        <f t="shared" ref="JE768:JE804" si="245">IF(AND($C768=2,$E768&gt;0,OR($N768="1-Story",$N768="2-Story",$N768="3+ Story",$N768="2-Story Walkup",$N768="Townhome"),OR($O768="Acquisition/Rehab",$O768="Rehabilitation"),NOT($P768="Yes")),$E768,0)</f>
        <v>0</v>
      </c>
      <c r="JF768" s="1637">
        <f t="shared" ref="JF768:JF804" si="246">IF(AND($C768=3,$E768&gt;0,OR($N768="1-Story",$N768="2-Story",$N768="3+ Story",$N768="2-Story Walkup",$N768="Townhome"),OR($O768="Acquisition/Rehab",$O768="Rehabilitation"),NOT($P768="Yes")),$E768,0)</f>
        <v>0</v>
      </c>
      <c r="JG768" s="1637">
        <f t="shared" ref="JG768:JG804" si="247">IF(AND($C768=4,$E768&gt;0,OR($N768="1-Story",$N768="2-Story",$N768="3+ Story",$N768="2-Story Walkup",$N768="Townhome"),OR($O768="Acquisition/Rehab",$O768="Rehabilitation"),NOT($P768="Yes")),$E768,0)</f>
        <v>0</v>
      </c>
      <c r="JH768" s="1637">
        <f t="shared" ref="JH768:JH804" si="248">IF(AND($C768="Efficiency",$E768&gt;0,OR($N768="1-Story",$N768="2-Story",$N768="3+ Story",$N768="2-Story Walkup",$N768="Townhome"),$O768="New Construction"),$E768,0)</f>
        <v>0</v>
      </c>
      <c r="JI768" s="1637">
        <f t="shared" ref="JI768:JI804" si="249">IF(AND($C768=1,$E768&gt;0,OR($N768="1-Story",$N768="2-Story",$N768="3+ Story",$N768="2-Story Walkup",$N768="Townhome"),$O768="New Construction"),$E768,0)</f>
        <v>0</v>
      </c>
      <c r="JJ768" s="1637">
        <f t="shared" ref="JJ768:JJ804" si="250">IF(AND($C768=2,$E768&gt;0,OR($N768="1-Story",$N768="2-Story",$N768="3+ Story",$N768="2-Story Walkup",$N768="Townhome"),$O768="New Construction"),$E768,0)</f>
        <v>0</v>
      </c>
      <c r="JK768" s="1637">
        <f t="shared" ref="JK768:JK804" si="251">IF(AND($C768=3,$E768&gt;0,OR($N768="1-Story",$N768="2-Story",$N768="3+ Story",$N768="2-Story Walkup",$N768="Townhome"),$O768="New Construction"),$E768,0)</f>
        <v>0</v>
      </c>
      <c r="JL768" s="1637">
        <f t="shared" ref="JL768:JL804" si="252">IF(AND($C768=4,$E768&gt;0,OR($N768="1-Story",$N768="2-Story",$N768="3+ Story",$N768="2-Story Walkup",$N768="Townhome"),$O768="New Construction"),$E768,0)</f>
        <v>0</v>
      </c>
      <c r="JM768" s="1637">
        <f t="shared" ref="JM768:JM804" si="253">IF(AND($C768="Efficiency",$E768&gt;0,OR($N768="SF Detached",$N768="Duplex",$N768="Mfd Home"),NOT($P768="Yes")),$E768,0)</f>
        <v>0</v>
      </c>
      <c r="JN768" s="1637">
        <f t="shared" ref="JN768:JN804" si="254">IF(AND($C768=1,$E768&gt;0,OR($N768="SF Detached",$N768="Duplex",$N768="Mfd Home"),NOT($P768="Yes")),$E768,0)</f>
        <v>0</v>
      </c>
      <c r="JO768" s="1637">
        <f t="shared" ref="JO768:JO804" si="255">IF(AND($C768=2,$E768&gt;0,OR($N768="SF Detached",$N768="Duplex",$N768="Mfd Home"),NOT($P768="Yes")),$E768,0)</f>
        <v>0</v>
      </c>
      <c r="JP768" s="1637">
        <f t="shared" ref="JP768:JP804" si="256">IF(AND($C768=3,$E768&gt;0,OR($N768="SF Detached",$N768="Duplex",$N768="Mfd Home"),NOT($P768="Yes")),$E768,0)</f>
        <v>0</v>
      </c>
      <c r="JQ768" s="1637">
        <f t="shared" ref="JQ768:JQ804" si="257">IF(AND($C768=4,$E768&gt;0,OR($N768="SF Detached",$N768="Duplex",$N768="Mfd Home"),NOT($P768="Yes")),$E768,0)</f>
        <v>0</v>
      </c>
    </row>
    <row r="769" spans="1:277" ht="12" customHeight="1">
      <c r="A769" s="1813" t="str">
        <f t="shared" si="0"/>
        <v/>
      </c>
      <c r="B769" s="2145" t="str">
        <f>'Part VI-Revenues &amp; Expenses'!B12</f>
        <v>Unrestricted</v>
      </c>
      <c r="C769" s="2146">
        <f>'Part VI-Revenues &amp; Expenses'!C12</f>
        <v>0</v>
      </c>
      <c r="D769" s="2147">
        <f>'Part VI-Revenues &amp; Expenses'!D12</f>
        <v>0</v>
      </c>
      <c r="E769" s="2148">
        <f>'Part VI-Revenues &amp; Expenses'!E12</f>
        <v>0</v>
      </c>
      <c r="F769" s="2148">
        <f>'Part VI-Revenues &amp; Expenses'!F12</f>
        <v>0</v>
      </c>
      <c r="G769" s="2148">
        <f>'Part VI-Revenues &amp; Expenses'!G12</f>
        <v>0</v>
      </c>
      <c r="H769" s="2148">
        <f>'Part VI-Revenues &amp; Expenses'!H12</f>
        <v>0</v>
      </c>
      <c r="I769" s="2148">
        <f>'Part VI-Revenues &amp; Expenses'!I12</f>
        <v>0</v>
      </c>
      <c r="J769" s="2149">
        <f>'Part VI-Revenues &amp; Expenses'!J12</f>
        <v>0</v>
      </c>
      <c r="K769" s="1822">
        <f t="shared" si="1"/>
        <v>0</v>
      </c>
      <c r="L769" s="1822">
        <f t="shared" si="2"/>
        <v>0</v>
      </c>
      <c r="M769" s="2133">
        <f>'Part VI-Revenues &amp; Expenses'!M12</f>
        <v>0</v>
      </c>
      <c r="N769" s="2133">
        <f>'Part VI-Revenues &amp; Expenses'!N12</f>
        <v>0</v>
      </c>
      <c r="O769" s="2133">
        <f>'Part VI-Revenues &amp; Expenses'!O12</f>
        <v>0</v>
      </c>
      <c r="P769" s="1633">
        <f>'Part VI-Revenues &amp; Expenses'!P12</f>
        <v>0</v>
      </c>
      <c r="Q769" s="1823" t="str">
        <f>'Part VI-Revenues &amp; Expenses'!Q12</f>
        <v/>
      </c>
      <c r="R769" s="1824" t="str">
        <f>'Part VI-Revenues &amp; Expenses'!R12</f>
        <v/>
      </c>
      <c r="S769" s="1823">
        <f>'Part VI-Revenues &amp; Expenses'!S12</f>
        <v>0</v>
      </c>
      <c r="T769" s="1824">
        <f>'Part VI-Revenues &amp; Expenses'!T12</f>
        <v>0</v>
      </c>
      <c r="U769" s="1838"/>
      <c r="V769" s="1838"/>
      <c r="W769" s="742" t="str">
        <f t="shared" si="3"/>
        <v/>
      </c>
      <c r="X769" s="742" t="str">
        <f t="shared" si="4"/>
        <v/>
      </c>
      <c r="Y769" s="742" t="str">
        <f t="shared" si="5"/>
        <v/>
      </c>
      <c r="Z769" s="742" t="str">
        <f t="shared" si="6"/>
        <v/>
      </c>
      <c r="AA769" s="742" t="str">
        <f t="shared" si="7"/>
        <v/>
      </c>
      <c r="AB769" s="742" t="str">
        <f t="shared" si="8"/>
        <v/>
      </c>
      <c r="AC769" s="742" t="str">
        <f t="shared" si="9"/>
        <v/>
      </c>
      <c r="AD769" s="742" t="str">
        <f t="shared" si="10"/>
        <v/>
      </c>
      <c r="AE769" s="742" t="str">
        <f t="shared" si="11"/>
        <v/>
      </c>
      <c r="AF769" s="742" t="str">
        <f t="shared" si="12"/>
        <v/>
      </c>
      <c r="AG769" s="742" t="str">
        <f t="shared" si="13"/>
        <v/>
      </c>
      <c r="AH769" s="742" t="str">
        <f t="shared" si="14"/>
        <v/>
      </c>
      <c r="AI769" s="742" t="str">
        <f t="shared" si="15"/>
        <v/>
      </c>
      <c r="AJ769" s="742" t="str">
        <f t="shared" si="16"/>
        <v/>
      </c>
      <c r="AK769" s="742" t="str">
        <f t="shared" si="17"/>
        <v/>
      </c>
      <c r="AL769" s="742" t="str">
        <f t="shared" si="18"/>
        <v/>
      </c>
      <c r="AM769" s="742" t="str">
        <f t="shared" si="19"/>
        <v/>
      </c>
      <c r="AN769" s="742" t="str">
        <f t="shared" si="20"/>
        <v/>
      </c>
      <c r="AO769" s="742" t="str">
        <f t="shared" si="21"/>
        <v/>
      </c>
      <c r="AP769" s="742" t="str">
        <f t="shared" si="22"/>
        <v/>
      </c>
      <c r="AQ769" s="742" t="str">
        <f t="shared" si="23"/>
        <v/>
      </c>
      <c r="AR769" s="742" t="str">
        <f t="shared" si="24"/>
        <v/>
      </c>
      <c r="AS769" s="742" t="str">
        <f t="shared" si="25"/>
        <v/>
      </c>
      <c r="AT769" s="742" t="str">
        <f t="shared" si="26"/>
        <v/>
      </c>
      <c r="AU769" s="742" t="str">
        <f t="shared" si="27"/>
        <v/>
      </c>
      <c r="AV769" s="742" t="str">
        <f t="shared" si="28"/>
        <v/>
      </c>
      <c r="AW769" s="742" t="str">
        <f t="shared" si="29"/>
        <v/>
      </c>
      <c r="AX769" s="742" t="str">
        <f t="shared" si="30"/>
        <v/>
      </c>
      <c r="AY769" s="742" t="str">
        <f t="shared" si="31"/>
        <v/>
      </c>
      <c r="AZ769" s="742" t="str">
        <f t="shared" si="32"/>
        <v/>
      </c>
      <c r="BA769" s="742" t="str">
        <f t="shared" si="33"/>
        <v/>
      </c>
      <c r="BB769" s="742" t="str">
        <f t="shared" si="34"/>
        <v/>
      </c>
      <c r="BC769" s="742" t="str">
        <f t="shared" si="35"/>
        <v/>
      </c>
      <c r="BD769" s="742" t="str">
        <f t="shared" si="36"/>
        <v/>
      </c>
      <c r="BE769" s="742" t="str">
        <f t="shared" si="37"/>
        <v/>
      </c>
      <c r="BF769" s="742" t="str">
        <f t="shared" si="38"/>
        <v/>
      </c>
      <c r="BG769" s="742" t="str">
        <f t="shared" si="39"/>
        <v/>
      </c>
      <c r="BH769" s="742" t="str">
        <f t="shared" si="40"/>
        <v/>
      </c>
      <c r="BI769" s="742" t="str">
        <f t="shared" si="41"/>
        <v/>
      </c>
      <c r="BJ769" s="742" t="str">
        <f t="shared" si="42"/>
        <v/>
      </c>
      <c r="BK769" s="742" t="str">
        <f t="shared" si="43"/>
        <v/>
      </c>
      <c r="BL769" s="742" t="str">
        <f t="shared" si="44"/>
        <v/>
      </c>
      <c r="BM769" s="742" t="str">
        <f t="shared" si="45"/>
        <v/>
      </c>
      <c r="BN769" s="742" t="str">
        <f t="shared" si="46"/>
        <v/>
      </c>
      <c r="BO769" s="742" t="str">
        <f t="shared" si="47"/>
        <v/>
      </c>
      <c r="BP769" s="742" t="str">
        <f t="shared" si="48"/>
        <v/>
      </c>
      <c r="BQ769" s="742" t="str">
        <f t="shared" si="49"/>
        <v/>
      </c>
      <c r="BR769" s="742" t="str">
        <f t="shared" si="50"/>
        <v/>
      </c>
      <c r="BS769" s="742" t="str">
        <f t="shared" si="51"/>
        <v/>
      </c>
      <c r="BT769" s="742" t="str">
        <f t="shared" si="52"/>
        <v/>
      </c>
      <c r="BU769" s="742" t="str">
        <f t="shared" si="53"/>
        <v/>
      </c>
      <c r="BV769" s="742" t="str">
        <f t="shared" si="54"/>
        <v/>
      </c>
      <c r="BW769" s="742" t="str">
        <f t="shared" si="55"/>
        <v/>
      </c>
      <c r="BX769" s="742" t="str">
        <f t="shared" si="56"/>
        <v/>
      </c>
      <c r="BY769" s="742" t="str">
        <f t="shared" si="57"/>
        <v/>
      </c>
      <c r="BZ769" s="742" t="str">
        <f t="shared" si="58"/>
        <v/>
      </c>
      <c r="CA769" s="742" t="str">
        <f t="shared" si="59"/>
        <v/>
      </c>
      <c r="CB769" s="742" t="str">
        <f t="shared" si="60"/>
        <v/>
      </c>
      <c r="CC769" s="742" t="str">
        <f t="shared" si="61"/>
        <v/>
      </c>
      <c r="CD769" s="742" t="str">
        <f t="shared" si="62"/>
        <v/>
      </c>
      <c r="CE769" s="742" t="str">
        <f t="shared" si="63"/>
        <v/>
      </c>
      <c r="CF769" s="742" t="str">
        <f t="shared" si="64"/>
        <v/>
      </c>
      <c r="CG769" s="742" t="str">
        <f t="shared" si="65"/>
        <v/>
      </c>
      <c r="CH769" s="742" t="str">
        <f t="shared" si="66"/>
        <v/>
      </c>
      <c r="CI769" s="742" t="str">
        <f t="shared" si="67"/>
        <v/>
      </c>
      <c r="CJ769" s="742" t="str">
        <f t="shared" si="68"/>
        <v/>
      </c>
      <c r="CK769" s="742" t="str">
        <f t="shared" si="69"/>
        <v/>
      </c>
      <c r="CL769" s="742" t="str">
        <f t="shared" si="70"/>
        <v/>
      </c>
      <c r="CM769" s="742" t="str">
        <f t="shared" si="71"/>
        <v/>
      </c>
      <c r="CN769" s="742" t="str">
        <f t="shared" si="72"/>
        <v/>
      </c>
      <c r="CO769" s="742" t="str">
        <f t="shared" si="73"/>
        <v/>
      </c>
      <c r="CP769" s="742" t="str">
        <f t="shared" si="74"/>
        <v/>
      </c>
      <c r="CQ769" s="742" t="str">
        <f t="shared" si="75"/>
        <v/>
      </c>
      <c r="CR769" s="742" t="str">
        <f t="shared" si="76"/>
        <v/>
      </c>
      <c r="CS769" s="742" t="str">
        <f t="shared" si="77"/>
        <v/>
      </c>
      <c r="CT769" s="742" t="str">
        <f t="shared" si="78"/>
        <v/>
      </c>
      <c r="CU769" s="742" t="str">
        <f t="shared" si="79"/>
        <v/>
      </c>
      <c r="CV769" s="742" t="str">
        <f t="shared" si="80"/>
        <v/>
      </c>
      <c r="CW769" s="742" t="str">
        <f t="shared" si="81"/>
        <v/>
      </c>
      <c r="CX769" s="742" t="str">
        <f t="shared" si="82"/>
        <v/>
      </c>
      <c r="CY769" s="742" t="str">
        <f t="shared" si="83"/>
        <v/>
      </c>
      <c r="CZ769" s="742" t="str">
        <f t="shared" si="84"/>
        <v/>
      </c>
      <c r="DA769" s="742" t="str">
        <f t="shared" si="85"/>
        <v/>
      </c>
      <c r="DB769" s="742" t="str">
        <f t="shared" si="86"/>
        <v/>
      </c>
      <c r="DC769" s="742" t="str">
        <f t="shared" si="87"/>
        <v/>
      </c>
      <c r="DD769" s="742" t="str">
        <f t="shared" si="88"/>
        <v/>
      </c>
      <c r="DE769" s="742" t="str">
        <f t="shared" si="89"/>
        <v/>
      </c>
      <c r="DF769" s="742" t="str">
        <f t="shared" si="90"/>
        <v/>
      </c>
      <c r="DG769" s="742" t="str">
        <f t="shared" si="91"/>
        <v/>
      </c>
      <c r="DH769" s="742" t="str">
        <f t="shared" si="92"/>
        <v/>
      </c>
      <c r="DI769" s="742" t="str">
        <f t="shared" si="93"/>
        <v/>
      </c>
      <c r="DJ769" s="742" t="str">
        <f t="shared" si="94"/>
        <v/>
      </c>
      <c r="DK769" s="742" t="str">
        <f t="shared" si="95"/>
        <v/>
      </c>
      <c r="DL769" s="742" t="str">
        <f t="shared" si="96"/>
        <v/>
      </c>
      <c r="DM769" s="742" t="str">
        <f t="shared" si="97"/>
        <v/>
      </c>
      <c r="DN769" s="742" t="str">
        <f t="shared" si="98"/>
        <v/>
      </c>
      <c r="DO769" s="742" t="str">
        <f t="shared" si="99"/>
        <v/>
      </c>
      <c r="DP769" s="742" t="str">
        <f t="shared" si="100"/>
        <v/>
      </c>
      <c r="DQ769" s="742" t="str">
        <f t="shared" si="101"/>
        <v/>
      </c>
      <c r="DR769" s="742" t="str">
        <f t="shared" si="102"/>
        <v/>
      </c>
      <c r="DS769" s="742" t="str">
        <f t="shared" si="103"/>
        <v/>
      </c>
      <c r="DT769" s="742" t="str">
        <f t="shared" si="104"/>
        <v/>
      </c>
      <c r="DU769" s="742" t="str">
        <f t="shared" si="105"/>
        <v/>
      </c>
      <c r="DV769" s="742" t="str">
        <f t="shared" si="106"/>
        <v/>
      </c>
      <c r="DW769" s="742" t="str">
        <f t="shared" si="107"/>
        <v/>
      </c>
      <c r="DX769" s="742" t="str">
        <f t="shared" si="108"/>
        <v/>
      </c>
      <c r="DY769" s="742" t="str">
        <f t="shared" si="109"/>
        <v/>
      </c>
      <c r="DZ769" s="742" t="str">
        <f t="shared" si="110"/>
        <v/>
      </c>
      <c r="EA769" s="742" t="str">
        <f t="shared" si="111"/>
        <v/>
      </c>
      <c r="EB769" s="742" t="str">
        <f t="shared" si="112"/>
        <v/>
      </c>
      <c r="EC769" s="742" t="str">
        <f t="shared" si="113"/>
        <v/>
      </c>
      <c r="ED769" s="742" t="str">
        <f t="shared" si="114"/>
        <v/>
      </c>
      <c r="EE769" s="742" t="str">
        <f t="shared" si="115"/>
        <v/>
      </c>
      <c r="EF769" s="742" t="str">
        <f t="shared" si="116"/>
        <v/>
      </c>
      <c r="EG769" s="742" t="str">
        <f t="shared" si="117"/>
        <v/>
      </c>
      <c r="EH769" s="742" t="str">
        <f t="shared" si="118"/>
        <v/>
      </c>
      <c r="EI769" s="742" t="str">
        <f t="shared" si="119"/>
        <v/>
      </c>
      <c r="EJ769" s="742" t="str">
        <f t="shared" si="120"/>
        <v/>
      </c>
      <c r="EK769" s="742" t="str">
        <f t="shared" si="121"/>
        <v/>
      </c>
      <c r="EL769" s="742" t="str">
        <f t="shared" si="122"/>
        <v/>
      </c>
      <c r="EM769" s="742" t="str">
        <f t="shared" si="123"/>
        <v/>
      </c>
      <c r="EN769" s="742" t="str">
        <f t="shared" si="124"/>
        <v/>
      </c>
      <c r="EO769" s="742" t="str">
        <f t="shared" si="125"/>
        <v/>
      </c>
      <c r="EP769" s="742" t="str">
        <f t="shared" si="126"/>
        <v/>
      </c>
      <c r="EQ769" s="742" t="str">
        <f t="shared" si="127"/>
        <v/>
      </c>
      <c r="ER769" s="742" t="str">
        <f t="shared" si="128"/>
        <v/>
      </c>
      <c r="ES769" s="742" t="str">
        <f t="shared" si="129"/>
        <v/>
      </c>
      <c r="ET769" s="742" t="str">
        <f t="shared" si="130"/>
        <v/>
      </c>
      <c r="EU769" s="742" t="str">
        <f t="shared" si="131"/>
        <v/>
      </c>
      <c r="EV769" s="742" t="str">
        <f t="shared" si="132"/>
        <v/>
      </c>
      <c r="EW769" s="1638" t="str">
        <f t="shared" si="133"/>
        <v/>
      </c>
      <c r="EX769" s="1638" t="str">
        <f t="shared" si="134"/>
        <v/>
      </c>
      <c r="EY769" s="1638" t="str">
        <f t="shared" si="135"/>
        <v/>
      </c>
      <c r="EZ769" s="1638" t="str">
        <f t="shared" si="136"/>
        <v/>
      </c>
      <c r="FA769" s="1638" t="str">
        <f t="shared" si="137"/>
        <v/>
      </c>
      <c r="FB769" s="1638" t="str">
        <f t="shared" si="138"/>
        <v/>
      </c>
      <c r="FC769" s="1638" t="str">
        <f t="shared" si="139"/>
        <v/>
      </c>
      <c r="FD769" s="1638" t="str">
        <f t="shared" si="140"/>
        <v/>
      </c>
      <c r="FE769" s="1638" t="str">
        <f t="shared" si="141"/>
        <v/>
      </c>
      <c r="FF769" s="1638" t="str">
        <f t="shared" si="142"/>
        <v/>
      </c>
      <c r="FG769" s="1638" t="str">
        <f t="shared" si="143"/>
        <v/>
      </c>
      <c r="FH769" s="1638" t="str">
        <f t="shared" si="144"/>
        <v/>
      </c>
      <c r="FI769" s="1638" t="str">
        <f t="shared" si="145"/>
        <v/>
      </c>
      <c r="FJ769" s="1638" t="str">
        <f t="shared" si="146"/>
        <v/>
      </c>
      <c r="FK769" s="1638" t="str">
        <f t="shared" si="147"/>
        <v/>
      </c>
      <c r="FL769" s="1638" t="str">
        <f t="shared" si="148"/>
        <v/>
      </c>
      <c r="FM769" s="1638" t="str">
        <f t="shared" si="149"/>
        <v/>
      </c>
      <c r="FN769" s="1638" t="str">
        <f t="shared" si="150"/>
        <v/>
      </c>
      <c r="FO769" s="1638" t="str">
        <f t="shared" si="151"/>
        <v/>
      </c>
      <c r="FP769" s="1638" t="str">
        <f t="shared" si="152"/>
        <v/>
      </c>
      <c r="FQ769" s="1638" t="str">
        <f t="shared" si="153"/>
        <v/>
      </c>
      <c r="FR769" s="1638" t="str">
        <f t="shared" si="154"/>
        <v/>
      </c>
      <c r="FS769" s="1638" t="str">
        <f t="shared" si="155"/>
        <v/>
      </c>
      <c r="FT769" s="1638" t="str">
        <f t="shared" si="156"/>
        <v/>
      </c>
      <c r="FU769" s="1638" t="str">
        <f t="shared" si="157"/>
        <v/>
      </c>
      <c r="FV769" s="1638" t="str">
        <f t="shared" si="158"/>
        <v/>
      </c>
      <c r="FW769" s="1638" t="str">
        <f t="shared" si="159"/>
        <v/>
      </c>
      <c r="FX769" s="1638" t="str">
        <f t="shared" si="160"/>
        <v/>
      </c>
      <c r="FY769" s="1638" t="str">
        <f t="shared" si="161"/>
        <v/>
      </c>
      <c r="FZ769" s="1638" t="str">
        <f t="shared" si="162"/>
        <v/>
      </c>
      <c r="GA769" s="1638" t="str">
        <f t="shared" si="163"/>
        <v/>
      </c>
      <c r="GB769" s="1638" t="str">
        <f t="shared" si="164"/>
        <v/>
      </c>
      <c r="GC769" s="1638" t="str">
        <f t="shared" si="165"/>
        <v/>
      </c>
      <c r="GD769" s="1638" t="str">
        <f t="shared" si="166"/>
        <v/>
      </c>
      <c r="GE769" s="1638" t="str">
        <f t="shared" si="167"/>
        <v/>
      </c>
      <c r="GF769" s="1638" t="str">
        <f t="shared" si="168"/>
        <v/>
      </c>
      <c r="GG769" s="1638" t="str">
        <f t="shared" si="169"/>
        <v/>
      </c>
      <c r="GH769" s="1638" t="str">
        <f t="shared" si="170"/>
        <v/>
      </c>
      <c r="GI769" s="1638" t="str">
        <f t="shared" si="171"/>
        <v/>
      </c>
      <c r="GJ769" s="1638" t="str">
        <f t="shared" si="172"/>
        <v/>
      </c>
      <c r="GK769" s="1638" t="str">
        <f t="shared" si="173"/>
        <v/>
      </c>
      <c r="GL769" s="1638" t="str">
        <f t="shared" si="174"/>
        <v/>
      </c>
      <c r="GM769" s="1638" t="str">
        <f t="shared" si="175"/>
        <v/>
      </c>
      <c r="GN769" s="1638" t="str">
        <f t="shared" si="176"/>
        <v/>
      </c>
      <c r="GO769" s="1638" t="str">
        <f t="shared" si="177"/>
        <v/>
      </c>
      <c r="GP769" s="1638" t="str">
        <f t="shared" si="178"/>
        <v/>
      </c>
      <c r="GQ769" s="1638" t="str">
        <f t="shared" si="179"/>
        <v/>
      </c>
      <c r="GR769" s="1638" t="str">
        <f t="shared" si="180"/>
        <v/>
      </c>
      <c r="GS769" s="1638" t="str">
        <f t="shared" si="181"/>
        <v/>
      </c>
      <c r="GT769" s="1638" t="str">
        <f t="shared" si="182"/>
        <v/>
      </c>
      <c r="GU769" s="1638" t="str">
        <f t="shared" si="183"/>
        <v/>
      </c>
      <c r="GV769" s="1638" t="str">
        <f t="shared" si="184"/>
        <v/>
      </c>
      <c r="GW769" s="1638" t="str">
        <f t="shared" si="185"/>
        <v/>
      </c>
      <c r="GX769" s="1638" t="str">
        <f t="shared" si="186"/>
        <v/>
      </c>
      <c r="GY769" s="1638" t="str">
        <f t="shared" si="187"/>
        <v/>
      </c>
      <c r="GZ769" s="1638" t="str">
        <f t="shared" si="188"/>
        <v/>
      </c>
      <c r="HA769" s="1638" t="str">
        <f t="shared" si="189"/>
        <v/>
      </c>
      <c r="HB769" s="1638" t="str">
        <f t="shared" si="190"/>
        <v/>
      </c>
      <c r="HC769" s="1638" t="str">
        <f t="shared" si="191"/>
        <v/>
      </c>
      <c r="HD769" s="1638" t="str">
        <f t="shared" si="192"/>
        <v/>
      </c>
      <c r="HE769" s="1638" t="str">
        <f t="shared" si="193"/>
        <v/>
      </c>
      <c r="HF769" s="1638" t="str">
        <f t="shared" si="194"/>
        <v/>
      </c>
      <c r="HG769" s="1638" t="str">
        <f t="shared" si="195"/>
        <v/>
      </c>
      <c r="HH769" s="1638" t="str">
        <f t="shared" si="196"/>
        <v/>
      </c>
      <c r="HI769" s="1638" t="str">
        <f t="shared" si="197"/>
        <v/>
      </c>
      <c r="HJ769" s="1638" t="str">
        <f t="shared" si="198"/>
        <v/>
      </c>
      <c r="HK769" s="1638" t="str">
        <f t="shared" si="199"/>
        <v/>
      </c>
      <c r="HL769" s="1638" t="str">
        <f t="shared" si="200"/>
        <v/>
      </c>
      <c r="HM769" s="1638" t="str">
        <f t="shared" si="201"/>
        <v/>
      </c>
      <c r="HN769" s="1638" t="str">
        <f t="shared" si="202"/>
        <v/>
      </c>
      <c r="HO769" s="1638" t="str">
        <f t="shared" si="203"/>
        <v/>
      </c>
      <c r="HP769" s="1638" t="str">
        <f t="shared" si="204"/>
        <v/>
      </c>
      <c r="HQ769" s="1638" t="str">
        <f t="shared" si="205"/>
        <v/>
      </c>
      <c r="HR769" s="1638" t="str">
        <f t="shared" si="206"/>
        <v/>
      </c>
      <c r="HS769" s="1638" t="str">
        <f t="shared" si="207"/>
        <v/>
      </c>
      <c r="HT769" s="1638" t="str">
        <f t="shared" si="208"/>
        <v/>
      </c>
      <c r="HU769" s="1638" t="str">
        <f t="shared" si="209"/>
        <v/>
      </c>
      <c r="HV769" s="1638" t="str">
        <f t="shared" si="210"/>
        <v/>
      </c>
      <c r="HW769" s="1638" t="str">
        <f t="shared" si="211"/>
        <v/>
      </c>
      <c r="HX769" s="1638" t="str">
        <f t="shared" si="212"/>
        <v/>
      </c>
      <c r="HY769" s="1638" t="str">
        <f t="shared" si="213"/>
        <v/>
      </c>
      <c r="HZ769" s="1638" t="str">
        <f t="shared" si="214"/>
        <v/>
      </c>
      <c r="IA769" s="1638" t="str">
        <f t="shared" si="215"/>
        <v/>
      </c>
      <c r="IB769" s="1638" t="str">
        <f t="shared" si="216"/>
        <v/>
      </c>
      <c r="IC769" s="1638" t="str">
        <f t="shared" si="217"/>
        <v/>
      </c>
      <c r="ID769" s="1639" t="str">
        <f t="shared" si="218"/>
        <v/>
      </c>
      <c r="IE769" s="1639" t="str">
        <f t="shared" si="219"/>
        <v/>
      </c>
      <c r="IF769" s="1639" t="str">
        <f t="shared" si="220"/>
        <v/>
      </c>
      <c r="IG769" s="1639" t="str">
        <f t="shared" si="221"/>
        <v/>
      </c>
      <c r="IH769" s="1639" t="str">
        <f t="shared" si="222"/>
        <v/>
      </c>
      <c r="II769" s="742" t="str">
        <f t="shared" si="223"/>
        <v/>
      </c>
      <c r="IJ769" s="742" t="str">
        <f t="shared" si="224"/>
        <v/>
      </c>
      <c r="IK769" s="742" t="str">
        <f t="shared" si="225"/>
        <v/>
      </c>
      <c r="IL769" s="742" t="str">
        <f t="shared" si="226"/>
        <v/>
      </c>
      <c r="IM769" s="742" t="str">
        <f t="shared" si="227"/>
        <v/>
      </c>
      <c r="IN769" s="742" t="str">
        <f t="shared" si="228"/>
        <v/>
      </c>
      <c r="IO769" s="742" t="str">
        <f t="shared" si="229"/>
        <v/>
      </c>
      <c r="IP769" s="742" t="str">
        <f t="shared" si="230"/>
        <v/>
      </c>
      <c r="IQ769" s="742" t="str">
        <f t="shared" si="231"/>
        <v/>
      </c>
      <c r="IR769" s="742" t="str">
        <f t="shared" si="232"/>
        <v/>
      </c>
      <c r="IS769" s="742" t="str">
        <f t="shared" si="233"/>
        <v/>
      </c>
      <c r="IT769" s="742" t="str">
        <f t="shared" si="234"/>
        <v/>
      </c>
      <c r="IU769" s="742" t="str">
        <f t="shared" si="235"/>
        <v/>
      </c>
      <c r="IV769" s="742" t="str">
        <f t="shared" si="236"/>
        <v/>
      </c>
      <c r="IW769" s="742" t="str">
        <f t="shared" si="237"/>
        <v/>
      </c>
      <c r="IX769" s="742" t="str">
        <f t="shared" si="238"/>
        <v/>
      </c>
      <c r="IY769" s="742" t="str">
        <f t="shared" si="239"/>
        <v/>
      </c>
      <c r="IZ769" s="742" t="str">
        <f t="shared" si="240"/>
        <v/>
      </c>
      <c r="JA769" s="742" t="str">
        <f t="shared" si="241"/>
        <v/>
      </c>
      <c r="JB769" s="742" t="str">
        <f t="shared" si="242"/>
        <v/>
      </c>
      <c r="JC769" s="1637">
        <f t="shared" si="243"/>
        <v>0</v>
      </c>
      <c r="JD769" s="1637">
        <f t="shared" si="244"/>
        <v>0</v>
      </c>
      <c r="JE769" s="1637">
        <f t="shared" si="245"/>
        <v>0</v>
      </c>
      <c r="JF769" s="1637">
        <f t="shared" si="246"/>
        <v>0</v>
      </c>
      <c r="JG769" s="1637">
        <f t="shared" si="247"/>
        <v>0</v>
      </c>
      <c r="JH769" s="1637">
        <f t="shared" si="248"/>
        <v>0</v>
      </c>
      <c r="JI769" s="1637">
        <f t="shared" si="249"/>
        <v>0</v>
      </c>
      <c r="JJ769" s="1637">
        <f t="shared" si="250"/>
        <v>0</v>
      </c>
      <c r="JK769" s="1637">
        <f t="shared" si="251"/>
        <v>0</v>
      </c>
      <c r="JL769" s="1637">
        <f t="shared" si="252"/>
        <v>0</v>
      </c>
      <c r="JM769" s="1637">
        <f t="shared" si="253"/>
        <v>0</v>
      </c>
      <c r="JN769" s="1637">
        <f t="shared" si="254"/>
        <v>0</v>
      </c>
      <c r="JO769" s="1637">
        <f t="shared" si="255"/>
        <v>0</v>
      </c>
      <c r="JP769" s="1637">
        <f t="shared" si="256"/>
        <v>0</v>
      </c>
      <c r="JQ769" s="1637">
        <f t="shared" si="257"/>
        <v>0</v>
      </c>
    </row>
    <row r="770" spans="1:277" ht="12" customHeight="1">
      <c r="A770" s="1813" t="str">
        <f t="shared" si="0"/>
        <v/>
      </c>
      <c r="B770" s="2145" t="str">
        <f>'Part VI-Revenues &amp; Expenses'!B13</f>
        <v>Unrestricted</v>
      </c>
      <c r="C770" s="2146">
        <f>'Part VI-Revenues &amp; Expenses'!C13</f>
        <v>0</v>
      </c>
      <c r="D770" s="2147">
        <f>'Part VI-Revenues &amp; Expenses'!D13</f>
        <v>0</v>
      </c>
      <c r="E770" s="2148">
        <f>'Part VI-Revenues &amp; Expenses'!E13</f>
        <v>0</v>
      </c>
      <c r="F770" s="2148">
        <f>'Part VI-Revenues &amp; Expenses'!F13</f>
        <v>0</v>
      </c>
      <c r="G770" s="2148">
        <f>'Part VI-Revenues &amp; Expenses'!G13</f>
        <v>0</v>
      </c>
      <c r="H770" s="2148">
        <f>'Part VI-Revenues &amp; Expenses'!H13</f>
        <v>0</v>
      </c>
      <c r="I770" s="2148">
        <f>'Part VI-Revenues &amp; Expenses'!I13</f>
        <v>0</v>
      </c>
      <c r="J770" s="2149">
        <f>'Part VI-Revenues &amp; Expenses'!J13</f>
        <v>0</v>
      </c>
      <c r="K770" s="1822">
        <f t="shared" si="1"/>
        <v>0</v>
      </c>
      <c r="L770" s="1822">
        <f t="shared" si="2"/>
        <v>0</v>
      </c>
      <c r="M770" s="2133">
        <f>'Part VI-Revenues &amp; Expenses'!M13</f>
        <v>0</v>
      </c>
      <c r="N770" s="2133">
        <f>'Part VI-Revenues &amp; Expenses'!N13</f>
        <v>0</v>
      </c>
      <c r="O770" s="2133">
        <f>'Part VI-Revenues &amp; Expenses'!O13</f>
        <v>0</v>
      </c>
      <c r="P770" s="1633">
        <f>'Part VI-Revenues &amp; Expenses'!P13</f>
        <v>0</v>
      </c>
      <c r="Q770" s="1823" t="str">
        <f>'Part VI-Revenues &amp; Expenses'!Q13</f>
        <v/>
      </c>
      <c r="R770" s="1824" t="str">
        <f>'Part VI-Revenues &amp; Expenses'!R13</f>
        <v/>
      </c>
      <c r="S770" s="1823">
        <f>'Part VI-Revenues &amp; Expenses'!S13</f>
        <v>0</v>
      </c>
      <c r="T770" s="1824">
        <f>'Part VI-Revenues &amp; Expenses'!T13</f>
        <v>0</v>
      </c>
      <c r="U770" s="1838"/>
      <c r="V770" s="1838"/>
      <c r="W770" s="742" t="str">
        <f t="shared" si="3"/>
        <v/>
      </c>
      <c r="X770" s="742" t="str">
        <f t="shared" si="4"/>
        <v/>
      </c>
      <c r="Y770" s="742" t="str">
        <f t="shared" si="5"/>
        <v/>
      </c>
      <c r="Z770" s="742" t="str">
        <f t="shared" si="6"/>
        <v/>
      </c>
      <c r="AA770" s="742" t="str">
        <f t="shared" si="7"/>
        <v/>
      </c>
      <c r="AB770" s="742" t="str">
        <f t="shared" si="8"/>
        <v/>
      </c>
      <c r="AC770" s="742" t="str">
        <f t="shared" si="9"/>
        <v/>
      </c>
      <c r="AD770" s="742" t="str">
        <f t="shared" si="10"/>
        <v/>
      </c>
      <c r="AE770" s="742" t="str">
        <f t="shared" si="11"/>
        <v/>
      </c>
      <c r="AF770" s="742" t="str">
        <f t="shared" si="12"/>
        <v/>
      </c>
      <c r="AG770" s="742" t="str">
        <f t="shared" si="13"/>
        <v/>
      </c>
      <c r="AH770" s="742" t="str">
        <f t="shared" si="14"/>
        <v/>
      </c>
      <c r="AI770" s="742" t="str">
        <f t="shared" si="15"/>
        <v/>
      </c>
      <c r="AJ770" s="742" t="str">
        <f t="shared" si="16"/>
        <v/>
      </c>
      <c r="AK770" s="742" t="str">
        <f t="shared" si="17"/>
        <v/>
      </c>
      <c r="AL770" s="742" t="str">
        <f t="shared" si="18"/>
        <v/>
      </c>
      <c r="AM770" s="742" t="str">
        <f t="shared" si="19"/>
        <v/>
      </c>
      <c r="AN770" s="742" t="str">
        <f t="shared" si="20"/>
        <v/>
      </c>
      <c r="AO770" s="742" t="str">
        <f t="shared" si="21"/>
        <v/>
      </c>
      <c r="AP770" s="742" t="str">
        <f t="shared" si="22"/>
        <v/>
      </c>
      <c r="AQ770" s="742" t="str">
        <f t="shared" si="23"/>
        <v/>
      </c>
      <c r="AR770" s="742" t="str">
        <f t="shared" si="24"/>
        <v/>
      </c>
      <c r="AS770" s="742" t="str">
        <f t="shared" si="25"/>
        <v/>
      </c>
      <c r="AT770" s="742" t="str">
        <f t="shared" si="26"/>
        <v/>
      </c>
      <c r="AU770" s="742" t="str">
        <f t="shared" si="27"/>
        <v/>
      </c>
      <c r="AV770" s="742" t="str">
        <f t="shared" si="28"/>
        <v/>
      </c>
      <c r="AW770" s="742" t="str">
        <f t="shared" si="29"/>
        <v/>
      </c>
      <c r="AX770" s="742" t="str">
        <f t="shared" si="30"/>
        <v/>
      </c>
      <c r="AY770" s="742" t="str">
        <f t="shared" si="31"/>
        <v/>
      </c>
      <c r="AZ770" s="742" t="str">
        <f t="shared" si="32"/>
        <v/>
      </c>
      <c r="BA770" s="742" t="str">
        <f t="shared" si="33"/>
        <v/>
      </c>
      <c r="BB770" s="742" t="str">
        <f t="shared" si="34"/>
        <v/>
      </c>
      <c r="BC770" s="742" t="str">
        <f t="shared" si="35"/>
        <v/>
      </c>
      <c r="BD770" s="742" t="str">
        <f t="shared" si="36"/>
        <v/>
      </c>
      <c r="BE770" s="742" t="str">
        <f t="shared" si="37"/>
        <v/>
      </c>
      <c r="BF770" s="742" t="str">
        <f t="shared" si="38"/>
        <v/>
      </c>
      <c r="BG770" s="742" t="str">
        <f t="shared" si="39"/>
        <v/>
      </c>
      <c r="BH770" s="742" t="str">
        <f t="shared" si="40"/>
        <v/>
      </c>
      <c r="BI770" s="742" t="str">
        <f t="shared" si="41"/>
        <v/>
      </c>
      <c r="BJ770" s="742" t="str">
        <f t="shared" si="42"/>
        <v/>
      </c>
      <c r="BK770" s="742" t="str">
        <f t="shared" si="43"/>
        <v/>
      </c>
      <c r="BL770" s="742" t="str">
        <f t="shared" si="44"/>
        <v/>
      </c>
      <c r="BM770" s="742" t="str">
        <f t="shared" si="45"/>
        <v/>
      </c>
      <c r="BN770" s="742" t="str">
        <f t="shared" si="46"/>
        <v/>
      </c>
      <c r="BO770" s="742" t="str">
        <f t="shared" si="47"/>
        <v/>
      </c>
      <c r="BP770" s="742" t="str">
        <f t="shared" si="48"/>
        <v/>
      </c>
      <c r="BQ770" s="742" t="str">
        <f t="shared" si="49"/>
        <v/>
      </c>
      <c r="BR770" s="742" t="str">
        <f t="shared" si="50"/>
        <v/>
      </c>
      <c r="BS770" s="742" t="str">
        <f t="shared" si="51"/>
        <v/>
      </c>
      <c r="BT770" s="742" t="str">
        <f t="shared" si="52"/>
        <v/>
      </c>
      <c r="BU770" s="742" t="str">
        <f t="shared" si="53"/>
        <v/>
      </c>
      <c r="BV770" s="742" t="str">
        <f t="shared" si="54"/>
        <v/>
      </c>
      <c r="BW770" s="742" t="str">
        <f t="shared" si="55"/>
        <v/>
      </c>
      <c r="BX770" s="742" t="str">
        <f t="shared" si="56"/>
        <v/>
      </c>
      <c r="BY770" s="742" t="str">
        <f t="shared" si="57"/>
        <v/>
      </c>
      <c r="BZ770" s="742" t="str">
        <f t="shared" si="58"/>
        <v/>
      </c>
      <c r="CA770" s="742" t="str">
        <f t="shared" si="59"/>
        <v/>
      </c>
      <c r="CB770" s="742" t="str">
        <f t="shared" si="60"/>
        <v/>
      </c>
      <c r="CC770" s="742" t="str">
        <f t="shared" si="61"/>
        <v/>
      </c>
      <c r="CD770" s="742" t="str">
        <f t="shared" si="62"/>
        <v/>
      </c>
      <c r="CE770" s="742" t="str">
        <f t="shared" si="63"/>
        <v/>
      </c>
      <c r="CF770" s="742" t="str">
        <f t="shared" si="64"/>
        <v/>
      </c>
      <c r="CG770" s="742" t="str">
        <f t="shared" si="65"/>
        <v/>
      </c>
      <c r="CH770" s="742" t="str">
        <f t="shared" si="66"/>
        <v/>
      </c>
      <c r="CI770" s="742" t="str">
        <f t="shared" si="67"/>
        <v/>
      </c>
      <c r="CJ770" s="742" t="str">
        <f t="shared" si="68"/>
        <v/>
      </c>
      <c r="CK770" s="742" t="str">
        <f t="shared" si="69"/>
        <v/>
      </c>
      <c r="CL770" s="742" t="str">
        <f t="shared" si="70"/>
        <v/>
      </c>
      <c r="CM770" s="742" t="str">
        <f t="shared" si="71"/>
        <v/>
      </c>
      <c r="CN770" s="742" t="str">
        <f t="shared" si="72"/>
        <v/>
      </c>
      <c r="CO770" s="742" t="str">
        <f t="shared" si="73"/>
        <v/>
      </c>
      <c r="CP770" s="742" t="str">
        <f t="shared" si="74"/>
        <v/>
      </c>
      <c r="CQ770" s="742" t="str">
        <f t="shared" si="75"/>
        <v/>
      </c>
      <c r="CR770" s="742" t="str">
        <f t="shared" si="76"/>
        <v/>
      </c>
      <c r="CS770" s="742" t="str">
        <f t="shared" si="77"/>
        <v/>
      </c>
      <c r="CT770" s="742" t="str">
        <f t="shared" si="78"/>
        <v/>
      </c>
      <c r="CU770" s="742" t="str">
        <f t="shared" si="79"/>
        <v/>
      </c>
      <c r="CV770" s="742" t="str">
        <f t="shared" si="80"/>
        <v/>
      </c>
      <c r="CW770" s="742" t="str">
        <f t="shared" si="81"/>
        <v/>
      </c>
      <c r="CX770" s="742" t="str">
        <f t="shared" si="82"/>
        <v/>
      </c>
      <c r="CY770" s="742" t="str">
        <f t="shared" si="83"/>
        <v/>
      </c>
      <c r="CZ770" s="742" t="str">
        <f t="shared" si="84"/>
        <v/>
      </c>
      <c r="DA770" s="742" t="str">
        <f t="shared" si="85"/>
        <v/>
      </c>
      <c r="DB770" s="742" t="str">
        <f t="shared" si="86"/>
        <v/>
      </c>
      <c r="DC770" s="742" t="str">
        <f t="shared" si="87"/>
        <v/>
      </c>
      <c r="DD770" s="742" t="str">
        <f t="shared" si="88"/>
        <v/>
      </c>
      <c r="DE770" s="742" t="str">
        <f t="shared" si="89"/>
        <v/>
      </c>
      <c r="DF770" s="742" t="str">
        <f t="shared" si="90"/>
        <v/>
      </c>
      <c r="DG770" s="742" t="str">
        <f t="shared" si="91"/>
        <v/>
      </c>
      <c r="DH770" s="742" t="str">
        <f t="shared" si="92"/>
        <v/>
      </c>
      <c r="DI770" s="742" t="str">
        <f t="shared" si="93"/>
        <v/>
      </c>
      <c r="DJ770" s="742" t="str">
        <f t="shared" si="94"/>
        <v/>
      </c>
      <c r="DK770" s="742" t="str">
        <f t="shared" si="95"/>
        <v/>
      </c>
      <c r="DL770" s="742" t="str">
        <f t="shared" si="96"/>
        <v/>
      </c>
      <c r="DM770" s="742" t="str">
        <f t="shared" si="97"/>
        <v/>
      </c>
      <c r="DN770" s="742" t="str">
        <f t="shared" si="98"/>
        <v/>
      </c>
      <c r="DO770" s="742" t="str">
        <f t="shared" si="99"/>
        <v/>
      </c>
      <c r="DP770" s="742" t="str">
        <f t="shared" si="100"/>
        <v/>
      </c>
      <c r="DQ770" s="742" t="str">
        <f t="shared" si="101"/>
        <v/>
      </c>
      <c r="DR770" s="742" t="str">
        <f t="shared" si="102"/>
        <v/>
      </c>
      <c r="DS770" s="742" t="str">
        <f t="shared" si="103"/>
        <v/>
      </c>
      <c r="DT770" s="742" t="str">
        <f t="shared" si="104"/>
        <v/>
      </c>
      <c r="DU770" s="742" t="str">
        <f t="shared" si="105"/>
        <v/>
      </c>
      <c r="DV770" s="742" t="str">
        <f t="shared" si="106"/>
        <v/>
      </c>
      <c r="DW770" s="742" t="str">
        <f t="shared" si="107"/>
        <v/>
      </c>
      <c r="DX770" s="742" t="str">
        <f t="shared" si="108"/>
        <v/>
      </c>
      <c r="DY770" s="742" t="str">
        <f t="shared" si="109"/>
        <v/>
      </c>
      <c r="DZ770" s="742" t="str">
        <f t="shared" si="110"/>
        <v/>
      </c>
      <c r="EA770" s="742" t="str">
        <f t="shared" si="111"/>
        <v/>
      </c>
      <c r="EB770" s="742" t="str">
        <f t="shared" si="112"/>
        <v/>
      </c>
      <c r="EC770" s="742" t="str">
        <f t="shared" si="113"/>
        <v/>
      </c>
      <c r="ED770" s="742" t="str">
        <f t="shared" si="114"/>
        <v/>
      </c>
      <c r="EE770" s="742" t="str">
        <f t="shared" si="115"/>
        <v/>
      </c>
      <c r="EF770" s="742" t="str">
        <f t="shared" si="116"/>
        <v/>
      </c>
      <c r="EG770" s="742" t="str">
        <f t="shared" si="117"/>
        <v/>
      </c>
      <c r="EH770" s="742" t="str">
        <f t="shared" si="118"/>
        <v/>
      </c>
      <c r="EI770" s="742" t="str">
        <f t="shared" si="119"/>
        <v/>
      </c>
      <c r="EJ770" s="742" t="str">
        <f t="shared" si="120"/>
        <v/>
      </c>
      <c r="EK770" s="742" t="str">
        <f t="shared" si="121"/>
        <v/>
      </c>
      <c r="EL770" s="742" t="str">
        <f t="shared" si="122"/>
        <v/>
      </c>
      <c r="EM770" s="742" t="str">
        <f t="shared" si="123"/>
        <v/>
      </c>
      <c r="EN770" s="742" t="str">
        <f t="shared" si="124"/>
        <v/>
      </c>
      <c r="EO770" s="742" t="str">
        <f t="shared" si="125"/>
        <v/>
      </c>
      <c r="EP770" s="742" t="str">
        <f t="shared" si="126"/>
        <v/>
      </c>
      <c r="EQ770" s="742" t="str">
        <f t="shared" si="127"/>
        <v/>
      </c>
      <c r="ER770" s="742" t="str">
        <f t="shared" si="128"/>
        <v/>
      </c>
      <c r="ES770" s="742" t="str">
        <f t="shared" si="129"/>
        <v/>
      </c>
      <c r="ET770" s="742" t="str">
        <f t="shared" si="130"/>
        <v/>
      </c>
      <c r="EU770" s="742" t="str">
        <f t="shared" si="131"/>
        <v/>
      </c>
      <c r="EV770" s="742" t="str">
        <f t="shared" si="132"/>
        <v/>
      </c>
      <c r="EW770" s="1638" t="str">
        <f t="shared" si="133"/>
        <v/>
      </c>
      <c r="EX770" s="1638" t="str">
        <f t="shared" si="134"/>
        <v/>
      </c>
      <c r="EY770" s="1638" t="str">
        <f t="shared" si="135"/>
        <v/>
      </c>
      <c r="EZ770" s="1638" t="str">
        <f t="shared" si="136"/>
        <v/>
      </c>
      <c r="FA770" s="1638" t="str">
        <f t="shared" si="137"/>
        <v/>
      </c>
      <c r="FB770" s="1638" t="str">
        <f t="shared" si="138"/>
        <v/>
      </c>
      <c r="FC770" s="1638" t="str">
        <f t="shared" si="139"/>
        <v/>
      </c>
      <c r="FD770" s="1638" t="str">
        <f t="shared" si="140"/>
        <v/>
      </c>
      <c r="FE770" s="1638" t="str">
        <f t="shared" si="141"/>
        <v/>
      </c>
      <c r="FF770" s="1638" t="str">
        <f t="shared" si="142"/>
        <v/>
      </c>
      <c r="FG770" s="1638" t="str">
        <f t="shared" si="143"/>
        <v/>
      </c>
      <c r="FH770" s="1638" t="str">
        <f t="shared" si="144"/>
        <v/>
      </c>
      <c r="FI770" s="1638" t="str">
        <f t="shared" si="145"/>
        <v/>
      </c>
      <c r="FJ770" s="1638" t="str">
        <f t="shared" si="146"/>
        <v/>
      </c>
      <c r="FK770" s="1638" t="str">
        <f t="shared" si="147"/>
        <v/>
      </c>
      <c r="FL770" s="1638" t="str">
        <f t="shared" si="148"/>
        <v/>
      </c>
      <c r="FM770" s="1638" t="str">
        <f t="shared" si="149"/>
        <v/>
      </c>
      <c r="FN770" s="1638" t="str">
        <f t="shared" si="150"/>
        <v/>
      </c>
      <c r="FO770" s="1638" t="str">
        <f t="shared" si="151"/>
        <v/>
      </c>
      <c r="FP770" s="1638" t="str">
        <f t="shared" si="152"/>
        <v/>
      </c>
      <c r="FQ770" s="1638" t="str">
        <f t="shared" si="153"/>
        <v/>
      </c>
      <c r="FR770" s="1638" t="str">
        <f t="shared" si="154"/>
        <v/>
      </c>
      <c r="FS770" s="1638" t="str">
        <f t="shared" si="155"/>
        <v/>
      </c>
      <c r="FT770" s="1638" t="str">
        <f t="shared" si="156"/>
        <v/>
      </c>
      <c r="FU770" s="1638" t="str">
        <f t="shared" si="157"/>
        <v/>
      </c>
      <c r="FV770" s="1638" t="str">
        <f t="shared" si="158"/>
        <v/>
      </c>
      <c r="FW770" s="1638" t="str">
        <f t="shared" si="159"/>
        <v/>
      </c>
      <c r="FX770" s="1638" t="str">
        <f t="shared" si="160"/>
        <v/>
      </c>
      <c r="FY770" s="1638" t="str">
        <f t="shared" si="161"/>
        <v/>
      </c>
      <c r="FZ770" s="1638" t="str">
        <f t="shared" si="162"/>
        <v/>
      </c>
      <c r="GA770" s="1638" t="str">
        <f t="shared" si="163"/>
        <v/>
      </c>
      <c r="GB770" s="1638" t="str">
        <f t="shared" si="164"/>
        <v/>
      </c>
      <c r="GC770" s="1638" t="str">
        <f t="shared" si="165"/>
        <v/>
      </c>
      <c r="GD770" s="1638" t="str">
        <f t="shared" si="166"/>
        <v/>
      </c>
      <c r="GE770" s="1638" t="str">
        <f t="shared" si="167"/>
        <v/>
      </c>
      <c r="GF770" s="1638" t="str">
        <f t="shared" si="168"/>
        <v/>
      </c>
      <c r="GG770" s="1638" t="str">
        <f t="shared" si="169"/>
        <v/>
      </c>
      <c r="GH770" s="1638" t="str">
        <f t="shared" si="170"/>
        <v/>
      </c>
      <c r="GI770" s="1638" t="str">
        <f t="shared" si="171"/>
        <v/>
      </c>
      <c r="GJ770" s="1638" t="str">
        <f t="shared" si="172"/>
        <v/>
      </c>
      <c r="GK770" s="1638" t="str">
        <f t="shared" si="173"/>
        <v/>
      </c>
      <c r="GL770" s="1638" t="str">
        <f t="shared" si="174"/>
        <v/>
      </c>
      <c r="GM770" s="1638" t="str">
        <f t="shared" si="175"/>
        <v/>
      </c>
      <c r="GN770" s="1638" t="str">
        <f t="shared" si="176"/>
        <v/>
      </c>
      <c r="GO770" s="1638" t="str">
        <f t="shared" si="177"/>
        <v/>
      </c>
      <c r="GP770" s="1638" t="str">
        <f t="shared" si="178"/>
        <v/>
      </c>
      <c r="GQ770" s="1638" t="str">
        <f t="shared" si="179"/>
        <v/>
      </c>
      <c r="GR770" s="1638" t="str">
        <f t="shared" si="180"/>
        <v/>
      </c>
      <c r="GS770" s="1638" t="str">
        <f t="shared" si="181"/>
        <v/>
      </c>
      <c r="GT770" s="1638" t="str">
        <f t="shared" si="182"/>
        <v/>
      </c>
      <c r="GU770" s="1638" t="str">
        <f t="shared" si="183"/>
        <v/>
      </c>
      <c r="GV770" s="1638" t="str">
        <f t="shared" si="184"/>
        <v/>
      </c>
      <c r="GW770" s="1638" t="str">
        <f t="shared" si="185"/>
        <v/>
      </c>
      <c r="GX770" s="1638" t="str">
        <f t="shared" si="186"/>
        <v/>
      </c>
      <c r="GY770" s="1638" t="str">
        <f t="shared" si="187"/>
        <v/>
      </c>
      <c r="GZ770" s="1638" t="str">
        <f t="shared" si="188"/>
        <v/>
      </c>
      <c r="HA770" s="1638" t="str">
        <f t="shared" si="189"/>
        <v/>
      </c>
      <c r="HB770" s="1638" t="str">
        <f t="shared" si="190"/>
        <v/>
      </c>
      <c r="HC770" s="1638" t="str">
        <f t="shared" si="191"/>
        <v/>
      </c>
      <c r="HD770" s="1638" t="str">
        <f t="shared" si="192"/>
        <v/>
      </c>
      <c r="HE770" s="1638" t="str">
        <f t="shared" si="193"/>
        <v/>
      </c>
      <c r="HF770" s="1638" t="str">
        <f t="shared" si="194"/>
        <v/>
      </c>
      <c r="HG770" s="1638" t="str">
        <f t="shared" si="195"/>
        <v/>
      </c>
      <c r="HH770" s="1638" t="str">
        <f t="shared" si="196"/>
        <v/>
      </c>
      <c r="HI770" s="1638" t="str">
        <f t="shared" si="197"/>
        <v/>
      </c>
      <c r="HJ770" s="1638" t="str">
        <f t="shared" si="198"/>
        <v/>
      </c>
      <c r="HK770" s="1638" t="str">
        <f t="shared" si="199"/>
        <v/>
      </c>
      <c r="HL770" s="1638" t="str">
        <f t="shared" si="200"/>
        <v/>
      </c>
      <c r="HM770" s="1638" t="str">
        <f t="shared" si="201"/>
        <v/>
      </c>
      <c r="HN770" s="1638" t="str">
        <f t="shared" si="202"/>
        <v/>
      </c>
      <c r="HO770" s="1638" t="str">
        <f t="shared" si="203"/>
        <v/>
      </c>
      <c r="HP770" s="1638" t="str">
        <f t="shared" si="204"/>
        <v/>
      </c>
      <c r="HQ770" s="1638" t="str">
        <f t="shared" si="205"/>
        <v/>
      </c>
      <c r="HR770" s="1638" t="str">
        <f t="shared" si="206"/>
        <v/>
      </c>
      <c r="HS770" s="1638" t="str">
        <f t="shared" si="207"/>
        <v/>
      </c>
      <c r="HT770" s="1638" t="str">
        <f t="shared" si="208"/>
        <v/>
      </c>
      <c r="HU770" s="1638" t="str">
        <f t="shared" si="209"/>
        <v/>
      </c>
      <c r="HV770" s="1638" t="str">
        <f t="shared" si="210"/>
        <v/>
      </c>
      <c r="HW770" s="1638" t="str">
        <f t="shared" si="211"/>
        <v/>
      </c>
      <c r="HX770" s="1638" t="str">
        <f t="shared" si="212"/>
        <v/>
      </c>
      <c r="HY770" s="1638" t="str">
        <f t="shared" si="213"/>
        <v/>
      </c>
      <c r="HZ770" s="1638" t="str">
        <f t="shared" si="214"/>
        <v/>
      </c>
      <c r="IA770" s="1638" t="str">
        <f t="shared" si="215"/>
        <v/>
      </c>
      <c r="IB770" s="1638" t="str">
        <f t="shared" si="216"/>
        <v/>
      </c>
      <c r="IC770" s="1638" t="str">
        <f t="shared" si="217"/>
        <v/>
      </c>
      <c r="ID770" s="1639" t="str">
        <f t="shared" si="218"/>
        <v/>
      </c>
      <c r="IE770" s="1639" t="str">
        <f t="shared" si="219"/>
        <v/>
      </c>
      <c r="IF770" s="1639" t="str">
        <f t="shared" si="220"/>
        <v/>
      </c>
      <c r="IG770" s="1639" t="str">
        <f t="shared" si="221"/>
        <v/>
      </c>
      <c r="IH770" s="1639" t="str">
        <f t="shared" si="222"/>
        <v/>
      </c>
      <c r="II770" s="742" t="str">
        <f t="shared" si="223"/>
        <v/>
      </c>
      <c r="IJ770" s="742" t="str">
        <f t="shared" si="224"/>
        <v/>
      </c>
      <c r="IK770" s="742" t="str">
        <f t="shared" si="225"/>
        <v/>
      </c>
      <c r="IL770" s="742" t="str">
        <f t="shared" si="226"/>
        <v/>
      </c>
      <c r="IM770" s="742" t="str">
        <f t="shared" si="227"/>
        <v/>
      </c>
      <c r="IN770" s="742" t="str">
        <f t="shared" si="228"/>
        <v/>
      </c>
      <c r="IO770" s="742" t="str">
        <f t="shared" si="229"/>
        <v/>
      </c>
      <c r="IP770" s="742" t="str">
        <f t="shared" si="230"/>
        <v/>
      </c>
      <c r="IQ770" s="742" t="str">
        <f t="shared" si="231"/>
        <v/>
      </c>
      <c r="IR770" s="742" t="str">
        <f t="shared" si="232"/>
        <v/>
      </c>
      <c r="IS770" s="742" t="str">
        <f t="shared" si="233"/>
        <v/>
      </c>
      <c r="IT770" s="742" t="str">
        <f t="shared" si="234"/>
        <v/>
      </c>
      <c r="IU770" s="742" t="str">
        <f t="shared" si="235"/>
        <v/>
      </c>
      <c r="IV770" s="742" t="str">
        <f t="shared" si="236"/>
        <v/>
      </c>
      <c r="IW770" s="742" t="str">
        <f t="shared" si="237"/>
        <v/>
      </c>
      <c r="IX770" s="742" t="str">
        <f t="shared" si="238"/>
        <v/>
      </c>
      <c r="IY770" s="742" t="str">
        <f t="shared" si="239"/>
        <v/>
      </c>
      <c r="IZ770" s="742" t="str">
        <f t="shared" si="240"/>
        <v/>
      </c>
      <c r="JA770" s="742" t="str">
        <f t="shared" si="241"/>
        <v/>
      </c>
      <c r="JB770" s="742" t="str">
        <f t="shared" si="242"/>
        <v/>
      </c>
      <c r="JC770" s="1637">
        <f t="shared" si="243"/>
        <v>0</v>
      </c>
      <c r="JD770" s="1637">
        <f t="shared" si="244"/>
        <v>0</v>
      </c>
      <c r="JE770" s="1637">
        <f t="shared" si="245"/>
        <v>0</v>
      </c>
      <c r="JF770" s="1637">
        <f t="shared" si="246"/>
        <v>0</v>
      </c>
      <c r="JG770" s="1637">
        <f t="shared" si="247"/>
        <v>0</v>
      </c>
      <c r="JH770" s="1637">
        <f t="shared" si="248"/>
        <v>0</v>
      </c>
      <c r="JI770" s="1637">
        <f t="shared" si="249"/>
        <v>0</v>
      </c>
      <c r="JJ770" s="1637">
        <f t="shared" si="250"/>
        <v>0</v>
      </c>
      <c r="JK770" s="1637">
        <f t="shared" si="251"/>
        <v>0</v>
      </c>
      <c r="JL770" s="1637">
        <f t="shared" si="252"/>
        <v>0</v>
      </c>
      <c r="JM770" s="1637">
        <f t="shared" si="253"/>
        <v>0</v>
      </c>
      <c r="JN770" s="1637">
        <f t="shared" si="254"/>
        <v>0</v>
      </c>
      <c r="JO770" s="1637">
        <f t="shared" si="255"/>
        <v>0</v>
      </c>
      <c r="JP770" s="1637">
        <f t="shared" si="256"/>
        <v>0</v>
      </c>
      <c r="JQ770" s="1637">
        <f t="shared" si="257"/>
        <v>0</v>
      </c>
    </row>
    <row r="771" spans="1:277" ht="12" customHeight="1">
      <c r="A771" s="1813" t="str">
        <f t="shared" si="0"/>
        <v/>
      </c>
      <c r="B771" s="2145" t="str">
        <f>'Part VI-Revenues &amp; Expenses'!B14</f>
        <v>Unrestricted</v>
      </c>
      <c r="C771" s="2146">
        <f>'Part VI-Revenues &amp; Expenses'!C14</f>
        <v>0</v>
      </c>
      <c r="D771" s="2147">
        <f>'Part VI-Revenues &amp; Expenses'!D14</f>
        <v>0</v>
      </c>
      <c r="E771" s="2148">
        <f>'Part VI-Revenues &amp; Expenses'!E14</f>
        <v>0</v>
      </c>
      <c r="F771" s="2148">
        <f>'Part VI-Revenues &amp; Expenses'!F14</f>
        <v>0</v>
      </c>
      <c r="G771" s="2148">
        <f>'Part VI-Revenues &amp; Expenses'!G14</f>
        <v>0</v>
      </c>
      <c r="H771" s="2148">
        <f>'Part VI-Revenues &amp; Expenses'!H14</f>
        <v>0</v>
      </c>
      <c r="I771" s="2148">
        <f>'Part VI-Revenues &amp; Expenses'!I14</f>
        <v>0</v>
      </c>
      <c r="J771" s="2149">
        <f>'Part VI-Revenues &amp; Expenses'!J14</f>
        <v>0</v>
      </c>
      <c r="K771" s="1822">
        <f t="shared" si="1"/>
        <v>0</v>
      </c>
      <c r="L771" s="1822">
        <f t="shared" si="2"/>
        <v>0</v>
      </c>
      <c r="M771" s="2133">
        <f>'Part VI-Revenues &amp; Expenses'!M14</f>
        <v>0</v>
      </c>
      <c r="N771" s="2133">
        <f>'Part VI-Revenues &amp; Expenses'!N14</f>
        <v>0</v>
      </c>
      <c r="O771" s="2133">
        <f>'Part VI-Revenues &amp; Expenses'!O14</f>
        <v>0</v>
      </c>
      <c r="P771" s="1633">
        <f>'Part VI-Revenues &amp; Expenses'!P14</f>
        <v>0</v>
      </c>
      <c r="Q771" s="1823" t="str">
        <f>'Part VI-Revenues &amp; Expenses'!Q14</f>
        <v/>
      </c>
      <c r="R771" s="1824" t="str">
        <f>'Part VI-Revenues &amp; Expenses'!R14</f>
        <v/>
      </c>
      <c r="S771" s="1823">
        <f>'Part VI-Revenues &amp; Expenses'!S14</f>
        <v>0</v>
      </c>
      <c r="T771" s="1824">
        <f>'Part VI-Revenues &amp; Expenses'!T14</f>
        <v>0</v>
      </c>
      <c r="U771" s="1838"/>
      <c r="V771" s="1838"/>
      <c r="W771" s="742" t="str">
        <f t="shared" si="3"/>
        <v/>
      </c>
      <c r="X771" s="742" t="str">
        <f t="shared" si="4"/>
        <v/>
      </c>
      <c r="Y771" s="742" t="str">
        <f t="shared" si="5"/>
        <v/>
      </c>
      <c r="Z771" s="742" t="str">
        <f t="shared" si="6"/>
        <v/>
      </c>
      <c r="AA771" s="742" t="str">
        <f t="shared" si="7"/>
        <v/>
      </c>
      <c r="AB771" s="742" t="str">
        <f t="shared" si="8"/>
        <v/>
      </c>
      <c r="AC771" s="742" t="str">
        <f t="shared" si="9"/>
        <v/>
      </c>
      <c r="AD771" s="742" t="str">
        <f t="shared" si="10"/>
        <v/>
      </c>
      <c r="AE771" s="742" t="str">
        <f t="shared" si="11"/>
        <v/>
      </c>
      <c r="AF771" s="742" t="str">
        <f t="shared" si="12"/>
        <v/>
      </c>
      <c r="AG771" s="742" t="str">
        <f t="shared" si="13"/>
        <v/>
      </c>
      <c r="AH771" s="742" t="str">
        <f t="shared" si="14"/>
        <v/>
      </c>
      <c r="AI771" s="742" t="str">
        <f t="shared" si="15"/>
        <v/>
      </c>
      <c r="AJ771" s="742" t="str">
        <f t="shared" si="16"/>
        <v/>
      </c>
      <c r="AK771" s="742" t="str">
        <f t="shared" si="17"/>
        <v/>
      </c>
      <c r="AL771" s="742" t="str">
        <f t="shared" si="18"/>
        <v/>
      </c>
      <c r="AM771" s="742" t="str">
        <f t="shared" si="19"/>
        <v/>
      </c>
      <c r="AN771" s="742" t="str">
        <f t="shared" si="20"/>
        <v/>
      </c>
      <c r="AO771" s="742" t="str">
        <f t="shared" si="21"/>
        <v/>
      </c>
      <c r="AP771" s="742" t="str">
        <f t="shared" si="22"/>
        <v/>
      </c>
      <c r="AQ771" s="742" t="str">
        <f t="shared" si="23"/>
        <v/>
      </c>
      <c r="AR771" s="742" t="str">
        <f t="shared" si="24"/>
        <v/>
      </c>
      <c r="AS771" s="742" t="str">
        <f t="shared" si="25"/>
        <v/>
      </c>
      <c r="AT771" s="742" t="str">
        <f t="shared" si="26"/>
        <v/>
      </c>
      <c r="AU771" s="742" t="str">
        <f t="shared" si="27"/>
        <v/>
      </c>
      <c r="AV771" s="742" t="str">
        <f t="shared" si="28"/>
        <v/>
      </c>
      <c r="AW771" s="742" t="str">
        <f t="shared" si="29"/>
        <v/>
      </c>
      <c r="AX771" s="742" t="str">
        <f t="shared" si="30"/>
        <v/>
      </c>
      <c r="AY771" s="742" t="str">
        <f t="shared" si="31"/>
        <v/>
      </c>
      <c r="AZ771" s="742" t="str">
        <f t="shared" si="32"/>
        <v/>
      </c>
      <c r="BA771" s="742" t="str">
        <f t="shared" si="33"/>
        <v/>
      </c>
      <c r="BB771" s="742" t="str">
        <f t="shared" si="34"/>
        <v/>
      </c>
      <c r="BC771" s="742" t="str">
        <f t="shared" si="35"/>
        <v/>
      </c>
      <c r="BD771" s="742" t="str">
        <f t="shared" si="36"/>
        <v/>
      </c>
      <c r="BE771" s="742" t="str">
        <f t="shared" si="37"/>
        <v/>
      </c>
      <c r="BF771" s="742" t="str">
        <f t="shared" si="38"/>
        <v/>
      </c>
      <c r="BG771" s="742" t="str">
        <f t="shared" si="39"/>
        <v/>
      </c>
      <c r="BH771" s="742" t="str">
        <f t="shared" si="40"/>
        <v/>
      </c>
      <c r="BI771" s="742" t="str">
        <f t="shared" si="41"/>
        <v/>
      </c>
      <c r="BJ771" s="742" t="str">
        <f t="shared" si="42"/>
        <v/>
      </c>
      <c r="BK771" s="742" t="str">
        <f t="shared" si="43"/>
        <v/>
      </c>
      <c r="BL771" s="742" t="str">
        <f t="shared" si="44"/>
        <v/>
      </c>
      <c r="BM771" s="742" t="str">
        <f t="shared" si="45"/>
        <v/>
      </c>
      <c r="BN771" s="742" t="str">
        <f t="shared" si="46"/>
        <v/>
      </c>
      <c r="BO771" s="742" t="str">
        <f t="shared" si="47"/>
        <v/>
      </c>
      <c r="BP771" s="742" t="str">
        <f t="shared" si="48"/>
        <v/>
      </c>
      <c r="BQ771" s="742" t="str">
        <f t="shared" si="49"/>
        <v/>
      </c>
      <c r="BR771" s="742" t="str">
        <f t="shared" si="50"/>
        <v/>
      </c>
      <c r="BS771" s="742" t="str">
        <f t="shared" si="51"/>
        <v/>
      </c>
      <c r="BT771" s="742" t="str">
        <f t="shared" si="52"/>
        <v/>
      </c>
      <c r="BU771" s="742" t="str">
        <f t="shared" si="53"/>
        <v/>
      </c>
      <c r="BV771" s="742" t="str">
        <f t="shared" si="54"/>
        <v/>
      </c>
      <c r="BW771" s="742" t="str">
        <f t="shared" si="55"/>
        <v/>
      </c>
      <c r="BX771" s="742" t="str">
        <f t="shared" si="56"/>
        <v/>
      </c>
      <c r="BY771" s="742" t="str">
        <f t="shared" si="57"/>
        <v/>
      </c>
      <c r="BZ771" s="742" t="str">
        <f t="shared" si="58"/>
        <v/>
      </c>
      <c r="CA771" s="742" t="str">
        <f t="shared" si="59"/>
        <v/>
      </c>
      <c r="CB771" s="742" t="str">
        <f t="shared" si="60"/>
        <v/>
      </c>
      <c r="CC771" s="742" t="str">
        <f t="shared" si="61"/>
        <v/>
      </c>
      <c r="CD771" s="742" t="str">
        <f t="shared" si="62"/>
        <v/>
      </c>
      <c r="CE771" s="742" t="str">
        <f t="shared" si="63"/>
        <v/>
      </c>
      <c r="CF771" s="742" t="str">
        <f t="shared" si="64"/>
        <v/>
      </c>
      <c r="CG771" s="742" t="str">
        <f t="shared" si="65"/>
        <v/>
      </c>
      <c r="CH771" s="742" t="str">
        <f t="shared" si="66"/>
        <v/>
      </c>
      <c r="CI771" s="742" t="str">
        <f t="shared" si="67"/>
        <v/>
      </c>
      <c r="CJ771" s="742" t="str">
        <f t="shared" si="68"/>
        <v/>
      </c>
      <c r="CK771" s="742" t="str">
        <f t="shared" si="69"/>
        <v/>
      </c>
      <c r="CL771" s="742" t="str">
        <f t="shared" si="70"/>
        <v/>
      </c>
      <c r="CM771" s="742" t="str">
        <f t="shared" si="71"/>
        <v/>
      </c>
      <c r="CN771" s="742" t="str">
        <f t="shared" si="72"/>
        <v/>
      </c>
      <c r="CO771" s="742" t="str">
        <f t="shared" si="73"/>
        <v/>
      </c>
      <c r="CP771" s="742" t="str">
        <f t="shared" si="74"/>
        <v/>
      </c>
      <c r="CQ771" s="742" t="str">
        <f t="shared" si="75"/>
        <v/>
      </c>
      <c r="CR771" s="742" t="str">
        <f t="shared" si="76"/>
        <v/>
      </c>
      <c r="CS771" s="742" t="str">
        <f t="shared" si="77"/>
        <v/>
      </c>
      <c r="CT771" s="742" t="str">
        <f t="shared" si="78"/>
        <v/>
      </c>
      <c r="CU771" s="742" t="str">
        <f t="shared" si="79"/>
        <v/>
      </c>
      <c r="CV771" s="742" t="str">
        <f t="shared" si="80"/>
        <v/>
      </c>
      <c r="CW771" s="742" t="str">
        <f t="shared" si="81"/>
        <v/>
      </c>
      <c r="CX771" s="742" t="str">
        <f t="shared" si="82"/>
        <v/>
      </c>
      <c r="CY771" s="742" t="str">
        <f t="shared" si="83"/>
        <v/>
      </c>
      <c r="CZ771" s="742" t="str">
        <f t="shared" si="84"/>
        <v/>
      </c>
      <c r="DA771" s="742" t="str">
        <f t="shared" si="85"/>
        <v/>
      </c>
      <c r="DB771" s="742" t="str">
        <f t="shared" si="86"/>
        <v/>
      </c>
      <c r="DC771" s="742" t="str">
        <f t="shared" si="87"/>
        <v/>
      </c>
      <c r="DD771" s="742" t="str">
        <f t="shared" si="88"/>
        <v/>
      </c>
      <c r="DE771" s="742" t="str">
        <f t="shared" si="89"/>
        <v/>
      </c>
      <c r="DF771" s="742" t="str">
        <f t="shared" si="90"/>
        <v/>
      </c>
      <c r="DG771" s="742" t="str">
        <f t="shared" si="91"/>
        <v/>
      </c>
      <c r="DH771" s="742" t="str">
        <f t="shared" si="92"/>
        <v/>
      </c>
      <c r="DI771" s="742" t="str">
        <f t="shared" si="93"/>
        <v/>
      </c>
      <c r="DJ771" s="742" t="str">
        <f t="shared" si="94"/>
        <v/>
      </c>
      <c r="DK771" s="742" t="str">
        <f t="shared" si="95"/>
        <v/>
      </c>
      <c r="DL771" s="742" t="str">
        <f t="shared" si="96"/>
        <v/>
      </c>
      <c r="DM771" s="742" t="str">
        <f t="shared" si="97"/>
        <v/>
      </c>
      <c r="DN771" s="742" t="str">
        <f t="shared" si="98"/>
        <v/>
      </c>
      <c r="DO771" s="742" t="str">
        <f t="shared" si="99"/>
        <v/>
      </c>
      <c r="DP771" s="742" t="str">
        <f t="shared" si="100"/>
        <v/>
      </c>
      <c r="DQ771" s="742" t="str">
        <f t="shared" si="101"/>
        <v/>
      </c>
      <c r="DR771" s="742" t="str">
        <f t="shared" si="102"/>
        <v/>
      </c>
      <c r="DS771" s="742" t="str">
        <f t="shared" si="103"/>
        <v/>
      </c>
      <c r="DT771" s="742" t="str">
        <f t="shared" si="104"/>
        <v/>
      </c>
      <c r="DU771" s="742" t="str">
        <f t="shared" si="105"/>
        <v/>
      </c>
      <c r="DV771" s="742" t="str">
        <f t="shared" si="106"/>
        <v/>
      </c>
      <c r="DW771" s="742" t="str">
        <f t="shared" si="107"/>
        <v/>
      </c>
      <c r="DX771" s="742" t="str">
        <f t="shared" si="108"/>
        <v/>
      </c>
      <c r="DY771" s="742" t="str">
        <f t="shared" si="109"/>
        <v/>
      </c>
      <c r="DZ771" s="742" t="str">
        <f t="shared" si="110"/>
        <v/>
      </c>
      <c r="EA771" s="742" t="str">
        <f t="shared" si="111"/>
        <v/>
      </c>
      <c r="EB771" s="742" t="str">
        <f t="shared" si="112"/>
        <v/>
      </c>
      <c r="EC771" s="742" t="str">
        <f t="shared" si="113"/>
        <v/>
      </c>
      <c r="ED771" s="742" t="str">
        <f t="shared" si="114"/>
        <v/>
      </c>
      <c r="EE771" s="742" t="str">
        <f t="shared" si="115"/>
        <v/>
      </c>
      <c r="EF771" s="742" t="str">
        <f t="shared" si="116"/>
        <v/>
      </c>
      <c r="EG771" s="742" t="str">
        <f t="shared" si="117"/>
        <v/>
      </c>
      <c r="EH771" s="742" t="str">
        <f t="shared" si="118"/>
        <v/>
      </c>
      <c r="EI771" s="742" t="str">
        <f t="shared" si="119"/>
        <v/>
      </c>
      <c r="EJ771" s="742" t="str">
        <f t="shared" si="120"/>
        <v/>
      </c>
      <c r="EK771" s="742" t="str">
        <f t="shared" si="121"/>
        <v/>
      </c>
      <c r="EL771" s="742" t="str">
        <f t="shared" si="122"/>
        <v/>
      </c>
      <c r="EM771" s="742" t="str">
        <f t="shared" si="123"/>
        <v/>
      </c>
      <c r="EN771" s="742" t="str">
        <f t="shared" si="124"/>
        <v/>
      </c>
      <c r="EO771" s="742" t="str">
        <f t="shared" si="125"/>
        <v/>
      </c>
      <c r="EP771" s="742" t="str">
        <f t="shared" si="126"/>
        <v/>
      </c>
      <c r="EQ771" s="742" t="str">
        <f t="shared" si="127"/>
        <v/>
      </c>
      <c r="ER771" s="742" t="str">
        <f t="shared" si="128"/>
        <v/>
      </c>
      <c r="ES771" s="742" t="str">
        <f t="shared" si="129"/>
        <v/>
      </c>
      <c r="ET771" s="742" t="str">
        <f t="shared" si="130"/>
        <v/>
      </c>
      <c r="EU771" s="742" t="str">
        <f t="shared" si="131"/>
        <v/>
      </c>
      <c r="EV771" s="742" t="str">
        <f t="shared" si="132"/>
        <v/>
      </c>
      <c r="EW771" s="1638" t="str">
        <f t="shared" si="133"/>
        <v/>
      </c>
      <c r="EX771" s="1638" t="str">
        <f t="shared" si="134"/>
        <v/>
      </c>
      <c r="EY771" s="1638" t="str">
        <f t="shared" si="135"/>
        <v/>
      </c>
      <c r="EZ771" s="1638" t="str">
        <f t="shared" si="136"/>
        <v/>
      </c>
      <c r="FA771" s="1638" t="str">
        <f t="shared" si="137"/>
        <v/>
      </c>
      <c r="FB771" s="1638" t="str">
        <f t="shared" si="138"/>
        <v/>
      </c>
      <c r="FC771" s="1638" t="str">
        <f t="shared" si="139"/>
        <v/>
      </c>
      <c r="FD771" s="1638" t="str">
        <f t="shared" si="140"/>
        <v/>
      </c>
      <c r="FE771" s="1638" t="str">
        <f t="shared" si="141"/>
        <v/>
      </c>
      <c r="FF771" s="1638" t="str">
        <f t="shared" si="142"/>
        <v/>
      </c>
      <c r="FG771" s="1638" t="str">
        <f t="shared" si="143"/>
        <v/>
      </c>
      <c r="FH771" s="1638" t="str">
        <f t="shared" si="144"/>
        <v/>
      </c>
      <c r="FI771" s="1638" t="str">
        <f t="shared" si="145"/>
        <v/>
      </c>
      <c r="FJ771" s="1638" t="str">
        <f t="shared" si="146"/>
        <v/>
      </c>
      <c r="FK771" s="1638" t="str">
        <f t="shared" si="147"/>
        <v/>
      </c>
      <c r="FL771" s="1638" t="str">
        <f t="shared" si="148"/>
        <v/>
      </c>
      <c r="FM771" s="1638" t="str">
        <f t="shared" si="149"/>
        <v/>
      </c>
      <c r="FN771" s="1638" t="str">
        <f t="shared" si="150"/>
        <v/>
      </c>
      <c r="FO771" s="1638" t="str">
        <f t="shared" si="151"/>
        <v/>
      </c>
      <c r="FP771" s="1638" t="str">
        <f t="shared" si="152"/>
        <v/>
      </c>
      <c r="FQ771" s="1638" t="str">
        <f t="shared" si="153"/>
        <v/>
      </c>
      <c r="FR771" s="1638" t="str">
        <f t="shared" si="154"/>
        <v/>
      </c>
      <c r="FS771" s="1638" t="str">
        <f t="shared" si="155"/>
        <v/>
      </c>
      <c r="FT771" s="1638" t="str">
        <f t="shared" si="156"/>
        <v/>
      </c>
      <c r="FU771" s="1638" t="str">
        <f t="shared" si="157"/>
        <v/>
      </c>
      <c r="FV771" s="1638" t="str">
        <f t="shared" si="158"/>
        <v/>
      </c>
      <c r="FW771" s="1638" t="str">
        <f t="shared" si="159"/>
        <v/>
      </c>
      <c r="FX771" s="1638" t="str">
        <f t="shared" si="160"/>
        <v/>
      </c>
      <c r="FY771" s="1638" t="str">
        <f t="shared" si="161"/>
        <v/>
      </c>
      <c r="FZ771" s="1638" t="str">
        <f t="shared" si="162"/>
        <v/>
      </c>
      <c r="GA771" s="1638" t="str">
        <f t="shared" si="163"/>
        <v/>
      </c>
      <c r="GB771" s="1638" t="str">
        <f t="shared" si="164"/>
        <v/>
      </c>
      <c r="GC771" s="1638" t="str">
        <f t="shared" si="165"/>
        <v/>
      </c>
      <c r="GD771" s="1638" t="str">
        <f t="shared" si="166"/>
        <v/>
      </c>
      <c r="GE771" s="1638" t="str">
        <f t="shared" si="167"/>
        <v/>
      </c>
      <c r="GF771" s="1638" t="str">
        <f t="shared" si="168"/>
        <v/>
      </c>
      <c r="GG771" s="1638" t="str">
        <f t="shared" si="169"/>
        <v/>
      </c>
      <c r="GH771" s="1638" t="str">
        <f t="shared" si="170"/>
        <v/>
      </c>
      <c r="GI771" s="1638" t="str">
        <f t="shared" si="171"/>
        <v/>
      </c>
      <c r="GJ771" s="1638" t="str">
        <f t="shared" si="172"/>
        <v/>
      </c>
      <c r="GK771" s="1638" t="str">
        <f t="shared" si="173"/>
        <v/>
      </c>
      <c r="GL771" s="1638" t="str">
        <f t="shared" si="174"/>
        <v/>
      </c>
      <c r="GM771" s="1638" t="str">
        <f t="shared" si="175"/>
        <v/>
      </c>
      <c r="GN771" s="1638" t="str">
        <f t="shared" si="176"/>
        <v/>
      </c>
      <c r="GO771" s="1638" t="str">
        <f t="shared" si="177"/>
        <v/>
      </c>
      <c r="GP771" s="1638" t="str">
        <f t="shared" si="178"/>
        <v/>
      </c>
      <c r="GQ771" s="1638" t="str">
        <f t="shared" si="179"/>
        <v/>
      </c>
      <c r="GR771" s="1638" t="str">
        <f t="shared" si="180"/>
        <v/>
      </c>
      <c r="GS771" s="1638" t="str">
        <f t="shared" si="181"/>
        <v/>
      </c>
      <c r="GT771" s="1638" t="str">
        <f t="shared" si="182"/>
        <v/>
      </c>
      <c r="GU771" s="1638" t="str">
        <f t="shared" si="183"/>
        <v/>
      </c>
      <c r="GV771" s="1638" t="str">
        <f t="shared" si="184"/>
        <v/>
      </c>
      <c r="GW771" s="1638" t="str">
        <f t="shared" si="185"/>
        <v/>
      </c>
      <c r="GX771" s="1638" t="str">
        <f t="shared" si="186"/>
        <v/>
      </c>
      <c r="GY771" s="1638" t="str">
        <f t="shared" si="187"/>
        <v/>
      </c>
      <c r="GZ771" s="1638" t="str">
        <f t="shared" si="188"/>
        <v/>
      </c>
      <c r="HA771" s="1638" t="str">
        <f t="shared" si="189"/>
        <v/>
      </c>
      <c r="HB771" s="1638" t="str">
        <f t="shared" si="190"/>
        <v/>
      </c>
      <c r="HC771" s="1638" t="str">
        <f t="shared" si="191"/>
        <v/>
      </c>
      <c r="HD771" s="1638" t="str">
        <f t="shared" si="192"/>
        <v/>
      </c>
      <c r="HE771" s="1638" t="str">
        <f t="shared" si="193"/>
        <v/>
      </c>
      <c r="HF771" s="1638" t="str">
        <f t="shared" si="194"/>
        <v/>
      </c>
      <c r="HG771" s="1638" t="str">
        <f t="shared" si="195"/>
        <v/>
      </c>
      <c r="HH771" s="1638" t="str">
        <f t="shared" si="196"/>
        <v/>
      </c>
      <c r="HI771" s="1638" t="str">
        <f t="shared" si="197"/>
        <v/>
      </c>
      <c r="HJ771" s="1638" t="str">
        <f t="shared" si="198"/>
        <v/>
      </c>
      <c r="HK771" s="1638" t="str">
        <f t="shared" si="199"/>
        <v/>
      </c>
      <c r="HL771" s="1638" t="str">
        <f t="shared" si="200"/>
        <v/>
      </c>
      <c r="HM771" s="1638" t="str">
        <f t="shared" si="201"/>
        <v/>
      </c>
      <c r="HN771" s="1638" t="str">
        <f t="shared" si="202"/>
        <v/>
      </c>
      <c r="HO771" s="1638" t="str">
        <f t="shared" si="203"/>
        <v/>
      </c>
      <c r="HP771" s="1638" t="str">
        <f t="shared" si="204"/>
        <v/>
      </c>
      <c r="HQ771" s="1638" t="str">
        <f t="shared" si="205"/>
        <v/>
      </c>
      <c r="HR771" s="1638" t="str">
        <f t="shared" si="206"/>
        <v/>
      </c>
      <c r="HS771" s="1638" t="str">
        <f t="shared" si="207"/>
        <v/>
      </c>
      <c r="HT771" s="1638" t="str">
        <f t="shared" si="208"/>
        <v/>
      </c>
      <c r="HU771" s="1638" t="str">
        <f t="shared" si="209"/>
        <v/>
      </c>
      <c r="HV771" s="1638" t="str">
        <f t="shared" si="210"/>
        <v/>
      </c>
      <c r="HW771" s="1638" t="str">
        <f t="shared" si="211"/>
        <v/>
      </c>
      <c r="HX771" s="1638" t="str">
        <f t="shared" si="212"/>
        <v/>
      </c>
      <c r="HY771" s="1638" t="str">
        <f t="shared" si="213"/>
        <v/>
      </c>
      <c r="HZ771" s="1638" t="str">
        <f t="shared" si="214"/>
        <v/>
      </c>
      <c r="IA771" s="1638" t="str">
        <f t="shared" si="215"/>
        <v/>
      </c>
      <c r="IB771" s="1638" t="str">
        <f t="shared" si="216"/>
        <v/>
      </c>
      <c r="IC771" s="1638" t="str">
        <f t="shared" si="217"/>
        <v/>
      </c>
      <c r="ID771" s="1639" t="str">
        <f t="shared" si="218"/>
        <v/>
      </c>
      <c r="IE771" s="1639" t="str">
        <f t="shared" si="219"/>
        <v/>
      </c>
      <c r="IF771" s="1639" t="str">
        <f t="shared" si="220"/>
        <v/>
      </c>
      <c r="IG771" s="1639" t="str">
        <f t="shared" si="221"/>
        <v/>
      </c>
      <c r="IH771" s="1639" t="str">
        <f t="shared" si="222"/>
        <v/>
      </c>
      <c r="II771" s="742" t="str">
        <f t="shared" si="223"/>
        <v/>
      </c>
      <c r="IJ771" s="742" t="str">
        <f t="shared" si="224"/>
        <v/>
      </c>
      <c r="IK771" s="742" t="str">
        <f t="shared" si="225"/>
        <v/>
      </c>
      <c r="IL771" s="742" t="str">
        <f t="shared" si="226"/>
        <v/>
      </c>
      <c r="IM771" s="742" t="str">
        <f t="shared" si="227"/>
        <v/>
      </c>
      <c r="IN771" s="742" t="str">
        <f t="shared" si="228"/>
        <v/>
      </c>
      <c r="IO771" s="742" t="str">
        <f t="shared" si="229"/>
        <v/>
      </c>
      <c r="IP771" s="742" t="str">
        <f t="shared" si="230"/>
        <v/>
      </c>
      <c r="IQ771" s="742" t="str">
        <f t="shared" si="231"/>
        <v/>
      </c>
      <c r="IR771" s="742" t="str">
        <f t="shared" si="232"/>
        <v/>
      </c>
      <c r="IS771" s="742" t="str">
        <f t="shared" si="233"/>
        <v/>
      </c>
      <c r="IT771" s="742" t="str">
        <f t="shared" si="234"/>
        <v/>
      </c>
      <c r="IU771" s="742" t="str">
        <f t="shared" si="235"/>
        <v/>
      </c>
      <c r="IV771" s="742" t="str">
        <f t="shared" si="236"/>
        <v/>
      </c>
      <c r="IW771" s="742" t="str">
        <f t="shared" si="237"/>
        <v/>
      </c>
      <c r="IX771" s="742" t="str">
        <f t="shared" si="238"/>
        <v/>
      </c>
      <c r="IY771" s="742" t="str">
        <f t="shared" si="239"/>
        <v/>
      </c>
      <c r="IZ771" s="742" t="str">
        <f t="shared" si="240"/>
        <v/>
      </c>
      <c r="JA771" s="742" t="str">
        <f t="shared" si="241"/>
        <v/>
      </c>
      <c r="JB771" s="742" t="str">
        <f t="shared" si="242"/>
        <v/>
      </c>
      <c r="JC771" s="1637">
        <f t="shared" si="243"/>
        <v>0</v>
      </c>
      <c r="JD771" s="1637">
        <f t="shared" si="244"/>
        <v>0</v>
      </c>
      <c r="JE771" s="1637">
        <f t="shared" si="245"/>
        <v>0</v>
      </c>
      <c r="JF771" s="1637">
        <f t="shared" si="246"/>
        <v>0</v>
      </c>
      <c r="JG771" s="1637">
        <f t="shared" si="247"/>
        <v>0</v>
      </c>
      <c r="JH771" s="1637">
        <f t="shared" si="248"/>
        <v>0</v>
      </c>
      <c r="JI771" s="1637">
        <f t="shared" si="249"/>
        <v>0</v>
      </c>
      <c r="JJ771" s="1637">
        <f t="shared" si="250"/>
        <v>0</v>
      </c>
      <c r="JK771" s="1637">
        <f t="shared" si="251"/>
        <v>0</v>
      </c>
      <c r="JL771" s="1637">
        <f t="shared" si="252"/>
        <v>0</v>
      </c>
      <c r="JM771" s="1637">
        <f t="shared" si="253"/>
        <v>0</v>
      </c>
      <c r="JN771" s="1637">
        <f t="shared" si="254"/>
        <v>0</v>
      </c>
      <c r="JO771" s="1637">
        <f t="shared" si="255"/>
        <v>0</v>
      </c>
      <c r="JP771" s="1637">
        <f t="shared" si="256"/>
        <v>0</v>
      </c>
      <c r="JQ771" s="1637">
        <f t="shared" si="257"/>
        <v>0</v>
      </c>
    </row>
    <row r="772" spans="1:277" ht="12" customHeight="1">
      <c r="A772" s="1813" t="str">
        <f t="shared" si="0"/>
        <v/>
      </c>
      <c r="B772" s="2145" t="str">
        <f>'Part VI-Revenues &amp; Expenses'!B15</f>
        <v>Unrestricted</v>
      </c>
      <c r="C772" s="2146">
        <f>'Part VI-Revenues &amp; Expenses'!C15</f>
        <v>0</v>
      </c>
      <c r="D772" s="2147">
        <f>'Part VI-Revenues &amp; Expenses'!D15</f>
        <v>0</v>
      </c>
      <c r="E772" s="2148">
        <f>'Part VI-Revenues &amp; Expenses'!E15</f>
        <v>0</v>
      </c>
      <c r="F772" s="2148">
        <f>'Part VI-Revenues &amp; Expenses'!F15</f>
        <v>0</v>
      </c>
      <c r="G772" s="2148">
        <f>'Part VI-Revenues &amp; Expenses'!G15</f>
        <v>0</v>
      </c>
      <c r="H772" s="2148">
        <f>'Part VI-Revenues &amp; Expenses'!H15</f>
        <v>0</v>
      </c>
      <c r="I772" s="2148">
        <f>'Part VI-Revenues &amp; Expenses'!I15</f>
        <v>0</v>
      </c>
      <c r="J772" s="2149">
        <f>'Part VI-Revenues &amp; Expenses'!J15</f>
        <v>0</v>
      </c>
      <c r="K772" s="1822">
        <f t="shared" si="1"/>
        <v>0</v>
      </c>
      <c r="L772" s="1822">
        <f t="shared" si="2"/>
        <v>0</v>
      </c>
      <c r="M772" s="2133">
        <f>'Part VI-Revenues &amp; Expenses'!M15</f>
        <v>0</v>
      </c>
      <c r="N772" s="2133">
        <f>'Part VI-Revenues &amp; Expenses'!N15</f>
        <v>0</v>
      </c>
      <c r="O772" s="2133">
        <f>'Part VI-Revenues &amp; Expenses'!O15</f>
        <v>0</v>
      </c>
      <c r="P772" s="1633">
        <f>'Part VI-Revenues &amp; Expenses'!P15</f>
        <v>0</v>
      </c>
      <c r="Q772" s="1823" t="str">
        <f>'Part VI-Revenues &amp; Expenses'!Q15</f>
        <v/>
      </c>
      <c r="R772" s="1824" t="str">
        <f>'Part VI-Revenues &amp; Expenses'!R15</f>
        <v/>
      </c>
      <c r="S772" s="1823">
        <f>'Part VI-Revenues &amp; Expenses'!S15</f>
        <v>0</v>
      </c>
      <c r="T772" s="1824">
        <f>'Part VI-Revenues &amp; Expenses'!T15</f>
        <v>0</v>
      </c>
      <c r="U772" s="1838"/>
      <c r="V772" s="1838"/>
      <c r="W772" s="742" t="str">
        <f t="shared" si="3"/>
        <v/>
      </c>
      <c r="X772" s="742" t="str">
        <f t="shared" si="4"/>
        <v/>
      </c>
      <c r="Y772" s="742" t="str">
        <f t="shared" si="5"/>
        <v/>
      </c>
      <c r="Z772" s="742" t="str">
        <f t="shared" si="6"/>
        <v/>
      </c>
      <c r="AA772" s="742" t="str">
        <f t="shared" si="7"/>
        <v/>
      </c>
      <c r="AB772" s="742" t="str">
        <f t="shared" si="8"/>
        <v/>
      </c>
      <c r="AC772" s="742" t="str">
        <f t="shared" si="9"/>
        <v/>
      </c>
      <c r="AD772" s="742" t="str">
        <f t="shared" si="10"/>
        <v/>
      </c>
      <c r="AE772" s="742" t="str">
        <f t="shared" si="11"/>
        <v/>
      </c>
      <c r="AF772" s="742" t="str">
        <f t="shared" si="12"/>
        <v/>
      </c>
      <c r="AG772" s="742" t="str">
        <f t="shared" si="13"/>
        <v/>
      </c>
      <c r="AH772" s="742" t="str">
        <f t="shared" si="14"/>
        <v/>
      </c>
      <c r="AI772" s="742" t="str">
        <f t="shared" si="15"/>
        <v/>
      </c>
      <c r="AJ772" s="742" t="str">
        <f t="shared" si="16"/>
        <v/>
      </c>
      <c r="AK772" s="742" t="str">
        <f t="shared" si="17"/>
        <v/>
      </c>
      <c r="AL772" s="742" t="str">
        <f t="shared" si="18"/>
        <v/>
      </c>
      <c r="AM772" s="742" t="str">
        <f t="shared" si="19"/>
        <v/>
      </c>
      <c r="AN772" s="742" t="str">
        <f t="shared" si="20"/>
        <v/>
      </c>
      <c r="AO772" s="742" t="str">
        <f t="shared" si="21"/>
        <v/>
      </c>
      <c r="AP772" s="742" t="str">
        <f t="shared" si="22"/>
        <v/>
      </c>
      <c r="AQ772" s="742" t="str">
        <f t="shared" si="23"/>
        <v/>
      </c>
      <c r="AR772" s="742" t="str">
        <f t="shared" si="24"/>
        <v/>
      </c>
      <c r="AS772" s="742" t="str">
        <f t="shared" si="25"/>
        <v/>
      </c>
      <c r="AT772" s="742" t="str">
        <f t="shared" si="26"/>
        <v/>
      </c>
      <c r="AU772" s="742" t="str">
        <f t="shared" si="27"/>
        <v/>
      </c>
      <c r="AV772" s="742" t="str">
        <f t="shared" si="28"/>
        <v/>
      </c>
      <c r="AW772" s="742" t="str">
        <f t="shared" si="29"/>
        <v/>
      </c>
      <c r="AX772" s="742" t="str">
        <f t="shared" si="30"/>
        <v/>
      </c>
      <c r="AY772" s="742" t="str">
        <f t="shared" si="31"/>
        <v/>
      </c>
      <c r="AZ772" s="742" t="str">
        <f t="shared" si="32"/>
        <v/>
      </c>
      <c r="BA772" s="742" t="str">
        <f t="shared" si="33"/>
        <v/>
      </c>
      <c r="BB772" s="742" t="str">
        <f t="shared" si="34"/>
        <v/>
      </c>
      <c r="BC772" s="742" t="str">
        <f t="shared" si="35"/>
        <v/>
      </c>
      <c r="BD772" s="742" t="str">
        <f t="shared" si="36"/>
        <v/>
      </c>
      <c r="BE772" s="742" t="str">
        <f t="shared" si="37"/>
        <v/>
      </c>
      <c r="BF772" s="742" t="str">
        <f t="shared" si="38"/>
        <v/>
      </c>
      <c r="BG772" s="742" t="str">
        <f t="shared" si="39"/>
        <v/>
      </c>
      <c r="BH772" s="742" t="str">
        <f t="shared" si="40"/>
        <v/>
      </c>
      <c r="BI772" s="742" t="str">
        <f t="shared" si="41"/>
        <v/>
      </c>
      <c r="BJ772" s="742" t="str">
        <f t="shared" si="42"/>
        <v/>
      </c>
      <c r="BK772" s="742" t="str">
        <f t="shared" si="43"/>
        <v/>
      </c>
      <c r="BL772" s="742" t="str">
        <f t="shared" si="44"/>
        <v/>
      </c>
      <c r="BM772" s="742" t="str">
        <f t="shared" si="45"/>
        <v/>
      </c>
      <c r="BN772" s="742" t="str">
        <f t="shared" si="46"/>
        <v/>
      </c>
      <c r="BO772" s="742" t="str">
        <f t="shared" si="47"/>
        <v/>
      </c>
      <c r="BP772" s="742" t="str">
        <f t="shared" si="48"/>
        <v/>
      </c>
      <c r="BQ772" s="742" t="str">
        <f t="shared" si="49"/>
        <v/>
      </c>
      <c r="BR772" s="742" t="str">
        <f t="shared" si="50"/>
        <v/>
      </c>
      <c r="BS772" s="742" t="str">
        <f t="shared" si="51"/>
        <v/>
      </c>
      <c r="BT772" s="742" t="str">
        <f t="shared" si="52"/>
        <v/>
      </c>
      <c r="BU772" s="742" t="str">
        <f t="shared" si="53"/>
        <v/>
      </c>
      <c r="BV772" s="742" t="str">
        <f t="shared" si="54"/>
        <v/>
      </c>
      <c r="BW772" s="742" t="str">
        <f t="shared" si="55"/>
        <v/>
      </c>
      <c r="BX772" s="742" t="str">
        <f t="shared" si="56"/>
        <v/>
      </c>
      <c r="BY772" s="742" t="str">
        <f t="shared" si="57"/>
        <v/>
      </c>
      <c r="BZ772" s="742" t="str">
        <f t="shared" si="58"/>
        <v/>
      </c>
      <c r="CA772" s="742" t="str">
        <f t="shared" si="59"/>
        <v/>
      </c>
      <c r="CB772" s="742" t="str">
        <f t="shared" si="60"/>
        <v/>
      </c>
      <c r="CC772" s="742" t="str">
        <f t="shared" si="61"/>
        <v/>
      </c>
      <c r="CD772" s="742" t="str">
        <f t="shared" si="62"/>
        <v/>
      </c>
      <c r="CE772" s="742" t="str">
        <f t="shared" si="63"/>
        <v/>
      </c>
      <c r="CF772" s="742" t="str">
        <f t="shared" si="64"/>
        <v/>
      </c>
      <c r="CG772" s="742" t="str">
        <f t="shared" si="65"/>
        <v/>
      </c>
      <c r="CH772" s="742" t="str">
        <f t="shared" si="66"/>
        <v/>
      </c>
      <c r="CI772" s="742" t="str">
        <f t="shared" si="67"/>
        <v/>
      </c>
      <c r="CJ772" s="742" t="str">
        <f t="shared" si="68"/>
        <v/>
      </c>
      <c r="CK772" s="742" t="str">
        <f t="shared" si="69"/>
        <v/>
      </c>
      <c r="CL772" s="742" t="str">
        <f t="shared" si="70"/>
        <v/>
      </c>
      <c r="CM772" s="742" t="str">
        <f t="shared" si="71"/>
        <v/>
      </c>
      <c r="CN772" s="742" t="str">
        <f t="shared" si="72"/>
        <v/>
      </c>
      <c r="CO772" s="742" t="str">
        <f t="shared" si="73"/>
        <v/>
      </c>
      <c r="CP772" s="742" t="str">
        <f t="shared" si="74"/>
        <v/>
      </c>
      <c r="CQ772" s="742" t="str">
        <f t="shared" si="75"/>
        <v/>
      </c>
      <c r="CR772" s="742" t="str">
        <f t="shared" si="76"/>
        <v/>
      </c>
      <c r="CS772" s="742" t="str">
        <f t="shared" si="77"/>
        <v/>
      </c>
      <c r="CT772" s="742" t="str">
        <f t="shared" si="78"/>
        <v/>
      </c>
      <c r="CU772" s="742" t="str">
        <f t="shared" si="79"/>
        <v/>
      </c>
      <c r="CV772" s="742" t="str">
        <f t="shared" si="80"/>
        <v/>
      </c>
      <c r="CW772" s="742" t="str">
        <f t="shared" si="81"/>
        <v/>
      </c>
      <c r="CX772" s="742" t="str">
        <f t="shared" si="82"/>
        <v/>
      </c>
      <c r="CY772" s="742" t="str">
        <f t="shared" si="83"/>
        <v/>
      </c>
      <c r="CZ772" s="742" t="str">
        <f t="shared" si="84"/>
        <v/>
      </c>
      <c r="DA772" s="742" t="str">
        <f t="shared" si="85"/>
        <v/>
      </c>
      <c r="DB772" s="742" t="str">
        <f t="shared" si="86"/>
        <v/>
      </c>
      <c r="DC772" s="742" t="str">
        <f t="shared" si="87"/>
        <v/>
      </c>
      <c r="DD772" s="742" t="str">
        <f t="shared" si="88"/>
        <v/>
      </c>
      <c r="DE772" s="742" t="str">
        <f t="shared" si="89"/>
        <v/>
      </c>
      <c r="DF772" s="742" t="str">
        <f t="shared" si="90"/>
        <v/>
      </c>
      <c r="DG772" s="742" t="str">
        <f t="shared" si="91"/>
        <v/>
      </c>
      <c r="DH772" s="742" t="str">
        <f t="shared" si="92"/>
        <v/>
      </c>
      <c r="DI772" s="742" t="str">
        <f t="shared" si="93"/>
        <v/>
      </c>
      <c r="DJ772" s="742" t="str">
        <f t="shared" si="94"/>
        <v/>
      </c>
      <c r="DK772" s="742" t="str">
        <f t="shared" si="95"/>
        <v/>
      </c>
      <c r="DL772" s="742" t="str">
        <f t="shared" si="96"/>
        <v/>
      </c>
      <c r="DM772" s="742" t="str">
        <f t="shared" si="97"/>
        <v/>
      </c>
      <c r="DN772" s="742" t="str">
        <f t="shared" si="98"/>
        <v/>
      </c>
      <c r="DO772" s="742" t="str">
        <f t="shared" si="99"/>
        <v/>
      </c>
      <c r="DP772" s="742" t="str">
        <f t="shared" si="100"/>
        <v/>
      </c>
      <c r="DQ772" s="742" t="str">
        <f t="shared" si="101"/>
        <v/>
      </c>
      <c r="DR772" s="742" t="str">
        <f t="shared" si="102"/>
        <v/>
      </c>
      <c r="DS772" s="742" t="str">
        <f t="shared" si="103"/>
        <v/>
      </c>
      <c r="DT772" s="742" t="str">
        <f t="shared" si="104"/>
        <v/>
      </c>
      <c r="DU772" s="742" t="str">
        <f t="shared" si="105"/>
        <v/>
      </c>
      <c r="DV772" s="742" t="str">
        <f t="shared" si="106"/>
        <v/>
      </c>
      <c r="DW772" s="742" t="str">
        <f t="shared" si="107"/>
        <v/>
      </c>
      <c r="DX772" s="742" t="str">
        <f t="shared" si="108"/>
        <v/>
      </c>
      <c r="DY772" s="742" t="str">
        <f t="shared" si="109"/>
        <v/>
      </c>
      <c r="DZ772" s="742" t="str">
        <f t="shared" si="110"/>
        <v/>
      </c>
      <c r="EA772" s="742" t="str">
        <f t="shared" si="111"/>
        <v/>
      </c>
      <c r="EB772" s="742" t="str">
        <f t="shared" si="112"/>
        <v/>
      </c>
      <c r="EC772" s="742" t="str">
        <f t="shared" si="113"/>
        <v/>
      </c>
      <c r="ED772" s="742" t="str">
        <f t="shared" si="114"/>
        <v/>
      </c>
      <c r="EE772" s="742" t="str">
        <f t="shared" si="115"/>
        <v/>
      </c>
      <c r="EF772" s="742" t="str">
        <f t="shared" si="116"/>
        <v/>
      </c>
      <c r="EG772" s="742" t="str">
        <f t="shared" si="117"/>
        <v/>
      </c>
      <c r="EH772" s="742" t="str">
        <f t="shared" si="118"/>
        <v/>
      </c>
      <c r="EI772" s="742" t="str">
        <f t="shared" si="119"/>
        <v/>
      </c>
      <c r="EJ772" s="742" t="str">
        <f t="shared" si="120"/>
        <v/>
      </c>
      <c r="EK772" s="742" t="str">
        <f t="shared" si="121"/>
        <v/>
      </c>
      <c r="EL772" s="742" t="str">
        <f t="shared" si="122"/>
        <v/>
      </c>
      <c r="EM772" s="742" t="str">
        <f t="shared" si="123"/>
        <v/>
      </c>
      <c r="EN772" s="742" t="str">
        <f t="shared" si="124"/>
        <v/>
      </c>
      <c r="EO772" s="742" t="str">
        <f t="shared" si="125"/>
        <v/>
      </c>
      <c r="EP772" s="742" t="str">
        <f t="shared" si="126"/>
        <v/>
      </c>
      <c r="EQ772" s="742" t="str">
        <f t="shared" si="127"/>
        <v/>
      </c>
      <c r="ER772" s="742" t="str">
        <f t="shared" si="128"/>
        <v/>
      </c>
      <c r="ES772" s="742" t="str">
        <f t="shared" si="129"/>
        <v/>
      </c>
      <c r="ET772" s="742" t="str">
        <f t="shared" si="130"/>
        <v/>
      </c>
      <c r="EU772" s="742" t="str">
        <f t="shared" si="131"/>
        <v/>
      </c>
      <c r="EV772" s="742" t="str">
        <f t="shared" si="132"/>
        <v/>
      </c>
      <c r="EW772" s="1638" t="str">
        <f t="shared" si="133"/>
        <v/>
      </c>
      <c r="EX772" s="1638" t="str">
        <f t="shared" si="134"/>
        <v/>
      </c>
      <c r="EY772" s="1638" t="str">
        <f t="shared" si="135"/>
        <v/>
      </c>
      <c r="EZ772" s="1638" t="str">
        <f t="shared" si="136"/>
        <v/>
      </c>
      <c r="FA772" s="1638" t="str">
        <f t="shared" si="137"/>
        <v/>
      </c>
      <c r="FB772" s="1638" t="str">
        <f t="shared" si="138"/>
        <v/>
      </c>
      <c r="FC772" s="1638" t="str">
        <f t="shared" si="139"/>
        <v/>
      </c>
      <c r="FD772" s="1638" t="str">
        <f t="shared" si="140"/>
        <v/>
      </c>
      <c r="FE772" s="1638" t="str">
        <f t="shared" si="141"/>
        <v/>
      </c>
      <c r="FF772" s="1638" t="str">
        <f t="shared" si="142"/>
        <v/>
      </c>
      <c r="FG772" s="1638" t="str">
        <f t="shared" si="143"/>
        <v/>
      </c>
      <c r="FH772" s="1638" t="str">
        <f t="shared" si="144"/>
        <v/>
      </c>
      <c r="FI772" s="1638" t="str">
        <f t="shared" si="145"/>
        <v/>
      </c>
      <c r="FJ772" s="1638" t="str">
        <f t="shared" si="146"/>
        <v/>
      </c>
      <c r="FK772" s="1638" t="str">
        <f t="shared" si="147"/>
        <v/>
      </c>
      <c r="FL772" s="1638" t="str">
        <f t="shared" si="148"/>
        <v/>
      </c>
      <c r="FM772" s="1638" t="str">
        <f t="shared" si="149"/>
        <v/>
      </c>
      <c r="FN772" s="1638" t="str">
        <f t="shared" si="150"/>
        <v/>
      </c>
      <c r="FO772" s="1638" t="str">
        <f t="shared" si="151"/>
        <v/>
      </c>
      <c r="FP772" s="1638" t="str">
        <f t="shared" si="152"/>
        <v/>
      </c>
      <c r="FQ772" s="1638" t="str">
        <f t="shared" si="153"/>
        <v/>
      </c>
      <c r="FR772" s="1638" t="str">
        <f t="shared" si="154"/>
        <v/>
      </c>
      <c r="FS772" s="1638" t="str">
        <f t="shared" si="155"/>
        <v/>
      </c>
      <c r="FT772" s="1638" t="str">
        <f t="shared" si="156"/>
        <v/>
      </c>
      <c r="FU772" s="1638" t="str">
        <f t="shared" si="157"/>
        <v/>
      </c>
      <c r="FV772" s="1638" t="str">
        <f t="shared" si="158"/>
        <v/>
      </c>
      <c r="FW772" s="1638" t="str">
        <f t="shared" si="159"/>
        <v/>
      </c>
      <c r="FX772" s="1638" t="str">
        <f t="shared" si="160"/>
        <v/>
      </c>
      <c r="FY772" s="1638" t="str">
        <f t="shared" si="161"/>
        <v/>
      </c>
      <c r="FZ772" s="1638" t="str">
        <f t="shared" si="162"/>
        <v/>
      </c>
      <c r="GA772" s="1638" t="str">
        <f t="shared" si="163"/>
        <v/>
      </c>
      <c r="GB772" s="1638" t="str">
        <f t="shared" si="164"/>
        <v/>
      </c>
      <c r="GC772" s="1638" t="str">
        <f t="shared" si="165"/>
        <v/>
      </c>
      <c r="GD772" s="1638" t="str">
        <f t="shared" si="166"/>
        <v/>
      </c>
      <c r="GE772" s="1638" t="str">
        <f t="shared" si="167"/>
        <v/>
      </c>
      <c r="GF772" s="1638" t="str">
        <f t="shared" si="168"/>
        <v/>
      </c>
      <c r="GG772" s="1638" t="str">
        <f t="shared" si="169"/>
        <v/>
      </c>
      <c r="GH772" s="1638" t="str">
        <f t="shared" si="170"/>
        <v/>
      </c>
      <c r="GI772" s="1638" t="str">
        <f t="shared" si="171"/>
        <v/>
      </c>
      <c r="GJ772" s="1638" t="str">
        <f t="shared" si="172"/>
        <v/>
      </c>
      <c r="GK772" s="1638" t="str">
        <f t="shared" si="173"/>
        <v/>
      </c>
      <c r="GL772" s="1638" t="str">
        <f t="shared" si="174"/>
        <v/>
      </c>
      <c r="GM772" s="1638" t="str">
        <f t="shared" si="175"/>
        <v/>
      </c>
      <c r="GN772" s="1638" t="str">
        <f t="shared" si="176"/>
        <v/>
      </c>
      <c r="GO772" s="1638" t="str">
        <f t="shared" si="177"/>
        <v/>
      </c>
      <c r="GP772" s="1638" t="str">
        <f t="shared" si="178"/>
        <v/>
      </c>
      <c r="GQ772" s="1638" t="str">
        <f t="shared" si="179"/>
        <v/>
      </c>
      <c r="GR772" s="1638" t="str">
        <f t="shared" si="180"/>
        <v/>
      </c>
      <c r="GS772" s="1638" t="str">
        <f t="shared" si="181"/>
        <v/>
      </c>
      <c r="GT772" s="1638" t="str">
        <f t="shared" si="182"/>
        <v/>
      </c>
      <c r="GU772" s="1638" t="str">
        <f t="shared" si="183"/>
        <v/>
      </c>
      <c r="GV772" s="1638" t="str">
        <f t="shared" si="184"/>
        <v/>
      </c>
      <c r="GW772" s="1638" t="str">
        <f t="shared" si="185"/>
        <v/>
      </c>
      <c r="GX772" s="1638" t="str">
        <f t="shared" si="186"/>
        <v/>
      </c>
      <c r="GY772" s="1638" t="str">
        <f t="shared" si="187"/>
        <v/>
      </c>
      <c r="GZ772" s="1638" t="str">
        <f t="shared" si="188"/>
        <v/>
      </c>
      <c r="HA772" s="1638" t="str">
        <f t="shared" si="189"/>
        <v/>
      </c>
      <c r="HB772" s="1638" t="str">
        <f t="shared" si="190"/>
        <v/>
      </c>
      <c r="HC772" s="1638" t="str">
        <f t="shared" si="191"/>
        <v/>
      </c>
      <c r="HD772" s="1638" t="str">
        <f t="shared" si="192"/>
        <v/>
      </c>
      <c r="HE772" s="1638" t="str">
        <f t="shared" si="193"/>
        <v/>
      </c>
      <c r="HF772" s="1638" t="str">
        <f t="shared" si="194"/>
        <v/>
      </c>
      <c r="HG772" s="1638" t="str">
        <f t="shared" si="195"/>
        <v/>
      </c>
      <c r="HH772" s="1638" t="str">
        <f t="shared" si="196"/>
        <v/>
      </c>
      <c r="HI772" s="1638" t="str">
        <f t="shared" si="197"/>
        <v/>
      </c>
      <c r="HJ772" s="1638" t="str">
        <f t="shared" si="198"/>
        <v/>
      </c>
      <c r="HK772" s="1638" t="str">
        <f t="shared" si="199"/>
        <v/>
      </c>
      <c r="HL772" s="1638" t="str">
        <f t="shared" si="200"/>
        <v/>
      </c>
      <c r="HM772" s="1638" t="str">
        <f t="shared" si="201"/>
        <v/>
      </c>
      <c r="HN772" s="1638" t="str">
        <f t="shared" si="202"/>
        <v/>
      </c>
      <c r="HO772" s="1638" t="str">
        <f t="shared" si="203"/>
        <v/>
      </c>
      <c r="HP772" s="1638" t="str">
        <f t="shared" si="204"/>
        <v/>
      </c>
      <c r="HQ772" s="1638" t="str">
        <f t="shared" si="205"/>
        <v/>
      </c>
      <c r="HR772" s="1638" t="str">
        <f t="shared" si="206"/>
        <v/>
      </c>
      <c r="HS772" s="1638" t="str">
        <f t="shared" si="207"/>
        <v/>
      </c>
      <c r="HT772" s="1638" t="str">
        <f t="shared" si="208"/>
        <v/>
      </c>
      <c r="HU772" s="1638" t="str">
        <f t="shared" si="209"/>
        <v/>
      </c>
      <c r="HV772" s="1638" t="str">
        <f t="shared" si="210"/>
        <v/>
      </c>
      <c r="HW772" s="1638" t="str">
        <f t="shared" si="211"/>
        <v/>
      </c>
      <c r="HX772" s="1638" t="str">
        <f t="shared" si="212"/>
        <v/>
      </c>
      <c r="HY772" s="1638" t="str">
        <f t="shared" si="213"/>
        <v/>
      </c>
      <c r="HZ772" s="1638" t="str">
        <f t="shared" si="214"/>
        <v/>
      </c>
      <c r="IA772" s="1638" t="str">
        <f t="shared" si="215"/>
        <v/>
      </c>
      <c r="IB772" s="1638" t="str">
        <f t="shared" si="216"/>
        <v/>
      </c>
      <c r="IC772" s="1638" t="str">
        <f t="shared" si="217"/>
        <v/>
      </c>
      <c r="ID772" s="1639" t="str">
        <f t="shared" si="218"/>
        <v/>
      </c>
      <c r="IE772" s="1639" t="str">
        <f t="shared" si="219"/>
        <v/>
      </c>
      <c r="IF772" s="1639" t="str">
        <f t="shared" si="220"/>
        <v/>
      </c>
      <c r="IG772" s="1639" t="str">
        <f t="shared" si="221"/>
        <v/>
      </c>
      <c r="IH772" s="1639" t="str">
        <f t="shared" si="222"/>
        <v/>
      </c>
      <c r="II772" s="742" t="str">
        <f t="shared" si="223"/>
        <v/>
      </c>
      <c r="IJ772" s="742" t="str">
        <f t="shared" si="224"/>
        <v/>
      </c>
      <c r="IK772" s="742" t="str">
        <f t="shared" si="225"/>
        <v/>
      </c>
      <c r="IL772" s="742" t="str">
        <f t="shared" si="226"/>
        <v/>
      </c>
      <c r="IM772" s="742" t="str">
        <f t="shared" si="227"/>
        <v/>
      </c>
      <c r="IN772" s="742" t="str">
        <f t="shared" si="228"/>
        <v/>
      </c>
      <c r="IO772" s="742" t="str">
        <f t="shared" si="229"/>
        <v/>
      </c>
      <c r="IP772" s="742" t="str">
        <f t="shared" si="230"/>
        <v/>
      </c>
      <c r="IQ772" s="742" t="str">
        <f t="shared" si="231"/>
        <v/>
      </c>
      <c r="IR772" s="742" t="str">
        <f t="shared" si="232"/>
        <v/>
      </c>
      <c r="IS772" s="742" t="str">
        <f t="shared" si="233"/>
        <v/>
      </c>
      <c r="IT772" s="742" t="str">
        <f t="shared" si="234"/>
        <v/>
      </c>
      <c r="IU772" s="742" t="str">
        <f t="shared" si="235"/>
        <v/>
      </c>
      <c r="IV772" s="742" t="str">
        <f t="shared" si="236"/>
        <v/>
      </c>
      <c r="IW772" s="742" t="str">
        <f t="shared" si="237"/>
        <v/>
      </c>
      <c r="IX772" s="742" t="str">
        <f t="shared" si="238"/>
        <v/>
      </c>
      <c r="IY772" s="742" t="str">
        <f t="shared" si="239"/>
        <v/>
      </c>
      <c r="IZ772" s="742" t="str">
        <f t="shared" si="240"/>
        <v/>
      </c>
      <c r="JA772" s="742" t="str">
        <f t="shared" si="241"/>
        <v/>
      </c>
      <c r="JB772" s="742" t="str">
        <f t="shared" si="242"/>
        <v/>
      </c>
      <c r="JC772" s="1637">
        <f t="shared" si="243"/>
        <v>0</v>
      </c>
      <c r="JD772" s="1637">
        <f t="shared" si="244"/>
        <v>0</v>
      </c>
      <c r="JE772" s="1637">
        <f t="shared" si="245"/>
        <v>0</v>
      </c>
      <c r="JF772" s="1637">
        <f t="shared" si="246"/>
        <v>0</v>
      </c>
      <c r="JG772" s="1637">
        <f t="shared" si="247"/>
        <v>0</v>
      </c>
      <c r="JH772" s="1637">
        <f t="shared" si="248"/>
        <v>0</v>
      </c>
      <c r="JI772" s="1637">
        <f t="shared" si="249"/>
        <v>0</v>
      </c>
      <c r="JJ772" s="1637">
        <f t="shared" si="250"/>
        <v>0</v>
      </c>
      <c r="JK772" s="1637">
        <f t="shared" si="251"/>
        <v>0</v>
      </c>
      <c r="JL772" s="1637">
        <f t="shared" si="252"/>
        <v>0</v>
      </c>
      <c r="JM772" s="1637">
        <f t="shared" si="253"/>
        <v>0</v>
      </c>
      <c r="JN772" s="1637">
        <f t="shared" si="254"/>
        <v>0</v>
      </c>
      <c r="JO772" s="1637">
        <f t="shared" si="255"/>
        <v>0</v>
      </c>
      <c r="JP772" s="1637">
        <f t="shared" si="256"/>
        <v>0</v>
      </c>
      <c r="JQ772" s="1637">
        <f t="shared" si="257"/>
        <v>0</v>
      </c>
    </row>
    <row r="773" spans="1:277" ht="12" customHeight="1">
      <c r="A773" s="1813" t="str">
        <f t="shared" si="0"/>
        <v/>
      </c>
      <c r="B773" s="2145" t="str">
        <f>'Part VI-Revenues &amp; Expenses'!B16</f>
        <v>Unrestricted</v>
      </c>
      <c r="C773" s="2146">
        <f>'Part VI-Revenues &amp; Expenses'!C16</f>
        <v>0</v>
      </c>
      <c r="D773" s="2147">
        <f>'Part VI-Revenues &amp; Expenses'!D16</f>
        <v>0</v>
      </c>
      <c r="E773" s="2148">
        <f>'Part VI-Revenues &amp; Expenses'!E16</f>
        <v>0</v>
      </c>
      <c r="F773" s="2148">
        <f>'Part VI-Revenues &amp; Expenses'!F16</f>
        <v>0</v>
      </c>
      <c r="G773" s="2148">
        <f>'Part VI-Revenues &amp; Expenses'!G16</f>
        <v>0</v>
      </c>
      <c r="H773" s="2148">
        <f>'Part VI-Revenues &amp; Expenses'!H16</f>
        <v>0</v>
      </c>
      <c r="I773" s="2148">
        <f>'Part VI-Revenues &amp; Expenses'!I16</f>
        <v>0</v>
      </c>
      <c r="J773" s="2149">
        <f>'Part VI-Revenues &amp; Expenses'!J16</f>
        <v>0</v>
      </c>
      <c r="K773" s="1822">
        <f t="shared" si="1"/>
        <v>0</v>
      </c>
      <c r="L773" s="1822">
        <f t="shared" si="2"/>
        <v>0</v>
      </c>
      <c r="M773" s="2133">
        <f>'Part VI-Revenues &amp; Expenses'!M16</f>
        <v>0</v>
      </c>
      <c r="N773" s="2133">
        <f>'Part VI-Revenues &amp; Expenses'!N16</f>
        <v>0</v>
      </c>
      <c r="O773" s="2133">
        <f>'Part VI-Revenues &amp; Expenses'!O16</f>
        <v>0</v>
      </c>
      <c r="P773" s="1633">
        <f>'Part VI-Revenues &amp; Expenses'!P16</f>
        <v>0</v>
      </c>
      <c r="Q773" s="1823" t="str">
        <f>'Part VI-Revenues &amp; Expenses'!Q16</f>
        <v/>
      </c>
      <c r="R773" s="1824" t="str">
        <f>'Part VI-Revenues &amp; Expenses'!R16</f>
        <v/>
      </c>
      <c r="S773" s="1823">
        <f>'Part VI-Revenues &amp; Expenses'!S16</f>
        <v>0</v>
      </c>
      <c r="T773" s="1824">
        <f>'Part VI-Revenues &amp; Expenses'!T16</f>
        <v>0</v>
      </c>
      <c r="U773" s="1838"/>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si="117"/>
        <v/>
      </c>
      <c r="EH773" s="742" t="str">
        <f t="shared" si="118"/>
        <v/>
      </c>
      <c r="EI773" s="742" t="str">
        <f t="shared" si="119"/>
        <v/>
      </c>
      <c r="EJ773" s="742" t="str">
        <f t="shared" si="120"/>
        <v/>
      </c>
      <c r="EK773" s="742" t="str">
        <f t="shared" si="121"/>
        <v/>
      </c>
      <c r="EL773" s="742" t="str">
        <f t="shared" si="122"/>
        <v/>
      </c>
      <c r="EM773" s="742" t="str">
        <f t="shared" si="123"/>
        <v/>
      </c>
      <c r="EN773" s="742" t="str">
        <f t="shared" si="124"/>
        <v/>
      </c>
      <c r="EO773" s="742" t="str">
        <f t="shared" si="125"/>
        <v/>
      </c>
      <c r="EP773" s="742" t="str">
        <f t="shared" si="126"/>
        <v/>
      </c>
      <c r="EQ773" s="742" t="str">
        <f t="shared" si="127"/>
        <v/>
      </c>
      <c r="ER773" s="742" t="str">
        <f t="shared" si="128"/>
        <v/>
      </c>
      <c r="ES773" s="742" t="str">
        <f t="shared" si="129"/>
        <v/>
      </c>
      <c r="ET773" s="742" t="str">
        <f t="shared" si="130"/>
        <v/>
      </c>
      <c r="EU773" s="742" t="str">
        <f t="shared" si="131"/>
        <v/>
      </c>
      <c r="EV773" s="742" t="str">
        <f t="shared" si="132"/>
        <v/>
      </c>
      <c r="EW773" s="1638" t="str">
        <f t="shared" si="133"/>
        <v/>
      </c>
      <c r="EX773" s="1638" t="str">
        <f t="shared" si="134"/>
        <v/>
      </c>
      <c r="EY773" s="1638" t="str">
        <f t="shared" si="135"/>
        <v/>
      </c>
      <c r="EZ773" s="1638" t="str">
        <f t="shared" si="136"/>
        <v/>
      </c>
      <c r="FA773" s="1638" t="str">
        <f t="shared" si="137"/>
        <v/>
      </c>
      <c r="FB773" s="1638" t="str">
        <f t="shared" si="138"/>
        <v/>
      </c>
      <c r="FC773" s="1638" t="str">
        <f t="shared" si="139"/>
        <v/>
      </c>
      <c r="FD773" s="1638" t="str">
        <f t="shared" si="140"/>
        <v/>
      </c>
      <c r="FE773" s="1638" t="str">
        <f t="shared" si="141"/>
        <v/>
      </c>
      <c r="FF773" s="1638" t="str">
        <f t="shared" si="142"/>
        <v/>
      </c>
      <c r="FG773" s="1638" t="str">
        <f t="shared" si="143"/>
        <v/>
      </c>
      <c r="FH773" s="1638" t="str">
        <f t="shared" si="144"/>
        <v/>
      </c>
      <c r="FI773" s="1638" t="str">
        <f t="shared" si="145"/>
        <v/>
      </c>
      <c r="FJ773" s="1638" t="str">
        <f t="shared" si="146"/>
        <v/>
      </c>
      <c r="FK773" s="1638" t="str">
        <f t="shared" si="147"/>
        <v/>
      </c>
      <c r="FL773" s="1638" t="str">
        <f t="shared" si="148"/>
        <v/>
      </c>
      <c r="FM773" s="1638" t="str">
        <f t="shared" si="149"/>
        <v/>
      </c>
      <c r="FN773" s="1638" t="str">
        <f t="shared" si="150"/>
        <v/>
      </c>
      <c r="FO773" s="1638" t="str">
        <f t="shared" si="151"/>
        <v/>
      </c>
      <c r="FP773" s="1638" t="str">
        <f t="shared" si="152"/>
        <v/>
      </c>
      <c r="FQ773" s="1638" t="str">
        <f t="shared" si="153"/>
        <v/>
      </c>
      <c r="FR773" s="1638" t="str">
        <f t="shared" si="154"/>
        <v/>
      </c>
      <c r="FS773" s="1638" t="str">
        <f t="shared" si="155"/>
        <v/>
      </c>
      <c r="FT773" s="1638" t="str">
        <f t="shared" si="156"/>
        <v/>
      </c>
      <c r="FU773" s="1638" t="str">
        <f t="shared" si="157"/>
        <v/>
      </c>
      <c r="FV773" s="1638" t="str">
        <f t="shared" si="158"/>
        <v/>
      </c>
      <c r="FW773" s="1638" t="str">
        <f t="shared" si="159"/>
        <v/>
      </c>
      <c r="FX773" s="1638" t="str">
        <f t="shared" si="160"/>
        <v/>
      </c>
      <c r="FY773" s="1638" t="str">
        <f t="shared" si="161"/>
        <v/>
      </c>
      <c r="FZ773" s="1638" t="str">
        <f t="shared" si="162"/>
        <v/>
      </c>
      <c r="GA773" s="1638" t="str">
        <f t="shared" si="163"/>
        <v/>
      </c>
      <c r="GB773" s="1638" t="str">
        <f t="shared" si="164"/>
        <v/>
      </c>
      <c r="GC773" s="1638" t="str">
        <f t="shared" si="165"/>
        <v/>
      </c>
      <c r="GD773" s="1638" t="str">
        <f t="shared" si="166"/>
        <v/>
      </c>
      <c r="GE773" s="1638" t="str">
        <f t="shared" si="167"/>
        <v/>
      </c>
      <c r="GF773" s="1638" t="str">
        <f t="shared" si="168"/>
        <v/>
      </c>
      <c r="GG773" s="1638" t="str">
        <f t="shared" si="169"/>
        <v/>
      </c>
      <c r="GH773" s="1638" t="str">
        <f t="shared" si="170"/>
        <v/>
      </c>
      <c r="GI773" s="1638" t="str">
        <f t="shared" si="171"/>
        <v/>
      </c>
      <c r="GJ773" s="1638" t="str">
        <f t="shared" si="172"/>
        <v/>
      </c>
      <c r="GK773" s="1638" t="str">
        <f t="shared" si="173"/>
        <v/>
      </c>
      <c r="GL773" s="1638" t="str">
        <f t="shared" si="174"/>
        <v/>
      </c>
      <c r="GM773" s="1638" t="str">
        <f t="shared" si="175"/>
        <v/>
      </c>
      <c r="GN773" s="1638" t="str">
        <f t="shared" si="176"/>
        <v/>
      </c>
      <c r="GO773" s="1638" t="str">
        <f t="shared" si="177"/>
        <v/>
      </c>
      <c r="GP773" s="1638" t="str">
        <f t="shared" si="178"/>
        <v/>
      </c>
      <c r="GQ773" s="1638" t="str">
        <f t="shared" si="179"/>
        <v/>
      </c>
      <c r="GR773" s="1638" t="str">
        <f t="shared" si="180"/>
        <v/>
      </c>
      <c r="GS773" s="1638" t="str">
        <f t="shared" si="181"/>
        <v/>
      </c>
      <c r="GT773" s="1638" t="str">
        <f t="shared" si="182"/>
        <v/>
      </c>
      <c r="GU773" s="1638" t="str">
        <f t="shared" si="183"/>
        <v/>
      </c>
      <c r="GV773" s="1638" t="str">
        <f t="shared" si="184"/>
        <v/>
      </c>
      <c r="GW773" s="1638" t="str">
        <f t="shared" si="185"/>
        <v/>
      </c>
      <c r="GX773" s="1638" t="str">
        <f t="shared" si="186"/>
        <v/>
      </c>
      <c r="GY773" s="1638" t="str">
        <f t="shared" si="187"/>
        <v/>
      </c>
      <c r="GZ773" s="1638" t="str">
        <f t="shared" si="188"/>
        <v/>
      </c>
      <c r="HA773" s="1638" t="str">
        <f t="shared" si="189"/>
        <v/>
      </c>
      <c r="HB773" s="1638" t="str">
        <f t="shared" si="190"/>
        <v/>
      </c>
      <c r="HC773" s="1638" t="str">
        <f t="shared" si="191"/>
        <v/>
      </c>
      <c r="HD773" s="1638" t="str">
        <f t="shared" si="192"/>
        <v/>
      </c>
      <c r="HE773" s="1638" t="str">
        <f t="shared" si="193"/>
        <v/>
      </c>
      <c r="HF773" s="1638" t="str">
        <f t="shared" si="194"/>
        <v/>
      </c>
      <c r="HG773" s="1638" t="str">
        <f t="shared" si="195"/>
        <v/>
      </c>
      <c r="HH773" s="1638" t="str">
        <f t="shared" si="196"/>
        <v/>
      </c>
      <c r="HI773" s="1638" t="str">
        <f t="shared" si="197"/>
        <v/>
      </c>
      <c r="HJ773" s="1638" t="str">
        <f t="shared" si="198"/>
        <v/>
      </c>
      <c r="HK773" s="1638" t="str">
        <f t="shared" si="199"/>
        <v/>
      </c>
      <c r="HL773" s="1638" t="str">
        <f t="shared" si="200"/>
        <v/>
      </c>
      <c r="HM773" s="1638" t="str">
        <f t="shared" si="201"/>
        <v/>
      </c>
      <c r="HN773" s="1638" t="str">
        <f t="shared" si="202"/>
        <v/>
      </c>
      <c r="HO773" s="1638" t="str">
        <f t="shared" si="203"/>
        <v/>
      </c>
      <c r="HP773" s="1638" t="str">
        <f t="shared" si="204"/>
        <v/>
      </c>
      <c r="HQ773" s="1638" t="str">
        <f t="shared" si="205"/>
        <v/>
      </c>
      <c r="HR773" s="1638" t="str">
        <f t="shared" si="206"/>
        <v/>
      </c>
      <c r="HS773" s="1638" t="str">
        <f t="shared" si="207"/>
        <v/>
      </c>
      <c r="HT773" s="1638" t="str">
        <f t="shared" si="208"/>
        <v/>
      </c>
      <c r="HU773" s="1638" t="str">
        <f t="shared" si="209"/>
        <v/>
      </c>
      <c r="HV773" s="1638" t="str">
        <f t="shared" si="210"/>
        <v/>
      </c>
      <c r="HW773" s="1638" t="str">
        <f t="shared" si="211"/>
        <v/>
      </c>
      <c r="HX773" s="1638" t="str">
        <f t="shared" si="212"/>
        <v/>
      </c>
      <c r="HY773" s="1638" t="str">
        <f t="shared" si="213"/>
        <v/>
      </c>
      <c r="HZ773" s="1638" t="str">
        <f t="shared" si="214"/>
        <v/>
      </c>
      <c r="IA773" s="1638" t="str">
        <f t="shared" si="215"/>
        <v/>
      </c>
      <c r="IB773" s="1638" t="str">
        <f t="shared" si="216"/>
        <v/>
      </c>
      <c r="IC773" s="1638" t="str">
        <f t="shared" si="217"/>
        <v/>
      </c>
      <c r="ID773" s="1639" t="str">
        <f t="shared" si="218"/>
        <v/>
      </c>
      <c r="IE773" s="1639" t="str">
        <f t="shared" si="219"/>
        <v/>
      </c>
      <c r="IF773" s="1639" t="str">
        <f t="shared" si="220"/>
        <v/>
      </c>
      <c r="IG773" s="1639" t="str">
        <f t="shared" si="221"/>
        <v/>
      </c>
      <c r="IH773" s="1639" t="str">
        <f t="shared" si="222"/>
        <v/>
      </c>
      <c r="II773" s="742" t="str">
        <f t="shared" si="223"/>
        <v/>
      </c>
      <c r="IJ773" s="742" t="str">
        <f t="shared" si="224"/>
        <v/>
      </c>
      <c r="IK773" s="742" t="str">
        <f t="shared" si="225"/>
        <v/>
      </c>
      <c r="IL773" s="742" t="str">
        <f t="shared" si="226"/>
        <v/>
      </c>
      <c r="IM773" s="742" t="str">
        <f t="shared" si="227"/>
        <v/>
      </c>
      <c r="IN773" s="742" t="str">
        <f t="shared" si="228"/>
        <v/>
      </c>
      <c r="IO773" s="742" t="str">
        <f t="shared" si="229"/>
        <v/>
      </c>
      <c r="IP773" s="742" t="str">
        <f t="shared" si="230"/>
        <v/>
      </c>
      <c r="IQ773" s="742" t="str">
        <f t="shared" si="231"/>
        <v/>
      </c>
      <c r="IR773" s="742" t="str">
        <f t="shared" si="232"/>
        <v/>
      </c>
      <c r="IS773" s="742" t="str">
        <f t="shared" si="233"/>
        <v/>
      </c>
      <c r="IT773" s="742" t="str">
        <f t="shared" si="234"/>
        <v/>
      </c>
      <c r="IU773" s="742" t="str">
        <f t="shared" si="235"/>
        <v/>
      </c>
      <c r="IV773" s="742" t="str">
        <f t="shared" si="236"/>
        <v/>
      </c>
      <c r="IW773" s="742" t="str">
        <f t="shared" si="237"/>
        <v/>
      </c>
      <c r="IX773" s="742" t="str">
        <f t="shared" si="238"/>
        <v/>
      </c>
      <c r="IY773" s="742" t="str">
        <f t="shared" si="239"/>
        <v/>
      </c>
      <c r="IZ773" s="742" t="str">
        <f t="shared" si="240"/>
        <v/>
      </c>
      <c r="JA773" s="742" t="str">
        <f t="shared" si="241"/>
        <v/>
      </c>
      <c r="JB773" s="742" t="str">
        <f t="shared" si="242"/>
        <v/>
      </c>
      <c r="JC773" s="1637">
        <f t="shared" si="243"/>
        <v>0</v>
      </c>
      <c r="JD773" s="1637">
        <f t="shared" si="244"/>
        <v>0</v>
      </c>
      <c r="JE773" s="1637">
        <f t="shared" si="245"/>
        <v>0</v>
      </c>
      <c r="JF773" s="1637">
        <f t="shared" si="246"/>
        <v>0</v>
      </c>
      <c r="JG773" s="1637">
        <f t="shared" si="247"/>
        <v>0</v>
      </c>
      <c r="JH773" s="1637">
        <f t="shared" si="248"/>
        <v>0</v>
      </c>
      <c r="JI773" s="1637">
        <f t="shared" si="249"/>
        <v>0</v>
      </c>
      <c r="JJ773" s="1637">
        <f t="shared" si="250"/>
        <v>0</v>
      </c>
      <c r="JK773" s="1637">
        <f t="shared" si="251"/>
        <v>0</v>
      </c>
      <c r="JL773" s="1637">
        <f t="shared" si="252"/>
        <v>0</v>
      </c>
      <c r="JM773" s="1637">
        <f t="shared" si="253"/>
        <v>0</v>
      </c>
      <c r="JN773" s="1637">
        <f t="shared" si="254"/>
        <v>0</v>
      </c>
      <c r="JO773" s="1637">
        <f t="shared" si="255"/>
        <v>0</v>
      </c>
      <c r="JP773" s="1637">
        <f t="shared" si="256"/>
        <v>0</v>
      </c>
      <c r="JQ773" s="1637">
        <f t="shared" si="257"/>
        <v>0</v>
      </c>
    </row>
    <row r="774" spans="1:277" ht="12" customHeight="1">
      <c r="A774" s="1813" t="str">
        <f t="shared" si="0"/>
        <v/>
      </c>
      <c r="B774" s="2145">
        <f>'Part VI-Revenues &amp; Expenses'!B17</f>
        <v>60</v>
      </c>
      <c r="C774" s="2146">
        <f>'Part VI-Revenues &amp; Expenses'!C17</f>
        <v>1</v>
      </c>
      <c r="D774" s="2147">
        <f>'Part VI-Revenues &amp; Expenses'!D17</f>
        <v>1</v>
      </c>
      <c r="E774" s="2148">
        <f>'Part VI-Revenues &amp; Expenses'!E17</f>
        <v>8</v>
      </c>
      <c r="F774" s="2148">
        <f>'Part VI-Revenues &amp; Expenses'!F17</f>
        <v>745</v>
      </c>
      <c r="G774" s="2148">
        <f>'Part VI-Revenues &amp; Expenses'!G17</f>
        <v>897</v>
      </c>
      <c r="H774" s="2148">
        <f>'Part VI-Revenues &amp; Expenses'!H17</f>
        <v>801</v>
      </c>
      <c r="I774" s="2148">
        <f>'Part VI-Revenues &amp; Expenses'!I17</f>
        <v>61</v>
      </c>
      <c r="J774" s="2149">
        <f>'Part VI-Revenues &amp; Expenses'!J17</f>
        <v>0</v>
      </c>
      <c r="K774" s="1822">
        <f t="shared" si="1"/>
        <v>740</v>
      </c>
      <c r="L774" s="1822">
        <f t="shared" si="2"/>
        <v>5920</v>
      </c>
      <c r="M774" s="2133" t="str">
        <f>'Part VI-Revenues &amp; Expenses'!M17</f>
        <v>No</v>
      </c>
      <c r="N774" s="2133" t="str">
        <f>'Part VI-Revenues &amp; Expenses'!N17</f>
        <v>3+ Story</v>
      </c>
      <c r="O774" s="2133" t="str">
        <f>'Part VI-Revenues &amp; Expenses'!O17</f>
        <v>New Construction</v>
      </c>
      <c r="P774" s="1633" t="str">
        <f>'Part VI-Revenues &amp; Expenses'!P17</f>
        <v>No</v>
      </c>
      <c r="Q774" s="1823">
        <f>'Part VI-Revenues &amp; Expenses'!Q17</f>
        <v>32040</v>
      </c>
      <c r="R774" s="1824">
        <f>'Part VI-Revenues &amp; Expenses'!R17</f>
        <v>0.57112299465240646</v>
      </c>
      <c r="S774" s="1823">
        <f>'Part VI-Revenues &amp; Expenses'!S17</f>
        <v>0</v>
      </c>
      <c r="T774" s="1824">
        <f>'Part VI-Revenues &amp; Expenses'!T17</f>
        <v>0</v>
      </c>
      <c r="U774" s="1838"/>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f t="shared" si="89"/>
        <v>8</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117"/>
        <v/>
      </c>
      <c r="EH774" s="742" t="str">
        <f t="shared" si="118"/>
        <v/>
      </c>
      <c r="EI774" s="742" t="str">
        <f t="shared" si="119"/>
        <v/>
      </c>
      <c r="EJ774" s="742" t="str">
        <f t="shared" si="120"/>
        <v/>
      </c>
      <c r="EK774" s="742" t="str">
        <f t="shared" si="121"/>
        <v/>
      </c>
      <c r="EL774" s="742" t="str">
        <f t="shared" si="122"/>
        <v/>
      </c>
      <c r="EM774" s="742" t="str">
        <f t="shared" si="123"/>
        <v/>
      </c>
      <c r="EN774" s="742" t="str">
        <f t="shared" si="124"/>
        <v/>
      </c>
      <c r="EO774" s="742" t="str">
        <f t="shared" si="125"/>
        <v/>
      </c>
      <c r="EP774" s="742" t="str">
        <f t="shared" si="126"/>
        <v/>
      </c>
      <c r="EQ774" s="742" t="str">
        <f t="shared" si="127"/>
        <v/>
      </c>
      <c r="ER774" s="742" t="str">
        <f t="shared" si="128"/>
        <v/>
      </c>
      <c r="ES774" s="742" t="str">
        <f t="shared" si="129"/>
        <v/>
      </c>
      <c r="ET774" s="742" t="str">
        <f t="shared" si="130"/>
        <v/>
      </c>
      <c r="EU774" s="742" t="str">
        <f t="shared" si="131"/>
        <v/>
      </c>
      <c r="EV774" s="742" t="str">
        <f t="shared" si="132"/>
        <v/>
      </c>
      <c r="EW774" s="1638" t="str">
        <f t="shared" si="133"/>
        <v/>
      </c>
      <c r="EX774" s="1638">
        <f t="shared" si="134"/>
        <v>8</v>
      </c>
      <c r="EY774" s="1638" t="str">
        <f t="shared" si="135"/>
        <v/>
      </c>
      <c r="EZ774" s="1638" t="str">
        <f t="shared" si="136"/>
        <v/>
      </c>
      <c r="FA774" s="1638" t="str">
        <f t="shared" si="137"/>
        <v/>
      </c>
      <c r="FB774" s="1638" t="str">
        <f t="shared" si="138"/>
        <v/>
      </c>
      <c r="FC774" s="1638" t="str">
        <f t="shared" si="139"/>
        <v/>
      </c>
      <c r="FD774" s="1638" t="str">
        <f t="shared" si="140"/>
        <v/>
      </c>
      <c r="FE774" s="1638" t="str">
        <f t="shared" si="141"/>
        <v/>
      </c>
      <c r="FF774" s="1638" t="str">
        <f t="shared" si="142"/>
        <v/>
      </c>
      <c r="FG774" s="1638" t="str">
        <f t="shared" si="143"/>
        <v/>
      </c>
      <c r="FH774" s="1638" t="str">
        <f t="shared" si="144"/>
        <v/>
      </c>
      <c r="FI774" s="1638" t="str">
        <f t="shared" si="145"/>
        <v/>
      </c>
      <c r="FJ774" s="1638" t="str">
        <f t="shared" si="146"/>
        <v/>
      </c>
      <c r="FK774" s="1638" t="str">
        <f t="shared" si="147"/>
        <v/>
      </c>
      <c r="FL774" s="1638" t="str">
        <f t="shared" si="148"/>
        <v/>
      </c>
      <c r="FM774" s="1638" t="str">
        <f t="shared" si="149"/>
        <v/>
      </c>
      <c r="FN774" s="1638" t="str">
        <f t="shared" si="150"/>
        <v/>
      </c>
      <c r="FO774" s="1638" t="str">
        <f t="shared" si="151"/>
        <v/>
      </c>
      <c r="FP774" s="1638" t="str">
        <f t="shared" si="152"/>
        <v/>
      </c>
      <c r="FQ774" s="1638" t="str">
        <f t="shared" si="153"/>
        <v/>
      </c>
      <c r="FR774" s="1638" t="str">
        <f t="shared" si="154"/>
        <v/>
      </c>
      <c r="FS774" s="1638" t="str">
        <f t="shared" si="155"/>
        <v/>
      </c>
      <c r="FT774" s="1638" t="str">
        <f t="shared" si="156"/>
        <v/>
      </c>
      <c r="FU774" s="1638" t="str">
        <f t="shared" si="157"/>
        <v/>
      </c>
      <c r="FV774" s="1638" t="str">
        <f t="shared" si="158"/>
        <v/>
      </c>
      <c r="FW774" s="1638" t="str">
        <f t="shared" si="159"/>
        <v/>
      </c>
      <c r="FX774" s="1638" t="str">
        <f t="shared" si="160"/>
        <v/>
      </c>
      <c r="FY774" s="1638" t="str">
        <f t="shared" si="161"/>
        <v/>
      </c>
      <c r="FZ774" s="1638" t="str">
        <f t="shared" si="162"/>
        <v/>
      </c>
      <c r="GA774" s="1638" t="str">
        <f t="shared" si="163"/>
        <v/>
      </c>
      <c r="GB774" s="1638" t="str">
        <f t="shared" si="164"/>
        <v/>
      </c>
      <c r="GC774" s="1638" t="str">
        <f t="shared" si="165"/>
        <v/>
      </c>
      <c r="GD774" s="1638" t="str">
        <f t="shared" si="166"/>
        <v/>
      </c>
      <c r="GE774" s="1638" t="str">
        <f t="shared" si="167"/>
        <v/>
      </c>
      <c r="GF774" s="1638" t="str">
        <f t="shared" si="168"/>
        <v/>
      </c>
      <c r="GG774" s="1638" t="str">
        <f t="shared" si="169"/>
        <v/>
      </c>
      <c r="GH774" s="1638" t="str">
        <f t="shared" si="170"/>
        <v/>
      </c>
      <c r="GI774" s="1638" t="str">
        <f t="shared" si="171"/>
        <v/>
      </c>
      <c r="GJ774" s="1638" t="str">
        <f t="shared" si="172"/>
        <v/>
      </c>
      <c r="GK774" s="1638" t="str">
        <f t="shared" si="173"/>
        <v/>
      </c>
      <c r="GL774" s="1638" t="str">
        <f t="shared" si="174"/>
        <v/>
      </c>
      <c r="GM774" s="1638" t="str">
        <f t="shared" si="175"/>
        <v/>
      </c>
      <c r="GN774" s="1638" t="str">
        <f t="shared" si="176"/>
        <v/>
      </c>
      <c r="GO774" s="1638" t="str">
        <f t="shared" si="177"/>
        <v/>
      </c>
      <c r="GP774" s="1638" t="str">
        <f t="shared" si="178"/>
        <v/>
      </c>
      <c r="GQ774" s="1638" t="str">
        <f t="shared" si="179"/>
        <v/>
      </c>
      <c r="GR774" s="1638" t="str">
        <f t="shared" si="180"/>
        <v/>
      </c>
      <c r="GS774" s="1638" t="str">
        <f t="shared" si="181"/>
        <v/>
      </c>
      <c r="GT774" s="1638" t="str">
        <f t="shared" si="182"/>
        <v/>
      </c>
      <c r="GU774" s="1638" t="str">
        <f t="shared" si="183"/>
        <v/>
      </c>
      <c r="GV774" s="1638" t="str">
        <f t="shared" si="184"/>
        <v/>
      </c>
      <c r="GW774" s="1638" t="str">
        <f t="shared" si="185"/>
        <v/>
      </c>
      <c r="GX774" s="1638" t="str">
        <f t="shared" si="186"/>
        <v/>
      </c>
      <c r="GY774" s="1638" t="str">
        <f t="shared" si="187"/>
        <v/>
      </c>
      <c r="GZ774" s="1638" t="str">
        <f t="shared" si="188"/>
        <v/>
      </c>
      <c r="HA774" s="1638" t="str">
        <f t="shared" si="189"/>
        <v/>
      </c>
      <c r="HB774" s="1638" t="str">
        <f t="shared" si="190"/>
        <v/>
      </c>
      <c r="HC774" s="1638" t="str">
        <f t="shared" si="191"/>
        <v/>
      </c>
      <c r="HD774" s="1638" t="str">
        <f t="shared" si="192"/>
        <v/>
      </c>
      <c r="HE774" s="1638" t="str">
        <f t="shared" si="193"/>
        <v/>
      </c>
      <c r="HF774" s="1638" t="str">
        <f t="shared" si="194"/>
        <v/>
      </c>
      <c r="HG774" s="1638" t="str">
        <f t="shared" si="195"/>
        <v/>
      </c>
      <c r="HH774" s="1638" t="str">
        <f t="shared" si="196"/>
        <v/>
      </c>
      <c r="HI774" s="1638" t="str">
        <f t="shared" si="197"/>
        <v/>
      </c>
      <c r="HJ774" s="1638" t="str">
        <f t="shared" si="198"/>
        <v/>
      </c>
      <c r="HK774" s="1638" t="str">
        <f t="shared" si="199"/>
        <v/>
      </c>
      <c r="HL774" s="1638" t="str">
        <f t="shared" si="200"/>
        <v/>
      </c>
      <c r="HM774" s="1638" t="str">
        <f t="shared" si="201"/>
        <v/>
      </c>
      <c r="HN774" s="1638" t="str">
        <f t="shared" si="202"/>
        <v/>
      </c>
      <c r="HO774" s="1638" t="str">
        <f t="shared" si="203"/>
        <v/>
      </c>
      <c r="HP774" s="1638" t="str">
        <f t="shared" si="204"/>
        <v/>
      </c>
      <c r="HQ774" s="1638" t="str">
        <f t="shared" si="205"/>
        <v/>
      </c>
      <c r="HR774" s="1638" t="str">
        <f t="shared" si="206"/>
        <v/>
      </c>
      <c r="HS774" s="1638" t="str">
        <f t="shared" si="207"/>
        <v/>
      </c>
      <c r="HT774" s="1638" t="str">
        <f t="shared" si="208"/>
        <v/>
      </c>
      <c r="HU774" s="1638">
        <f t="shared" si="209"/>
        <v>8</v>
      </c>
      <c r="HV774" s="1638" t="str">
        <f t="shared" si="210"/>
        <v/>
      </c>
      <c r="HW774" s="1638" t="str">
        <f t="shared" si="211"/>
        <v/>
      </c>
      <c r="HX774" s="1638" t="str">
        <f t="shared" si="212"/>
        <v/>
      </c>
      <c r="HY774" s="1638" t="str">
        <f t="shared" si="213"/>
        <v/>
      </c>
      <c r="HZ774" s="1638" t="str">
        <f t="shared" si="214"/>
        <v/>
      </c>
      <c r="IA774" s="1638" t="str">
        <f t="shared" si="215"/>
        <v/>
      </c>
      <c r="IB774" s="1638" t="str">
        <f t="shared" si="216"/>
        <v/>
      </c>
      <c r="IC774" s="1638" t="str">
        <f t="shared" si="217"/>
        <v/>
      </c>
      <c r="ID774" s="1639" t="str">
        <f t="shared" si="218"/>
        <v/>
      </c>
      <c r="IE774" s="1639" t="str">
        <f t="shared" si="219"/>
        <v/>
      </c>
      <c r="IF774" s="1639" t="str">
        <f t="shared" si="220"/>
        <v/>
      </c>
      <c r="IG774" s="1639" t="str">
        <f t="shared" si="221"/>
        <v/>
      </c>
      <c r="IH774" s="1639" t="str">
        <f t="shared" si="222"/>
        <v/>
      </c>
      <c r="II774" s="742" t="str">
        <f t="shared" si="223"/>
        <v/>
      </c>
      <c r="IJ774" s="742" t="str">
        <f t="shared" si="224"/>
        <v/>
      </c>
      <c r="IK774" s="742" t="str">
        <f t="shared" si="225"/>
        <v/>
      </c>
      <c r="IL774" s="742" t="str">
        <f t="shared" si="226"/>
        <v/>
      </c>
      <c r="IM774" s="742" t="str">
        <f t="shared" si="227"/>
        <v/>
      </c>
      <c r="IN774" s="742" t="str">
        <f t="shared" si="228"/>
        <v/>
      </c>
      <c r="IO774" s="742" t="str">
        <f t="shared" si="229"/>
        <v/>
      </c>
      <c r="IP774" s="742" t="str">
        <f t="shared" si="230"/>
        <v/>
      </c>
      <c r="IQ774" s="742" t="str">
        <f t="shared" si="231"/>
        <v/>
      </c>
      <c r="IR774" s="742" t="str">
        <f t="shared" si="232"/>
        <v/>
      </c>
      <c r="IS774" s="742" t="str">
        <f t="shared" si="233"/>
        <v/>
      </c>
      <c r="IT774" s="742" t="str">
        <f t="shared" si="234"/>
        <v/>
      </c>
      <c r="IU774" s="742" t="str">
        <f t="shared" si="235"/>
        <v/>
      </c>
      <c r="IV774" s="742" t="str">
        <f t="shared" si="236"/>
        <v/>
      </c>
      <c r="IW774" s="742" t="str">
        <f t="shared" si="237"/>
        <v/>
      </c>
      <c r="IX774" s="742" t="str">
        <f t="shared" si="238"/>
        <v/>
      </c>
      <c r="IY774" s="742" t="str">
        <f t="shared" si="239"/>
        <v/>
      </c>
      <c r="IZ774" s="742" t="str">
        <f t="shared" si="240"/>
        <v/>
      </c>
      <c r="JA774" s="742" t="str">
        <f t="shared" si="241"/>
        <v/>
      </c>
      <c r="JB774" s="742" t="str">
        <f t="shared" si="242"/>
        <v/>
      </c>
      <c r="JC774" s="1637">
        <f t="shared" si="243"/>
        <v>0</v>
      </c>
      <c r="JD774" s="1637">
        <f t="shared" si="244"/>
        <v>0</v>
      </c>
      <c r="JE774" s="1637">
        <f t="shared" si="245"/>
        <v>0</v>
      </c>
      <c r="JF774" s="1637">
        <f t="shared" si="246"/>
        <v>0</v>
      </c>
      <c r="JG774" s="1637">
        <f t="shared" si="247"/>
        <v>0</v>
      </c>
      <c r="JH774" s="1637">
        <f t="shared" si="248"/>
        <v>0</v>
      </c>
      <c r="JI774" s="1637">
        <f t="shared" si="249"/>
        <v>8</v>
      </c>
      <c r="JJ774" s="1637">
        <f t="shared" si="250"/>
        <v>0</v>
      </c>
      <c r="JK774" s="1637">
        <f t="shared" si="251"/>
        <v>0</v>
      </c>
      <c r="JL774" s="1637">
        <f t="shared" si="252"/>
        <v>0</v>
      </c>
      <c r="JM774" s="1637">
        <f t="shared" si="253"/>
        <v>0</v>
      </c>
      <c r="JN774" s="1637">
        <f t="shared" si="254"/>
        <v>0</v>
      </c>
      <c r="JO774" s="1637">
        <f t="shared" si="255"/>
        <v>0</v>
      </c>
      <c r="JP774" s="1637">
        <f t="shared" si="256"/>
        <v>0</v>
      </c>
      <c r="JQ774" s="1637">
        <f t="shared" si="257"/>
        <v>0</v>
      </c>
    </row>
    <row r="775" spans="1:277" ht="12" customHeight="1">
      <c r="A775" s="1813" t="str">
        <f t="shared" si="0"/>
        <v/>
      </c>
      <c r="B775" s="2145">
        <f>'Part VI-Revenues &amp; Expenses'!B18</f>
        <v>60</v>
      </c>
      <c r="C775" s="2146">
        <f>'Part VI-Revenues &amp; Expenses'!C18</f>
        <v>1</v>
      </c>
      <c r="D775" s="2147">
        <f>'Part VI-Revenues &amp; Expenses'!D18</f>
        <v>1</v>
      </c>
      <c r="E775" s="2148">
        <f>'Part VI-Revenues &amp; Expenses'!E18</f>
        <v>2</v>
      </c>
      <c r="F775" s="2148">
        <f>'Part VI-Revenues &amp; Expenses'!F18</f>
        <v>814</v>
      </c>
      <c r="G775" s="2148">
        <f>'Part VI-Revenues &amp; Expenses'!G18</f>
        <v>897</v>
      </c>
      <c r="H775" s="2148">
        <f>'Part VI-Revenues &amp; Expenses'!H18</f>
        <v>801</v>
      </c>
      <c r="I775" s="2148">
        <f>'Part VI-Revenues &amp; Expenses'!I18</f>
        <v>61</v>
      </c>
      <c r="J775" s="2149">
        <f>'Part VI-Revenues &amp; Expenses'!J18</f>
        <v>0</v>
      </c>
      <c r="K775" s="1822">
        <f t="shared" si="1"/>
        <v>740</v>
      </c>
      <c r="L775" s="1822">
        <f t="shared" si="2"/>
        <v>1480</v>
      </c>
      <c r="M775" s="2133" t="str">
        <f>'Part VI-Revenues &amp; Expenses'!M18</f>
        <v>No</v>
      </c>
      <c r="N775" s="2133" t="str">
        <f>'Part VI-Revenues &amp; Expenses'!N18</f>
        <v>3+ Story</v>
      </c>
      <c r="O775" s="2133" t="str">
        <f>'Part VI-Revenues &amp; Expenses'!O18</f>
        <v>New Construction</v>
      </c>
      <c r="P775" s="1633" t="str">
        <f>'Part VI-Revenues &amp; Expenses'!P18</f>
        <v>No</v>
      </c>
      <c r="Q775" s="1823">
        <f>'Part VI-Revenues &amp; Expenses'!Q18</f>
        <v>32040</v>
      </c>
      <c r="R775" s="1824">
        <f>'Part VI-Revenues &amp; Expenses'!R18</f>
        <v>0.57112299465240646</v>
      </c>
      <c r="S775" s="1823">
        <f>'Part VI-Revenues &amp; Expenses'!S18</f>
        <v>0</v>
      </c>
      <c r="T775" s="1824">
        <f>'Part VI-Revenues &amp; Expenses'!T18</f>
        <v>0</v>
      </c>
      <c r="U775" s="1838"/>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f t="shared" si="89"/>
        <v>2</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117"/>
        <v/>
      </c>
      <c r="EH775" s="742" t="str">
        <f t="shared" si="118"/>
        <v/>
      </c>
      <c r="EI775" s="742" t="str">
        <f t="shared" si="119"/>
        <v/>
      </c>
      <c r="EJ775" s="742" t="str">
        <f t="shared" si="120"/>
        <v/>
      </c>
      <c r="EK775" s="742" t="str">
        <f t="shared" si="121"/>
        <v/>
      </c>
      <c r="EL775" s="742" t="str">
        <f t="shared" si="122"/>
        <v/>
      </c>
      <c r="EM775" s="742" t="str">
        <f t="shared" si="123"/>
        <v/>
      </c>
      <c r="EN775" s="742" t="str">
        <f t="shared" si="124"/>
        <v/>
      </c>
      <c r="EO775" s="742" t="str">
        <f t="shared" si="125"/>
        <v/>
      </c>
      <c r="EP775" s="742" t="str">
        <f t="shared" si="126"/>
        <v/>
      </c>
      <c r="EQ775" s="742" t="str">
        <f t="shared" si="127"/>
        <v/>
      </c>
      <c r="ER775" s="742" t="str">
        <f t="shared" si="128"/>
        <v/>
      </c>
      <c r="ES775" s="742" t="str">
        <f t="shared" si="129"/>
        <v/>
      </c>
      <c r="ET775" s="742" t="str">
        <f t="shared" si="130"/>
        <v/>
      </c>
      <c r="EU775" s="742" t="str">
        <f t="shared" si="131"/>
        <v/>
      </c>
      <c r="EV775" s="742" t="str">
        <f t="shared" si="132"/>
        <v/>
      </c>
      <c r="EW775" s="1638" t="str">
        <f t="shared" si="133"/>
        <v/>
      </c>
      <c r="EX775" s="1638">
        <f t="shared" si="134"/>
        <v>2</v>
      </c>
      <c r="EY775" s="1638" t="str">
        <f t="shared" si="135"/>
        <v/>
      </c>
      <c r="EZ775" s="1638" t="str">
        <f t="shared" si="136"/>
        <v/>
      </c>
      <c r="FA775" s="1638" t="str">
        <f t="shared" si="137"/>
        <v/>
      </c>
      <c r="FB775" s="1638" t="str">
        <f t="shared" si="138"/>
        <v/>
      </c>
      <c r="FC775" s="1638" t="str">
        <f t="shared" si="139"/>
        <v/>
      </c>
      <c r="FD775" s="1638" t="str">
        <f t="shared" si="140"/>
        <v/>
      </c>
      <c r="FE775" s="1638" t="str">
        <f t="shared" si="141"/>
        <v/>
      </c>
      <c r="FF775" s="1638" t="str">
        <f t="shared" si="142"/>
        <v/>
      </c>
      <c r="FG775" s="1638" t="str">
        <f t="shared" si="143"/>
        <v/>
      </c>
      <c r="FH775" s="1638" t="str">
        <f t="shared" si="144"/>
        <v/>
      </c>
      <c r="FI775" s="1638" t="str">
        <f t="shared" si="145"/>
        <v/>
      </c>
      <c r="FJ775" s="1638" t="str">
        <f t="shared" si="146"/>
        <v/>
      </c>
      <c r="FK775" s="1638" t="str">
        <f t="shared" si="147"/>
        <v/>
      </c>
      <c r="FL775" s="1638" t="str">
        <f t="shared" si="148"/>
        <v/>
      </c>
      <c r="FM775" s="1638" t="str">
        <f t="shared" si="149"/>
        <v/>
      </c>
      <c r="FN775" s="1638" t="str">
        <f t="shared" si="150"/>
        <v/>
      </c>
      <c r="FO775" s="1638" t="str">
        <f t="shared" si="151"/>
        <v/>
      </c>
      <c r="FP775" s="1638" t="str">
        <f t="shared" si="152"/>
        <v/>
      </c>
      <c r="FQ775" s="1638" t="str">
        <f t="shared" si="153"/>
        <v/>
      </c>
      <c r="FR775" s="1638" t="str">
        <f t="shared" si="154"/>
        <v/>
      </c>
      <c r="FS775" s="1638" t="str">
        <f t="shared" si="155"/>
        <v/>
      </c>
      <c r="FT775" s="1638" t="str">
        <f t="shared" si="156"/>
        <v/>
      </c>
      <c r="FU775" s="1638" t="str">
        <f t="shared" si="157"/>
        <v/>
      </c>
      <c r="FV775" s="1638" t="str">
        <f t="shared" si="158"/>
        <v/>
      </c>
      <c r="FW775" s="1638" t="str">
        <f t="shared" si="159"/>
        <v/>
      </c>
      <c r="FX775" s="1638" t="str">
        <f t="shared" si="160"/>
        <v/>
      </c>
      <c r="FY775" s="1638" t="str">
        <f t="shared" si="161"/>
        <v/>
      </c>
      <c r="FZ775" s="1638" t="str">
        <f t="shared" si="162"/>
        <v/>
      </c>
      <c r="GA775" s="1638" t="str">
        <f t="shared" si="163"/>
        <v/>
      </c>
      <c r="GB775" s="1638" t="str">
        <f t="shared" si="164"/>
        <v/>
      </c>
      <c r="GC775" s="1638" t="str">
        <f t="shared" si="165"/>
        <v/>
      </c>
      <c r="GD775" s="1638" t="str">
        <f t="shared" si="166"/>
        <v/>
      </c>
      <c r="GE775" s="1638" t="str">
        <f t="shared" si="167"/>
        <v/>
      </c>
      <c r="GF775" s="1638" t="str">
        <f t="shared" si="168"/>
        <v/>
      </c>
      <c r="GG775" s="1638" t="str">
        <f t="shared" si="169"/>
        <v/>
      </c>
      <c r="GH775" s="1638" t="str">
        <f t="shared" si="170"/>
        <v/>
      </c>
      <c r="GI775" s="1638" t="str">
        <f t="shared" si="171"/>
        <v/>
      </c>
      <c r="GJ775" s="1638" t="str">
        <f t="shared" si="172"/>
        <v/>
      </c>
      <c r="GK775" s="1638" t="str">
        <f t="shared" si="173"/>
        <v/>
      </c>
      <c r="GL775" s="1638" t="str">
        <f t="shared" si="174"/>
        <v/>
      </c>
      <c r="GM775" s="1638" t="str">
        <f t="shared" si="175"/>
        <v/>
      </c>
      <c r="GN775" s="1638" t="str">
        <f t="shared" si="176"/>
        <v/>
      </c>
      <c r="GO775" s="1638" t="str">
        <f t="shared" si="177"/>
        <v/>
      </c>
      <c r="GP775" s="1638" t="str">
        <f t="shared" si="178"/>
        <v/>
      </c>
      <c r="GQ775" s="1638" t="str">
        <f t="shared" si="179"/>
        <v/>
      </c>
      <c r="GR775" s="1638" t="str">
        <f t="shared" si="180"/>
        <v/>
      </c>
      <c r="GS775" s="1638" t="str">
        <f t="shared" si="181"/>
        <v/>
      </c>
      <c r="GT775" s="1638" t="str">
        <f t="shared" si="182"/>
        <v/>
      </c>
      <c r="GU775" s="1638" t="str">
        <f t="shared" si="183"/>
        <v/>
      </c>
      <c r="GV775" s="1638" t="str">
        <f t="shared" si="184"/>
        <v/>
      </c>
      <c r="GW775" s="1638" t="str">
        <f t="shared" si="185"/>
        <v/>
      </c>
      <c r="GX775" s="1638" t="str">
        <f t="shared" si="186"/>
        <v/>
      </c>
      <c r="GY775" s="1638" t="str">
        <f t="shared" si="187"/>
        <v/>
      </c>
      <c r="GZ775" s="1638" t="str">
        <f t="shared" si="188"/>
        <v/>
      </c>
      <c r="HA775" s="1638" t="str">
        <f t="shared" si="189"/>
        <v/>
      </c>
      <c r="HB775" s="1638" t="str">
        <f t="shared" si="190"/>
        <v/>
      </c>
      <c r="HC775" s="1638" t="str">
        <f t="shared" si="191"/>
        <v/>
      </c>
      <c r="HD775" s="1638" t="str">
        <f t="shared" si="192"/>
        <v/>
      </c>
      <c r="HE775" s="1638" t="str">
        <f t="shared" si="193"/>
        <v/>
      </c>
      <c r="HF775" s="1638" t="str">
        <f t="shared" si="194"/>
        <v/>
      </c>
      <c r="HG775" s="1638" t="str">
        <f t="shared" si="195"/>
        <v/>
      </c>
      <c r="HH775" s="1638" t="str">
        <f t="shared" si="196"/>
        <v/>
      </c>
      <c r="HI775" s="1638" t="str">
        <f t="shared" si="197"/>
        <v/>
      </c>
      <c r="HJ775" s="1638" t="str">
        <f t="shared" si="198"/>
        <v/>
      </c>
      <c r="HK775" s="1638" t="str">
        <f t="shared" si="199"/>
        <v/>
      </c>
      <c r="HL775" s="1638" t="str">
        <f t="shared" si="200"/>
        <v/>
      </c>
      <c r="HM775" s="1638" t="str">
        <f t="shared" si="201"/>
        <v/>
      </c>
      <c r="HN775" s="1638" t="str">
        <f t="shared" si="202"/>
        <v/>
      </c>
      <c r="HO775" s="1638" t="str">
        <f t="shared" si="203"/>
        <v/>
      </c>
      <c r="HP775" s="1638" t="str">
        <f t="shared" si="204"/>
        <v/>
      </c>
      <c r="HQ775" s="1638" t="str">
        <f t="shared" si="205"/>
        <v/>
      </c>
      <c r="HR775" s="1638" t="str">
        <f t="shared" si="206"/>
        <v/>
      </c>
      <c r="HS775" s="1638" t="str">
        <f t="shared" si="207"/>
        <v/>
      </c>
      <c r="HT775" s="1638" t="str">
        <f t="shared" si="208"/>
        <v/>
      </c>
      <c r="HU775" s="1638">
        <f t="shared" si="209"/>
        <v>2</v>
      </c>
      <c r="HV775" s="1638" t="str">
        <f t="shared" si="210"/>
        <v/>
      </c>
      <c r="HW775" s="1638" t="str">
        <f t="shared" si="211"/>
        <v/>
      </c>
      <c r="HX775" s="1638" t="str">
        <f t="shared" si="212"/>
        <v/>
      </c>
      <c r="HY775" s="1638" t="str">
        <f t="shared" si="213"/>
        <v/>
      </c>
      <c r="HZ775" s="1638" t="str">
        <f t="shared" si="214"/>
        <v/>
      </c>
      <c r="IA775" s="1638" t="str">
        <f t="shared" si="215"/>
        <v/>
      </c>
      <c r="IB775" s="1638" t="str">
        <f t="shared" si="216"/>
        <v/>
      </c>
      <c r="IC775" s="1638" t="str">
        <f t="shared" si="217"/>
        <v/>
      </c>
      <c r="ID775" s="1639" t="str">
        <f t="shared" si="218"/>
        <v/>
      </c>
      <c r="IE775" s="1639" t="str">
        <f t="shared" si="219"/>
        <v/>
      </c>
      <c r="IF775" s="1639" t="str">
        <f t="shared" si="220"/>
        <v/>
      </c>
      <c r="IG775" s="1639" t="str">
        <f t="shared" si="221"/>
        <v/>
      </c>
      <c r="IH775" s="1639" t="str">
        <f t="shared" si="222"/>
        <v/>
      </c>
      <c r="II775" s="742" t="str">
        <f t="shared" si="223"/>
        <v/>
      </c>
      <c r="IJ775" s="742" t="str">
        <f t="shared" si="224"/>
        <v/>
      </c>
      <c r="IK775" s="742" t="str">
        <f t="shared" si="225"/>
        <v/>
      </c>
      <c r="IL775" s="742" t="str">
        <f t="shared" si="226"/>
        <v/>
      </c>
      <c r="IM775" s="742" t="str">
        <f t="shared" si="227"/>
        <v/>
      </c>
      <c r="IN775" s="742" t="str">
        <f t="shared" si="228"/>
        <v/>
      </c>
      <c r="IO775" s="742" t="str">
        <f t="shared" si="229"/>
        <v/>
      </c>
      <c r="IP775" s="742" t="str">
        <f t="shared" si="230"/>
        <v/>
      </c>
      <c r="IQ775" s="742" t="str">
        <f t="shared" si="231"/>
        <v/>
      </c>
      <c r="IR775" s="742" t="str">
        <f t="shared" si="232"/>
        <v/>
      </c>
      <c r="IS775" s="742" t="str">
        <f t="shared" si="233"/>
        <v/>
      </c>
      <c r="IT775" s="742" t="str">
        <f t="shared" si="234"/>
        <v/>
      </c>
      <c r="IU775" s="742" t="str">
        <f t="shared" si="235"/>
        <v/>
      </c>
      <c r="IV775" s="742" t="str">
        <f t="shared" si="236"/>
        <v/>
      </c>
      <c r="IW775" s="742" t="str">
        <f t="shared" si="237"/>
        <v/>
      </c>
      <c r="IX775" s="742" t="str">
        <f t="shared" si="238"/>
        <v/>
      </c>
      <c r="IY775" s="742" t="str">
        <f t="shared" si="239"/>
        <v/>
      </c>
      <c r="IZ775" s="742" t="str">
        <f t="shared" si="240"/>
        <v/>
      </c>
      <c r="JA775" s="742" t="str">
        <f t="shared" si="241"/>
        <v/>
      </c>
      <c r="JB775" s="742" t="str">
        <f t="shared" si="242"/>
        <v/>
      </c>
      <c r="JC775" s="1637">
        <f t="shared" si="243"/>
        <v>0</v>
      </c>
      <c r="JD775" s="1637">
        <f t="shared" si="244"/>
        <v>0</v>
      </c>
      <c r="JE775" s="1637">
        <f t="shared" si="245"/>
        <v>0</v>
      </c>
      <c r="JF775" s="1637">
        <f t="shared" si="246"/>
        <v>0</v>
      </c>
      <c r="JG775" s="1637">
        <f t="shared" si="247"/>
        <v>0</v>
      </c>
      <c r="JH775" s="1637">
        <f t="shared" si="248"/>
        <v>0</v>
      </c>
      <c r="JI775" s="1637">
        <f t="shared" si="249"/>
        <v>2</v>
      </c>
      <c r="JJ775" s="1637">
        <f t="shared" si="250"/>
        <v>0</v>
      </c>
      <c r="JK775" s="1637">
        <f t="shared" si="251"/>
        <v>0</v>
      </c>
      <c r="JL775" s="1637">
        <f t="shared" si="252"/>
        <v>0</v>
      </c>
      <c r="JM775" s="1637">
        <f t="shared" si="253"/>
        <v>0</v>
      </c>
      <c r="JN775" s="1637">
        <f t="shared" si="254"/>
        <v>0</v>
      </c>
      <c r="JO775" s="1637">
        <f t="shared" si="255"/>
        <v>0</v>
      </c>
      <c r="JP775" s="1637">
        <f t="shared" si="256"/>
        <v>0</v>
      </c>
      <c r="JQ775" s="1637">
        <f t="shared" si="257"/>
        <v>0</v>
      </c>
    </row>
    <row r="776" spans="1:277" ht="12" customHeight="1">
      <c r="A776" s="1813" t="str">
        <f t="shared" si="0"/>
        <v/>
      </c>
      <c r="B776" s="2145">
        <f>'Part VI-Revenues &amp; Expenses'!B19</f>
        <v>60</v>
      </c>
      <c r="C776" s="2146">
        <f>'Part VI-Revenues &amp; Expenses'!C19</f>
        <v>1</v>
      </c>
      <c r="D776" s="2147">
        <f>'Part VI-Revenues &amp; Expenses'!D19</f>
        <v>1</v>
      </c>
      <c r="E776" s="2148">
        <f>'Part VI-Revenues &amp; Expenses'!E19</f>
        <v>2</v>
      </c>
      <c r="F776" s="2148">
        <f>'Part VI-Revenues &amp; Expenses'!F19</f>
        <v>926</v>
      </c>
      <c r="G776" s="2148">
        <f>'Part VI-Revenues &amp; Expenses'!G19</f>
        <v>897</v>
      </c>
      <c r="H776" s="2148">
        <f>'Part VI-Revenues &amp; Expenses'!H19</f>
        <v>801</v>
      </c>
      <c r="I776" s="2148">
        <f>'Part VI-Revenues &amp; Expenses'!I19</f>
        <v>61</v>
      </c>
      <c r="J776" s="2149">
        <f>'Part VI-Revenues &amp; Expenses'!J19</f>
        <v>0</v>
      </c>
      <c r="K776" s="1822">
        <f t="shared" si="1"/>
        <v>740</v>
      </c>
      <c r="L776" s="1822">
        <f t="shared" si="2"/>
        <v>1480</v>
      </c>
      <c r="M776" s="2133" t="str">
        <f>'Part VI-Revenues &amp; Expenses'!M19</f>
        <v>No</v>
      </c>
      <c r="N776" s="2133" t="str">
        <f>'Part VI-Revenues &amp; Expenses'!N19</f>
        <v>3+ Story</v>
      </c>
      <c r="O776" s="2133" t="str">
        <f>'Part VI-Revenues &amp; Expenses'!O19</f>
        <v>New Construction</v>
      </c>
      <c r="P776" s="1633" t="str">
        <f>'Part VI-Revenues &amp; Expenses'!P19</f>
        <v>No</v>
      </c>
      <c r="Q776" s="1823">
        <f>'Part VI-Revenues &amp; Expenses'!Q19</f>
        <v>32040</v>
      </c>
      <c r="R776" s="1824">
        <f>'Part VI-Revenues &amp; Expenses'!R19</f>
        <v>0.57112299465240646</v>
      </c>
      <c r="S776" s="1823">
        <f>'Part VI-Revenues &amp; Expenses'!S19</f>
        <v>0</v>
      </c>
      <c r="T776" s="1824">
        <f>'Part VI-Revenues &amp; Expenses'!T19</f>
        <v>0</v>
      </c>
      <c r="U776" s="1838"/>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f t="shared" si="89"/>
        <v>2</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117"/>
        <v/>
      </c>
      <c r="EH776" s="742" t="str">
        <f t="shared" si="118"/>
        <v/>
      </c>
      <c r="EI776" s="742" t="str">
        <f t="shared" si="119"/>
        <v/>
      </c>
      <c r="EJ776" s="742" t="str">
        <f t="shared" si="120"/>
        <v/>
      </c>
      <c r="EK776" s="742" t="str">
        <f t="shared" si="121"/>
        <v/>
      </c>
      <c r="EL776" s="742" t="str">
        <f t="shared" si="122"/>
        <v/>
      </c>
      <c r="EM776" s="742" t="str">
        <f t="shared" si="123"/>
        <v/>
      </c>
      <c r="EN776" s="742" t="str">
        <f t="shared" si="124"/>
        <v/>
      </c>
      <c r="EO776" s="742" t="str">
        <f t="shared" si="125"/>
        <v/>
      </c>
      <c r="EP776" s="742" t="str">
        <f t="shared" si="126"/>
        <v/>
      </c>
      <c r="EQ776" s="742" t="str">
        <f t="shared" si="127"/>
        <v/>
      </c>
      <c r="ER776" s="742" t="str">
        <f t="shared" si="128"/>
        <v/>
      </c>
      <c r="ES776" s="742" t="str">
        <f t="shared" si="129"/>
        <v/>
      </c>
      <c r="ET776" s="742" t="str">
        <f t="shared" si="130"/>
        <v/>
      </c>
      <c r="EU776" s="742" t="str">
        <f t="shared" si="131"/>
        <v/>
      </c>
      <c r="EV776" s="742" t="str">
        <f t="shared" si="132"/>
        <v/>
      </c>
      <c r="EW776" s="1638" t="str">
        <f t="shared" si="133"/>
        <v/>
      </c>
      <c r="EX776" s="1638">
        <f t="shared" si="134"/>
        <v>2</v>
      </c>
      <c r="EY776" s="1638" t="str">
        <f t="shared" si="135"/>
        <v/>
      </c>
      <c r="EZ776" s="1638" t="str">
        <f t="shared" si="136"/>
        <v/>
      </c>
      <c r="FA776" s="1638" t="str">
        <f t="shared" si="137"/>
        <v/>
      </c>
      <c r="FB776" s="1638" t="str">
        <f t="shared" si="138"/>
        <v/>
      </c>
      <c r="FC776" s="1638" t="str">
        <f t="shared" si="139"/>
        <v/>
      </c>
      <c r="FD776" s="1638" t="str">
        <f t="shared" si="140"/>
        <v/>
      </c>
      <c r="FE776" s="1638" t="str">
        <f t="shared" si="141"/>
        <v/>
      </c>
      <c r="FF776" s="1638" t="str">
        <f t="shared" si="142"/>
        <v/>
      </c>
      <c r="FG776" s="1638" t="str">
        <f t="shared" si="143"/>
        <v/>
      </c>
      <c r="FH776" s="1638" t="str">
        <f t="shared" si="144"/>
        <v/>
      </c>
      <c r="FI776" s="1638" t="str">
        <f t="shared" si="145"/>
        <v/>
      </c>
      <c r="FJ776" s="1638" t="str">
        <f t="shared" si="146"/>
        <v/>
      </c>
      <c r="FK776" s="1638" t="str">
        <f t="shared" si="147"/>
        <v/>
      </c>
      <c r="FL776" s="1638" t="str">
        <f t="shared" si="148"/>
        <v/>
      </c>
      <c r="FM776" s="1638" t="str">
        <f t="shared" si="149"/>
        <v/>
      </c>
      <c r="FN776" s="1638" t="str">
        <f t="shared" si="150"/>
        <v/>
      </c>
      <c r="FO776" s="1638" t="str">
        <f t="shared" si="151"/>
        <v/>
      </c>
      <c r="FP776" s="1638" t="str">
        <f t="shared" si="152"/>
        <v/>
      </c>
      <c r="FQ776" s="1638" t="str">
        <f t="shared" si="153"/>
        <v/>
      </c>
      <c r="FR776" s="1638" t="str">
        <f t="shared" si="154"/>
        <v/>
      </c>
      <c r="FS776" s="1638" t="str">
        <f t="shared" si="155"/>
        <v/>
      </c>
      <c r="FT776" s="1638" t="str">
        <f t="shared" si="156"/>
        <v/>
      </c>
      <c r="FU776" s="1638" t="str">
        <f t="shared" si="157"/>
        <v/>
      </c>
      <c r="FV776" s="1638" t="str">
        <f t="shared" si="158"/>
        <v/>
      </c>
      <c r="FW776" s="1638" t="str">
        <f t="shared" si="159"/>
        <v/>
      </c>
      <c r="FX776" s="1638" t="str">
        <f t="shared" si="160"/>
        <v/>
      </c>
      <c r="FY776" s="1638" t="str">
        <f t="shared" si="161"/>
        <v/>
      </c>
      <c r="FZ776" s="1638" t="str">
        <f t="shared" si="162"/>
        <v/>
      </c>
      <c r="GA776" s="1638" t="str">
        <f t="shared" si="163"/>
        <v/>
      </c>
      <c r="GB776" s="1638" t="str">
        <f t="shared" si="164"/>
        <v/>
      </c>
      <c r="GC776" s="1638" t="str">
        <f t="shared" si="165"/>
        <v/>
      </c>
      <c r="GD776" s="1638" t="str">
        <f t="shared" si="166"/>
        <v/>
      </c>
      <c r="GE776" s="1638" t="str">
        <f t="shared" si="167"/>
        <v/>
      </c>
      <c r="GF776" s="1638" t="str">
        <f t="shared" si="168"/>
        <v/>
      </c>
      <c r="GG776" s="1638" t="str">
        <f t="shared" si="169"/>
        <v/>
      </c>
      <c r="GH776" s="1638" t="str">
        <f t="shared" si="170"/>
        <v/>
      </c>
      <c r="GI776" s="1638" t="str">
        <f t="shared" si="171"/>
        <v/>
      </c>
      <c r="GJ776" s="1638" t="str">
        <f t="shared" si="172"/>
        <v/>
      </c>
      <c r="GK776" s="1638" t="str">
        <f t="shared" si="173"/>
        <v/>
      </c>
      <c r="GL776" s="1638" t="str">
        <f t="shared" si="174"/>
        <v/>
      </c>
      <c r="GM776" s="1638" t="str">
        <f t="shared" si="175"/>
        <v/>
      </c>
      <c r="GN776" s="1638" t="str">
        <f t="shared" si="176"/>
        <v/>
      </c>
      <c r="GO776" s="1638" t="str">
        <f t="shared" si="177"/>
        <v/>
      </c>
      <c r="GP776" s="1638" t="str">
        <f t="shared" si="178"/>
        <v/>
      </c>
      <c r="GQ776" s="1638" t="str">
        <f t="shared" si="179"/>
        <v/>
      </c>
      <c r="GR776" s="1638" t="str">
        <f t="shared" si="180"/>
        <v/>
      </c>
      <c r="GS776" s="1638" t="str">
        <f t="shared" si="181"/>
        <v/>
      </c>
      <c r="GT776" s="1638" t="str">
        <f t="shared" si="182"/>
        <v/>
      </c>
      <c r="GU776" s="1638" t="str">
        <f t="shared" si="183"/>
        <v/>
      </c>
      <c r="GV776" s="1638" t="str">
        <f t="shared" si="184"/>
        <v/>
      </c>
      <c r="GW776" s="1638" t="str">
        <f t="shared" si="185"/>
        <v/>
      </c>
      <c r="GX776" s="1638" t="str">
        <f t="shared" si="186"/>
        <v/>
      </c>
      <c r="GY776" s="1638" t="str">
        <f t="shared" si="187"/>
        <v/>
      </c>
      <c r="GZ776" s="1638" t="str">
        <f t="shared" si="188"/>
        <v/>
      </c>
      <c r="HA776" s="1638" t="str">
        <f t="shared" si="189"/>
        <v/>
      </c>
      <c r="HB776" s="1638" t="str">
        <f t="shared" si="190"/>
        <v/>
      </c>
      <c r="HC776" s="1638" t="str">
        <f t="shared" si="191"/>
        <v/>
      </c>
      <c r="HD776" s="1638" t="str">
        <f t="shared" si="192"/>
        <v/>
      </c>
      <c r="HE776" s="1638" t="str">
        <f t="shared" si="193"/>
        <v/>
      </c>
      <c r="HF776" s="1638" t="str">
        <f t="shared" si="194"/>
        <v/>
      </c>
      <c r="HG776" s="1638" t="str">
        <f t="shared" si="195"/>
        <v/>
      </c>
      <c r="HH776" s="1638" t="str">
        <f t="shared" si="196"/>
        <v/>
      </c>
      <c r="HI776" s="1638" t="str">
        <f t="shared" si="197"/>
        <v/>
      </c>
      <c r="HJ776" s="1638" t="str">
        <f t="shared" si="198"/>
        <v/>
      </c>
      <c r="HK776" s="1638" t="str">
        <f t="shared" si="199"/>
        <v/>
      </c>
      <c r="HL776" s="1638" t="str">
        <f t="shared" si="200"/>
        <v/>
      </c>
      <c r="HM776" s="1638" t="str">
        <f t="shared" si="201"/>
        <v/>
      </c>
      <c r="HN776" s="1638" t="str">
        <f t="shared" si="202"/>
        <v/>
      </c>
      <c r="HO776" s="1638" t="str">
        <f t="shared" si="203"/>
        <v/>
      </c>
      <c r="HP776" s="1638" t="str">
        <f t="shared" si="204"/>
        <v/>
      </c>
      <c r="HQ776" s="1638" t="str">
        <f t="shared" si="205"/>
        <v/>
      </c>
      <c r="HR776" s="1638" t="str">
        <f t="shared" si="206"/>
        <v/>
      </c>
      <c r="HS776" s="1638" t="str">
        <f t="shared" si="207"/>
        <v/>
      </c>
      <c r="HT776" s="1638" t="str">
        <f t="shared" si="208"/>
        <v/>
      </c>
      <c r="HU776" s="1638">
        <f t="shared" si="209"/>
        <v>2</v>
      </c>
      <c r="HV776" s="1638" t="str">
        <f t="shared" si="210"/>
        <v/>
      </c>
      <c r="HW776" s="1638" t="str">
        <f t="shared" si="211"/>
        <v/>
      </c>
      <c r="HX776" s="1638" t="str">
        <f t="shared" si="212"/>
        <v/>
      </c>
      <c r="HY776" s="1638" t="str">
        <f t="shared" si="213"/>
        <v/>
      </c>
      <c r="HZ776" s="1638" t="str">
        <f t="shared" si="214"/>
        <v/>
      </c>
      <c r="IA776" s="1638" t="str">
        <f t="shared" si="215"/>
        <v/>
      </c>
      <c r="IB776" s="1638" t="str">
        <f t="shared" si="216"/>
        <v/>
      </c>
      <c r="IC776" s="1638" t="str">
        <f t="shared" si="217"/>
        <v/>
      </c>
      <c r="ID776" s="1639" t="str">
        <f t="shared" si="218"/>
        <v/>
      </c>
      <c r="IE776" s="1639" t="str">
        <f t="shared" si="219"/>
        <v/>
      </c>
      <c r="IF776" s="1639" t="str">
        <f t="shared" si="220"/>
        <v/>
      </c>
      <c r="IG776" s="1639" t="str">
        <f t="shared" si="221"/>
        <v/>
      </c>
      <c r="IH776" s="1639" t="str">
        <f t="shared" si="222"/>
        <v/>
      </c>
      <c r="II776" s="742" t="str">
        <f t="shared" si="223"/>
        <v/>
      </c>
      <c r="IJ776" s="742" t="str">
        <f t="shared" si="224"/>
        <v/>
      </c>
      <c r="IK776" s="742" t="str">
        <f t="shared" si="225"/>
        <v/>
      </c>
      <c r="IL776" s="742" t="str">
        <f t="shared" si="226"/>
        <v/>
      </c>
      <c r="IM776" s="742" t="str">
        <f t="shared" si="227"/>
        <v/>
      </c>
      <c r="IN776" s="742" t="str">
        <f t="shared" si="228"/>
        <v/>
      </c>
      <c r="IO776" s="742" t="str">
        <f t="shared" si="229"/>
        <v/>
      </c>
      <c r="IP776" s="742" t="str">
        <f t="shared" si="230"/>
        <v/>
      </c>
      <c r="IQ776" s="742" t="str">
        <f t="shared" si="231"/>
        <v/>
      </c>
      <c r="IR776" s="742" t="str">
        <f t="shared" si="232"/>
        <v/>
      </c>
      <c r="IS776" s="742" t="str">
        <f t="shared" si="233"/>
        <v/>
      </c>
      <c r="IT776" s="742" t="str">
        <f t="shared" si="234"/>
        <v/>
      </c>
      <c r="IU776" s="742" t="str">
        <f t="shared" si="235"/>
        <v/>
      </c>
      <c r="IV776" s="742" t="str">
        <f t="shared" si="236"/>
        <v/>
      </c>
      <c r="IW776" s="742" t="str">
        <f t="shared" si="237"/>
        <v/>
      </c>
      <c r="IX776" s="742" t="str">
        <f t="shared" si="238"/>
        <v/>
      </c>
      <c r="IY776" s="742" t="str">
        <f t="shared" si="239"/>
        <v/>
      </c>
      <c r="IZ776" s="742" t="str">
        <f t="shared" si="240"/>
        <v/>
      </c>
      <c r="JA776" s="742" t="str">
        <f t="shared" si="241"/>
        <v/>
      </c>
      <c r="JB776" s="742" t="str">
        <f t="shared" si="242"/>
        <v/>
      </c>
      <c r="JC776" s="1637">
        <f t="shared" si="243"/>
        <v>0</v>
      </c>
      <c r="JD776" s="1637">
        <f t="shared" si="244"/>
        <v>0</v>
      </c>
      <c r="JE776" s="1637">
        <f t="shared" si="245"/>
        <v>0</v>
      </c>
      <c r="JF776" s="1637">
        <f t="shared" si="246"/>
        <v>0</v>
      </c>
      <c r="JG776" s="1637">
        <f t="shared" si="247"/>
        <v>0</v>
      </c>
      <c r="JH776" s="1637">
        <f t="shared" si="248"/>
        <v>0</v>
      </c>
      <c r="JI776" s="1637">
        <f t="shared" si="249"/>
        <v>2</v>
      </c>
      <c r="JJ776" s="1637">
        <f t="shared" si="250"/>
        <v>0</v>
      </c>
      <c r="JK776" s="1637">
        <f t="shared" si="251"/>
        <v>0</v>
      </c>
      <c r="JL776" s="1637">
        <f t="shared" si="252"/>
        <v>0</v>
      </c>
      <c r="JM776" s="1637">
        <f t="shared" si="253"/>
        <v>0</v>
      </c>
      <c r="JN776" s="1637">
        <f t="shared" si="254"/>
        <v>0</v>
      </c>
      <c r="JO776" s="1637">
        <f t="shared" si="255"/>
        <v>0</v>
      </c>
      <c r="JP776" s="1637">
        <f t="shared" si="256"/>
        <v>0</v>
      </c>
      <c r="JQ776" s="1637">
        <f t="shared" si="257"/>
        <v>0</v>
      </c>
    </row>
    <row r="777" spans="1:277" ht="12" customHeight="1">
      <c r="A777" s="1813" t="str">
        <f t="shared" si="0"/>
        <v/>
      </c>
      <c r="B777" s="2145">
        <f>'Part VI-Revenues &amp; Expenses'!B20</f>
        <v>60</v>
      </c>
      <c r="C777" s="2146">
        <f>'Part VI-Revenues &amp; Expenses'!C20</f>
        <v>2</v>
      </c>
      <c r="D777" s="2147">
        <f>'Part VI-Revenues &amp; Expenses'!D20</f>
        <v>2</v>
      </c>
      <c r="E777" s="2148">
        <f>'Part VI-Revenues &amp; Expenses'!E20</f>
        <v>56</v>
      </c>
      <c r="F777" s="2148">
        <f>'Part VI-Revenues &amp; Expenses'!F20</f>
        <v>981</v>
      </c>
      <c r="G777" s="2148">
        <f>'Part VI-Revenues &amp; Expenses'!G20</f>
        <v>1077</v>
      </c>
      <c r="H777" s="2148">
        <f>'Part VI-Revenues &amp; Expenses'!H20</f>
        <v>993</v>
      </c>
      <c r="I777" s="2148">
        <f>'Part VI-Revenues &amp; Expenses'!I20</f>
        <v>78</v>
      </c>
      <c r="J777" s="2149">
        <f>'Part VI-Revenues &amp; Expenses'!J20</f>
        <v>0</v>
      </c>
      <c r="K777" s="1822">
        <f t="shared" si="1"/>
        <v>915</v>
      </c>
      <c r="L777" s="1822">
        <f t="shared" si="2"/>
        <v>51240</v>
      </c>
      <c r="M777" s="2133" t="str">
        <f>'Part VI-Revenues &amp; Expenses'!M20</f>
        <v>No</v>
      </c>
      <c r="N777" s="2133" t="str">
        <f>'Part VI-Revenues &amp; Expenses'!N20</f>
        <v>3+ Story</v>
      </c>
      <c r="O777" s="2133" t="str">
        <f>'Part VI-Revenues &amp; Expenses'!O20</f>
        <v>New Construction</v>
      </c>
      <c r="P777" s="1633" t="str">
        <f>'Part VI-Revenues &amp; Expenses'!P20</f>
        <v>No</v>
      </c>
      <c r="Q777" s="1823">
        <f>'Part VI-Revenues &amp; Expenses'!Q20</f>
        <v>39720</v>
      </c>
      <c r="R777" s="1824">
        <f>'Part VI-Revenues &amp; Expenses'!R20</f>
        <v>0.59001782531194291</v>
      </c>
      <c r="S777" s="1823">
        <f>'Part VI-Revenues &amp; Expenses'!S20</f>
        <v>0</v>
      </c>
      <c r="T777" s="1824">
        <f>'Part VI-Revenues &amp; Expenses'!T20</f>
        <v>0</v>
      </c>
      <c r="U777" s="1838"/>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f t="shared" si="90"/>
        <v>56</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117"/>
        <v/>
      </c>
      <c r="EH777" s="742" t="str">
        <f t="shared" si="118"/>
        <v/>
      </c>
      <c r="EI777" s="742" t="str">
        <f t="shared" si="119"/>
        <v/>
      </c>
      <c r="EJ777" s="742" t="str">
        <f t="shared" si="120"/>
        <v/>
      </c>
      <c r="EK777" s="742" t="str">
        <f t="shared" si="121"/>
        <v/>
      </c>
      <c r="EL777" s="742" t="str">
        <f t="shared" si="122"/>
        <v/>
      </c>
      <c r="EM777" s="742" t="str">
        <f t="shared" si="123"/>
        <v/>
      </c>
      <c r="EN777" s="742" t="str">
        <f t="shared" si="124"/>
        <v/>
      </c>
      <c r="EO777" s="742" t="str">
        <f t="shared" si="125"/>
        <v/>
      </c>
      <c r="EP777" s="742" t="str">
        <f t="shared" si="126"/>
        <v/>
      </c>
      <c r="EQ777" s="742" t="str">
        <f t="shared" si="127"/>
        <v/>
      </c>
      <c r="ER777" s="742" t="str">
        <f t="shared" si="128"/>
        <v/>
      </c>
      <c r="ES777" s="742" t="str">
        <f t="shared" si="129"/>
        <v/>
      </c>
      <c r="ET777" s="742" t="str">
        <f t="shared" si="130"/>
        <v/>
      </c>
      <c r="EU777" s="742" t="str">
        <f t="shared" si="131"/>
        <v/>
      </c>
      <c r="EV777" s="742" t="str">
        <f t="shared" si="132"/>
        <v/>
      </c>
      <c r="EW777" s="1638" t="str">
        <f t="shared" si="133"/>
        <v/>
      </c>
      <c r="EX777" s="1638" t="str">
        <f t="shared" si="134"/>
        <v/>
      </c>
      <c r="EY777" s="1638">
        <f t="shared" si="135"/>
        <v>56</v>
      </c>
      <c r="EZ777" s="1638" t="str">
        <f t="shared" si="136"/>
        <v/>
      </c>
      <c r="FA777" s="1638" t="str">
        <f t="shared" si="137"/>
        <v/>
      </c>
      <c r="FB777" s="1638" t="str">
        <f t="shared" si="138"/>
        <v/>
      </c>
      <c r="FC777" s="1638" t="str">
        <f t="shared" si="139"/>
        <v/>
      </c>
      <c r="FD777" s="1638" t="str">
        <f t="shared" si="140"/>
        <v/>
      </c>
      <c r="FE777" s="1638" t="str">
        <f t="shared" si="141"/>
        <v/>
      </c>
      <c r="FF777" s="1638" t="str">
        <f t="shared" si="142"/>
        <v/>
      </c>
      <c r="FG777" s="1638" t="str">
        <f t="shared" si="143"/>
        <v/>
      </c>
      <c r="FH777" s="1638" t="str">
        <f t="shared" si="144"/>
        <v/>
      </c>
      <c r="FI777" s="1638" t="str">
        <f t="shared" si="145"/>
        <v/>
      </c>
      <c r="FJ777" s="1638" t="str">
        <f t="shared" si="146"/>
        <v/>
      </c>
      <c r="FK777" s="1638" t="str">
        <f t="shared" si="147"/>
        <v/>
      </c>
      <c r="FL777" s="1638" t="str">
        <f t="shared" si="148"/>
        <v/>
      </c>
      <c r="FM777" s="1638" t="str">
        <f t="shared" si="149"/>
        <v/>
      </c>
      <c r="FN777" s="1638" t="str">
        <f t="shared" si="150"/>
        <v/>
      </c>
      <c r="FO777" s="1638" t="str">
        <f t="shared" si="151"/>
        <v/>
      </c>
      <c r="FP777" s="1638" t="str">
        <f t="shared" si="152"/>
        <v/>
      </c>
      <c r="FQ777" s="1638" t="str">
        <f t="shared" si="153"/>
        <v/>
      </c>
      <c r="FR777" s="1638" t="str">
        <f t="shared" si="154"/>
        <v/>
      </c>
      <c r="FS777" s="1638" t="str">
        <f t="shared" si="155"/>
        <v/>
      </c>
      <c r="FT777" s="1638" t="str">
        <f t="shared" si="156"/>
        <v/>
      </c>
      <c r="FU777" s="1638" t="str">
        <f t="shared" si="157"/>
        <v/>
      </c>
      <c r="FV777" s="1638" t="str">
        <f t="shared" si="158"/>
        <v/>
      </c>
      <c r="FW777" s="1638" t="str">
        <f t="shared" si="159"/>
        <v/>
      </c>
      <c r="FX777" s="1638" t="str">
        <f t="shared" si="160"/>
        <v/>
      </c>
      <c r="FY777" s="1638" t="str">
        <f t="shared" si="161"/>
        <v/>
      </c>
      <c r="FZ777" s="1638" t="str">
        <f t="shared" si="162"/>
        <v/>
      </c>
      <c r="GA777" s="1638" t="str">
        <f t="shared" si="163"/>
        <v/>
      </c>
      <c r="GB777" s="1638" t="str">
        <f t="shared" si="164"/>
        <v/>
      </c>
      <c r="GC777" s="1638" t="str">
        <f t="shared" si="165"/>
        <v/>
      </c>
      <c r="GD777" s="1638" t="str">
        <f t="shared" si="166"/>
        <v/>
      </c>
      <c r="GE777" s="1638" t="str">
        <f t="shared" si="167"/>
        <v/>
      </c>
      <c r="GF777" s="1638" t="str">
        <f t="shared" si="168"/>
        <v/>
      </c>
      <c r="GG777" s="1638" t="str">
        <f t="shared" si="169"/>
        <v/>
      </c>
      <c r="GH777" s="1638" t="str">
        <f t="shared" si="170"/>
        <v/>
      </c>
      <c r="GI777" s="1638" t="str">
        <f t="shared" si="171"/>
        <v/>
      </c>
      <c r="GJ777" s="1638" t="str">
        <f t="shared" si="172"/>
        <v/>
      </c>
      <c r="GK777" s="1638" t="str">
        <f t="shared" si="173"/>
        <v/>
      </c>
      <c r="GL777" s="1638" t="str">
        <f t="shared" si="174"/>
        <v/>
      </c>
      <c r="GM777" s="1638" t="str">
        <f t="shared" si="175"/>
        <v/>
      </c>
      <c r="GN777" s="1638" t="str">
        <f t="shared" si="176"/>
        <v/>
      </c>
      <c r="GO777" s="1638" t="str">
        <f t="shared" si="177"/>
        <v/>
      </c>
      <c r="GP777" s="1638" t="str">
        <f t="shared" si="178"/>
        <v/>
      </c>
      <c r="GQ777" s="1638" t="str">
        <f t="shared" si="179"/>
        <v/>
      </c>
      <c r="GR777" s="1638" t="str">
        <f t="shared" si="180"/>
        <v/>
      </c>
      <c r="GS777" s="1638" t="str">
        <f t="shared" si="181"/>
        <v/>
      </c>
      <c r="GT777" s="1638" t="str">
        <f t="shared" si="182"/>
        <v/>
      </c>
      <c r="GU777" s="1638" t="str">
        <f t="shared" si="183"/>
        <v/>
      </c>
      <c r="GV777" s="1638" t="str">
        <f t="shared" si="184"/>
        <v/>
      </c>
      <c r="GW777" s="1638" t="str">
        <f t="shared" si="185"/>
        <v/>
      </c>
      <c r="GX777" s="1638" t="str">
        <f t="shared" si="186"/>
        <v/>
      </c>
      <c r="GY777" s="1638" t="str">
        <f t="shared" si="187"/>
        <v/>
      </c>
      <c r="GZ777" s="1638" t="str">
        <f t="shared" si="188"/>
        <v/>
      </c>
      <c r="HA777" s="1638" t="str">
        <f t="shared" si="189"/>
        <v/>
      </c>
      <c r="HB777" s="1638" t="str">
        <f t="shared" si="190"/>
        <v/>
      </c>
      <c r="HC777" s="1638" t="str">
        <f t="shared" si="191"/>
        <v/>
      </c>
      <c r="HD777" s="1638" t="str">
        <f t="shared" si="192"/>
        <v/>
      </c>
      <c r="HE777" s="1638" t="str">
        <f t="shared" si="193"/>
        <v/>
      </c>
      <c r="HF777" s="1638" t="str">
        <f t="shared" si="194"/>
        <v/>
      </c>
      <c r="HG777" s="1638" t="str">
        <f t="shared" si="195"/>
        <v/>
      </c>
      <c r="HH777" s="1638" t="str">
        <f t="shared" si="196"/>
        <v/>
      </c>
      <c r="HI777" s="1638" t="str">
        <f t="shared" si="197"/>
        <v/>
      </c>
      <c r="HJ777" s="1638" t="str">
        <f t="shared" si="198"/>
        <v/>
      </c>
      <c r="HK777" s="1638" t="str">
        <f t="shared" si="199"/>
        <v/>
      </c>
      <c r="HL777" s="1638" t="str">
        <f t="shared" si="200"/>
        <v/>
      </c>
      <c r="HM777" s="1638" t="str">
        <f t="shared" si="201"/>
        <v/>
      </c>
      <c r="HN777" s="1638" t="str">
        <f t="shared" si="202"/>
        <v/>
      </c>
      <c r="HO777" s="1638" t="str">
        <f t="shared" si="203"/>
        <v/>
      </c>
      <c r="HP777" s="1638" t="str">
        <f t="shared" si="204"/>
        <v/>
      </c>
      <c r="HQ777" s="1638" t="str">
        <f t="shared" si="205"/>
        <v/>
      </c>
      <c r="HR777" s="1638" t="str">
        <f t="shared" si="206"/>
        <v/>
      </c>
      <c r="HS777" s="1638" t="str">
        <f t="shared" si="207"/>
        <v/>
      </c>
      <c r="HT777" s="1638" t="str">
        <f t="shared" si="208"/>
        <v/>
      </c>
      <c r="HU777" s="1638" t="str">
        <f t="shared" si="209"/>
        <v/>
      </c>
      <c r="HV777" s="1638">
        <f t="shared" si="210"/>
        <v>56</v>
      </c>
      <c r="HW777" s="1638" t="str">
        <f t="shared" si="211"/>
        <v/>
      </c>
      <c r="HX777" s="1638" t="str">
        <f t="shared" si="212"/>
        <v/>
      </c>
      <c r="HY777" s="1638" t="str">
        <f t="shared" si="213"/>
        <v/>
      </c>
      <c r="HZ777" s="1638" t="str">
        <f t="shared" si="214"/>
        <v/>
      </c>
      <c r="IA777" s="1638" t="str">
        <f t="shared" si="215"/>
        <v/>
      </c>
      <c r="IB777" s="1638" t="str">
        <f t="shared" si="216"/>
        <v/>
      </c>
      <c r="IC777" s="1638" t="str">
        <f t="shared" si="217"/>
        <v/>
      </c>
      <c r="ID777" s="1639" t="str">
        <f t="shared" si="218"/>
        <v/>
      </c>
      <c r="IE777" s="1639" t="str">
        <f t="shared" si="219"/>
        <v/>
      </c>
      <c r="IF777" s="1639" t="str">
        <f t="shared" si="220"/>
        <v/>
      </c>
      <c r="IG777" s="1639" t="str">
        <f t="shared" si="221"/>
        <v/>
      </c>
      <c r="IH777" s="1639" t="str">
        <f t="shared" si="222"/>
        <v/>
      </c>
      <c r="II777" s="742" t="str">
        <f t="shared" si="223"/>
        <v/>
      </c>
      <c r="IJ777" s="742" t="str">
        <f t="shared" si="224"/>
        <v/>
      </c>
      <c r="IK777" s="742" t="str">
        <f t="shared" si="225"/>
        <v/>
      </c>
      <c r="IL777" s="742" t="str">
        <f t="shared" si="226"/>
        <v/>
      </c>
      <c r="IM777" s="742" t="str">
        <f t="shared" si="227"/>
        <v/>
      </c>
      <c r="IN777" s="742" t="str">
        <f t="shared" si="228"/>
        <v/>
      </c>
      <c r="IO777" s="742" t="str">
        <f t="shared" si="229"/>
        <v/>
      </c>
      <c r="IP777" s="742" t="str">
        <f t="shared" si="230"/>
        <v/>
      </c>
      <c r="IQ777" s="742" t="str">
        <f t="shared" si="231"/>
        <v/>
      </c>
      <c r="IR777" s="742" t="str">
        <f t="shared" si="232"/>
        <v/>
      </c>
      <c r="IS777" s="742" t="str">
        <f t="shared" si="233"/>
        <v/>
      </c>
      <c r="IT777" s="742" t="str">
        <f t="shared" si="234"/>
        <v/>
      </c>
      <c r="IU777" s="742" t="str">
        <f t="shared" si="235"/>
        <v/>
      </c>
      <c r="IV777" s="742" t="str">
        <f t="shared" si="236"/>
        <v/>
      </c>
      <c r="IW777" s="742" t="str">
        <f t="shared" si="237"/>
        <v/>
      </c>
      <c r="IX777" s="742" t="str">
        <f t="shared" si="238"/>
        <v/>
      </c>
      <c r="IY777" s="742" t="str">
        <f t="shared" si="239"/>
        <v/>
      </c>
      <c r="IZ777" s="742" t="str">
        <f t="shared" si="240"/>
        <v/>
      </c>
      <c r="JA777" s="742" t="str">
        <f t="shared" si="241"/>
        <v/>
      </c>
      <c r="JB777" s="742" t="str">
        <f t="shared" si="242"/>
        <v/>
      </c>
      <c r="JC777" s="1637">
        <f t="shared" si="243"/>
        <v>0</v>
      </c>
      <c r="JD777" s="1637">
        <f t="shared" si="244"/>
        <v>0</v>
      </c>
      <c r="JE777" s="1637">
        <f t="shared" si="245"/>
        <v>0</v>
      </c>
      <c r="JF777" s="1637">
        <f t="shared" si="246"/>
        <v>0</v>
      </c>
      <c r="JG777" s="1637">
        <f t="shared" si="247"/>
        <v>0</v>
      </c>
      <c r="JH777" s="1637">
        <f t="shared" si="248"/>
        <v>0</v>
      </c>
      <c r="JI777" s="1637">
        <f t="shared" si="249"/>
        <v>0</v>
      </c>
      <c r="JJ777" s="1637">
        <f t="shared" si="250"/>
        <v>56</v>
      </c>
      <c r="JK777" s="1637">
        <f t="shared" si="251"/>
        <v>0</v>
      </c>
      <c r="JL777" s="1637">
        <f t="shared" si="252"/>
        <v>0</v>
      </c>
      <c r="JM777" s="1637">
        <f t="shared" si="253"/>
        <v>0</v>
      </c>
      <c r="JN777" s="1637">
        <f t="shared" si="254"/>
        <v>0</v>
      </c>
      <c r="JO777" s="1637">
        <f t="shared" si="255"/>
        <v>0</v>
      </c>
      <c r="JP777" s="1637">
        <f t="shared" si="256"/>
        <v>0</v>
      </c>
      <c r="JQ777" s="1637">
        <f t="shared" si="257"/>
        <v>0</v>
      </c>
    </row>
    <row r="778" spans="1:277" ht="12" customHeight="1">
      <c r="A778" s="1813" t="str">
        <f t="shared" si="0"/>
        <v/>
      </c>
      <c r="B778" s="2145">
        <f>'Part VI-Revenues &amp; Expenses'!B21</f>
        <v>60</v>
      </c>
      <c r="C778" s="2146">
        <f>'Part VI-Revenues &amp; Expenses'!C21</f>
        <v>3</v>
      </c>
      <c r="D778" s="2147">
        <f>'Part VI-Revenues &amp; Expenses'!D21</f>
        <v>2</v>
      </c>
      <c r="E778" s="2148">
        <f>'Part VI-Revenues &amp; Expenses'!E21</f>
        <v>8</v>
      </c>
      <c r="F778" s="2148">
        <f>'Part VI-Revenues &amp; Expenses'!F21</f>
        <v>1231</v>
      </c>
      <c r="G778" s="2148">
        <f>'Part VI-Revenues &amp; Expenses'!G21</f>
        <v>1243</v>
      </c>
      <c r="H778" s="2148">
        <f>'Part VI-Revenues &amp; Expenses'!H21</f>
        <v>1133</v>
      </c>
      <c r="I778" s="2148">
        <f>'Part VI-Revenues &amp; Expenses'!I21</f>
        <v>93</v>
      </c>
      <c r="J778" s="2149">
        <f>'Part VI-Revenues &amp; Expenses'!J21</f>
        <v>0</v>
      </c>
      <c r="K778" s="1822">
        <f t="shared" si="1"/>
        <v>1040</v>
      </c>
      <c r="L778" s="1822">
        <f t="shared" si="2"/>
        <v>8320</v>
      </c>
      <c r="M778" s="2133" t="str">
        <f>'Part VI-Revenues &amp; Expenses'!M21</f>
        <v>No</v>
      </c>
      <c r="N778" s="2133" t="str">
        <f>'Part VI-Revenues &amp; Expenses'!N21</f>
        <v>3+ Story</v>
      </c>
      <c r="O778" s="2133" t="str">
        <f>'Part VI-Revenues &amp; Expenses'!O21</f>
        <v>New Construction</v>
      </c>
      <c r="P778" s="1633" t="str">
        <f>'Part VI-Revenues &amp; Expenses'!P21</f>
        <v>No</v>
      </c>
      <c r="Q778" s="1823">
        <f>'Part VI-Revenues &amp; Expenses'!Q21</f>
        <v>45320</v>
      </c>
      <c r="R778" s="1824">
        <f>'Part VI-Revenues &amp; Expenses'!R21</f>
        <v>0.58257918552036203</v>
      </c>
      <c r="S778" s="1823">
        <f>'Part VI-Revenues &amp; Expenses'!S21</f>
        <v>0</v>
      </c>
      <c r="T778" s="1824">
        <f>'Part VI-Revenues &amp; Expenses'!T21</f>
        <v>0</v>
      </c>
      <c r="U778" s="1838"/>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f t="shared" si="91"/>
        <v>8</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117"/>
        <v/>
      </c>
      <c r="EH778" s="742" t="str">
        <f t="shared" si="118"/>
        <v/>
      </c>
      <c r="EI778" s="742" t="str">
        <f t="shared" si="119"/>
        <v/>
      </c>
      <c r="EJ778" s="742" t="str">
        <f t="shared" si="120"/>
        <v/>
      </c>
      <c r="EK778" s="742" t="str">
        <f t="shared" si="121"/>
        <v/>
      </c>
      <c r="EL778" s="742" t="str">
        <f t="shared" si="122"/>
        <v/>
      </c>
      <c r="EM778" s="742" t="str">
        <f t="shared" si="123"/>
        <v/>
      </c>
      <c r="EN778" s="742" t="str">
        <f t="shared" si="124"/>
        <v/>
      </c>
      <c r="EO778" s="742" t="str">
        <f t="shared" si="125"/>
        <v/>
      </c>
      <c r="EP778" s="742" t="str">
        <f t="shared" si="126"/>
        <v/>
      </c>
      <c r="EQ778" s="742" t="str">
        <f t="shared" si="127"/>
        <v/>
      </c>
      <c r="ER778" s="742" t="str">
        <f t="shared" si="128"/>
        <v/>
      </c>
      <c r="ES778" s="742" t="str">
        <f t="shared" si="129"/>
        <v/>
      </c>
      <c r="ET778" s="742" t="str">
        <f t="shared" si="130"/>
        <v/>
      </c>
      <c r="EU778" s="742" t="str">
        <f t="shared" si="131"/>
        <v/>
      </c>
      <c r="EV778" s="742" t="str">
        <f t="shared" si="132"/>
        <v/>
      </c>
      <c r="EW778" s="1638" t="str">
        <f t="shared" si="133"/>
        <v/>
      </c>
      <c r="EX778" s="1638" t="str">
        <f t="shared" si="134"/>
        <v/>
      </c>
      <c r="EY778" s="1638" t="str">
        <f t="shared" si="135"/>
        <v/>
      </c>
      <c r="EZ778" s="1638">
        <f t="shared" si="136"/>
        <v>8</v>
      </c>
      <c r="FA778" s="1638" t="str">
        <f t="shared" si="137"/>
        <v/>
      </c>
      <c r="FB778" s="1638" t="str">
        <f t="shared" si="138"/>
        <v/>
      </c>
      <c r="FC778" s="1638" t="str">
        <f t="shared" si="139"/>
        <v/>
      </c>
      <c r="FD778" s="1638" t="str">
        <f t="shared" si="140"/>
        <v/>
      </c>
      <c r="FE778" s="1638" t="str">
        <f t="shared" si="141"/>
        <v/>
      </c>
      <c r="FF778" s="1638" t="str">
        <f t="shared" si="142"/>
        <v/>
      </c>
      <c r="FG778" s="1638" t="str">
        <f t="shared" si="143"/>
        <v/>
      </c>
      <c r="FH778" s="1638" t="str">
        <f t="shared" si="144"/>
        <v/>
      </c>
      <c r="FI778" s="1638" t="str">
        <f t="shared" si="145"/>
        <v/>
      </c>
      <c r="FJ778" s="1638" t="str">
        <f t="shared" si="146"/>
        <v/>
      </c>
      <c r="FK778" s="1638" t="str">
        <f t="shared" si="147"/>
        <v/>
      </c>
      <c r="FL778" s="1638" t="str">
        <f t="shared" si="148"/>
        <v/>
      </c>
      <c r="FM778" s="1638" t="str">
        <f t="shared" si="149"/>
        <v/>
      </c>
      <c r="FN778" s="1638" t="str">
        <f t="shared" si="150"/>
        <v/>
      </c>
      <c r="FO778" s="1638" t="str">
        <f t="shared" si="151"/>
        <v/>
      </c>
      <c r="FP778" s="1638" t="str">
        <f t="shared" si="152"/>
        <v/>
      </c>
      <c r="FQ778" s="1638" t="str">
        <f t="shared" si="153"/>
        <v/>
      </c>
      <c r="FR778" s="1638" t="str">
        <f t="shared" si="154"/>
        <v/>
      </c>
      <c r="FS778" s="1638" t="str">
        <f t="shared" si="155"/>
        <v/>
      </c>
      <c r="FT778" s="1638" t="str">
        <f t="shared" si="156"/>
        <v/>
      </c>
      <c r="FU778" s="1638" t="str">
        <f t="shared" si="157"/>
        <v/>
      </c>
      <c r="FV778" s="1638" t="str">
        <f t="shared" si="158"/>
        <v/>
      </c>
      <c r="FW778" s="1638" t="str">
        <f t="shared" si="159"/>
        <v/>
      </c>
      <c r="FX778" s="1638" t="str">
        <f t="shared" si="160"/>
        <v/>
      </c>
      <c r="FY778" s="1638" t="str">
        <f t="shared" si="161"/>
        <v/>
      </c>
      <c r="FZ778" s="1638" t="str">
        <f t="shared" si="162"/>
        <v/>
      </c>
      <c r="GA778" s="1638" t="str">
        <f t="shared" si="163"/>
        <v/>
      </c>
      <c r="GB778" s="1638" t="str">
        <f t="shared" si="164"/>
        <v/>
      </c>
      <c r="GC778" s="1638" t="str">
        <f t="shared" si="165"/>
        <v/>
      </c>
      <c r="GD778" s="1638" t="str">
        <f t="shared" si="166"/>
        <v/>
      </c>
      <c r="GE778" s="1638" t="str">
        <f t="shared" si="167"/>
        <v/>
      </c>
      <c r="GF778" s="1638" t="str">
        <f t="shared" si="168"/>
        <v/>
      </c>
      <c r="GG778" s="1638" t="str">
        <f t="shared" si="169"/>
        <v/>
      </c>
      <c r="GH778" s="1638" t="str">
        <f t="shared" si="170"/>
        <v/>
      </c>
      <c r="GI778" s="1638" t="str">
        <f t="shared" si="171"/>
        <v/>
      </c>
      <c r="GJ778" s="1638" t="str">
        <f t="shared" si="172"/>
        <v/>
      </c>
      <c r="GK778" s="1638" t="str">
        <f t="shared" si="173"/>
        <v/>
      </c>
      <c r="GL778" s="1638" t="str">
        <f t="shared" si="174"/>
        <v/>
      </c>
      <c r="GM778" s="1638" t="str">
        <f t="shared" si="175"/>
        <v/>
      </c>
      <c r="GN778" s="1638" t="str">
        <f t="shared" si="176"/>
        <v/>
      </c>
      <c r="GO778" s="1638" t="str">
        <f t="shared" si="177"/>
        <v/>
      </c>
      <c r="GP778" s="1638" t="str">
        <f t="shared" si="178"/>
        <v/>
      </c>
      <c r="GQ778" s="1638" t="str">
        <f t="shared" si="179"/>
        <v/>
      </c>
      <c r="GR778" s="1638" t="str">
        <f t="shared" si="180"/>
        <v/>
      </c>
      <c r="GS778" s="1638" t="str">
        <f t="shared" si="181"/>
        <v/>
      </c>
      <c r="GT778" s="1638" t="str">
        <f t="shared" si="182"/>
        <v/>
      </c>
      <c r="GU778" s="1638" t="str">
        <f t="shared" si="183"/>
        <v/>
      </c>
      <c r="GV778" s="1638" t="str">
        <f t="shared" si="184"/>
        <v/>
      </c>
      <c r="GW778" s="1638" t="str">
        <f t="shared" si="185"/>
        <v/>
      </c>
      <c r="GX778" s="1638" t="str">
        <f t="shared" si="186"/>
        <v/>
      </c>
      <c r="GY778" s="1638" t="str">
        <f t="shared" si="187"/>
        <v/>
      </c>
      <c r="GZ778" s="1638" t="str">
        <f t="shared" si="188"/>
        <v/>
      </c>
      <c r="HA778" s="1638" t="str">
        <f t="shared" si="189"/>
        <v/>
      </c>
      <c r="HB778" s="1638" t="str">
        <f t="shared" si="190"/>
        <v/>
      </c>
      <c r="HC778" s="1638" t="str">
        <f t="shared" si="191"/>
        <v/>
      </c>
      <c r="HD778" s="1638" t="str">
        <f t="shared" si="192"/>
        <v/>
      </c>
      <c r="HE778" s="1638" t="str">
        <f t="shared" si="193"/>
        <v/>
      </c>
      <c r="HF778" s="1638" t="str">
        <f t="shared" si="194"/>
        <v/>
      </c>
      <c r="HG778" s="1638" t="str">
        <f t="shared" si="195"/>
        <v/>
      </c>
      <c r="HH778" s="1638" t="str">
        <f t="shared" si="196"/>
        <v/>
      </c>
      <c r="HI778" s="1638" t="str">
        <f t="shared" si="197"/>
        <v/>
      </c>
      <c r="HJ778" s="1638" t="str">
        <f t="shared" si="198"/>
        <v/>
      </c>
      <c r="HK778" s="1638" t="str">
        <f t="shared" si="199"/>
        <v/>
      </c>
      <c r="HL778" s="1638" t="str">
        <f t="shared" si="200"/>
        <v/>
      </c>
      <c r="HM778" s="1638" t="str">
        <f t="shared" si="201"/>
        <v/>
      </c>
      <c r="HN778" s="1638" t="str">
        <f t="shared" si="202"/>
        <v/>
      </c>
      <c r="HO778" s="1638" t="str">
        <f t="shared" si="203"/>
        <v/>
      </c>
      <c r="HP778" s="1638" t="str">
        <f t="shared" si="204"/>
        <v/>
      </c>
      <c r="HQ778" s="1638" t="str">
        <f t="shared" si="205"/>
        <v/>
      </c>
      <c r="HR778" s="1638" t="str">
        <f t="shared" si="206"/>
        <v/>
      </c>
      <c r="HS778" s="1638" t="str">
        <f t="shared" si="207"/>
        <v/>
      </c>
      <c r="HT778" s="1638" t="str">
        <f t="shared" si="208"/>
        <v/>
      </c>
      <c r="HU778" s="1638" t="str">
        <f t="shared" si="209"/>
        <v/>
      </c>
      <c r="HV778" s="1638" t="str">
        <f t="shared" si="210"/>
        <v/>
      </c>
      <c r="HW778" s="1638">
        <f t="shared" si="211"/>
        <v>8</v>
      </c>
      <c r="HX778" s="1638" t="str">
        <f t="shared" si="212"/>
        <v/>
      </c>
      <c r="HY778" s="1638" t="str">
        <f t="shared" si="213"/>
        <v/>
      </c>
      <c r="HZ778" s="1638" t="str">
        <f t="shared" si="214"/>
        <v/>
      </c>
      <c r="IA778" s="1638" t="str">
        <f t="shared" si="215"/>
        <v/>
      </c>
      <c r="IB778" s="1638" t="str">
        <f t="shared" si="216"/>
        <v/>
      </c>
      <c r="IC778" s="1638" t="str">
        <f t="shared" si="217"/>
        <v/>
      </c>
      <c r="ID778" s="1639" t="str">
        <f t="shared" si="218"/>
        <v/>
      </c>
      <c r="IE778" s="1639" t="str">
        <f t="shared" si="219"/>
        <v/>
      </c>
      <c r="IF778" s="1639" t="str">
        <f t="shared" si="220"/>
        <v/>
      </c>
      <c r="IG778" s="1639" t="str">
        <f t="shared" si="221"/>
        <v/>
      </c>
      <c r="IH778" s="1639" t="str">
        <f t="shared" si="222"/>
        <v/>
      </c>
      <c r="II778" s="742" t="str">
        <f t="shared" si="223"/>
        <v/>
      </c>
      <c r="IJ778" s="742" t="str">
        <f t="shared" si="224"/>
        <v/>
      </c>
      <c r="IK778" s="742" t="str">
        <f t="shared" si="225"/>
        <v/>
      </c>
      <c r="IL778" s="742" t="str">
        <f t="shared" si="226"/>
        <v/>
      </c>
      <c r="IM778" s="742" t="str">
        <f t="shared" si="227"/>
        <v/>
      </c>
      <c r="IN778" s="742" t="str">
        <f t="shared" si="228"/>
        <v/>
      </c>
      <c r="IO778" s="742" t="str">
        <f t="shared" si="229"/>
        <v/>
      </c>
      <c r="IP778" s="742" t="str">
        <f t="shared" si="230"/>
        <v/>
      </c>
      <c r="IQ778" s="742" t="str">
        <f t="shared" si="231"/>
        <v/>
      </c>
      <c r="IR778" s="742" t="str">
        <f t="shared" si="232"/>
        <v/>
      </c>
      <c r="IS778" s="742" t="str">
        <f t="shared" si="233"/>
        <v/>
      </c>
      <c r="IT778" s="742" t="str">
        <f t="shared" si="234"/>
        <v/>
      </c>
      <c r="IU778" s="742" t="str">
        <f t="shared" si="235"/>
        <v/>
      </c>
      <c r="IV778" s="742" t="str">
        <f t="shared" si="236"/>
        <v/>
      </c>
      <c r="IW778" s="742" t="str">
        <f t="shared" si="237"/>
        <v/>
      </c>
      <c r="IX778" s="742" t="str">
        <f t="shared" si="238"/>
        <v/>
      </c>
      <c r="IY778" s="742" t="str">
        <f t="shared" si="239"/>
        <v/>
      </c>
      <c r="IZ778" s="742" t="str">
        <f t="shared" si="240"/>
        <v/>
      </c>
      <c r="JA778" s="742" t="str">
        <f t="shared" si="241"/>
        <v/>
      </c>
      <c r="JB778" s="742" t="str">
        <f t="shared" si="242"/>
        <v/>
      </c>
      <c r="JC778" s="1637">
        <f t="shared" si="243"/>
        <v>0</v>
      </c>
      <c r="JD778" s="1637">
        <f t="shared" si="244"/>
        <v>0</v>
      </c>
      <c r="JE778" s="1637">
        <f t="shared" si="245"/>
        <v>0</v>
      </c>
      <c r="JF778" s="1637">
        <f t="shared" si="246"/>
        <v>0</v>
      </c>
      <c r="JG778" s="1637">
        <f t="shared" si="247"/>
        <v>0</v>
      </c>
      <c r="JH778" s="1637">
        <f t="shared" si="248"/>
        <v>0</v>
      </c>
      <c r="JI778" s="1637">
        <f t="shared" si="249"/>
        <v>0</v>
      </c>
      <c r="JJ778" s="1637">
        <f t="shared" si="250"/>
        <v>0</v>
      </c>
      <c r="JK778" s="1637">
        <f t="shared" si="251"/>
        <v>8</v>
      </c>
      <c r="JL778" s="1637">
        <f t="shared" si="252"/>
        <v>0</v>
      </c>
      <c r="JM778" s="1637">
        <f t="shared" si="253"/>
        <v>0</v>
      </c>
      <c r="JN778" s="1637">
        <f t="shared" si="254"/>
        <v>0</v>
      </c>
      <c r="JO778" s="1637">
        <f t="shared" si="255"/>
        <v>0</v>
      </c>
      <c r="JP778" s="1637">
        <f t="shared" si="256"/>
        <v>0</v>
      </c>
      <c r="JQ778" s="1637">
        <f t="shared" si="257"/>
        <v>0</v>
      </c>
    </row>
    <row r="779" spans="1:277" ht="12" customHeight="1">
      <c r="A779" s="1813" t="str">
        <f t="shared" si="0"/>
        <v/>
      </c>
      <c r="B779" s="2145">
        <f>'Part VI-Revenues &amp; Expenses'!B22</f>
        <v>60</v>
      </c>
      <c r="C779" s="2146">
        <f>'Part VI-Revenues &amp; Expenses'!C22</f>
        <v>4</v>
      </c>
      <c r="D779" s="2147">
        <f>'Part VI-Revenues &amp; Expenses'!D22</f>
        <v>2</v>
      </c>
      <c r="E779" s="2148">
        <f>'Part VI-Revenues &amp; Expenses'!E22</f>
        <v>8</v>
      </c>
      <c r="F779" s="2148">
        <f>'Part VI-Revenues &amp; Expenses'!F22</f>
        <v>1435</v>
      </c>
      <c r="G779" s="2148">
        <f>'Part VI-Revenues &amp; Expenses'!G22</f>
        <v>1387</v>
      </c>
      <c r="H779" s="2148">
        <f>'Part VI-Revenues &amp; Expenses'!H22</f>
        <v>1284</v>
      </c>
      <c r="I779" s="2148">
        <f>'Part VI-Revenues &amp; Expenses'!I22</f>
        <v>109</v>
      </c>
      <c r="J779" s="2149">
        <f>'Part VI-Revenues &amp; Expenses'!J22</f>
        <v>0</v>
      </c>
      <c r="K779" s="1822">
        <f t="shared" si="1"/>
        <v>1175</v>
      </c>
      <c r="L779" s="1822">
        <f t="shared" si="2"/>
        <v>9400</v>
      </c>
      <c r="M779" s="2133" t="str">
        <f>'Part VI-Revenues &amp; Expenses'!M22</f>
        <v>No</v>
      </c>
      <c r="N779" s="2133" t="str">
        <f>'Part VI-Revenues &amp; Expenses'!N22</f>
        <v>3+ Story</v>
      </c>
      <c r="O779" s="2133" t="str">
        <f>'Part VI-Revenues &amp; Expenses'!O22</f>
        <v>New Construction</v>
      </c>
      <c r="P779" s="1633" t="str">
        <f>'Part VI-Revenues &amp; Expenses'!P22</f>
        <v>No</v>
      </c>
      <c r="Q779" s="1823">
        <f>'Part VI-Revenues &amp; Expenses'!Q22</f>
        <v>51360</v>
      </c>
      <c r="R779" s="1824">
        <f>'Part VI-Revenues &amp; Expenses'!R22</f>
        <v>0.59192328969205232</v>
      </c>
      <c r="S779" s="1823">
        <f>'Part VI-Revenues &amp; Expenses'!S22</f>
        <v>0</v>
      </c>
      <c r="T779" s="1824">
        <f>'Part VI-Revenues &amp; Expenses'!T22</f>
        <v>0</v>
      </c>
      <c r="U779" s="1838"/>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f t="shared" si="92"/>
        <v>8</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117"/>
        <v/>
      </c>
      <c r="EH779" s="742" t="str">
        <f t="shared" si="118"/>
        <v/>
      </c>
      <c r="EI779" s="742" t="str">
        <f t="shared" si="119"/>
        <v/>
      </c>
      <c r="EJ779" s="742" t="str">
        <f t="shared" si="120"/>
        <v/>
      </c>
      <c r="EK779" s="742" t="str">
        <f t="shared" si="121"/>
        <v/>
      </c>
      <c r="EL779" s="742" t="str">
        <f t="shared" si="122"/>
        <v/>
      </c>
      <c r="EM779" s="742" t="str">
        <f t="shared" si="123"/>
        <v/>
      </c>
      <c r="EN779" s="742" t="str">
        <f t="shared" si="124"/>
        <v/>
      </c>
      <c r="EO779" s="742" t="str">
        <f t="shared" si="125"/>
        <v/>
      </c>
      <c r="EP779" s="742" t="str">
        <f t="shared" si="126"/>
        <v/>
      </c>
      <c r="EQ779" s="742" t="str">
        <f t="shared" si="127"/>
        <v/>
      </c>
      <c r="ER779" s="742" t="str">
        <f t="shared" si="128"/>
        <v/>
      </c>
      <c r="ES779" s="742" t="str">
        <f t="shared" si="129"/>
        <v/>
      </c>
      <c r="ET779" s="742" t="str">
        <f t="shared" si="130"/>
        <v/>
      </c>
      <c r="EU779" s="742" t="str">
        <f t="shared" si="131"/>
        <v/>
      </c>
      <c r="EV779" s="742" t="str">
        <f t="shared" si="132"/>
        <v/>
      </c>
      <c r="EW779" s="1638" t="str">
        <f t="shared" si="133"/>
        <v/>
      </c>
      <c r="EX779" s="1638" t="str">
        <f t="shared" si="134"/>
        <v/>
      </c>
      <c r="EY779" s="1638" t="str">
        <f t="shared" si="135"/>
        <v/>
      </c>
      <c r="EZ779" s="1638" t="str">
        <f t="shared" si="136"/>
        <v/>
      </c>
      <c r="FA779" s="1638">
        <f t="shared" si="137"/>
        <v>8</v>
      </c>
      <c r="FB779" s="1638" t="str">
        <f t="shared" si="138"/>
        <v/>
      </c>
      <c r="FC779" s="1638" t="str">
        <f t="shared" si="139"/>
        <v/>
      </c>
      <c r="FD779" s="1638" t="str">
        <f t="shared" si="140"/>
        <v/>
      </c>
      <c r="FE779" s="1638" t="str">
        <f t="shared" si="141"/>
        <v/>
      </c>
      <c r="FF779" s="1638" t="str">
        <f t="shared" si="142"/>
        <v/>
      </c>
      <c r="FG779" s="1638" t="str">
        <f t="shared" si="143"/>
        <v/>
      </c>
      <c r="FH779" s="1638" t="str">
        <f t="shared" si="144"/>
        <v/>
      </c>
      <c r="FI779" s="1638" t="str">
        <f t="shared" si="145"/>
        <v/>
      </c>
      <c r="FJ779" s="1638" t="str">
        <f t="shared" si="146"/>
        <v/>
      </c>
      <c r="FK779" s="1638" t="str">
        <f t="shared" si="147"/>
        <v/>
      </c>
      <c r="FL779" s="1638" t="str">
        <f t="shared" si="148"/>
        <v/>
      </c>
      <c r="FM779" s="1638" t="str">
        <f t="shared" si="149"/>
        <v/>
      </c>
      <c r="FN779" s="1638" t="str">
        <f t="shared" si="150"/>
        <v/>
      </c>
      <c r="FO779" s="1638" t="str">
        <f t="shared" si="151"/>
        <v/>
      </c>
      <c r="FP779" s="1638" t="str">
        <f t="shared" si="152"/>
        <v/>
      </c>
      <c r="FQ779" s="1638" t="str">
        <f t="shared" si="153"/>
        <v/>
      </c>
      <c r="FR779" s="1638" t="str">
        <f t="shared" si="154"/>
        <v/>
      </c>
      <c r="FS779" s="1638" t="str">
        <f t="shared" si="155"/>
        <v/>
      </c>
      <c r="FT779" s="1638" t="str">
        <f t="shared" si="156"/>
        <v/>
      </c>
      <c r="FU779" s="1638" t="str">
        <f t="shared" si="157"/>
        <v/>
      </c>
      <c r="FV779" s="1638" t="str">
        <f t="shared" si="158"/>
        <v/>
      </c>
      <c r="FW779" s="1638" t="str">
        <f t="shared" si="159"/>
        <v/>
      </c>
      <c r="FX779" s="1638" t="str">
        <f t="shared" si="160"/>
        <v/>
      </c>
      <c r="FY779" s="1638" t="str">
        <f t="shared" si="161"/>
        <v/>
      </c>
      <c r="FZ779" s="1638" t="str">
        <f t="shared" si="162"/>
        <v/>
      </c>
      <c r="GA779" s="1638" t="str">
        <f t="shared" si="163"/>
        <v/>
      </c>
      <c r="GB779" s="1638" t="str">
        <f t="shared" si="164"/>
        <v/>
      </c>
      <c r="GC779" s="1638" t="str">
        <f t="shared" si="165"/>
        <v/>
      </c>
      <c r="GD779" s="1638" t="str">
        <f t="shared" si="166"/>
        <v/>
      </c>
      <c r="GE779" s="1638" t="str">
        <f t="shared" si="167"/>
        <v/>
      </c>
      <c r="GF779" s="1638" t="str">
        <f t="shared" si="168"/>
        <v/>
      </c>
      <c r="GG779" s="1638" t="str">
        <f t="shared" si="169"/>
        <v/>
      </c>
      <c r="GH779" s="1638" t="str">
        <f t="shared" si="170"/>
        <v/>
      </c>
      <c r="GI779" s="1638" t="str">
        <f t="shared" si="171"/>
        <v/>
      </c>
      <c r="GJ779" s="1638" t="str">
        <f t="shared" si="172"/>
        <v/>
      </c>
      <c r="GK779" s="1638" t="str">
        <f t="shared" si="173"/>
        <v/>
      </c>
      <c r="GL779" s="1638" t="str">
        <f t="shared" si="174"/>
        <v/>
      </c>
      <c r="GM779" s="1638" t="str">
        <f t="shared" si="175"/>
        <v/>
      </c>
      <c r="GN779" s="1638" t="str">
        <f t="shared" si="176"/>
        <v/>
      </c>
      <c r="GO779" s="1638" t="str">
        <f t="shared" si="177"/>
        <v/>
      </c>
      <c r="GP779" s="1638" t="str">
        <f t="shared" si="178"/>
        <v/>
      </c>
      <c r="GQ779" s="1638" t="str">
        <f t="shared" si="179"/>
        <v/>
      </c>
      <c r="GR779" s="1638" t="str">
        <f t="shared" si="180"/>
        <v/>
      </c>
      <c r="GS779" s="1638" t="str">
        <f t="shared" si="181"/>
        <v/>
      </c>
      <c r="GT779" s="1638" t="str">
        <f t="shared" si="182"/>
        <v/>
      </c>
      <c r="GU779" s="1638" t="str">
        <f t="shared" si="183"/>
        <v/>
      </c>
      <c r="GV779" s="1638" t="str">
        <f t="shared" si="184"/>
        <v/>
      </c>
      <c r="GW779" s="1638" t="str">
        <f t="shared" si="185"/>
        <v/>
      </c>
      <c r="GX779" s="1638" t="str">
        <f t="shared" si="186"/>
        <v/>
      </c>
      <c r="GY779" s="1638" t="str">
        <f t="shared" si="187"/>
        <v/>
      </c>
      <c r="GZ779" s="1638" t="str">
        <f t="shared" si="188"/>
        <v/>
      </c>
      <c r="HA779" s="1638" t="str">
        <f t="shared" si="189"/>
        <v/>
      </c>
      <c r="HB779" s="1638" t="str">
        <f t="shared" si="190"/>
        <v/>
      </c>
      <c r="HC779" s="1638" t="str">
        <f t="shared" si="191"/>
        <v/>
      </c>
      <c r="HD779" s="1638" t="str">
        <f t="shared" si="192"/>
        <v/>
      </c>
      <c r="HE779" s="1638" t="str">
        <f t="shared" si="193"/>
        <v/>
      </c>
      <c r="HF779" s="1638" t="str">
        <f t="shared" si="194"/>
        <v/>
      </c>
      <c r="HG779" s="1638" t="str">
        <f t="shared" si="195"/>
        <v/>
      </c>
      <c r="HH779" s="1638" t="str">
        <f t="shared" si="196"/>
        <v/>
      </c>
      <c r="HI779" s="1638" t="str">
        <f t="shared" si="197"/>
        <v/>
      </c>
      <c r="HJ779" s="1638" t="str">
        <f t="shared" si="198"/>
        <v/>
      </c>
      <c r="HK779" s="1638" t="str">
        <f t="shared" si="199"/>
        <v/>
      </c>
      <c r="HL779" s="1638" t="str">
        <f t="shared" si="200"/>
        <v/>
      </c>
      <c r="HM779" s="1638" t="str">
        <f t="shared" si="201"/>
        <v/>
      </c>
      <c r="HN779" s="1638" t="str">
        <f t="shared" si="202"/>
        <v/>
      </c>
      <c r="HO779" s="1638" t="str">
        <f t="shared" si="203"/>
        <v/>
      </c>
      <c r="HP779" s="1638" t="str">
        <f t="shared" si="204"/>
        <v/>
      </c>
      <c r="HQ779" s="1638" t="str">
        <f t="shared" si="205"/>
        <v/>
      </c>
      <c r="HR779" s="1638" t="str">
        <f t="shared" si="206"/>
        <v/>
      </c>
      <c r="HS779" s="1638" t="str">
        <f t="shared" si="207"/>
        <v/>
      </c>
      <c r="HT779" s="1638" t="str">
        <f t="shared" si="208"/>
        <v/>
      </c>
      <c r="HU779" s="1638" t="str">
        <f t="shared" si="209"/>
        <v/>
      </c>
      <c r="HV779" s="1638" t="str">
        <f t="shared" si="210"/>
        <v/>
      </c>
      <c r="HW779" s="1638" t="str">
        <f t="shared" si="211"/>
        <v/>
      </c>
      <c r="HX779" s="1638">
        <f t="shared" si="212"/>
        <v>8</v>
      </c>
      <c r="HY779" s="1638" t="str">
        <f t="shared" si="213"/>
        <v/>
      </c>
      <c r="HZ779" s="1638" t="str">
        <f t="shared" si="214"/>
        <v/>
      </c>
      <c r="IA779" s="1638" t="str">
        <f t="shared" si="215"/>
        <v/>
      </c>
      <c r="IB779" s="1638" t="str">
        <f t="shared" si="216"/>
        <v/>
      </c>
      <c r="IC779" s="1638" t="str">
        <f t="shared" si="217"/>
        <v/>
      </c>
      <c r="ID779" s="1639" t="str">
        <f t="shared" si="218"/>
        <v/>
      </c>
      <c r="IE779" s="1639" t="str">
        <f t="shared" si="219"/>
        <v/>
      </c>
      <c r="IF779" s="1639" t="str">
        <f t="shared" si="220"/>
        <v/>
      </c>
      <c r="IG779" s="1639" t="str">
        <f t="shared" si="221"/>
        <v/>
      </c>
      <c r="IH779" s="1639" t="str">
        <f t="shared" si="222"/>
        <v/>
      </c>
      <c r="II779" s="742" t="str">
        <f t="shared" si="223"/>
        <v/>
      </c>
      <c r="IJ779" s="742" t="str">
        <f t="shared" si="224"/>
        <v/>
      </c>
      <c r="IK779" s="742" t="str">
        <f t="shared" si="225"/>
        <v/>
      </c>
      <c r="IL779" s="742" t="str">
        <f t="shared" si="226"/>
        <v/>
      </c>
      <c r="IM779" s="742" t="str">
        <f t="shared" si="227"/>
        <v/>
      </c>
      <c r="IN779" s="742" t="str">
        <f t="shared" si="228"/>
        <v/>
      </c>
      <c r="IO779" s="742" t="str">
        <f t="shared" si="229"/>
        <v/>
      </c>
      <c r="IP779" s="742" t="str">
        <f t="shared" si="230"/>
        <v/>
      </c>
      <c r="IQ779" s="742" t="str">
        <f t="shared" si="231"/>
        <v/>
      </c>
      <c r="IR779" s="742" t="str">
        <f t="shared" si="232"/>
        <v/>
      </c>
      <c r="IS779" s="742" t="str">
        <f t="shared" si="233"/>
        <v/>
      </c>
      <c r="IT779" s="742" t="str">
        <f t="shared" si="234"/>
        <v/>
      </c>
      <c r="IU779" s="742" t="str">
        <f t="shared" si="235"/>
        <v/>
      </c>
      <c r="IV779" s="742" t="str">
        <f t="shared" si="236"/>
        <v/>
      </c>
      <c r="IW779" s="742" t="str">
        <f t="shared" si="237"/>
        <v/>
      </c>
      <c r="IX779" s="742" t="str">
        <f t="shared" si="238"/>
        <v/>
      </c>
      <c r="IY779" s="742" t="str">
        <f t="shared" si="239"/>
        <v/>
      </c>
      <c r="IZ779" s="742" t="str">
        <f t="shared" si="240"/>
        <v/>
      </c>
      <c r="JA779" s="742" t="str">
        <f t="shared" si="241"/>
        <v/>
      </c>
      <c r="JB779" s="742" t="str">
        <f t="shared" si="242"/>
        <v/>
      </c>
      <c r="JC779" s="1637">
        <f t="shared" si="243"/>
        <v>0</v>
      </c>
      <c r="JD779" s="1637">
        <f t="shared" si="244"/>
        <v>0</v>
      </c>
      <c r="JE779" s="1637">
        <f t="shared" si="245"/>
        <v>0</v>
      </c>
      <c r="JF779" s="1637">
        <f t="shared" si="246"/>
        <v>0</v>
      </c>
      <c r="JG779" s="1637">
        <f t="shared" si="247"/>
        <v>0</v>
      </c>
      <c r="JH779" s="1637">
        <f t="shared" si="248"/>
        <v>0</v>
      </c>
      <c r="JI779" s="1637">
        <f t="shared" si="249"/>
        <v>0</v>
      </c>
      <c r="JJ779" s="1637">
        <f t="shared" si="250"/>
        <v>0</v>
      </c>
      <c r="JK779" s="1637">
        <f t="shared" si="251"/>
        <v>0</v>
      </c>
      <c r="JL779" s="1637">
        <f t="shared" si="252"/>
        <v>8</v>
      </c>
      <c r="JM779" s="1637">
        <f t="shared" si="253"/>
        <v>0</v>
      </c>
      <c r="JN779" s="1637">
        <f t="shared" si="254"/>
        <v>0</v>
      </c>
      <c r="JO779" s="1637">
        <f t="shared" si="255"/>
        <v>0</v>
      </c>
      <c r="JP779" s="1637">
        <f t="shared" si="256"/>
        <v>0</v>
      </c>
      <c r="JQ779" s="1637">
        <f t="shared" si="257"/>
        <v>0</v>
      </c>
    </row>
    <row r="780" spans="1:277" ht="12" customHeight="1">
      <c r="A780" s="1813" t="str">
        <f t="shared" si="0"/>
        <v/>
      </c>
      <c r="B780" s="2145">
        <f>'Part VI-Revenues &amp; Expenses'!B23</f>
        <v>0</v>
      </c>
      <c r="C780" s="2146">
        <f>'Part VI-Revenues &amp; Expenses'!C23</f>
        <v>0</v>
      </c>
      <c r="D780" s="2147">
        <f>'Part VI-Revenues &amp; Expenses'!D23</f>
        <v>0</v>
      </c>
      <c r="E780" s="2148">
        <f>'Part VI-Revenues &amp; Expenses'!E23</f>
        <v>0</v>
      </c>
      <c r="F780" s="2148">
        <f>'Part VI-Revenues &amp; Expenses'!F23</f>
        <v>0</v>
      </c>
      <c r="G780" s="2148">
        <f>'Part VI-Revenues &amp; Expenses'!G23</f>
        <v>0</v>
      </c>
      <c r="H780" s="2148">
        <f>'Part VI-Revenues &amp; Expenses'!H23</f>
        <v>0</v>
      </c>
      <c r="I780" s="2148">
        <f>'Part VI-Revenues &amp; Expenses'!I23</f>
        <v>0</v>
      </c>
      <c r="J780" s="2149">
        <f>'Part VI-Revenues &amp; Expenses'!J23</f>
        <v>0</v>
      </c>
      <c r="K780" s="1822">
        <f t="shared" si="1"/>
        <v>0</v>
      </c>
      <c r="L780" s="1822">
        <f t="shared" si="2"/>
        <v>0</v>
      </c>
      <c r="M780" s="2133">
        <f>'Part VI-Revenues &amp; Expenses'!M23</f>
        <v>0</v>
      </c>
      <c r="N780" s="2133">
        <f>'Part VI-Revenues &amp; Expenses'!N23</f>
        <v>0</v>
      </c>
      <c r="O780" s="2133">
        <f>'Part VI-Revenues &amp; Expenses'!O23</f>
        <v>0</v>
      </c>
      <c r="P780" s="1633">
        <f>'Part VI-Revenues &amp; Expenses'!P23</f>
        <v>0</v>
      </c>
      <c r="Q780" s="1823" t="str">
        <f>'Part VI-Revenues &amp; Expenses'!Q23</f>
        <v/>
      </c>
      <c r="R780" s="1824" t="str">
        <f>'Part VI-Revenues &amp; Expenses'!R23</f>
        <v/>
      </c>
      <c r="S780" s="1823">
        <f>'Part VI-Revenues &amp; Expenses'!S23</f>
        <v>0</v>
      </c>
      <c r="T780" s="1824">
        <f>'Part VI-Revenues &amp; Expenses'!T23</f>
        <v>0</v>
      </c>
      <c r="U780" s="1838"/>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117"/>
        <v/>
      </c>
      <c r="EH780" s="742" t="str">
        <f t="shared" si="118"/>
        <v/>
      </c>
      <c r="EI780" s="742" t="str">
        <f t="shared" si="119"/>
        <v/>
      </c>
      <c r="EJ780" s="742" t="str">
        <f t="shared" si="120"/>
        <v/>
      </c>
      <c r="EK780" s="742" t="str">
        <f t="shared" si="121"/>
        <v/>
      </c>
      <c r="EL780" s="742" t="str">
        <f t="shared" si="122"/>
        <v/>
      </c>
      <c r="EM780" s="742" t="str">
        <f t="shared" si="123"/>
        <v/>
      </c>
      <c r="EN780" s="742" t="str">
        <f t="shared" si="124"/>
        <v/>
      </c>
      <c r="EO780" s="742" t="str">
        <f t="shared" si="125"/>
        <v/>
      </c>
      <c r="EP780" s="742" t="str">
        <f t="shared" si="126"/>
        <v/>
      </c>
      <c r="EQ780" s="742" t="str">
        <f t="shared" si="127"/>
        <v/>
      </c>
      <c r="ER780" s="742" t="str">
        <f t="shared" si="128"/>
        <v/>
      </c>
      <c r="ES780" s="742" t="str">
        <f t="shared" si="129"/>
        <v/>
      </c>
      <c r="ET780" s="742" t="str">
        <f t="shared" si="130"/>
        <v/>
      </c>
      <c r="EU780" s="742" t="str">
        <f t="shared" si="131"/>
        <v/>
      </c>
      <c r="EV780" s="742" t="str">
        <f t="shared" si="132"/>
        <v/>
      </c>
      <c r="EW780" s="1638" t="str">
        <f t="shared" si="133"/>
        <v/>
      </c>
      <c r="EX780" s="1638" t="str">
        <f t="shared" si="134"/>
        <v/>
      </c>
      <c r="EY780" s="1638" t="str">
        <f t="shared" si="135"/>
        <v/>
      </c>
      <c r="EZ780" s="1638" t="str">
        <f t="shared" si="136"/>
        <v/>
      </c>
      <c r="FA780" s="1638" t="str">
        <f t="shared" si="137"/>
        <v/>
      </c>
      <c r="FB780" s="1638" t="str">
        <f t="shared" si="138"/>
        <v/>
      </c>
      <c r="FC780" s="1638" t="str">
        <f t="shared" si="139"/>
        <v/>
      </c>
      <c r="FD780" s="1638" t="str">
        <f t="shared" si="140"/>
        <v/>
      </c>
      <c r="FE780" s="1638" t="str">
        <f t="shared" si="141"/>
        <v/>
      </c>
      <c r="FF780" s="1638" t="str">
        <f t="shared" si="142"/>
        <v/>
      </c>
      <c r="FG780" s="1638" t="str">
        <f t="shared" si="143"/>
        <v/>
      </c>
      <c r="FH780" s="1638" t="str">
        <f t="shared" si="144"/>
        <v/>
      </c>
      <c r="FI780" s="1638" t="str">
        <f t="shared" si="145"/>
        <v/>
      </c>
      <c r="FJ780" s="1638" t="str">
        <f t="shared" si="146"/>
        <v/>
      </c>
      <c r="FK780" s="1638" t="str">
        <f t="shared" si="147"/>
        <v/>
      </c>
      <c r="FL780" s="1638" t="str">
        <f t="shared" si="148"/>
        <v/>
      </c>
      <c r="FM780" s="1638" t="str">
        <f t="shared" si="149"/>
        <v/>
      </c>
      <c r="FN780" s="1638" t="str">
        <f t="shared" si="150"/>
        <v/>
      </c>
      <c r="FO780" s="1638" t="str">
        <f t="shared" si="151"/>
        <v/>
      </c>
      <c r="FP780" s="1638" t="str">
        <f t="shared" si="152"/>
        <v/>
      </c>
      <c r="FQ780" s="1638" t="str">
        <f t="shared" si="153"/>
        <v/>
      </c>
      <c r="FR780" s="1638" t="str">
        <f t="shared" si="154"/>
        <v/>
      </c>
      <c r="FS780" s="1638" t="str">
        <f t="shared" si="155"/>
        <v/>
      </c>
      <c r="FT780" s="1638" t="str">
        <f t="shared" si="156"/>
        <v/>
      </c>
      <c r="FU780" s="1638" t="str">
        <f t="shared" si="157"/>
        <v/>
      </c>
      <c r="FV780" s="1638" t="str">
        <f t="shared" si="158"/>
        <v/>
      </c>
      <c r="FW780" s="1638" t="str">
        <f t="shared" si="159"/>
        <v/>
      </c>
      <c r="FX780" s="1638" t="str">
        <f t="shared" si="160"/>
        <v/>
      </c>
      <c r="FY780" s="1638" t="str">
        <f t="shared" si="161"/>
        <v/>
      </c>
      <c r="FZ780" s="1638" t="str">
        <f t="shared" si="162"/>
        <v/>
      </c>
      <c r="GA780" s="1638" t="str">
        <f t="shared" si="163"/>
        <v/>
      </c>
      <c r="GB780" s="1638" t="str">
        <f t="shared" si="164"/>
        <v/>
      </c>
      <c r="GC780" s="1638" t="str">
        <f t="shared" si="165"/>
        <v/>
      </c>
      <c r="GD780" s="1638" t="str">
        <f t="shared" si="166"/>
        <v/>
      </c>
      <c r="GE780" s="1638" t="str">
        <f t="shared" si="167"/>
        <v/>
      </c>
      <c r="GF780" s="1638" t="str">
        <f t="shared" si="168"/>
        <v/>
      </c>
      <c r="GG780" s="1638" t="str">
        <f t="shared" si="169"/>
        <v/>
      </c>
      <c r="GH780" s="1638" t="str">
        <f t="shared" si="170"/>
        <v/>
      </c>
      <c r="GI780" s="1638" t="str">
        <f t="shared" si="171"/>
        <v/>
      </c>
      <c r="GJ780" s="1638" t="str">
        <f t="shared" si="172"/>
        <v/>
      </c>
      <c r="GK780" s="1638" t="str">
        <f t="shared" si="173"/>
        <v/>
      </c>
      <c r="GL780" s="1638" t="str">
        <f t="shared" si="174"/>
        <v/>
      </c>
      <c r="GM780" s="1638" t="str">
        <f t="shared" si="175"/>
        <v/>
      </c>
      <c r="GN780" s="1638" t="str">
        <f t="shared" si="176"/>
        <v/>
      </c>
      <c r="GO780" s="1638" t="str">
        <f t="shared" si="177"/>
        <v/>
      </c>
      <c r="GP780" s="1638" t="str">
        <f t="shared" si="178"/>
        <v/>
      </c>
      <c r="GQ780" s="1638" t="str">
        <f t="shared" si="179"/>
        <v/>
      </c>
      <c r="GR780" s="1638" t="str">
        <f t="shared" si="180"/>
        <v/>
      </c>
      <c r="GS780" s="1638" t="str">
        <f t="shared" si="181"/>
        <v/>
      </c>
      <c r="GT780" s="1638" t="str">
        <f t="shared" si="182"/>
        <v/>
      </c>
      <c r="GU780" s="1638" t="str">
        <f t="shared" si="183"/>
        <v/>
      </c>
      <c r="GV780" s="1638" t="str">
        <f t="shared" si="184"/>
        <v/>
      </c>
      <c r="GW780" s="1638" t="str">
        <f t="shared" si="185"/>
        <v/>
      </c>
      <c r="GX780" s="1638" t="str">
        <f t="shared" si="186"/>
        <v/>
      </c>
      <c r="GY780" s="1638" t="str">
        <f t="shared" si="187"/>
        <v/>
      </c>
      <c r="GZ780" s="1638" t="str">
        <f t="shared" si="188"/>
        <v/>
      </c>
      <c r="HA780" s="1638" t="str">
        <f t="shared" si="189"/>
        <v/>
      </c>
      <c r="HB780" s="1638" t="str">
        <f t="shared" si="190"/>
        <v/>
      </c>
      <c r="HC780" s="1638" t="str">
        <f t="shared" si="191"/>
        <v/>
      </c>
      <c r="HD780" s="1638" t="str">
        <f t="shared" si="192"/>
        <v/>
      </c>
      <c r="HE780" s="1638" t="str">
        <f t="shared" si="193"/>
        <v/>
      </c>
      <c r="HF780" s="1638" t="str">
        <f t="shared" si="194"/>
        <v/>
      </c>
      <c r="HG780" s="1638" t="str">
        <f t="shared" si="195"/>
        <v/>
      </c>
      <c r="HH780" s="1638" t="str">
        <f t="shared" si="196"/>
        <v/>
      </c>
      <c r="HI780" s="1638" t="str">
        <f t="shared" si="197"/>
        <v/>
      </c>
      <c r="HJ780" s="1638" t="str">
        <f t="shared" si="198"/>
        <v/>
      </c>
      <c r="HK780" s="1638" t="str">
        <f t="shared" si="199"/>
        <v/>
      </c>
      <c r="HL780" s="1638" t="str">
        <f t="shared" si="200"/>
        <v/>
      </c>
      <c r="HM780" s="1638" t="str">
        <f t="shared" si="201"/>
        <v/>
      </c>
      <c r="HN780" s="1638" t="str">
        <f t="shared" si="202"/>
        <v/>
      </c>
      <c r="HO780" s="1638" t="str">
        <f t="shared" si="203"/>
        <v/>
      </c>
      <c r="HP780" s="1638" t="str">
        <f t="shared" si="204"/>
        <v/>
      </c>
      <c r="HQ780" s="1638" t="str">
        <f t="shared" si="205"/>
        <v/>
      </c>
      <c r="HR780" s="1638" t="str">
        <f t="shared" si="206"/>
        <v/>
      </c>
      <c r="HS780" s="1638" t="str">
        <f t="shared" si="207"/>
        <v/>
      </c>
      <c r="HT780" s="1638" t="str">
        <f t="shared" si="208"/>
        <v/>
      </c>
      <c r="HU780" s="1638" t="str">
        <f t="shared" si="209"/>
        <v/>
      </c>
      <c r="HV780" s="1638" t="str">
        <f t="shared" si="210"/>
        <v/>
      </c>
      <c r="HW780" s="1638" t="str">
        <f t="shared" si="211"/>
        <v/>
      </c>
      <c r="HX780" s="1638" t="str">
        <f t="shared" si="212"/>
        <v/>
      </c>
      <c r="HY780" s="1638" t="str">
        <f t="shared" si="213"/>
        <v/>
      </c>
      <c r="HZ780" s="1638" t="str">
        <f t="shared" si="214"/>
        <v/>
      </c>
      <c r="IA780" s="1638" t="str">
        <f t="shared" si="215"/>
        <v/>
      </c>
      <c r="IB780" s="1638" t="str">
        <f t="shared" si="216"/>
        <v/>
      </c>
      <c r="IC780" s="1638" t="str">
        <f t="shared" si="217"/>
        <v/>
      </c>
      <c r="ID780" s="1639" t="str">
        <f t="shared" si="218"/>
        <v/>
      </c>
      <c r="IE780" s="1639" t="str">
        <f t="shared" si="219"/>
        <v/>
      </c>
      <c r="IF780" s="1639" t="str">
        <f t="shared" si="220"/>
        <v/>
      </c>
      <c r="IG780" s="1639" t="str">
        <f t="shared" si="221"/>
        <v/>
      </c>
      <c r="IH780" s="1639" t="str">
        <f t="shared" si="222"/>
        <v/>
      </c>
      <c r="II780" s="742" t="str">
        <f t="shared" si="223"/>
        <v/>
      </c>
      <c r="IJ780" s="742" t="str">
        <f t="shared" si="224"/>
        <v/>
      </c>
      <c r="IK780" s="742" t="str">
        <f t="shared" si="225"/>
        <v/>
      </c>
      <c r="IL780" s="742" t="str">
        <f t="shared" si="226"/>
        <v/>
      </c>
      <c r="IM780" s="742" t="str">
        <f t="shared" si="227"/>
        <v/>
      </c>
      <c r="IN780" s="742" t="str">
        <f t="shared" si="228"/>
        <v/>
      </c>
      <c r="IO780" s="742" t="str">
        <f t="shared" si="229"/>
        <v/>
      </c>
      <c r="IP780" s="742" t="str">
        <f t="shared" si="230"/>
        <v/>
      </c>
      <c r="IQ780" s="742" t="str">
        <f t="shared" si="231"/>
        <v/>
      </c>
      <c r="IR780" s="742" t="str">
        <f t="shared" si="232"/>
        <v/>
      </c>
      <c r="IS780" s="742" t="str">
        <f t="shared" si="233"/>
        <v/>
      </c>
      <c r="IT780" s="742" t="str">
        <f t="shared" si="234"/>
        <v/>
      </c>
      <c r="IU780" s="742" t="str">
        <f t="shared" si="235"/>
        <v/>
      </c>
      <c r="IV780" s="742" t="str">
        <f t="shared" si="236"/>
        <v/>
      </c>
      <c r="IW780" s="742" t="str">
        <f t="shared" si="237"/>
        <v/>
      </c>
      <c r="IX780" s="742" t="str">
        <f t="shared" si="238"/>
        <v/>
      </c>
      <c r="IY780" s="742" t="str">
        <f t="shared" si="239"/>
        <v/>
      </c>
      <c r="IZ780" s="742" t="str">
        <f t="shared" si="240"/>
        <v/>
      </c>
      <c r="JA780" s="742" t="str">
        <f t="shared" si="241"/>
        <v/>
      </c>
      <c r="JB780" s="742" t="str">
        <f t="shared" si="242"/>
        <v/>
      </c>
      <c r="JC780" s="1637">
        <f t="shared" si="243"/>
        <v>0</v>
      </c>
      <c r="JD780" s="1637">
        <f t="shared" si="244"/>
        <v>0</v>
      </c>
      <c r="JE780" s="1637">
        <f t="shared" si="245"/>
        <v>0</v>
      </c>
      <c r="JF780" s="1637">
        <f t="shared" si="246"/>
        <v>0</v>
      </c>
      <c r="JG780" s="1637">
        <f t="shared" si="247"/>
        <v>0</v>
      </c>
      <c r="JH780" s="1637">
        <f t="shared" si="248"/>
        <v>0</v>
      </c>
      <c r="JI780" s="1637">
        <f t="shared" si="249"/>
        <v>0</v>
      </c>
      <c r="JJ780" s="1637">
        <f t="shared" si="250"/>
        <v>0</v>
      </c>
      <c r="JK780" s="1637">
        <f t="shared" si="251"/>
        <v>0</v>
      </c>
      <c r="JL780" s="1637">
        <f t="shared" si="252"/>
        <v>0</v>
      </c>
      <c r="JM780" s="1637">
        <f t="shared" si="253"/>
        <v>0</v>
      </c>
      <c r="JN780" s="1637">
        <f t="shared" si="254"/>
        <v>0</v>
      </c>
      <c r="JO780" s="1637">
        <f t="shared" si="255"/>
        <v>0</v>
      </c>
      <c r="JP780" s="1637">
        <f t="shared" si="256"/>
        <v>0</v>
      </c>
      <c r="JQ780" s="1637">
        <f t="shared" si="257"/>
        <v>0</v>
      </c>
    </row>
    <row r="781" spans="1:277" ht="12" customHeight="1">
      <c r="A781" s="1813" t="str">
        <f t="shared" si="0"/>
        <v/>
      </c>
      <c r="B781" s="2145">
        <f>'Part VI-Revenues &amp; Expenses'!B24</f>
        <v>0</v>
      </c>
      <c r="C781" s="2146">
        <f>'Part VI-Revenues &amp; Expenses'!C24</f>
        <v>0</v>
      </c>
      <c r="D781" s="2147">
        <f>'Part VI-Revenues &amp; Expenses'!D24</f>
        <v>0</v>
      </c>
      <c r="E781" s="2148">
        <f>'Part VI-Revenues &amp; Expenses'!E24</f>
        <v>0</v>
      </c>
      <c r="F781" s="2148">
        <f>'Part VI-Revenues &amp; Expenses'!F24</f>
        <v>0</v>
      </c>
      <c r="G781" s="2148">
        <f>'Part VI-Revenues &amp; Expenses'!G24</f>
        <v>0</v>
      </c>
      <c r="H781" s="2148">
        <f>'Part VI-Revenues &amp; Expenses'!H24</f>
        <v>0</v>
      </c>
      <c r="I781" s="2148">
        <f>'Part VI-Revenues &amp; Expenses'!I24</f>
        <v>0</v>
      </c>
      <c r="J781" s="2149">
        <f>'Part VI-Revenues &amp; Expenses'!J24</f>
        <v>0</v>
      </c>
      <c r="K781" s="1822">
        <f t="shared" si="1"/>
        <v>0</v>
      </c>
      <c r="L781" s="1822">
        <f t="shared" si="2"/>
        <v>0</v>
      </c>
      <c r="M781" s="2133">
        <f>'Part VI-Revenues &amp; Expenses'!M24</f>
        <v>0</v>
      </c>
      <c r="N781" s="2133">
        <f>'Part VI-Revenues &amp; Expenses'!N24</f>
        <v>0</v>
      </c>
      <c r="O781" s="2133">
        <f>'Part VI-Revenues &amp; Expenses'!O24</f>
        <v>0</v>
      </c>
      <c r="P781" s="1633">
        <f>'Part VI-Revenues &amp; Expenses'!P24</f>
        <v>0</v>
      </c>
      <c r="Q781" s="1823" t="str">
        <f>'Part VI-Revenues &amp; Expenses'!Q24</f>
        <v/>
      </c>
      <c r="R781" s="1824" t="str">
        <f>'Part VI-Revenues &amp; Expenses'!R24</f>
        <v/>
      </c>
      <c r="S781" s="1823">
        <f>'Part VI-Revenues &amp; Expenses'!S24</f>
        <v>0</v>
      </c>
      <c r="T781" s="1824">
        <f>'Part VI-Revenues &amp; Expenses'!T24</f>
        <v>0</v>
      </c>
      <c r="U781" s="1838"/>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117"/>
        <v/>
      </c>
      <c r="EH781" s="742" t="str">
        <f t="shared" si="118"/>
        <v/>
      </c>
      <c r="EI781" s="742" t="str">
        <f t="shared" si="119"/>
        <v/>
      </c>
      <c r="EJ781" s="742" t="str">
        <f t="shared" si="120"/>
        <v/>
      </c>
      <c r="EK781" s="742" t="str">
        <f t="shared" si="121"/>
        <v/>
      </c>
      <c r="EL781" s="742" t="str">
        <f t="shared" si="122"/>
        <v/>
      </c>
      <c r="EM781" s="742" t="str">
        <f t="shared" si="123"/>
        <v/>
      </c>
      <c r="EN781" s="742" t="str">
        <f t="shared" si="124"/>
        <v/>
      </c>
      <c r="EO781" s="742" t="str">
        <f t="shared" si="125"/>
        <v/>
      </c>
      <c r="EP781" s="742" t="str">
        <f t="shared" si="126"/>
        <v/>
      </c>
      <c r="EQ781" s="742" t="str">
        <f t="shared" si="127"/>
        <v/>
      </c>
      <c r="ER781" s="742" t="str">
        <f t="shared" si="128"/>
        <v/>
      </c>
      <c r="ES781" s="742" t="str">
        <f t="shared" si="129"/>
        <v/>
      </c>
      <c r="ET781" s="742" t="str">
        <f t="shared" si="130"/>
        <v/>
      </c>
      <c r="EU781" s="742" t="str">
        <f t="shared" si="131"/>
        <v/>
      </c>
      <c r="EV781" s="742" t="str">
        <f t="shared" si="132"/>
        <v/>
      </c>
      <c r="EW781" s="1638" t="str">
        <f t="shared" si="133"/>
        <v/>
      </c>
      <c r="EX781" s="1638" t="str">
        <f t="shared" si="134"/>
        <v/>
      </c>
      <c r="EY781" s="1638" t="str">
        <f t="shared" si="135"/>
        <v/>
      </c>
      <c r="EZ781" s="1638" t="str">
        <f t="shared" si="136"/>
        <v/>
      </c>
      <c r="FA781" s="1638" t="str">
        <f t="shared" si="137"/>
        <v/>
      </c>
      <c r="FB781" s="1638" t="str">
        <f t="shared" si="138"/>
        <v/>
      </c>
      <c r="FC781" s="1638" t="str">
        <f t="shared" si="139"/>
        <v/>
      </c>
      <c r="FD781" s="1638" t="str">
        <f t="shared" si="140"/>
        <v/>
      </c>
      <c r="FE781" s="1638" t="str">
        <f t="shared" si="141"/>
        <v/>
      </c>
      <c r="FF781" s="1638" t="str">
        <f t="shared" si="142"/>
        <v/>
      </c>
      <c r="FG781" s="1638" t="str">
        <f t="shared" si="143"/>
        <v/>
      </c>
      <c r="FH781" s="1638" t="str">
        <f t="shared" si="144"/>
        <v/>
      </c>
      <c r="FI781" s="1638" t="str">
        <f t="shared" si="145"/>
        <v/>
      </c>
      <c r="FJ781" s="1638" t="str">
        <f t="shared" si="146"/>
        <v/>
      </c>
      <c r="FK781" s="1638" t="str">
        <f t="shared" si="147"/>
        <v/>
      </c>
      <c r="FL781" s="1638" t="str">
        <f t="shared" si="148"/>
        <v/>
      </c>
      <c r="FM781" s="1638" t="str">
        <f t="shared" si="149"/>
        <v/>
      </c>
      <c r="FN781" s="1638" t="str">
        <f t="shared" si="150"/>
        <v/>
      </c>
      <c r="FO781" s="1638" t="str">
        <f t="shared" si="151"/>
        <v/>
      </c>
      <c r="FP781" s="1638" t="str">
        <f t="shared" si="152"/>
        <v/>
      </c>
      <c r="FQ781" s="1638" t="str">
        <f t="shared" si="153"/>
        <v/>
      </c>
      <c r="FR781" s="1638" t="str">
        <f t="shared" si="154"/>
        <v/>
      </c>
      <c r="FS781" s="1638" t="str">
        <f t="shared" si="155"/>
        <v/>
      </c>
      <c r="FT781" s="1638" t="str">
        <f t="shared" si="156"/>
        <v/>
      </c>
      <c r="FU781" s="1638" t="str">
        <f t="shared" si="157"/>
        <v/>
      </c>
      <c r="FV781" s="1638" t="str">
        <f t="shared" si="158"/>
        <v/>
      </c>
      <c r="FW781" s="1638" t="str">
        <f t="shared" si="159"/>
        <v/>
      </c>
      <c r="FX781" s="1638" t="str">
        <f t="shared" si="160"/>
        <v/>
      </c>
      <c r="FY781" s="1638" t="str">
        <f t="shared" si="161"/>
        <v/>
      </c>
      <c r="FZ781" s="1638" t="str">
        <f t="shared" si="162"/>
        <v/>
      </c>
      <c r="GA781" s="1638" t="str">
        <f t="shared" si="163"/>
        <v/>
      </c>
      <c r="GB781" s="1638" t="str">
        <f t="shared" si="164"/>
        <v/>
      </c>
      <c r="GC781" s="1638" t="str">
        <f t="shared" si="165"/>
        <v/>
      </c>
      <c r="GD781" s="1638" t="str">
        <f t="shared" si="166"/>
        <v/>
      </c>
      <c r="GE781" s="1638" t="str">
        <f t="shared" si="167"/>
        <v/>
      </c>
      <c r="GF781" s="1638" t="str">
        <f t="shared" si="168"/>
        <v/>
      </c>
      <c r="GG781" s="1638" t="str">
        <f t="shared" si="169"/>
        <v/>
      </c>
      <c r="GH781" s="1638" t="str">
        <f t="shared" si="170"/>
        <v/>
      </c>
      <c r="GI781" s="1638" t="str">
        <f t="shared" si="171"/>
        <v/>
      </c>
      <c r="GJ781" s="1638" t="str">
        <f t="shared" si="172"/>
        <v/>
      </c>
      <c r="GK781" s="1638" t="str">
        <f t="shared" si="173"/>
        <v/>
      </c>
      <c r="GL781" s="1638" t="str">
        <f t="shared" si="174"/>
        <v/>
      </c>
      <c r="GM781" s="1638" t="str">
        <f t="shared" si="175"/>
        <v/>
      </c>
      <c r="GN781" s="1638" t="str">
        <f t="shared" si="176"/>
        <v/>
      </c>
      <c r="GO781" s="1638" t="str">
        <f t="shared" si="177"/>
        <v/>
      </c>
      <c r="GP781" s="1638" t="str">
        <f t="shared" si="178"/>
        <v/>
      </c>
      <c r="GQ781" s="1638" t="str">
        <f t="shared" si="179"/>
        <v/>
      </c>
      <c r="GR781" s="1638" t="str">
        <f t="shared" si="180"/>
        <v/>
      </c>
      <c r="GS781" s="1638" t="str">
        <f t="shared" si="181"/>
        <v/>
      </c>
      <c r="GT781" s="1638" t="str">
        <f t="shared" si="182"/>
        <v/>
      </c>
      <c r="GU781" s="1638" t="str">
        <f t="shared" si="183"/>
        <v/>
      </c>
      <c r="GV781" s="1638" t="str">
        <f t="shared" si="184"/>
        <v/>
      </c>
      <c r="GW781" s="1638" t="str">
        <f t="shared" si="185"/>
        <v/>
      </c>
      <c r="GX781" s="1638" t="str">
        <f t="shared" si="186"/>
        <v/>
      </c>
      <c r="GY781" s="1638" t="str">
        <f t="shared" si="187"/>
        <v/>
      </c>
      <c r="GZ781" s="1638" t="str">
        <f t="shared" si="188"/>
        <v/>
      </c>
      <c r="HA781" s="1638" t="str">
        <f t="shared" si="189"/>
        <v/>
      </c>
      <c r="HB781" s="1638" t="str">
        <f t="shared" si="190"/>
        <v/>
      </c>
      <c r="HC781" s="1638" t="str">
        <f t="shared" si="191"/>
        <v/>
      </c>
      <c r="HD781" s="1638" t="str">
        <f t="shared" si="192"/>
        <v/>
      </c>
      <c r="HE781" s="1638" t="str">
        <f t="shared" si="193"/>
        <v/>
      </c>
      <c r="HF781" s="1638" t="str">
        <f t="shared" si="194"/>
        <v/>
      </c>
      <c r="HG781" s="1638" t="str">
        <f t="shared" si="195"/>
        <v/>
      </c>
      <c r="HH781" s="1638" t="str">
        <f t="shared" si="196"/>
        <v/>
      </c>
      <c r="HI781" s="1638" t="str">
        <f t="shared" si="197"/>
        <v/>
      </c>
      <c r="HJ781" s="1638" t="str">
        <f t="shared" si="198"/>
        <v/>
      </c>
      <c r="HK781" s="1638" t="str">
        <f t="shared" si="199"/>
        <v/>
      </c>
      <c r="HL781" s="1638" t="str">
        <f t="shared" si="200"/>
        <v/>
      </c>
      <c r="HM781" s="1638" t="str">
        <f t="shared" si="201"/>
        <v/>
      </c>
      <c r="HN781" s="1638" t="str">
        <f t="shared" si="202"/>
        <v/>
      </c>
      <c r="HO781" s="1638" t="str">
        <f t="shared" si="203"/>
        <v/>
      </c>
      <c r="HP781" s="1638" t="str">
        <f t="shared" si="204"/>
        <v/>
      </c>
      <c r="HQ781" s="1638" t="str">
        <f t="shared" si="205"/>
        <v/>
      </c>
      <c r="HR781" s="1638" t="str">
        <f t="shared" si="206"/>
        <v/>
      </c>
      <c r="HS781" s="1638" t="str">
        <f t="shared" si="207"/>
        <v/>
      </c>
      <c r="HT781" s="1638" t="str">
        <f t="shared" si="208"/>
        <v/>
      </c>
      <c r="HU781" s="1638" t="str">
        <f t="shared" si="209"/>
        <v/>
      </c>
      <c r="HV781" s="1638" t="str">
        <f t="shared" si="210"/>
        <v/>
      </c>
      <c r="HW781" s="1638" t="str">
        <f t="shared" si="211"/>
        <v/>
      </c>
      <c r="HX781" s="1638" t="str">
        <f t="shared" si="212"/>
        <v/>
      </c>
      <c r="HY781" s="1638" t="str">
        <f t="shared" si="213"/>
        <v/>
      </c>
      <c r="HZ781" s="1638" t="str">
        <f t="shared" si="214"/>
        <v/>
      </c>
      <c r="IA781" s="1638" t="str">
        <f t="shared" si="215"/>
        <v/>
      </c>
      <c r="IB781" s="1638" t="str">
        <f t="shared" si="216"/>
        <v/>
      </c>
      <c r="IC781" s="1638" t="str">
        <f t="shared" si="217"/>
        <v/>
      </c>
      <c r="ID781" s="1639" t="str">
        <f t="shared" si="218"/>
        <v/>
      </c>
      <c r="IE781" s="1639" t="str">
        <f t="shared" si="219"/>
        <v/>
      </c>
      <c r="IF781" s="1639" t="str">
        <f t="shared" si="220"/>
        <v/>
      </c>
      <c r="IG781" s="1639" t="str">
        <f t="shared" si="221"/>
        <v/>
      </c>
      <c r="IH781" s="1639" t="str">
        <f t="shared" si="222"/>
        <v/>
      </c>
      <c r="II781" s="742" t="str">
        <f t="shared" si="223"/>
        <v/>
      </c>
      <c r="IJ781" s="742" t="str">
        <f t="shared" si="224"/>
        <v/>
      </c>
      <c r="IK781" s="742" t="str">
        <f t="shared" si="225"/>
        <v/>
      </c>
      <c r="IL781" s="742" t="str">
        <f t="shared" si="226"/>
        <v/>
      </c>
      <c r="IM781" s="742" t="str">
        <f t="shared" si="227"/>
        <v/>
      </c>
      <c r="IN781" s="742" t="str">
        <f t="shared" si="228"/>
        <v/>
      </c>
      <c r="IO781" s="742" t="str">
        <f t="shared" si="229"/>
        <v/>
      </c>
      <c r="IP781" s="742" t="str">
        <f t="shared" si="230"/>
        <v/>
      </c>
      <c r="IQ781" s="742" t="str">
        <f t="shared" si="231"/>
        <v/>
      </c>
      <c r="IR781" s="742" t="str">
        <f t="shared" si="232"/>
        <v/>
      </c>
      <c r="IS781" s="742" t="str">
        <f t="shared" si="233"/>
        <v/>
      </c>
      <c r="IT781" s="742" t="str">
        <f t="shared" si="234"/>
        <v/>
      </c>
      <c r="IU781" s="742" t="str">
        <f t="shared" si="235"/>
        <v/>
      </c>
      <c r="IV781" s="742" t="str">
        <f t="shared" si="236"/>
        <v/>
      </c>
      <c r="IW781" s="742" t="str">
        <f t="shared" si="237"/>
        <v/>
      </c>
      <c r="IX781" s="742" t="str">
        <f t="shared" si="238"/>
        <v/>
      </c>
      <c r="IY781" s="742" t="str">
        <f t="shared" si="239"/>
        <v/>
      </c>
      <c r="IZ781" s="742" t="str">
        <f t="shared" si="240"/>
        <v/>
      </c>
      <c r="JA781" s="742" t="str">
        <f t="shared" si="241"/>
        <v/>
      </c>
      <c r="JB781" s="742" t="str">
        <f t="shared" si="242"/>
        <v/>
      </c>
      <c r="JC781" s="1637">
        <f t="shared" si="243"/>
        <v>0</v>
      </c>
      <c r="JD781" s="1637">
        <f t="shared" si="244"/>
        <v>0</v>
      </c>
      <c r="JE781" s="1637">
        <f t="shared" si="245"/>
        <v>0</v>
      </c>
      <c r="JF781" s="1637">
        <f t="shared" si="246"/>
        <v>0</v>
      </c>
      <c r="JG781" s="1637">
        <f t="shared" si="247"/>
        <v>0</v>
      </c>
      <c r="JH781" s="1637">
        <f t="shared" si="248"/>
        <v>0</v>
      </c>
      <c r="JI781" s="1637">
        <f t="shared" si="249"/>
        <v>0</v>
      </c>
      <c r="JJ781" s="1637">
        <f t="shared" si="250"/>
        <v>0</v>
      </c>
      <c r="JK781" s="1637">
        <f t="shared" si="251"/>
        <v>0</v>
      </c>
      <c r="JL781" s="1637">
        <f t="shared" si="252"/>
        <v>0</v>
      </c>
      <c r="JM781" s="1637">
        <f t="shared" si="253"/>
        <v>0</v>
      </c>
      <c r="JN781" s="1637">
        <f t="shared" si="254"/>
        <v>0</v>
      </c>
      <c r="JO781" s="1637">
        <f t="shared" si="255"/>
        <v>0</v>
      </c>
      <c r="JP781" s="1637">
        <f t="shared" si="256"/>
        <v>0</v>
      </c>
      <c r="JQ781" s="1637">
        <f t="shared" si="257"/>
        <v>0</v>
      </c>
    </row>
    <row r="782" spans="1:277" ht="12" customHeight="1">
      <c r="A782" s="1813" t="str">
        <f t="shared" si="0"/>
        <v/>
      </c>
      <c r="B782" s="2145">
        <f>'Part VI-Revenues &amp; Expenses'!B25</f>
        <v>0</v>
      </c>
      <c r="C782" s="2146">
        <f>'Part VI-Revenues &amp; Expenses'!C25</f>
        <v>0</v>
      </c>
      <c r="D782" s="2147">
        <f>'Part VI-Revenues &amp; Expenses'!D25</f>
        <v>0</v>
      </c>
      <c r="E782" s="2148">
        <f>'Part VI-Revenues &amp; Expenses'!E25</f>
        <v>0</v>
      </c>
      <c r="F782" s="2148">
        <f>'Part VI-Revenues &amp; Expenses'!F25</f>
        <v>0</v>
      </c>
      <c r="G782" s="2148">
        <f>'Part VI-Revenues &amp; Expenses'!G25</f>
        <v>0</v>
      </c>
      <c r="H782" s="2148">
        <f>'Part VI-Revenues &amp; Expenses'!H25</f>
        <v>0</v>
      </c>
      <c r="I782" s="2148">
        <f>'Part VI-Revenues &amp; Expenses'!I25</f>
        <v>0</v>
      </c>
      <c r="J782" s="2149">
        <f>'Part VI-Revenues &amp; Expenses'!J25</f>
        <v>0</v>
      </c>
      <c r="K782" s="1822">
        <f t="shared" si="1"/>
        <v>0</v>
      </c>
      <c r="L782" s="1822">
        <f t="shared" si="2"/>
        <v>0</v>
      </c>
      <c r="M782" s="2133">
        <f>'Part VI-Revenues &amp; Expenses'!M25</f>
        <v>0</v>
      </c>
      <c r="N782" s="2133">
        <f>'Part VI-Revenues &amp; Expenses'!N25</f>
        <v>0</v>
      </c>
      <c r="O782" s="2133">
        <f>'Part VI-Revenues &amp; Expenses'!O25</f>
        <v>0</v>
      </c>
      <c r="P782" s="1633">
        <f>'Part VI-Revenues &amp; Expenses'!P25</f>
        <v>0</v>
      </c>
      <c r="Q782" s="1823" t="str">
        <f>'Part VI-Revenues &amp; Expenses'!Q25</f>
        <v/>
      </c>
      <c r="R782" s="1824" t="str">
        <f>'Part VI-Revenues &amp; Expenses'!R25</f>
        <v/>
      </c>
      <c r="S782" s="1823">
        <f>'Part VI-Revenues &amp; Expenses'!S25</f>
        <v>0</v>
      </c>
      <c r="T782" s="1824">
        <f>'Part VI-Revenues &amp; Expenses'!T25</f>
        <v>0</v>
      </c>
      <c r="U782" s="1838"/>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117"/>
        <v/>
      </c>
      <c r="EH782" s="742" t="str">
        <f t="shared" si="118"/>
        <v/>
      </c>
      <c r="EI782" s="742" t="str">
        <f t="shared" si="119"/>
        <v/>
      </c>
      <c r="EJ782" s="742" t="str">
        <f t="shared" si="120"/>
        <v/>
      </c>
      <c r="EK782" s="742" t="str">
        <f t="shared" si="121"/>
        <v/>
      </c>
      <c r="EL782" s="742" t="str">
        <f t="shared" si="122"/>
        <v/>
      </c>
      <c r="EM782" s="742" t="str">
        <f t="shared" si="123"/>
        <v/>
      </c>
      <c r="EN782" s="742" t="str">
        <f t="shared" si="124"/>
        <v/>
      </c>
      <c r="EO782" s="742" t="str">
        <f t="shared" si="125"/>
        <v/>
      </c>
      <c r="EP782" s="742" t="str">
        <f t="shared" si="126"/>
        <v/>
      </c>
      <c r="EQ782" s="742" t="str">
        <f t="shared" si="127"/>
        <v/>
      </c>
      <c r="ER782" s="742" t="str">
        <f t="shared" si="128"/>
        <v/>
      </c>
      <c r="ES782" s="742" t="str">
        <f t="shared" si="129"/>
        <v/>
      </c>
      <c r="ET782" s="742" t="str">
        <f t="shared" si="130"/>
        <v/>
      </c>
      <c r="EU782" s="742" t="str">
        <f t="shared" si="131"/>
        <v/>
      </c>
      <c r="EV782" s="742" t="str">
        <f t="shared" si="132"/>
        <v/>
      </c>
      <c r="EW782" s="1638" t="str">
        <f t="shared" si="133"/>
        <v/>
      </c>
      <c r="EX782" s="1638" t="str">
        <f t="shared" si="134"/>
        <v/>
      </c>
      <c r="EY782" s="1638" t="str">
        <f t="shared" si="135"/>
        <v/>
      </c>
      <c r="EZ782" s="1638" t="str">
        <f t="shared" si="136"/>
        <v/>
      </c>
      <c r="FA782" s="1638" t="str">
        <f t="shared" si="137"/>
        <v/>
      </c>
      <c r="FB782" s="1638" t="str">
        <f t="shared" si="138"/>
        <v/>
      </c>
      <c r="FC782" s="1638" t="str">
        <f t="shared" si="139"/>
        <v/>
      </c>
      <c r="FD782" s="1638" t="str">
        <f t="shared" si="140"/>
        <v/>
      </c>
      <c r="FE782" s="1638" t="str">
        <f t="shared" si="141"/>
        <v/>
      </c>
      <c r="FF782" s="1638" t="str">
        <f t="shared" si="142"/>
        <v/>
      </c>
      <c r="FG782" s="1638" t="str">
        <f t="shared" si="143"/>
        <v/>
      </c>
      <c r="FH782" s="1638" t="str">
        <f t="shared" si="144"/>
        <v/>
      </c>
      <c r="FI782" s="1638" t="str">
        <f t="shared" si="145"/>
        <v/>
      </c>
      <c r="FJ782" s="1638" t="str">
        <f t="shared" si="146"/>
        <v/>
      </c>
      <c r="FK782" s="1638" t="str">
        <f t="shared" si="147"/>
        <v/>
      </c>
      <c r="FL782" s="1638" t="str">
        <f t="shared" si="148"/>
        <v/>
      </c>
      <c r="FM782" s="1638" t="str">
        <f t="shared" si="149"/>
        <v/>
      </c>
      <c r="FN782" s="1638" t="str">
        <f t="shared" si="150"/>
        <v/>
      </c>
      <c r="FO782" s="1638" t="str">
        <f t="shared" si="151"/>
        <v/>
      </c>
      <c r="FP782" s="1638" t="str">
        <f t="shared" si="152"/>
        <v/>
      </c>
      <c r="FQ782" s="1638" t="str">
        <f t="shared" si="153"/>
        <v/>
      </c>
      <c r="FR782" s="1638" t="str">
        <f t="shared" si="154"/>
        <v/>
      </c>
      <c r="FS782" s="1638" t="str">
        <f t="shared" si="155"/>
        <v/>
      </c>
      <c r="FT782" s="1638" t="str">
        <f t="shared" si="156"/>
        <v/>
      </c>
      <c r="FU782" s="1638" t="str">
        <f t="shared" si="157"/>
        <v/>
      </c>
      <c r="FV782" s="1638" t="str">
        <f t="shared" si="158"/>
        <v/>
      </c>
      <c r="FW782" s="1638" t="str">
        <f t="shared" si="159"/>
        <v/>
      </c>
      <c r="FX782" s="1638" t="str">
        <f t="shared" si="160"/>
        <v/>
      </c>
      <c r="FY782" s="1638" t="str">
        <f t="shared" si="161"/>
        <v/>
      </c>
      <c r="FZ782" s="1638" t="str">
        <f t="shared" si="162"/>
        <v/>
      </c>
      <c r="GA782" s="1638" t="str">
        <f t="shared" si="163"/>
        <v/>
      </c>
      <c r="GB782" s="1638" t="str">
        <f t="shared" si="164"/>
        <v/>
      </c>
      <c r="GC782" s="1638" t="str">
        <f t="shared" si="165"/>
        <v/>
      </c>
      <c r="GD782" s="1638" t="str">
        <f t="shared" si="166"/>
        <v/>
      </c>
      <c r="GE782" s="1638" t="str">
        <f t="shared" si="167"/>
        <v/>
      </c>
      <c r="GF782" s="1638" t="str">
        <f t="shared" si="168"/>
        <v/>
      </c>
      <c r="GG782" s="1638" t="str">
        <f t="shared" si="169"/>
        <v/>
      </c>
      <c r="GH782" s="1638" t="str">
        <f t="shared" si="170"/>
        <v/>
      </c>
      <c r="GI782" s="1638" t="str">
        <f t="shared" si="171"/>
        <v/>
      </c>
      <c r="GJ782" s="1638" t="str">
        <f t="shared" si="172"/>
        <v/>
      </c>
      <c r="GK782" s="1638" t="str">
        <f t="shared" si="173"/>
        <v/>
      </c>
      <c r="GL782" s="1638" t="str">
        <f t="shared" si="174"/>
        <v/>
      </c>
      <c r="GM782" s="1638" t="str">
        <f t="shared" si="175"/>
        <v/>
      </c>
      <c r="GN782" s="1638" t="str">
        <f t="shared" si="176"/>
        <v/>
      </c>
      <c r="GO782" s="1638" t="str">
        <f t="shared" si="177"/>
        <v/>
      </c>
      <c r="GP782" s="1638" t="str">
        <f t="shared" si="178"/>
        <v/>
      </c>
      <c r="GQ782" s="1638" t="str">
        <f t="shared" si="179"/>
        <v/>
      </c>
      <c r="GR782" s="1638" t="str">
        <f t="shared" si="180"/>
        <v/>
      </c>
      <c r="GS782" s="1638" t="str">
        <f t="shared" si="181"/>
        <v/>
      </c>
      <c r="GT782" s="1638" t="str">
        <f t="shared" si="182"/>
        <v/>
      </c>
      <c r="GU782" s="1638" t="str">
        <f t="shared" si="183"/>
        <v/>
      </c>
      <c r="GV782" s="1638" t="str">
        <f t="shared" si="184"/>
        <v/>
      </c>
      <c r="GW782" s="1638" t="str">
        <f t="shared" si="185"/>
        <v/>
      </c>
      <c r="GX782" s="1638" t="str">
        <f t="shared" si="186"/>
        <v/>
      </c>
      <c r="GY782" s="1638" t="str">
        <f t="shared" si="187"/>
        <v/>
      </c>
      <c r="GZ782" s="1638" t="str">
        <f t="shared" si="188"/>
        <v/>
      </c>
      <c r="HA782" s="1638" t="str">
        <f t="shared" si="189"/>
        <v/>
      </c>
      <c r="HB782" s="1638" t="str">
        <f t="shared" si="190"/>
        <v/>
      </c>
      <c r="HC782" s="1638" t="str">
        <f t="shared" si="191"/>
        <v/>
      </c>
      <c r="HD782" s="1638" t="str">
        <f t="shared" si="192"/>
        <v/>
      </c>
      <c r="HE782" s="1638" t="str">
        <f t="shared" si="193"/>
        <v/>
      </c>
      <c r="HF782" s="1638" t="str">
        <f t="shared" si="194"/>
        <v/>
      </c>
      <c r="HG782" s="1638" t="str">
        <f t="shared" si="195"/>
        <v/>
      </c>
      <c r="HH782" s="1638" t="str">
        <f t="shared" si="196"/>
        <v/>
      </c>
      <c r="HI782" s="1638" t="str">
        <f t="shared" si="197"/>
        <v/>
      </c>
      <c r="HJ782" s="1638" t="str">
        <f t="shared" si="198"/>
        <v/>
      </c>
      <c r="HK782" s="1638" t="str">
        <f t="shared" si="199"/>
        <v/>
      </c>
      <c r="HL782" s="1638" t="str">
        <f t="shared" si="200"/>
        <v/>
      </c>
      <c r="HM782" s="1638" t="str">
        <f t="shared" si="201"/>
        <v/>
      </c>
      <c r="HN782" s="1638" t="str">
        <f t="shared" si="202"/>
        <v/>
      </c>
      <c r="HO782" s="1638" t="str">
        <f t="shared" si="203"/>
        <v/>
      </c>
      <c r="HP782" s="1638" t="str">
        <f t="shared" si="204"/>
        <v/>
      </c>
      <c r="HQ782" s="1638" t="str">
        <f t="shared" si="205"/>
        <v/>
      </c>
      <c r="HR782" s="1638" t="str">
        <f t="shared" si="206"/>
        <v/>
      </c>
      <c r="HS782" s="1638" t="str">
        <f t="shared" si="207"/>
        <v/>
      </c>
      <c r="HT782" s="1638" t="str">
        <f t="shared" si="208"/>
        <v/>
      </c>
      <c r="HU782" s="1638" t="str">
        <f t="shared" si="209"/>
        <v/>
      </c>
      <c r="HV782" s="1638" t="str">
        <f t="shared" si="210"/>
        <v/>
      </c>
      <c r="HW782" s="1638" t="str">
        <f t="shared" si="211"/>
        <v/>
      </c>
      <c r="HX782" s="1638" t="str">
        <f t="shared" si="212"/>
        <v/>
      </c>
      <c r="HY782" s="1638" t="str">
        <f t="shared" si="213"/>
        <v/>
      </c>
      <c r="HZ782" s="1638" t="str">
        <f t="shared" si="214"/>
        <v/>
      </c>
      <c r="IA782" s="1638" t="str">
        <f t="shared" si="215"/>
        <v/>
      </c>
      <c r="IB782" s="1638" t="str">
        <f t="shared" si="216"/>
        <v/>
      </c>
      <c r="IC782" s="1638" t="str">
        <f t="shared" si="217"/>
        <v/>
      </c>
      <c r="ID782" s="1639" t="str">
        <f t="shared" si="218"/>
        <v/>
      </c>
      <c r="IE782" s="1639" t="str">
        <f t="shared" si="219"/>
        <v/>
      </c>
      <c r="IF782" s="1639" t="str">
        <f t="shared" si="220"/>
        <v/>
      </c>
      <c r="IG782" s="1639" t="str">
        <f t="shared" si="221"/>
        <v/>
      </c>
      <c r="IH782" s="1639" t="str">
        <f t="shared" si="222"/>
        <v/>
      </c>
      <c r="II782" s="742" t="str">
        <f t="shared" si="223"/>
        <v/>
      </c>
      <c r="IJ782" s="742" t="str">
        <f t="shared" si="224"/>
        <v/>
      </c>
      <c r="IK782" s="742" t="str">
        <f t="shared" si="225"/>
        <v/>
      </c>
      <c r="IL782" s="742" t="str">
        <f t="shared" si="226"/>
        <v/>
      </c>
      <c r="IM782" s="742" t="str">
        <f t="shared" si="227"/>
        <v/>
      </c>
      <c r="IN782" s="742" t="str">
        <f t="shared" si="228"/>
        <v/>
      </c>
      <c r="IO782" s="742" t="str">
        <f t="shared" si="229"/>
        <v/>
      </c>
      <c r="IP782" s="742" t="str">
        <f t="shared" si="230"/>
        <v/>
      </c>
      <c r="IQ782" s="742" t="str">
        <f t="shared" si="231"/>
        <v/>
      </c>
      <c r="IR782" s="742" t="str">
        <f t="shared" si="232"/>
        <v/>
      </c>
      <c r="IS782" s="742" t="str">
        <f t="shared" si="233"/>
        <v/>
      </c>
      <c r="IT782" s="742" t="str">
        <f t="shared" si="234"/>
        <v/>
      </c>
      <c r="IU782" s="742" t="str">
        <f t="shared" si="235"/>
        <v/>
      </c>
      <c r="IV782" s="742" t="str">
        <f t="shared" si="236"/>
        <v/>
      </c>
      <c r="IW782" s="742" t="str">
        <f t="shared" si="237"/>
        <v/>
      </c>
      <c r="IX782" s="742" t="str">
        <f t="shared" si="238"/>
        <v/>
      </c>
      <c r="IY782" s="742" t="str">
        <f t="shared" si="239"/>
        <v/>
      </c>
      <c r="IZ782" s="742" t="str">
        <f t="shared" si="240"/>
        <v/>
      </c>
      <c r="JA782" s="742" t="str">
        <f t="shared" si="241"/>
        <v/>
      </c>
      <c r="JB782" s="742" t="str">
        <f t="shared" si="242"/>
        <v/>
      </c>
      <c r="JC782" s="1637">
        <f t="shared" si="243"/>
        <v>0</v>
      </c>
      <c r="JD782" s="1637">
        <f t="shared" si="244"/>
        <v>0</v>
      </c>
      <c r="JE782" s="1637">
        <f t="shared" si="245"/>
        <v>0</v>
      </c>
      <c r="JF782" s="1637">
        <f t="shared" si="246"/>
        <v>0</v>
      </c>
      <c r="JG782" s="1637">
        <f t="shared" si="247"/>
        <v>0</v>
      </c>
      <c r="JH782" s="1637">
        <f t="shared" si="248"/>
        <v>0</v>
      </c>
      <c r="JI782" s="1637">
        <f t="shared" si="249"/>
        <v>0</v>
      </c>
      <c r="JJ782" s="1637">
        <f t="shared" si="250"/>
        <v>0</v>
      </c>
      <c r="JK782" s="1637">
        <f t="shared" si="251"/>
        <v>0</v>
      </c>
      <c r="JL782" s="1637">
        <f t="shared" si="252"/>
        <v>0</v>
      </c>
      <c r="JM782" s="1637">
        <f t="shared" si="253"/>
        <v>0</v>
      </c>
      <c r="JN782" s="1637">
        <f t="shared" si="254"/>
        <v>0</v>
      </c>
      <c r="JO782" s="1637">
        <f t="shared" si="255"/>
        <v>0</v>
      </c>
      <c r="JP782" s="1637">
        <f t="shared" si="256"/>
        <v>0</v>
      </c>
      <c r="JQ782" s="1637">
        <f t="shared" si="257"/>
        <v>0</v>
      </c>
    </row>
    <row r="783" spans="1:277" ht="12" customHeight="1">
      <c r="A783" s="1813" t="str">
        <f t="shared" si="0"/>
        <v/>
      </c>
      <c r="B783" s="2145">
        <f>'Part VI-Revenues &amp; Expenses'!B26</f>
        <v>0</v>
      </c>
      <c r="C783" s="2146">
        <f>'Part VI-Revenues &amp; Expenses'!C26</f>
        <v>0</v>
      </c>
      <c r="D783" s="2147">
        <f>'Part VI-Revenues &amp; Expenses'!D26</f>
        <v>0</v>
      </c>
      <c r="E783" s="2148">
        <f>'Part VI-Revenues &amp; Expenses'!E26</f>
        <v>0</v>
      </c>
      <c r="F783" s="2148">
        <f>'Part VI-Revenues &amp; Expenses'!F26</f>
        <v>0</v>
      </c>
      <c r="G783" s="2148">
        <f>'Part VI-Revenues &amp; Expenses'!G26</f>
        <v>0</v>
      </c>
      <c r="H783" s="2148">
        <f>'Part VI-Revenues &amp; Expenses'!H26</f>
        <v>0</v>
      </c>
      <c r="I783" s="2148">
        <f>'Part VI-Revenues &amp; Expenses'!I26</f>
        <v>0</v>
      </c>
      <c r="J783" s="2149">
        <f>'Part VI-Revenues &amp; Expenses'!J26</f>
        <v>0</v>
      </c>
      <c r="K783" s="1822">
        <f t="shared" si="1"/>
        <v>0</v>
      </c>
      <c r="L783" s="1822">
        <f t="shared" si="2"/>
        <v>0</v>
      </c>
      <c r="M783" s="2133">
        <f>'Part VI-Revenues &amp; Expenses'!M26</f>
        <v>0</v>
      </c>
      <c r="N783" s="2133">
        <f>'Part VI-Revenues &amp; Expenses'!N26</f>
        <v>0</v>
      </c>
      <c r="O783" s="2133">
        <f>'Part VI-Revenues &amp; Expenses'!O26</f>
        <v>0</v>
      </c>
      <c r="P783" s="1633">
        <f>'Part VI-Revenues &amp; Expenses'!P26</f>
        <v>0</v>
      </c>
      <c r="Q783" s="1823" t="str">
        <f>'Part VI-Revenues &amp; Expenses'!Q26</f>
        <v/>
      </c>
      <c r="R783" s="1824" t="str">
        <f>'Part VI-Revenues &amp; Expenses'!R26</f>
        <v/>
      </c>
      <c r="S783" s="1823">
        <f>'Part VI-Revenues &amp; Expenses'!S26</f>
        <v>0</v>
      </c>
      <c r="T783" s="1824">
        <f>'Part VI-Revenues &amp; Expenses'!T26</f>
        <v>0</v>
      </c>
      <c r="U783" s="1838"/>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117"/>
        <v/>
      </c>
      <c r="EH783" s="742" t="str">
        <f t="shared" si="118"/>
        <v/>
      </c>
      <c r="EI783" s="742" t="str">
        <f t="shared" si="119"/>
        <v/>
      </c>
      <c r="EJ783" s="742" t="str">
        <f t="shared" si="120"/>
        <v/>
      </c>
      <c r="EK783" s="742" t="str">
        <f t="shared" si="121"/>
        <v/>
      </c>
      <c r="EL783" s="742" t="str">
        <f t="shared" si="122"/>
        <v/>
      </c>
      <c r="EM783" s="742" t="str">
        <f t="shared" si="123"/>
        <v/>
      </c>
      <c r="EN783" s="742" t="str">
        <f t="shared" si="124"/>
        <v/>
      </c>
      <c r="EO783" s="742" t="str">
        <f t="shared" si="125"/>
        <v/>
      </c>
      <c r="EP783" s="742" t="str">
        <f t="shared" si="126"/>
        <v/>
      </c>
      <c r="EQ783" s="742" t="str">
        <f t="shared" si="127"/>
        <v/>
      </c>
      <c r="ER783" s="742" t="str">
        <f t="shared" si="128"/>
        <v/>
      </c>
      <c r="ES783" s="742" t="str">
        <f t="shared" si="129"/>
        <v/>
      </c>
      <c r="ET783" s="742" t="str">
        <f t="shared" si="130"/>
        <v/>
      </c>
      <c r="EU783" s="742" t="str">
        <f t="shared" si="131"/>
        <v/>
      </c>
      <c r="EV783" s="742" t="str">
        <f t="shared" si="132"/>
        <v/>
      </c>
      <c r="EW783" s="1638" t="str">
        <f t="shared" si="133"/>
        <v/>
      </c>
      <c r="EX783" s="1638" t="str">
        <f t="shared" si="134"/>
        <v/>
      </c>
      <c r="EY783" s="1638" t="str">
        <f t="shared" si="135"/>
        <v/>
      </c>
      <c r="EZ783" s="1638" t="str">
        <f t="shared" si="136"/>
        <v/>
      </c>
      <c r="FA783" s="1638" t="str">
        <f t="shared" si="137"/>
        <v/>
      </c>
      <c r="FB783" s="1638" t="str">
        <f t="shared" si="138"/>
        <v/>
      </c>
      <c r="FC783" s="1638" t="str">
        <f t="shared" si="139"/>
        <v/>
      </c>
      <c r="FD783" s="1638" t="str">
        <f t="shared" si="140"/>
        <v/>
      </c>
      <c r="FE783" s="1638" t="str">
        <f t="shared" si="141"/>
        <v/>
      </c>
      <c r="FF783" s="1638" t="str">
        <f t="shared" si="142"/>
        <v/>
      </c>
      <c r="FG783" s="1638" t="str">
        <f t="shared" si="143"/>
        <v/>
      </c>
      <c r="FH783" s="1638" t="str">
        <f t="shared" si="144"/>
        <v/>
      </c>
      <c r="FI783" s="1638" t="str">
        <f t="shared" si="145"/>
        <v/>
      </c>
      <c r="FJ783" s="1638" t="str">
        <f t="shared" si="146"/>
        <v/>
      </c>
      <c r="FK783" s="1638" t="str">
        <f t="shared" si="147"/>
        <v/>
      </c>
      <c r="FL783" s="1638" t="str">
        <f t="shared" si="148"/>
        <v/>
      </c>
      <c r="FM783" s="1638" t="str">
        <f t="shared" si="149"/>
        <v/>
      </c>
      <c r="FN783" s="1638" t="str">
        <f t="shared" si="150"/>
        <v/>
      </c>
      <c r="FO783" s="1638" t="str">
        <f t="shared" si="151"/>
        <v/>
      </c>
      <c r="FP783" s="1638" t="str">
        <f t="shared" si="152"/>
        <v/>
      </c>
      <c r="FQ783" s="1638" t="str">
        <f t="shared" si="153"/>
        <v/>
      </c>
      <c r="FR783" s="1638" t="str">
        <f t="shared" si="154"/>
        <v/>
      </c>
      <c r="FS783" s="1638" t="str">
        <f t="shared" si="155"/>
        <v/>
      </c>
      <c r="FT783" s="1638" t="str">
        <f t="shared" si="156"/>
        <v/>
      </c>
      <c r="FU783" s="1638" t="str">
        <f t="shared" si="157"/>
        <v/>
      </c>
      <c r="FV783" s="1638" t="str">
        <f t="shared" si="158"/>
        <v/>
      </c>
      <c r="FW783" s="1638" t="str">
        <f t="shared" si="159"/>
        <v/>
      </c>
      <c r="FX783" s="1638" t="str">
        <f t="shared" si="160"/>
        <v/>
      </c>
      <c r="FY783" s="1638" t="str">
        <f t="shared" si="161"/>
        <v/>
      </c>
      <c r="FZ783" s="1638" t="str">
        <f t="shared" si="162"/>
        <v/>
      </c>
      <c r="GA783" s="1638" t="str">
        <f t="shared" si="163"/>
        <v/>
      </c>
      <c r="GB783" s="1638" t="str">
        <f t="shared" si="164"/>
        <v/>
      </c>
      <c r="GC783" s="1638" t="str">
        <f t="shared" si="165"/>
        <v/>
      </c>
      <c r="GD783" s="1638" t="str">
        <f t="shared" si="166"/>
        <v/>
      </c>
      <c r="GE783" s="1638" t="str">
        <f t="shared" si="167"/>
        <v/>
      </c>
      <c r="GF783" s="1638" t="str">
        <f t="shared" si="168"/>
        <v/>
      </c>
      <c r="GG783" s="1638" t="str">
        <f t="shared" si="169"/>
        <v/>
      </c>
      <c r="GH783" s="1638" t="str">
        <f t="shared" si="170"/>
        <v/>
      </c>
      <c r="GI783" s="1638" t="str">
        <f t="shared" si="171"/>
        <v/>
      </c>
      <c r="GJ783" s="1638" t="str">
        <f t="shared" si="172"/>
        <v/>
      </c>
      <c r="GK783" s="1638" t="str">
        <f t="shared" si="173"/>
        <v/>
      </c>
      <c r="GL783" s="1638" t="str">
        <f t="shared" si="174"/>
        <v/>
      </c>
      <c r="GM783" s="1638" t="str">
        <f t="shared" si="175"/>
        <v/>
      </c>
      <c r="GN783" s="1638" t="str">
        <f t="shared" si="176"/>
        <v/>
      </c>
      <c r="GO783" s="1638" t="str">
        <f t="shared" si="177"/>
        <v/>
      </c>
      <c r="GP783" s="1638" t="str">
        <f t="shared" si="178"/>
        <v/>
      </c>
      <c r="GQ783" s="1638" t="str">
        <f t="shared" si="179"/>
        <v/>
      </c>
      <c r="GR783" s="1638" t="str">
        <f t="shared" si="180"/>
        <v/>
      </c>
      <c r="GS783" s="1638" t="str">
        <f t="shared" si="181"/>
        <v/>
      </c>
      <c r="GT783" s="1638" t="str">
        <f t="shared" si="182"/>
        <v/>
      </c>
      <c r="GU783" s="1638" t="str">
        <f t="shared" si="183"/>
        <v/>
      </c>
      <c r="GV783" s="1638" t="str">
        <f t="shared" si="184"/>
        <v/>
      </c>
      <c r="GW783" s="1638" t="str">
        <f t="shared" si="185"/>
        <v/>
      </c>
      <c r="GX783" s="1638" t="str">
        <f t="shared" si="186"/>
        <v/>
      </c>
      <c r="GY783" s="1638" t="str">
        <f t="shared" si="187"/>
        <v/>
      </c>
      <c r="GZ783" s="1638" t="str">
        <f t="shared" si="188"/>
        <v/>
      </c>
      <c r="HA783" s="1638" t="str">
        <f t="shared" si="189"/>
        <v/>
      </c>
      <c r="HB783" s="1638" t="str">
        <f t="shared" si="190"/>
        <v/>
      </c>
      <c r="HC783" s="1638" t="str">
        <f t="shared" si="191"/>
        <v/>
      </c>
      <c r="HD783" s="1638" t="str">
        <f t="shared" si="192"/>
        <v/>
      </c>
      <c r="HE783" s="1638" t="str">
        <f t="shared" si="193"/>
        <v/>
      </c>
      <c r="HF783" s="1638" t="str">
        <f t="shared" si="194"/>
        <v/>
      </c>
      <c r="HG783" s="1638" t="str">
        <f t="shared" si="195"/>
        <v/>
      </c>
      <c r="HH783" s="1638" t="str">
        <f t="shared" si="196"/>
        <v/>
      </c>
      <c r="HI783" s="1638" t="str">
        <f t="shared" si="197"/>
        <v/>
      </c>
      <c r="HJ783" s="1638" t="str">
        <f t="shared" si="198"/>
        <v/>
      </c>
      <c r="HK783" s="1638" t="str">
        <f t="shared" si="199"/>
        <v/>
      </c>
      <c r="HL783" s="1638" t="str">
        <f t="shared" si="200"/>
        <v/>
      </c>
      <c r="HM783" s="1638" t="str">
        <f t="shared" si="201"/>
        <v/>
      </c>
      <c r="HN783" s="1638" t="str">
        <f t="shared" si="202"/>
        <v/>
      </c>
      <c r="HO783" s="1638" t="str">
        <f t="shared" si="203"/>
        <v/>
      </c>
      <c r="HP783" s="1638" t="str">
        <f t="shared" si="204"/>
        <v/>
      </c>
      <c r="HQ783" s="1638" t="str">
        <f t="shared" si="205"/>
        <v/>
      </c>
      <c r="HR783" s="1638" t="str">
        <f t="shared" si="206"/>
        <v/>
      </c>
      <c r="HS783" s="1638" t="str">
        <f t="shared" si="207"/>
        <v/>
      </c>
      <c r="HT783" s="1638" t="str">
        <f t="shared" si="208"/>
        <v/>
      </c>
      <c r="HU783" s="1638" t="str">
        <f t="shared" si="209"/>
        <v/>
      </c>
      <c r="HV783" s="1638" t="str">
        <f t="shared" si="210"/>
        <v/>
      </c>
      <c r="HW783" s="1638" t="str">
        <f t="shared" si="211"/>
        <v/>
      </c>
      <c r="HX783" s="1638" t="str">
        <f t="shared" si="212"/>
        <v/>
      </c>
      <c r="HY783" s="1638" t="str">
        <f t="shared" si="213"/>
        <v/>
      </c>
      <c r="HZ783" s="1638" t="str">
        <f t="shared" si="214"/>
        <v/>
      </c>
      <c r="IA783" s="1638" t="str">
        <f t="shared" si="215"/>
        <v/>
      </c>
      <c r="IB783" s="1638" t="str">
        <f t="shared" si="216"/>
        <v/>
      </c>
      <c r="IC783" s="1638" t="str">
        <f t="shared" si="217"/>
        <v/>
      </c>
      <c r="ID783" s="1639" t="str">
        <f t="shared" si="218"/>
        <v/>
      </c>
      <c r="IE783" s="1639" t="str">
        <f t="shared" si="219"/>
        <v/>
      </c>
      <c r="IF783" s="1639" t="str">
        <f t="shared" si="220"/>
        <v/>
      </c>
      <c r="IG783" s="1639" t="str">
        <f t="shared" si="221"/>
        <v/>
      </c>
      <c r="IH783" s="1639" t="str">
        <f t="shared" si="222"/>
        <v/>
      </c>
      <c r="II783" s="742" t="str">
        <f t="shared" si="223"/>
        <v/>
      </c>
      <c r="IJ783" s="742" t="str">
        <f t="shared" si="224"/>
        <v/>
      </c>
      <c r="IK783" s="742" t="str">
        <f t="shared" si="225"/>
        <v/>
      </c>
      <c r="IL783" s="742" t="str">
        <f t="shared" si="226"/>
        <v/>
      </c>
      <c r="IM783" s="742" t="str">
        <f t="shared" si="227"/>
        <v/>
      </c>
      <c r="IN783" s="742" t="str">
        <f t="shared" si="228"/>
        <v/>
      </c>
      <c r="IO783" s="742" t="str">
        <f t="shared" si="229"/>
        <v/>
      </c>
      <c r="IP783" s="742" t="str">
        <f t="shared" si="230"/>
        <v/>
      </c>
      <c r="IQ783" s="742" t="str">
        <f t="shared" si="231"/>
        <v/>
      </c>
      <c r="IR783" s="742" t="str">
        <f t="shared" si="232"/>
        <v/>
      </c>
      <c r="IS783" s="742" t="str">
        <f t="shared" si="233"/>
        <v/>
      </c>
      <c r="IT783" s="742" t="str">
        <f t="shared" si="234"/>
        <v/>
      </c>
      <c r="IU783" s="742" t="str">
        <f t="shared" si="235"/>
        <v/>
      </c>
      <c r="IV783" s="742" t="str">
        <f t="shared" si="236"/>
        <v/>
      </c>
      <c r="IW783" s="742" t="str">
        <f t="shared" si="237"/>
        <v/>
      </c>
      <c r="IX783" s="742" t="str">
        <f t="shared" si="238"/>
        <v/>
      </c>
      <c r="IY783" s="742" t="str">
        <f t="shared" si="239"/>
        <v/>
      </c>
      <c r="IZ783" s="742" t="str">
        <f t="shared" si="240"/>
        <v/>
      </c>
      <c r="JA783" s="742" t="str">
        <f t="shared" si="241"/>
        <v/>
      </c>
      <c r="JB783" s="742" t="str">
        <f t="shared" si="242"/>
        <v/>
      </c>
      <c r="JC783" s="1637">
        <f t="shared" si="243"/>
        <v>0</v>
      </c>
      <c r="JD783" s="1637">
        <f t="shared" si="244"/>
        <v>0</v>
      </c>
      <c r="JE783" s="1637">
        <f t="shared" si="245"/>
        <v>0</v>
      </c>
      <c r="JF783" s="1637">
        <f t="shared" si="246"/>
        <v>0</v>
      </c>
      <c r="JG783" s="1637">
        <f t="shared" si="247"/>
        <v>0</v>
      </c>
      <c r="JH783" s="1637">
        <f t="shared" si="248"/>
        <v>0</v>
      </c>
      <c r="JI783" s="1637">
        <f t="shared" si="249"/>
        <v>0</v>
      </c>
      <c r="JJ783" s="1637">
        <f t="shared" si="250"/>
        <v>0</v>
      </c>
      <c r="JK783" s="1637">
        <f t="shared" si="251"/>
        <v>0</v>
      </c>
      <c r="JL783" s="1637">
        <f t="shared" si="252"/>
        <v>0</v>
      </c>
      <c r="JM783" s="1637">
        <f t="shared" si="253"/>
        <v>0</v>
      </c>
      <c r="JN783" s="1637">
        <f t="shared" si="254"/>
        <v>0</v>
      </c>
      <c r="JO783" s="1637">
        <f t="shared" si="255"/>
        <v>0</v>
      </c>
      <c r="JP783" s="1637">
        <f t="shared" si="256"/>
        <v>0</v>
      </c>
      <c r="JQ783" s="1637">
        <f t="shared" si="257"/>
        <v>0</v>
      </c>
    </row>
    <row r="784" spans="1:277" ht="12" customHeight="1">
      <c r="A784" s="1813" t="str">
        <f t="shared" si="0"/>
        <v/>
      </c>
      <c r="B784" s="2145">
        <f>'Part VI-Revenues &amp; Expenses'!B27</f>
        <v>0</v>
      </c>
      <c r="C784" s="2146">
        <f>'Part VI-Revenues &amp; Expenses'!C27</f>
        <v>0</v>
      </c>
      <c r="D784" s="2147">
        <f>'Part VI-Revenues &amp; Expenses'!D27</f>
        <v>0</v>
      </c>
      <c r="E784" s="2148">
        <f>'Part VI-Revenues &amp; Expenses'!E27</f>
        <v>0</v>
      </c>
      <c r="F784" s="2148">
        <f>'Part VI-Revenues &amp; Expenses'!F27</f>
        <v>0</v>
      </c>
      <c r="G784" s="2148">
        <f>'Part VI-Revenues &amp; Expenses'!G27</f>
        <v>0</v>
      </c>
      <c r="H784" s="2148">
        <f>'Part VI-Revenues &amp; Expenses'!H27</f>
        <v>0</v>
      </c>
      <c r="I784" s="2148">
        <f>'Part VI-Revenues &amp; Expenses'!I27</f>
        <v>0</v>
      </c>
      <c r="J784" s="2149">
        <f>'Part VI-Revenues &amp; Expenses'!J27</f>
        <v>0</v>
      </c>
      <c r="K784" s="1822">
        <f t="shared" si="1"/>
        <v>0</v>
      </c>
      <c r="L784" s="1822">
        <f t="shared" si="2"/>
        <v>0</v>
      </c>
      <c r="M784" s="2133">
        <f>'Part VI-Revenues &amp; Expenses'!M27</f>
        <v>0</v>
      </c>
      <c r="N784" s="2133">
        <f>'Part VI-Revenues &amp; Expenses'!N27</f>
        <v>0</v>
      </c>
      <c r="O784" s="2133">
        <f>'Part VI-Revenues &amp; Expenses'!O27</f>
        <v>0</v>
      </c>
      <c r="P784" s="1633">
        <f>'Part VI-Revenues &amp; Expenses'!P27</f>
        <v>0</v>
      </c>
      <c r="Q784" s="1823" t="str">
        <f>'Part VI-Revenues &amp; Expenses'!Q27</f>
        <v/>
      </c>
      <c r="R784" s="1824" t="str">
        <f>'Part VI-Revenues &amp; Expenses'!R27</f>
        <v/>
      </c>
      <c r="S784" s="1823">
        <f>'Part VI-Revenues &amp; Expenses'!S27</f>
        <v>0</v>
      </c>
      <c r="T784" s="1824">
        <f>'Part VI-Revenues &amp; Expenses'!T27</f>
        <v>0</v>
      </c>
      <c r="U784" s="1838"/>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117"/>
        <v/>
      </c>
      <c r="EH784" s="742" t="str">
        <f t="shared" si="118"/>
        <v/>
      </c>
      <c r="EI784" s="742" t="str">
        <f t="shared" si="119"/>
        <v/>
      </c>
      <c r="EJ784" s="742" t="str">
        <f t="shared" si="120"/>
        <v/>
      </c>
      <c r="EK784" s="742" t="str">
        <f t="shared" si="121"/>
        <v/>
      </c>
      <c r="EL784" s="742" t="str">
        <f t="shared" si="122"/>
        <v/>
      </c>
      <c r="EM784" s="742" t="str">
        <f t="shared" si="123"/>
        <v/>
      </c>
      <c r="EN784" s="742" t="str">
        <f t="shared" si="124"/>
        <v/>
      </c>
      <c r="EO784" s="742" t="str">
        <f t="shared" si="125"/>
        <v/>
      </c>
      <c r="EP784" s="742" t="str">
        <f t="shared" si="126"/>
        <v/>
      </c>
      <c r="EQ784" s="742" t="str">
        <f t="shared" si="127"/>
        <v/>
      </c>
      <c r="ER784" s="742" t="str">
        <f t="shared" si="128"/>
        <v/>
      </c>
      <c r="ES784" s="742" t="str">
        <f t="shared" si="129"/>
        <v/>
      </c>
      <c r="ET784" s="742" t="str">
        <f t="shared" si="130"/>
        <v/>
      </c>
      <c r="EU784" s="742" t="str">
        <f t="shared" si="131"/>
        <v/>
      </c>
      <c r="EV784" s="742" t="str">
        <f t="shared" si="132"/>
        <v/>
      </c>
      <c r="EW784" s="1638" t="str">
        <f t="shared" si="133"/>
        <v/>
      </c>
      <c r="EX784" s="1638" t="str">
        <f t="shared" si="134"/>
        <v/>
      </c>
      <c r="EY784" s="1638" t="str">
        <f t="shared" si="135"/>
        <v/>
      </c>
      <c r="EZ784" s="1638" t="str">
        <f t="shared" si="136"/>
        <v/>
      </c>
      <c r="FA784" s="1638" t="str">
        <f t="shared" si="137"/>
        <v/>
      </c>
      <c r="FB784" s="1638" t="str">
        <f t="shared" si="138"/>
        <v/>
      </c>
      <c r="FC784" s="1638" t="str">
        <f t="shared" si="139"/>
        <v/>
      </c>
      <c r="FD784" s="1638" t="str">
        <f t="shared" si="140"/>
        <v/>
      </c>
      <c r="FE784" s="1638" t="str">
        <f t="shared" si="141"/>
        <v/>
      </c>
      <c r="FF784" s="1638" t="str">
        <f t="shared" si="142"/>
        <v/>
      </c>
      <c r="FG784" s="1638" t="str">
        <f t="shared" si="143"/>
        <v/>
      </c>
      <c r="FH784" s="1638" t="str">
        <f t="shared" si="144"/>
        <v/>
      </c>
      <c r="FI784" s="1638" t="str">
        <f t="shared" si="145"/>
        <v/>
      </c>
      <c r="FJ784" s="1638" t="str">
        <f t="shared" si="146"/>
        <v/>
      </c>
      <c r="FK784" s="1638" t="str">
        <f t="shared" si="147"/>
        <v/>
      </c>
      <c r="FL784" s="1638" t="str">
        <f t="shared" si="148"/>
        <v/>
      </c>
      <c r="FM784" s="1638" t="str">
        <f t="shared" si="149"/>
        <v/>
      </c>
      <c r="FN784" s="1638" t="str">
        <f t="shared" si="150"/>
        <v/>
      </c>
      <c r="FO784" s="1638" t="str">
        <f t="shared" si="151"/>
        <v/>
      </c>
      <c r="FP784" s="1638" t="str">
        <f t="shared" si="152"/>
        <v/>
      </c>
      <c r="FQ784" s="1638" t="str">
        <f t="shared" si="153"/>
        <v/>
      </c>
      <c r="FR784" s="1638" t="str">
        <f t="shared" si="154"/>
        <v/>
      </c>
      <c r="FS784" s="1638" t="str">
        <f t="shared" si="155"/>
        <v/>
      </c>
      <c r="FT784" s="1638" t="str">
        <f t="shared" si="156"/>
        <v/>
      </c>
      <c r="FU784" s="1638" t="str">
        <f t="shared" si="157"/>
        <v/>
      </c>
      <c r="FV784" s="1638" t="str">
        <f t="shared" si="158"/>
        <v/>
      </c>
      <c r="FW784" s="1638" t="str">
        <f t="shared" si="159"/>
        <v/>
      </c>
      <c r="FX784" s="1638" t="str">
        <f t="shared" si="160"/>
        <v/>
      </c>
      <c r="FY784" s="1638" t="str">
        <f t="shared" si="161"/>
        <v/>
      </c>
      <c r="FZ784" s="1638" t="str">
        <f t="shared" si="162"/>
        <v/>
      </c>
      <c r="GA784" s="1638" t="str">
        <f t="shared" si="163"/>
        <v/>
      </c>
      <c r="GB784" s="1638" t="str">
        <f t="shared" si="164"/>
        <v/>
      </c>
      <c r="GC784" s="1638" t="str">
        <f t="shared" si="165"/>
        <v/>
      </c>
      <c r="GD784" s="1638" t="str">
        <f t="shared" si="166"/>
        <v/>
      </c>
      <c r="GE784" s="1638" t="str">
        <f t="shared" si="167"/>
        <v/>
      </c>
      <c r="GF784" s="1638" t="str">
        <f t="shared" si="168"/>
        <v/>
      </c>
      <c r="GG784" s="1638" t="str">
        <f t="shared" si="169"/>
        <v/>
      </c>
      <c r="GH784" s="1638" t="str">
        <f t="shared" si="170"/>
        <v/>
      </c>
      <c r="GI784" s="1638" t="str">
        <f t="shared" si="171"/>
        <v/>
      </c>
      <c r="GJ784" s="1638" t="str">
        <f t="shared" si="172"/>
        <v/>
      </c>
      <c r="GK784" s="1638" t="str">
        <f t="shared" si="173"/>
        <v/>
      </c>
      <c r="GL784" s="1638" t="str">
        <f t="shared" si="174"/>
        <v/>
      </c>
      <c r="GM784" s="1638" t="str">
        <f t="shared" si="175"/>
        <v/>
      </c>
      <c r="GN784" s="1638" t="str">
        <f t="shared" si="176"/>
        <v/>
      </c>
      <c r="GO784" s="1638" t="str">
        <f t="shared" si="177"/>
        <v/>
      </c>
      <c r="GP784" s="1638" t="str">
        <f t="shared" si="178"/>
        <v/>
      </c>
      <c r="GQ784" s="1638" t="str">
        <f t="shared" si="179"/>
        <v/>
      </c>
      <c r="GR784" s="1638" t="str">
        <f t="shared" si="180"/>
        <v/>
      </c>
      <c r="GS784" s="1638" t="str">
        <f t="shared" si="181"/>
        <v/>
      </c>
      <c r="GT784" s="1638" t="str">
        <f t="shared" si="182"/>
        <v/>
      </c>
      <c r="GU784" s="1638" t="str">
        <f t="shared" si="183"/>
        <v/>
      </c>
      <c r="GV784" s="1638" t="str">
        <f t="shared" si="184"/>
        <v/>
      </c>
      <c r="GW784" s="1638" t="str">
        <f t="shared" si="185"/>
        <v/>
      </c>
      <c r="GX784" s="1638" t="str">
        <f t="shared" si="186"/>
        <v/>
      </c>
      <c r="GY784" s="1638" t="str">
        <f t="shared" si="187"/>
        <v/>
      </c>
      <c r="GZ784" s="1638" t="str">
        <f t="shared" si="188"/>
        <v/>
      </c>
      <c r="HA784" s="1638" t="str">
        <f t="shared" si="189"/>
        <v/>
      </c>
      <c r="HB784" s="1638" t="str">
        <f t="shared" si="190"/>
        <v/>
      </c>
      <c r="HC784" s="1638" t="str">
        <f t="shared" si="191"/>
        <v/>
      </c>
      <c r="HD784" s="1638" t="str">
        <f t="shared" si="192"/>
        <v/>
      </c>
      <c r="HE784" s="1638" t="str">
        <f t="shared" si="193"/>
        <v/>
      </c>
      <c r="HF784" s="1638" t="str">
        <f t="shared" si="194"/>
        <v/>
      </c>
      <c r="HG784" s="1638" t="str">
        <f t="shared" si="195"/>
        <v/>
      </c>
      <c r="HH784" s="1638" t="str">
        <f t="shared" si="196"/>
        <v/>
      </c>
      <c r="HI784" s="1638" t="str">
        <f t="shared" si="197"/>
        <v/>
      </c>
      <c r="HJ784" s="1638" t="str">
        <f t="shared" si="198"/>
        <v/>
      </c>
      <c r="HK784" s="1638" t="str">
        <f t="shared" si="199"/>
        <v/>
      </c>
      <c r="HL784" s="1638" t="str">
        <f t="shared" si="200"/>
        <v/>
      </c>
      <c r="HM784" s="1638" t="str">
        <f t="shared" si="201"/>
        <v/>
      </c>
      <c r="HN784" s="1638" t="str">
        <f t="shared" si="202"/>
        <v/>
      </c>
      <c r="HO784" s="1638" t="str">
        <f t="shared" si="203"/>
        <v/>
      </c>
      <c r="HP784" s="1638" t="str">
        <f t="shared" si="204"/>
        <v/>
      </c>
      <c r="HQ784" s="1638" t="str">
        <f t="shared" si="205"/>
        <v/>
      </c>
      <c r="HR784" s="1638" t="str">
        <f t="shared" si="206"/>
        <v/>
      </c>
      <c r="HS784" s="1638" t="str">
        <f t="shared" si="207"/>
        <v/>
      </c>
      <c r="HT784" s="1638" t="str">
        <f t="shared" si="208"/>
        <v/>
      </c>
      <c r="HU784" s="1638" t="str">
        <f t="shared" si="209"/>
        <v/>
      </c>
      <c r="HV784" s="1638" t="str">
        <f t="shared" si="210"/>
        <v/>
      </c>
      <c r="HW784" s="1638" t="str">
        <f t="shared" si="211"/>
        <v/>
      </c>
      <c r="HX784" s="1638" t="str">
        <f t="shared" si="212"/>
        <v/>
      </c>
      <c r="HY784" s="1638" t="str">
        <f t="shared" si="213"/>
        <v/>
      </c>
      <c r="HZ784" s="1638" t="str">
        <f t="shared" si="214"/>
        <v/>
      </c>
      <c r="IA784" s="1638" t="str">
        <f t="shared" si="215"/>
        <v/>
      </c>
      <c r="IB784" s="1638" t="str">
        <f t="shared" si="216"/>
        <v/>
      </c>
      <c r="IC784" s="1638" t="str">
        <f t="shared" si="217"/>
        <v/>
      </c>
      <c r="ID784" s="1639" t="str">
        <f t="shared" si="218"/>
        <v/>
      </c>
      <c r="IE784" s="1639" t="str">
        <f t="shared" si="219"/>
        <v/>
      </c>
      <c r="IF784" s="1639" t="str">
        <f t="shared" si="220"/>
        <v/>
      </c>
      <c r="IG784" s="1639" t="str">
        <f t="shared" si="221"/>
        <v/>
      </c>
      <c r="IH784" s="1639" t="str">
        <f t="shared" si="222"/>
        <v/>
      </c>
      <c r="II784" s="742" t="str">
        <f t="shared" si="223"/>
        <v/>
      </c>
      <c r="IJ784" s="742" t="str">
        <f t="shared" si="224"/>
        <v/>
      </c>
      <c r="IK784" s="742" t="str">
        <f t="shared" si="225"/>
        <v/>
      </c>
      <c r="IL784" s="742" t="str">
        <f t="shared" si="226"/>
        <v/>
      </c>
      <c r="IM784" s="742" t="str">
        <f t="shared" si="227"/>
        <v/>
      </c>
      <c r="IN784" s="742" t="str">
        <f t="shared" si="228"/>
        <v/>
      </c>
      <c r="IO784" s="742" t="str">
        <f t="shared" si="229"/>
        <v/>
      </c>
      <c r="IP784" s="742" t="str">
        <f t="shared" si="230"/>
        <v/>
      </c>
      <c r="IQ784" s="742" t="str">
        <f t="shared" si="231"/>
        <v/>
      </c>
      <c r="IR784" s="742" t="str">
        <f t="shared" si="232"/>
        <v/>
      </c>
      <c r="IS784" s="742" t="str">
        <f t="shared" si="233"/>
        <v/>
      </c>
      <c r="IT784" s="742" t="str">
        <f t="shared" si="234"/>
        <v/>
      </c>
      <c r="IU784" s="742" t="str">
        <f t="shared" si="235"/>
        <v/>
      </c>
      <c r="IV784" s="742" t="str">
        <f t="shared" si="236"/>
        <v/>
      </c>
      <c r="IW784" s="742" t="str">
        <f t="shared" si="237"/>
        <v/>
      </c>
      <c r="IX784" s="742" t="str">
        <f t="shared" si="238"/>
        <v/>
      </c>
      <c r="IY784" s="742" t="str">
        <f t="shared" si="239"/>
        <v/>
      </c>
      <c r="IZ784" s="742" t="str">
        <f t="shared" si="240"/>
        <v/>
      </c>
      <c r="JA784" s="742" t="str">
        <f t="shared" si="241"/>
        <v/>
      </c>
      <c r="JB784" s="742" t="str">
        <f t="shared" si="242"/>
        <v/>
      </c>
      <c r="JC784" s="1637">
        <f t="shared" si="243"/>
        <v>0</v>
      </c>
      <c r="JD784" s="1637">
        <f t="shared" si="244"/>
        <v>0</v>
      </c>
      <c r="JE784" s="1637">
        <f t="shared" si="245"/>
        <v>0</v>
      </c>
      <c r="JF784" s="1637">
        <f t="shared" si="246"/>
        <v>0</v>
      </c>
      <c r="JG784" s="1637">
        <f t="shared" si="247"/>
        <v>0</v>
      </c>
      <c r="JH784" s="1637">
        <f t="shared" si="248"/>
        <v>0</v>
      </c>
      <c r="JI784" s="1637">
        <f t="shared" si="249"/>
        <v>0</v>
      </c>
      <c r="JJ784" s="1637">
        <f t="shared" si="250"/>
        <v>0</v>
      </c>
      <c r="JK784" s="1637">
        <f t="shared" si="251"/>
        <v>0</v>
      </c>
      <c r="JL784" s="1637">
        <f t="shared" si="252"/>
        <v>0</v>
      </c>
      <c r="JM784" s="1637">
        <f t="shared" si="253"/>
        <v>0</v>
      </c>
      <c r="JN784" s="1637">
        <f t="shared" si="254"/>
        <v>0</v>
      </c>
      <c r="JO784" s="1637">
        <f t="shared" si="255"/>
        <v>0</v>
      </c>
      <c r="JP784" s="1637">
        <f t="shared" si="256"/>
        <v>0</v>
      </c>
      <c r="JQ784" s="1637">
        <f t="shared" si="257"/>
        <v>0</v>
      </c>
    </row>
    <row r="785" spans="1:277" ht="12" customHeight="1">
      <c r="A785" s="1813" t="str">
        <f t="shared" si="0"/>
        <v/>
      </c>
      <c r="B785" s="2145">
        <f>'Part VI-Revenues &amp; Expenses'!B28</f>
        <v>0</v>
      </c>
      <c r="C785" s="2146">
        <f>'Part VI-Revenues &amp; Expenses'!C28</f>
        <v>0</v>
      </c>
      <c r="D785" s="2147">
        <f>'Part VI-Revenues &amp; Expenses'!D28</f>
        <v>0</v>
      </c>
      <c r="E785" s="2148">
        <f>'Part VI-Revenues &amp; Expenses'!E28</f>
        <v>0</v>
      </c>
      <c r="F785" s="2148">
        <f>'Part VI-Revenues &amp; Expenses'!F28</f>
        <v>0</v>
      </c>
      <c r="G785" s="2148">
        <f>'Part VI-Revenues &amp; Expenses'!G28</f>
        <v>0</v>
      </c>
      <c r="H785" s="2148">
        <f>'Part VI-Revenues &amp; Expenses'!H28</f>
        <v>0</v>
      </c>
      <c r="I785" s="2148">
        <f>'Part VI-Revenues &amp; Expenses'!I28</f>
        <v>0</v>
      </c>
      <c r="J785" s="2149">
        <f>'Part VI-Revenues &amp; Expenses'!J28</f>
        <v>0</v>
      </c>
      <c r="K785" s="1822">
        <f t="shared" si="1"/>
        <v>0</v>
      </c>
      <c r="L785" s="1822">
        <f t="shared" si="2"/>
        <v>0</v>
      </c>
      <c r="M785" s="2133">
        <f>'Part VI-Revenues &amp; Expenses'!M28</f>
        <v>0</v>
      </c>
      <c r="N785" s="2133">
        <f>'Part VI-Revenues &amp; Expenses'!N28</f>
        <v>0</v>
      </c>
      <c r="O785" s="2133">
        <f>'Part VI-Revenues &amp; Expenses'!O28</f>
        <v>0</v>
      </c>
      <c r="P785" s="1633">
        <f>'Part VI-Revenues &amp; Expenses'!P28</f>
        <v>0</v>
      </c>
      <c r="Q785" s="1823" t="str">
        <f>'Part VI-Revenues &amp; Expenses'!Q28</f>
        <v/>
      </c>
      <c r="R785" s="1824" t="str">
        <f>'Part VI-Revenues &amp; Expenses'!R28</f>
        <v/>
      </c>
      <c r="S785" s="1823">
        <f>'Part VI-Revenues &amp; Expenses'!S28</f>
        <v>0</v>
      </c>
      <c r="T785" s="1824">
        <f>'Part VI-Revenues &amp; Expenses'!T28</f>
        <v>0</v>
      </c>
      <c r="U785" s="1838"/>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117"/>
        <v/>
      </c>
      <c r="EH785" s="742" t="str">
        <f t="shared" si="118"/>
        <v/>
      </c>
      <c r="EI785" s="742" t="str">
        <f t="shared" si="119"/>
        <v/>
      </c>
      <c r="EJ785" s="742" t="str">
        <f t="shared" si="120"/>
        <v/>
      </c>
      <c r="EK785" s="742" t="str">
        <f t="shared" si="121"/>
        <v/>
      </c>
      <c r="EL785" s="742" t="str">
        <f t="shared" si="122"/>
        <v/>
      </c>
      <c r="EM785" s="742" t="str">
        <f t="shared" si="123"/>
        <v/>
      </c>
      <c r="EN785" s="742" t="str">
        <f t="shared" si="124"/>
        <v/>
      </c>
      <c r="EO785" s="742" t="str">
        <f t="shared" si="125"/>
        <v/>
      </c>
      <c r="EP785" s="742" t="str">
        <f t="shared" si="126"/>
        <v/>
      </c>
      <c r="EQ785" s="742" t="str">
        <f t="shared" si="127"/>
        <v/>
      </c>
      <c r="ER785" s="742" t="str">
        <f t="shared" si="128"/>
        <v/>
      </c>
      <c r="ES785" s="742" t="str">
        <f t="shared" si="129"/>
        <v/>
      </c>
      <c r="ET785" s="742" t="str">
        <f t="shared" si="130"/>
        <v/>
      </c>
      <c r="EU785" s="742" t="str">
        <f t="shared" si="131"/>
        <v/>
      </c>
      <c r="EV785" s="742" t="str">
        <f t="shared" si="132"/>
        <v/>
      </c>
      <c r="EW785" s="1638" t="str">
        <f t="shared" si="133"/>
        <v/>
      </c>
      <c r="EX785" s="1638" t="str">
        <f t="shared" si="134"/>
        <v/>
      </c>
      <c r="EY785" s="1638" t="str">
        <f t="shared" si="135"/>
        <v/>
      </c>
      <c r="EZ785" s="1638" t="str">
        <f t="shared" si="136"/>
        <v/>
      </c>
      <c r="FA785" s="1638" t="str">
        <f t="shared" si="137"/>
        <v/>
      </c>
      <c r="FB785" s="1638" t="str">
        <f t="shared" si="138"/>
        <v/>
      </c>
      <c r="FC785" s="1638" t="str">
        <f t="shared" si="139"/>
        <v/>
      </c>
      <c r="FD785" s="1638" t="str">
        <f t="shared" si="140"/>
        <v/>
      </c>
      <c r="FE785" s="1638" t="str">
        <f t="shared" si="141"/>
        <v/>
      </c>
      <c r="FF785" s="1638" t="str">
        <f t="shared" si="142"/>
        <v/>
      </c>
      <c r="FG785" s="1638" t="str">
        <f t="shared" si="143"/>
        <v/>
      </c>
      <c r="FH785" s="1638" t="str">
        <f t="shared" si="144"/>
        <v/>
      </c>
      <c r="FI785" s="1638" t="str">
        <f t="shared" si="145"/>
        <v/>
      </c>
      <c r="FJ785" s="1638" t="str">
        <f t="shared" si="146"/>
        <v/>
      </c>
      <c r="FK785" s="1638" t="str">
        <f t="shared" si="147"/>
        <v/>
      </c>
      <c r="FL785" s="1638" t="str">
        <f t="shared" si="148"/>
        <v/>
      </c>
      <c r="FM785" s="1638" t="str">
        <f t="shared" si="149"/>
        <v/>
      </c>
      <c r="FN785" s="1638" t="str">
        <f t="shared" si="150"/>
        <v/>
      </c>
      <c r="FO785" s="1638" t="str">
        <f t="shared" si="151"/>
        <v/>
      </c>
      <c r="FP785" s="1638" t="str">
        <f t="shared" si="152"/>
        <v/>
      </c>
      <c r="FQ785" s="1638" t="str">
        <f t="shared" si="153"/>
        <v/>
      </c>
      <c r="FR785" s="1638" t="str">
        <f t="shared" si="154"/>
        <v/>
      </c>
      <c r="FS785" s="1638" t="str">
        <f t="shared" si="155"/>
        <v/>
      </c>
      <c r="FT785" s="1638" t="str">
        <f t="shared" si="156"/>
        <v/>
      </c>
      <c r="FU785" s="1638" t="str">
        <f t="shared" si="157"/>
        <v/>
      </c>
      <c r="FV785" s="1638" t="str">
        <f t="shared" si="158"/>
        <v/>
      </c>
      <c r="FW785" s="1638" t="str">
        <f t="shared" si="159"/>
        <v/>
      </c>
      <c r="FX785" s="1638" t="str">
        <f t="shared" si="160"/>
        <v/>
      </c>
      <c r="FY785" s="1638" t="str">
        <f t="shared" si="161"/>
        <v/>
      </c>
      <c r="FZ785" s="1638" t="str">
        <f t="shared" si="162"/>
        <v/>
      </c>
      <c r="GA785" s="1638" t="str">
        <f t="shared" si="163"/>
        <v/>
      </c>
      <c r="GB785" s="1638" t="str">
        <f t="shared" si="164"/>
        <v/>
      </c>
      <c r="GC785" s="1638" t="str">
        <f t="shared" si="165"/>
        <v/>
      </c>
      <c r="GD785" s="1638" t="str">
        <f t="shared" si="166"/>
        <v/>
      </c>
      <c r="GE785" s="1638" t="str">
        <f t="shared" si="167"/>
        <v/>
      </c>
      <c r="GF785" s="1638" t="str">
        <f t="shared" si="168"/>
        <v/>
      </c>
      <c r="GG785" s="1638" t="str">
        <f t="shared" si="169"/>
        <v/>
      </c>
      <c r="GH785" s="1638" t="str">
        <f t="shared" si="170"/>
        <v/>
      </c>
      <c r="GI785" s="1638" t="str">
        <f t="shared" si="171"/>
        <v/>
      </c>
      <c r="GJ785" s="1638" t="str">
        <f t="shared" si="172"/>
        <v/>
      </c>
      <c r="GK785" s="1638" t="str">
        <f t="shared" si="173"/>
        <v/>
      </c>
      <c r="GL785" s="1638" t="str">
        <f t="shared" si="174"/>
        <v/>
      </c>
      <c r="GM785" s="1638" t="str">
        <f t="shared" si="175"/>
        <v/>
      </c>
      <c r="GN785" s="1638" t="str">
        <f t="shared" si="176"/>
        <v/>
      </c>
      <c r="GO785" s="1638" t="str">
        <f t="shared" si="177"/>
        <v/>
      </c>
      <c r="GP785" s="1638" t="str">
        <f t="shared" si="178"/>
        <v/>
      </c>
      <c r="GQ785" s="1638" t="str">
        <f t="shared" si="179"/>
        <v/>
      </c>
      <c r="GR785" s="1638" t="str">
        <f t="shared" si="180"/>
        <v/>
      </c>
      <c r="GS785" s="1638" t="str">
        <f t="shared" si="181"/>
        <v/>
      </c>
      <c r="GT785" s="1638" t="str">
        <f t="shared" si="182"/>
        <v/>
      </c>
      <c r="GU785" s="1638" t="str">
        <f t="shared" si="183"/>
        <v/>
      </c>
      <c r="GV785" s="1638" t="str">
        <f t="shared" si="184"/>
        <v/>
      </c>
      <c r="GW785" s="1638" t="str">
        <f t="shared" si="185"/>
        <v/>
      </c>
      <c r="GX785" s="1638" t="str">
        <f t="shared" si="186"/>
        <v/>
      </c>
      <c r="GY785" s="1638" t="str">
        <f t="shared" si="187"/>
        <v/>
      </c>
      <c r="GZ785" s="1638" t="str">
        <f t="shared" si="188"/>
        <v/>
      </c>
      <c r="HA785" s="1638" t="str">
        <f t="shared" si="189"/>
        <v/>
      </c>
      <c r="HB785" s="1638" t="str">
        <f t="shared" si="190"/>
        <v/>
      </c>
      <c r="HC785" s="1638" t="str">
        <f t="shared" si="191"/>
        <v/>
      </c>
      <c r="HD785" s="1638" t="str">
        <f t="shared" si="192"/>
        <v/>
      </c>
      <c r="HE785" s="1638" t="str">
        <f t="shared" si="193"/>
        <v/>
      </c>
      <c r="HF785" s="1638" t="str">
        <f t="shared" si="194"/>
        <v/>
      </c>
      <c r="HG785" s="1638" t="str">
        <f t="shared" si="195"/>
        <v/>
      </c>
      <c r="HH785" s="1638" t="str">
        <f t="shared" si="196"/>
        <v/>
      </c>
      <c r="HI785" s="1638" t="str">
        <f t="shared" si="197"/>
        <v/>
      </c>
      <c r="HJ785" s="1638" t="str">
        <f t="shared" si="198"/>
        <v/>
      </c>
      <c r="HK785" s="1638" t="str">
        <f t="shared" si="199"/>
        <v/>
      </c>
      <c r="HL785" s="1638" t="str">
        <f t="shared" si="200"/>
        <v/>
      </c>
      <c r="HM785" s="1638" t="str">
        <f t="shared" si="201"/>
        <v/>
      </c>
      <c r="HN785" s="1638" t="str">
        <f t="shared" si="202"/>
        <v/>
      </c>
      <c r="HO785" s="1638" t="str">
        <f t="shared" si="203"/>
        <v/>
      </c>
      <c r="HP785" s="1638" t="str">
        <f t="shared" si="204"/>
        <v/>
      </c>
      <c r="HQ785" s="1638" t="str">
        <f t="shared" si="205"/>
        <v/>
      </c>
      <c r="HR785" s="1638" t="str">
        <f t="shared" si="206"/>
        <v/>
      </c>
      <c r="HS785" s="1638" t="str">
        <f t="shared" si="207"/>
        <v/>
      </c>
      <c r="HT785" s="1638" t="str">
        <f t="shared" si="208"/>
        <v/>
      </c>
      <c r="HU785" s="1638" t="str">
        <f t="shared" si="209"/>
        <v/>
      </c>
      <c r="HV785" s="1638" t="str">
        <f t="shared" si="210"/>
        <v/>
      </c>
      <c r="HW785" s="1638" t="str">
        <f t="shared" si="211"/>
        <v/>
      </c>
      <c r="HX785" s="1638" t="str">
        <f t="shared" si="212"/>
        <v/>
      </c>
      <c r="HY785" s="1638" t="str">
        <f t="shared" si="213"/>
        <v/>
      </c>
      <c r="HZ785" s="1638" t="str">
        <f t="shared" si="214"/>
        <v/>
      </c>
      <c r="IA785" s="1638" t="str">
        <f t="shared" si="215"/>
        <v/>
      </c>
      <c r="IB785" s="1638" t="str">
        <f t="shared" si="216"/>
        <v/>
      </c>
      <c r="IC785" s="1638" t="str">
        <f t="shared" si="217"/>
        <v/>
      </c>
      <c r="ID785" s="1639" t="str">
        <f t="shared" si="218"/>
        <v/>
      </c>
      <c r="IE785" s="1639" t="str">
        <f t="shared" si="219"/>
        <v/>
      </c>
      <c r="IF785" s="1639" t="str">
        <f t="shared" si="220"/>
        <v/>
      </c>
      <c r="IG785" s="1639" t="str">
        <f t="shared" si="221"/>
        <v/>
      </c>
      <c r="IH785" s="1639" t="str">
        <f t="shared" si="222"/>
        <v/>
      </c>
      <c r="II785" s="742" t="str">
        <f t="shared" si="223"/>
        <v/>
      </c>
      <c r="IJ785" s="742" t="str">
        <f t="shared" si="224"/>
        <v/>
      </c>
      <c r="IK785" s="742" t="str">
        <f t="shared" si="225"/>
        <v/>
      </c>
      <c r="IL785" s="742" t="str">
        <f t="shared" si="226"/>
        <v/>
      </c>
      <c r="IM785" s="742" t="str">
        <f t="shared" si="227"/>
        <v/>
      </c>
      <c r="IN785" s="742" t="str">
        <f t="shared" si="228"/>
        <v/>
      </c>
      <c r="IO785" s="742" t="str">
        <f t="shared" si="229"/>
        <v/>
      </c>
      <c r="IP785" s="742" t="str">
        <f t="shared" si="230"/>
        <v/>
      </c>
      <c r="IQ785" s="742" t="str">
        <f t="shared" si="231"/>
        <v/>
      </c>
      <c r="IR785" s="742" t="str">
        <f t="shared" si="232"/>
        <v/>
      </c>
      <c r="IS785" s="742" t="str">
        <f t="shared" si="233"/>
        <v/>
      </c>
      <c r="IT785" s="742" t="str">
        <f t="shared" si="234"/>
        <v/>
      </c>
      <c r="IU785" s="742" t="str">
        <f t="shared" si="235"/>
        <v/>
      </c>
      <c r="IV785" s="742" t="str">
        <f t="shared" si="236"/>
        <v/>
      </c>
      <c r="IW785" s="742" t="str">
        <f t="shared" si="237"/>
        <v/>
      </c>
      <c r="IX785" s="742" t="str">
        <f t="shared" si="238"/>
        <v/>
      </c>
      <c r="IY785" s="742" t="str">
        <f t="shared" si="239"/>
        <v/>
      </c>
      <c r="IZ785" s="742" t="str">
        <f t="shared" si="240"/>
        <v/>
      </c>
      <c r="JA785" s="742" t="str">
        <f t="shared" si="241"/>
        <v/>
      </c>
      <c r="JB785" s="742" t="str">
        <f t="shared" si="242"/>
        <v/>
      </c>
      <c r="JC785" s="1637">
        <f t="shared" si="243"/>
        <v>0</v>
      </c>
      <c r="JD785" s="1637">
        <f t="shared" si="244"/>
        <v>0</v>
      </c>
      <c r="JE785" s="1637">
        <f t="shared" si="245"/>
        <v>0</v>
      </c>
      <c r="JF785" s="1637">
        <f t="shared" si="246"/>
        <v>0</v>
      </c>
      <c r="JG785" s="1637">
        <f t="shared" si="247"/>
        <v>0</v>
      </c>
      <c r="JH785" s="1637">
        <f t="shared" si="248"/>
        <v>0</v>
      </c>
      <c r="JI785" s="1637">
        <f t="shared" si="249"/>
        <v>0</v>
      </c>
      <c r="JJ785" s="1637">
        <f t="shared" si="250"/>
        <v>0</v>
      </c>
      <c r="JK785" s="1637">
        <f t="shared" si="251"/>
        <v>0</v>
      </c>
      <c r="JL785" s="1637">
        <f t="shared" si="252"/>
        <v>0</v>
      </c>
      <c r="JM785" s="1637">
        <f t="shared" si="253"/>
        <v>0</v>
      </c>
      <c r="JN785" s="1637">
        <f t="shared" si="254"/>
        <v>0</v>
      </c>
      <c r="JO785" s="1637">
        <f t="shared" si="255"/>
        <v>0</v>
      </c>
      <c r="JP785" s="1637">
        <f t="shared" si="256"/>
        <v>0</v>
      </c>
      <c r="JQ785" s="1637">
        <f t="shared" si="257"/>
        <v>0</v>
      </c>
    </row>
    <row r="786" spans="1:277" ht="12" customHeight="1">
      <c r="A786" s="1813" t="str">
        <f t="shared" si="0"/>
        <v/>
      </c>
      <c r="B786" s="2145">
        <f>'Part VI-Revenues &amp; Expenses'!B29</f>
        <v>0</v>
      </c>
      <c r="C786" s="2146">
        <f>'Part VI-Revenues &amp; Expenses'!C29</f>
        <v>0</v>
      </c>
      <c r="D786" s="2147">
        <f>'Part VI-Revenues &amp; Expenses'!D29</f>
        <v>0</v>
      </c>
      <c r="E786" s="2148">
        <f>'Part VI-Revenues &amp; Expenses'!E29</f>
        <v>0</v>
      </c>
      <c r="F786" s="2148">
        <f>'Part VI-Revenues &amp; Expenses'!F29</f>
        <v>0</v>
      </c>
      <c r="G786" s="2148">
        <f>'Part VI-Revenues &amp; Expenses'!G29</f>
        <v>0</v>
      </c>
      <c r="H786" s="2148">
        <f>'Part VI-Revenues &amp; Expenses'!H29</f>
        <v>0</v>
      </c>
      <c r="I786" s="2148">
        <f>'Part VI-Revenues &amp; Expenses'!I29</f>
        <v>0</v>
      </c>
      <c r="J786" s="2149">
        <f>'Part VI-Revenues &amp; Expenses'!J29</f>
        <v>0</v>
      </c>
      <c r="K786" s="1822">
        <f t="shared" si="1"/>
        <v>0</v>
      </c>
      <c r="L786" s="1822">
        <f t="shared" si="2"/>
        <v>0</v>
      </c>
      <c r="M786" s="2133">
        <f>'Part VI-Revenues &amp; Expenses'!M29</f>
        <v>0</v>
      </c>
      <c r="N786" s="2133">
        <f>'Part VI-Revenues &amp; Expenses'!N29</f>
        <v>0</v>
      </c>
      <c r="O786" s="2133">
        <f>'Part VI-Revenues &amp; Expenses'!O29</f>
        <v>0</v>
      </c>
      <c r="P786" s="1633">
        <f>'Part VI-Revenues &amp; Expenses'!P29</f>
        <v>0</v>
      </c>
      <c r="Q786" s="1823" t="str">
        <f>'Part VI-Revenues &amp; Expenses'!Q29</f>
        <v/>
      </c>
      <c r="R786" s="1824" t="str">
        <f>'Part VI-Revenues &amp; Expenses'!R29</f>
        <v/>
      </c>
      <c r="S786" s="1823">
        <f>'Part VI-Revenues &amp; Expenses'!S29</f>
        <v>0</v>
      </c>
      <c r="T786" s="1824">
        <f>'Part VI-Revenues &amp; Expenses'!T29</f>
        <v>0</v>
      </c>
      <c r="U786" s="1838"/>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117"/>
        <v/>
      </c>
      <c r="EH786" s="742" t="str">
        <f t="shared" si="118"/>
        <v/>
      </c>
      <c r="EI786" s="742" t="str">
        <f t="shared" si="119"/>
        <v/>
      </c>
      <c r="EJ786" s="742" t="str">
        <f t="shared" si="120"/>
        <v/>
      </c>
      <c r="EK786" s="742" t="str">
        <f t="shared" si="121"/>
        <v/>
      </c>
      <c r="EL786" s="742" t="str">
        <f t="shared" si="122"/>
        <v/>
      </c>
      <c r="EM786" s="742" t="str">
        <f t="shared" si="123"/>
        <v/>
      </c>
      <c r="EN786" s="742" t="str">
        <f t="shared" si="124"/>
        <v/>
      </c>
      <c r="EO786" s="742" t="str">
        <f t="shared" si="125"/>
        <v/>
      </c>
      <c r="EP786" s="742" t="str">
        <f t="shared" si="126"/>
        <v/>
      </c>
      <c r="EQ786" s="742" t="str">
        <f t="shared" si="127"/>
        <v/>
      </c>
      <c r="ER786" s="742" t="str">
        <f t="shared" si="128"/>
        <v/>
      </c>
      <c r="ES786" s="742" t="str">
        <f t="shared" si="129"/>
        <v/>
      </c>
      <c r="ET786" s="742" t="str">
        <f t="shared" si="130"/>
        <v/>
      </c>
      <c r="EU786" s="742" t="str">
        <f t="shared" si="131"/>
        <v/>
      </c>
      <c r="EV786" s="742" t="str">
        <f t="shared" si="132"/>
        <v/>
      </c>
      <c r="EW786" s="1638" t="str">
        <f t="shared" si="133"/>
        <v/>
      </c>
      <c r="EX786" s="1638" t="str">
        <f t="shared" si="134"/>
        <v/>
      </c>
      <c r="EY786" s="1638" t="str">
        <f t="shared" si="135"/>
        <v/>
      </c>
      <c r="EZ786" s="1638" t="str">
        <f t="shared" si="136"/>
        <v/>
      </c>
      <c r="FA786" s="1638" t="str">
        <f t="shared" si="137"/>
        <v/>
      </c>
      <c r="FB786" s="1638" t="str">
        <f t="shared" si="138"/>
        <v/>
      </c>
      <c r="FC786" s="1638" t="str">
        <f t="shared" si="139"/>
        <v/>
      </c>
      <c r="FD786" s="1638" t="str">
        <f t="shared" si="140"/>
        <v/>
      </c>
      <c r="FE786" s="1638" t="str">
        <f t="shared" si="141"/>
        <v/>
      </c>
      <c r="FF786" s="1638" t="str">
        <f t="shared" si="142"/>
        <v/>
      </c>
      <c r="FG786" s="1638" t="str">
        <f t="shared" si="143"/>
        <v/>
      </c>
      <c r="FH786" s="1638" t="str">
        <f t="shared" si="144"/>
        <v/>
      </c>
      <c r="FI786" s="1638" t="str">
        <f t="shared" si="145"/>
        <v/>
      </c>
      <c r="FJ786" s="1638" t="str">
        <f t="shared" si="146"/>
        <v/>
      </c>
      <c r="FK786" s="1638" t="str">
        <f t="shared" si="147"/>
        <v/>
      </c>
      <c r="FL786" s="1638" t="str">
        <f t="shared" si="148"/>
        <v/>
      </c>
      <c r="FM786" s="1638" t="str">
        <f t="shared" si="149"/>
        <v/>
      </c>
      <c r="FN786" s="1638" t="str">
        <f t="shared" si="150"/>
        <v/>
      </c>
      <c r="FO786" s="1638" t="str">
        <f t="shared" si="151"/>
        <v/>
      </c>
      <c r="FP786" s="1638" t="str">
        <f t="shared" si="152"/>
        <v/>
      </c>
      <c r="FQ786" s="1638" t="str">
        <f t="shared" si="153"/>
        <v/>
      </c>
      <c r="FR786" s="1638" t="str">
        <f t="shared" si="154"/>
        <v/>
      </c>
      <c r="FS786" s="1638" t="str">
        <f t="shared" si="155"/>
        <v/>
      </c>
      <c r="FT786" s="1638" t="str">
        <f t="shared" si="156"/>
        <v/>
      </c>
      <c r="FU786" s="1638" t="str">
        <f t="shared" si="157"/>
        <v/>
      </c>
      <c r="FV786" s="1638" t="str">
        <f t="shared" si="158"/>
        <v/>
      </c>
      <c r="FW786" s="1638" t="str">
        <f t="shared" si="159"/>
        <v/>
      </c>
      <c r="FX786" s="1638" t="str">
        <f t="shared" si="160"/>
        <v/>
      </c>
      <c r="FY786" s="1638" t="str">
        <f t="shared" si="161"/>
        <v/>
      </c>
      <c r="FZ786" s="1638" t="str">
        <f t="shared" si="162"/>
        <v/>
      </c>
      <c r="GA786" s="1638" t="str">
        <f t="shared" si="163"/>
        <v/>
      </c>
      <c r="GB786" s="1638" t="str">
        <f t="shared" si="164"/>
        <v/>
      </c>
      <c r="GC786" s="1638" t="str">
        <f t="shared" si="165"/>
        <v/>
      </c>
      <c r="GD786" s="1638" t="str">
        <f t="shared" si="166"/>
        <v/>
      </c>
      <c r="GE786" s="1638" t="str">
        <f t="shared" si="167"/>
        <v/>
      </c>
      <c r="GF786" s="1638" t="str">
        <f t="shared" si="168"/>
        <v/>
      </c>
      <c r="GG786" s="1638" t="str">
        <f t="shared" si="169"/>
        <v/>
      </c>
      <c r="GH786" s="1638" t="str">
        <f t="shared" si="170"/>
        <v/>
      </c>
      <c r="GI786" s="1638" t="str">
        <f t="shared" si="171"/>
        <v/>
      </c>
      <c r="GJ786" s="1638" t="str">
        <f t="shared" si="172"/>
        <v/>
      </c>
      <c r="GK786" s="1638" t="str">
        <f t="shared" si="173"/>
        <v/>
      </c>
      <c r="GL786" s="1638" t="str">
        <f t="shared" si="174"/>
        <v/>
      </c>
      <c r="GM786" s="1638" t="str">
        <f t="shared" si="175"/>
        <v/>
      </c>
      <c r="GN786" s="1638" t="str">
        <f t="shared" si="176"/>
        <v/>
      </c>
      <c r="GO786" s="1638" t="str">
        <f t="shared" si="177"/>
        <v/>
      </c>
      <c r="GP786" s="1638" t="str">
        <f t="shared" si="178"/>
        <v/>
      </c>
      <c r="GQ786" s="1638" t="str">
        <f t="shared" si="179"/>
        <v/>
      </c>
      <c r="GR786" s="1638" t="str">
        <f t="shared" si="180"/>
        <v/>
      </c>
      <c r="GS786" s="1638" t="str">
        <f t="shared" si="181"/>
        <v/>
      </c>
      <c r="GT786" s="1638" t="str">
        <f t="shared" si="182"/>
        <v/>
      </c>
      <c r="GU786" s="1638" t="str">
        <f t="shared" si="183"/>
        <v/>
      </c>
      <c r="GV786" s="1638" t="str">
        <f t="shared" si="184"/>
        <v/>
      </c>
      <c r="GW786" s="1638" t="str">
        <f t="shared" si="185"/>
        <v/>
      </c>
      <c r="GX786" s="1638" t="str">
        <f t="shared" si="186"/>
        <v/>
      </c>
      <c r="GY786" s="1638" t="str">
        <f t="shared" si="187"/>
        <v/>
      </c>
      <c r="GZ786" s="1638" t="str">
        <f t="shared" si="188"/>
        <v/>
      </c>
      <c r="HA786" s="1638" t="str">
        <f t="shared" si="189"/>
        <v/>
      </c>
      <c r="HB786" s="1638" t="str">
        <f t="shared" si="190"/>
        <v/>
      </c>
      <c r="HC786" s="1638" t="str">
        <f t="shared" si="191"/>
        <v/>
      </c>
      <c r="HD786" s="1638" t="str">
        <f t="shared" si="192"/>
        <v/>
      </c>
      <c r="HE786" s="1638" t="str">
        <f t="shared" si="193"/>
        <v/>
      </c>
      <c r="HF786" s="1638" t="str">
        <f t="shared" si="194"/>
        <v/>
      </c>
      <c r="HG786" s="1638" t="str">
        <f t="shared" si="195"/>
        <v/>
      </c>
      <c r="HH786" s="1638" t="str">
        <f t="shared" si="196"/>
        <v/>
      </c>
      <c r="HI786" s="1638" t="str">
        <f t="shared" si="197"/>
        <v/>
      </c>
      <c r="HJ786" s="1638" t="str">
        <f t="shared" si="198"/>
        <v/>
      </c>
      <c r="HK786" s="1638" t="str">
        <f t="shared" si="199"/>
        <v/>
      </c>
      <c r="HL786" s="1638" t="str">
        <f t="shared" si="200"/>
        <v/>
      </c>
      <c r="HM786" s="1638" t="str">
        <f t="shared" si="201"/>
        <v/>
      </c>
      <c r="HN786" s="1638" t="str">
        <f t="shared" si="202"/>
        <v/>
      </c>
      <c r="HO786" s="1638" t="str">
        <f t="shared" si="203"/>
        <v/>
      </c>
      <c r="HP786" s="1638" t="str">
        <f t="shared" si="204"/>
        <v/>
      </c>
      <c r="HQ786" s="1638" t="str">
        <f t="shared" si="205"/>
        <v/>
      </c>
      <c r="HR786" s="1638" t="str">
        <f t="shared" si="206"/>
        <v/>
      </c>
      <c r="HS786" s="1638" t="str">
        <f t="shared" si="207"/>
        <v/>
      </c>
      <c r="HT786" s="1638" t="str">
        <f t="shared" si="208"/>
        <v/>
      </c>
      <c r="HU786" s="1638" t="str">
        <f t="shared" si="209"/>
        <v/>
      </c>
      <c r="HV786" s="1638" t="str">
        <f t="shared" si="210"/>
        <v/>
      </c>
      <c r="HW786" s="1638" t="str">
        <f t="shared" si="211"/>
        <v/>
      </c>
      <c r="HX786" s="1638" t="str">
        <f t="shared" si="212"/>
        <v/>
      </c>
      <c r="HY786" s="1638" t="str">
        <f t="shared" si="213"/>
        <v/>
      </c>
      <c r="HZ786" s="1638" t="str">
        <f t="shared" si="214"/>
        <v/>
      </c>
      <c r="IA786" s="1638" t="str">
        <f t="shared" si="215"/>
        <v/>
      </c>
      <c r="IB786" s="1638" t="str">
        <f t="shared" si="216"/>
        <v/>
      </c>
      <c r="IC786" s="1638" t="str">
        <f t="shared" si="217"/>
        <v/>
      </c>
      <c r="ID786" s="1639" t="str">
        <f t="shared" si="218"/>
        <v/>
      </c>
      <c r="IE786" s="1639" t="str">
        <f t="shared" si="219"/>
        <v/>
      </c>
      <c r="IF786" s="1639" t="str">
        <f t="shared" si="220"/>
        <v/>
      </c>
      <c r="IG786" s="1639" t="str">
        <f t="shared" si="221"/>
        <v/>
      </c>
      <c r="IH786" s="1639" t="str">
        <f t="shared" si="222"/>
        <v/>
      </c>
      <c r="II786" s="742" t="str">
        <f t="shared" si="223"/>
        <v/>
      </c>
      <c r="IJ786" s="742" t="str">
        <f t="shared" si="224"/>
        <v/>
      </c>
      <c r="IK786" s="742" t="str">
        <f t="shared" si="225"/>
        <v/>
      </c>
      <c r="IL786" s="742" t="str">
        <f t="shared" si="226"/>
        <v/>
      </c>
      <c r="IM786" s="742" t="str">
        <f t="shared" si="227"/>
        <v/>
      </c>
      <c r="IN786" s="742" t="str">
        <f t="shared" si="228"/>
        <v/>
      </c>
      <c r="IO786" s="742" t="str">
        <f t="shared" si="229"/>
        <v/>
      </c>
      <c r="IP786" s="742" t="str">
        <f t="shared" si="230"/>
        <v/>
      </c>
      <c r="IQ786" s="742" t="str">
        <f t="shared" si="231"/>
        <v/>
      </c>
      <c r="IR786" s="742" t="str">
        <f t="shared" si="232"/>
        <v/>
      </c>
      <c r="IS786" s="742" t="str">
        <f t="shared" si="233"/>
        <v/>
      </c>
      <c r="IT786" s="742" t="str">
        <f t="shared" si="234"/>
        <v/>
      </c>
      <c r="IU786" s="742" t="str">
        <f t="shared" si="235"/>
        <v/>
      </c>
      <c r="IV786" s="742" t="str">
        <f t="shared" si="236"/>
        <v/>
      </c>
      <c r="IW786" s="742" t="str">
        <f t="shared" si="237"/>
        <v/>
      </c>
      <c r="IX786" s="742" t="str">
        <f t="shared" si="238"/>
        <v/>
      </c>
      <c r="IY786" s="742" t="str">
        <f t="shared" si="239"/>
        <v/>
      </c>
      <c r="IZ786" s="742" t="str">
        <f t="shared" si="240"/>
        <v/>
      </c>
      <c r="JA786" s="742" t="str">
        <f t="shared" si="241"/>
        <v/>
      </c>
      <c r="JB786" s="742" t="str">
        <f t="shared" si="242"/>
        <v/>
      </c>
      <c r="JC786" s="1637">
        <f t="shared" si="243"/>
        <v>0</v>
      </c>
      <c r="JD786" s="1637">
        <f t="shared" si="244"/>
        <v>0</v>
      </c>
      <c r="JE786" s="1637">
        <f t="shared" si="245"/>
        <v>0</v>
      </c>
      <c r="JF786" s="1637">
        <f t="shared" si="246"/>
        <v>0</v>
      </c>
      <c r="JG786" s="1637">
        <f t="shared" si="247"/>
        <v>0</v>
      </c>
      <c r="JH786" s="1637">
        <f t="shared" si="248"/>
        <v>0</v>
      </c>
      <c r="JI786" s="1637">
        <f t="shared" si="249"/>
        <v>0</v>
      </c>
      <c r="JJ786" s="1637">
        <f t="shared" si="250"/>
        <v>0</v>
      </c>
      <c r="JK786" s="1637">
        <f t="shared" si="251"/>
        <v>0</v>
      </c>
      <c r="JL786" s="1637">
        <f t="shared" si="252"/>
        <v>0</v>
      </c>
      <c r="JM786" s="1637">
        <f t="shared" si="253"/>
        <v>0</v>
      </c>
      <c r="JN786" s="1637">
        <f t="shared" si="254"/>
        <v>0</v>
      </c>
      <c r="JO786" s="1637">
        <f t="shared" si="255"/>
        <v>0</v>
      </c>
      <c r="JP786" s="1637">
        <f t="shared" si="256"/>
        <v>0</v>
      </c>
      <c r="JQ786" s="1637">
        <f t="shared" si="257"/>
        <v>0</v>
      </c>
    </row>
    <row r="787" spans="1:277" ht="12" customHeight="1">
      <c r="A787" s="1813" t="str">
        <f t="shared" si="0"/>
        <v/>
      </c>
      <c r="B787" s="2145">
        <f>'Part VI-Revenues &amp; Expenses'!B30</f>
        <v>0</v>
      </c>
      <c r="C787" s="2146">
        <f>'Part VI-Revenues &amp; Expenses'!C30</f>
        <v>0</v>
      </c>
      <c r="D787" s="2147">
        <f>'Part VI-Revenues &amp; Expenses'!D30</f>
        <v>0</v>
      </c>
      <c r="E787" s="2148">
        <f>'Part VI-Revenues &amp; Expenses'!E30</f>
        <v>0</v>
      </c>
      <c r="F787" s="2148">
        <f>'Part VI-Revenues &amp; Expenses'!F30</f>
        <v>0</v>
      </c>
      <c r="G787" s="2148">
        <f>'Part VI-Revenues &amp; Expenses'!G30</f>
        <v>0</v>
      </c>
      <c r="H787" s="2148">
        <f>'Part VI-Revenues &amp; Expenses'!H30</f>
        <v>0</v>
      </c>
      <c r="I787" s="2148">
        <f>'Part VI-Revenues &amp; Expenses'!I30</f>
        <v>0</v>
      </c>
      <c r="J787" s="2149">
        <f>'Part VI-Revenues &amp; Expenses'!J30</f>
        <v>0</v>
      </c>
      <c r="K787" s="1822">
        <f t="shared" si="1"/>
        <v>0</v>
      </c>
      <c r="L787" s="1822">
        <f t="shared" si="2"/>
        <v>0</v>
      </c>
      <c r="M787" s="2133">
        <f>'Part VI-Revenues &amp; Expenses'!M30</f>
        <v>0</v>
      </c>
      <c r="N787" s="2133">
        <f>'Part VI-Revenues &amp; Expenses'!N30</f>
        <v>0</v>
      </c>
      <c r="O787" s="2133">
        <f>'Part VI-Revenues &amp; Expenses'!O30</f>
        <v>0</v>
      </c>
      <c r="P787" s="1633">
        <f>'Part VI-Revenues &amp; Expenses'!P30</f>
        <v>0</v>
      </c>
      <c r="Q787" s="1823" t="str">
        <f>'Part VI-Revenues &amp; Expenses'!Q30</f>
        <v/>
      </c>
      <c r="R787" s="1824" t="str">
        <f>'Part VI-Revenues &amp; Expenses'!R30</f>
        <v/>
      </c>
      <c r="S787" s="1823">
        <f>'Part VI-Revenues &amp; Expenses'!S30</f>
        <v>0</v>
      </c>
      <c r="T787" s="1824">
        <f>'Part VI-Revenues &amp; Expenses'!T30</f>
        <v>0</v>
      </c>
      <c r="U787" s="1838"/>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117"/>
        <v/>
      </c>
      <c r="EH787" s="742" t="str">
        <f t="shared" si="118"/>
        <v/>
      </c>
      <c r="EI787" s="742" t="str">
        <f t="shared" si="119"/>
        <v/>
      </c>
      <c r="EJ787" s="742" t="str">
        <f t="shared" si="120"/>
        <v/>
      </c>
      <c r="EK787" s="742" t="str">
        <f t="shared" si="121"/>
        <v/>
      </c>
      <c r="EL787" s="742" t="str">
        <f t="shared" si="122"/>
        <v/>
      </c>
      <c r="EM787" s="742" t="str">
        <f t="shared" si="123"/>
        <v/>
      </c>
      <c r="EN787" s="742" t="str">
        <f t="shared" si="124"/>
        <v/>
      </c>
      <c r="EO787" s="742" t="str">
        <f t="shared" si="125"/>
        <v/>
      </c>
      <c r="EP787" s="742" t="str">
        <f t="shared" si="126"/>
        <v/>
      </c>
      <c r="EQ787" s="742" t="str">
        <f t="shared" si="127"/>
        <v/>
      </c>
      <c r="ER787" s="742" t="str">
        <f t="shared" si="128"/>
        <v/>
      </c>
      <c r="ES787" s="742" t="str">
        <f t="shared" si="129"/>
        <v/>
      </c>
      <c r="ET787" s="742" t="str">
        <f t="shared" si="130"/>
        <v/>
      </c>
      <c r="EU787" s="742" t="str">
        <f t="shared" si="131"/>
        <v/>
      </c>
      <c r="EV787" s="742" t="str">
        <f t="shared" si="132"/>
        <v/>
      </c>
      <c r="EW787" s="1638" t="str">
        <f t="shared" si="133"/>
        <v/>
      </c>
      <c r="EX787" s="1638" t="str">
        <f t="shared" si="134"/>
        <v/>
      </c>
      <c r="EY787" s="1638" t="str">
        <f t="shared" si="135"/>
        <v/>
      </c>
      <c r="EZ787" s="1638" t="str">
        <f t="shared" si="136"/>
        <v/>
      </c>
      <c r="FA787" s="1638" t="str">
        <f t="shared" si="137"/>
        <v/>
      </c>
      <c r="FB787" s="1638" t="str">
        <f t="shared" si="138"/>
        <v/>
      </c>
      <c r="FC787" s="1638" t="str">
        <f t="shared" si="139"/>
        <v/>
      </c>
      <c r="FD787" s="1638" t="str">
        <f t="shared" si="140"/>
        <v/>
      </c>
      <c r="FE787" s="1638" t="str">
        <f t="shared" si="141"/>
        <v/>
      </c>
      <c r="FF787" s="1638" t="str">
        <f t="shared" si="142"/>
        <v/>
      </c>
      <c r="FG787" s="1638" t="str">
        <f t="shared" si="143"/>
        <v/>
      </c>
      <c r="FH787" s="1638" t="str">
        <f t="shared" si="144"/>
        <v/>
      </c>
      <c r="FI787" s="1638" t="str">
        <f t="shared" si="145"/>
        <v/>
      </c>
      <c r="FJ787" s="1638" t="str">
        <f t="shared" si="146"/>
        <v/>
      </c>
      <c r="FK787" s="1638" t="str">
        <f t="shared" si="147"/>
        <v/>
      </c>
      <c r="FL787" s="1638" t="str">
        <f t="shared" si="148"/>
        <v/>
      </c>
      <c r="FM787" s="1638" t="str">
        <f t="shared" si="149"/>
        <v/>
      </c>
      <c r="FN787" s="1638" t="str">
        <f t="shared" si="150"/>
        <v/>
      </c>
      <c r="FO787" s="1638" t="str">
        <f t="shared" si="151"/>
        <v/>
      </c>
      <c r="FP787" s="1638" t="str">
        <f t="shared" si="152"/>
        <v/>
      </c>
      <c r="FQ787" s="1638" t="str">
        <f t="shared" si="153"/>
        <v/>
      </c>
      <c r="FR787" s="1638" t="str">
        <f t="shared" si="154"/>
        <v/>
      </c>
      <c r="FS787" s="1638" t="str">
        <f t="shared" si="155"/>
        <v/>
      </c>
      <c r="FT787" s="1638" t="str">
        <f t="shared" si="156"/>
        <v/>
      </c>
      <c r="FU787" s="1638" t="str">
        <f t="shared" si="157"/>
        <v/>
      </c>
      <c r="FV787" s="1638" t="str">
        <f t="shared" si="158"/>
        <v/>
      </c>
      <c r="FW787" s="1638" t="str">
        <f t="shared" si="159"/>
        <v/>
      </c>
      <c r="FX787" s="1638" t="str">
        <f t="shared" si="160"/>
        <v/>
      </c>
      <c r="FY787" s="1638" t="str">
        <f t="shared" si="161"/>
        <v/>
      </c>
      <c r="FZ787" s="1638" t="str">
        <f t="shared" si="162"/>
        <v/>
      </c>
      <c r="GA787" s="1638" t="str">
        <f t="shared" si="163"/>
        <v/>
      </c>
      <c r="GB787" s="1638" t="str">
        <f t="shared" si="164"/>
        <v/>
      </c>
      <c r="GC787" s="1638" t="str">
        <f t="shared" si="165"/>
        <v/>
      </c>
      <c r="GD787" s="1638" t="str">
        <f t="shared" si="166"/>
        <v/>
      </c>
      <c r="GE787" s="1638" t="str">
        <f t="shared" si="167"/>
        <v/>
      </c>
      <c r="GF787" s="1638" t="str">
        <f t="shared" si="168"/>
        <v/>
      </c>
      <c r="GG787" s="1638" t="str">
        <f t="shared" si="169"/>
        <v/>
      </c>
      <c r="GH787" s="1638" t="str">
        <f t="shared" si="170"/>
        <v/>
      </c>
      <c r="GI787" s="1638" t="str">
        <f t="shared" si="171"/>
        <v/>
      </c>
      <c r="GJ787" s="1638" t="str">
        <f t="shared" si="172"/>
        <v/>
      </c>
      <c r="GK787" s="1638" t="str">
        <f t="shared" si="173"/>
        <v/>
      </c>
      <c r="GL787" s="1638" t="str">
        <f t="shared" si="174"/>
        <v/>
      </c>
      <c r="GM787" s="1638" t="str">
        <f t="shared" si="175"/>
        <v/>
      </c>
      <c r="GN787" s="1638" t="str">
        <f t="shared" si="176"/>
        <v/>
      </c>
      <c r="GO787" s="1638" t="str">
        <f t="shared" si="177"/>
        <v/>
      </c>
      <c r="GP787" s="1638" t="str">
        <f t="shared" si="178"/>
        <v/>
      </c>
      <c r="GQ787" s="1638" t="str">
        <f t="shared" si="179"/>
        <v/>
      </c>
      <c r="GR787" s="1638" t="str">
        <f t="shared" si="180"/>
        <v/>
      </c>
      <c r="GS787" s="1638" t="str">
        <f t="shared" si="181"/>
        <v/>
      </c>
      <c r="GT787" s="1638" t="str">
        <f t="shared" si="182"/>
        <v/>
      </c>
      <c r="GU787" s="1638" t="str">
        <f t="shared" si="183"/>
        <v/>
      </c>
      <c r="GV787" s="1638" t="str">
        <f t="shared" si="184"/>
        <v/>
      </c>
      <c r="GW787" s="1638" t="str">
        <f t="shared" si="185"/>
        <v/>
      </c>
      <c r="GX787" s="1638" t="str">
        <f t="shared" si="186"/>
        <v/>
      </c>
      <c r="GY787" s="1638" t="str">
        <f t="shared" si="187"/>
        <v/>
      </c>
      <c r="GZ787" s="1638" t="str">
        <f t="shared" si="188"/>
        <v/>
      </c>
      <c r="HA787" s="1638" t="str">
        <f t="shared" si="189"/>
        <v/>
      </c>
      <c r="HB787" s="1638" t="str">
        <f t="shared" si="190"/>
        <v/>
      </c>
      <c r="HC787" s="1638" t="str">
        <f t="shared" si="191"/>
        <v/>
      </c>
      <c r="HD787" s="1638" t="str">
        <f t="shared" si="192"/>
        <v/>
      </c>
      <c r="HE787" s="1638" t="str">
        <f t="shared" si="193"/>
        <v/>
      </c>
      <c r="HF787" s="1638" t="str">
        <f t="shared" si="194"/>
        <v/>
      </c>
      <c r="HG787" s="1638" t="str">
        <f t="shared" si="195"/>
        <v/>
      </c>
      <c r="HH787" s="1638" t="str">
        <f t="shared" si="196"/>
        <v/>
      </c>
      <c r="HI787" s="1638" t="str">
        <f t="shared" si="197"/>
        <v/>
      </c>
      <c r="HJ787" s="1638" t="str">
        <f t="shared" si="198"/>
        <v/>
      </c>
      <c r="HK787" s="1638" t="str">
        <f t="shared" si="199"/>
        <v/>
      </c>
      <c r="HL787" s="1638" t="str">
        <f t="shared" si="200"/>
        <v/>
      </c>
      <c r="HM787" s="1638" t="str">
        <f t="shared" si="201"/>
        <v/>
      </c>
      <c r="HN787" s="1638" t="str">
        <f t="shared" si="202"/>
        <v/>
      </c>
      <c r="HO787" s="1638" t="str">
        <f t="shared" si="203"/>
        <v/>
      </c>
      <c r="HP787" s="1638" t="str">
        <f t="shared" si="204"/>
        <v/>
      </c>
      <c r="HQ787" s="1638" t="str">
        <f t="shared" si="205"/>
        <v/>
      </c>
      <c r="HR787" s="1638" t="str">
        <f t="shared" si="206"/>
        <v/>
      </c>
      <c r="HS787" s="1638" t="str">
        <f t="shared" si="207"/>
        <v/>
      </c>
      <c r="HT787" s="1638" t="str">
        <f t="shared" si="208"/>
        <v/>
      </c>
      <c r="HU787" s="1638" t="str">
        <f t="shared" si="209"/>
        <v/>
      </c>
      <c r="HV787" s="1638" t="str">
        <f t="shared" si="210"/>
        <v/>
      </c>
      <c r="HW787" s="1638" t="str">
        <f t="shared" si="211"/>
        <v/>
      </c>
      <c r="HX787" s="1638" t="str">
        <f t="shared" si="212"/>
        <v/>
      </c>
      <c r="HY787" s="1638" t="str">
        <f t="shared" si="213"/>
        <v/>
      </c>
      <c r="HZ787" s="1638" t="str">
        <f t="shared" si="214"/>
        <v/>
      </c>
      <c r="IA787" s="1638" t="str">
        <f t="shared" si="215"/>
        <v/>
      </c>
      <c r="IB787" s="1638" t="str">
        <f t="shared" si="216"/>
        <v/>
      </c>
      <c r="IC787" s="1638" t="str">
        <f t="shared" si="217"/>
        <v/>
      </c>
      <c r="ID787" s="1639" t="str">
        <f t="shared" si="218"/>
        <v/>
      </c>
      <c r="IE787" s="1639" t="str">
        <f t="shared" si="219"/>
        <v/>
      </c>
      <c r="IF787" s="1639" t="str">
        <f t="shared" si="220"/>
        <v/>
      </c>
      <c r="IG787" s="1639" t="str">
        <f t="shared" si="221"/>
        <v/>
      </c>
      <c r="IH787" s="1639" t="str">
        <f t="shared" si="222"/>
        <v/>
      </c>
      <c r="II787" s="742" t="str">
        <f t="shared" si="223"/>
        <v/>
      </c>
      <c r="IJ787" s="742" t="str">
        <f t="shared" si="224"/>
        <v/>
      </c>
      <c r="IK787" s="742" t="str">
        <f t="shared" si="225"/>
        <v/>
      </c>
      <c r="IL787" s="742" t="str">
        <f t="shared" si="226"/>
        <v/>
      </c>
      <c r="IM787" s="742" t="str">
        <f t="shared" si="227"/>
        <v/>
      </c>
      <c r="IN787" s="742" t="str">
        <f t="shared" si="228"/>
        <v/>
      </c>
      <c r="IO787" s="742" t="str">
        <f t="shared" si="229"/>
        <v/>
      </c>
      <c r="IP787" s="742" t="str">
        <f t="shared" si="230"/>
        <v/>
      </c>
      <c r="IQ787" s="742" t="str">
        <f t="shared" si="231"/>
        <v/>
      </c>
      <c r="IR787" s="742" t="str">
        <f t="shared" si="232"/>
        <v/>
      </c>
      <c r="IS787" s="742" t="str">
        <f t="shared" si="233"/>
        <v/>
      </c>
      <c r="IT787" s="742" t="str">
        <f t="shared" si="234"/>
        <v/>
      </c>
      <c r="IU787" s="742" t="str">
        <f t="shared" si="235"/>
        <v/>
      </c>
      <c r="IV787" s="742" t="str">
        <f t="shared" si="236"/>
        <v/>
      </c>
      <c r="IW787" s="742" t="str">
        <f t="shared" si="237"/>
        <v/>
      </c>
      <c r="IX787" s="742" t="str">
        <f t="shared" si="238"/>
        <v/>
      </c>
      <c r="IY787" s="742" t="str">
        <f t="shared" si="239"/>
        <v/>
      </c>
      <c r="IZ787" s="742" t="str">
        <f t="shared" si="240"/>
        <v/>
      </c>
      <c r="JA787" s="742" t="str">
        <f t="shared" si="241"/>
        <v/>
      </c>
      <c r="JB787" s="742" t="str">
        <f t="shared" si="242"/>
        <v/>
      </c>
      <c r="JC787" s="1637">
        <f t="shared" si="243"/>
        <v>0</v>
      </c>
      <c r="JD787" s="1637">
        <f t="shared" si="244"/>
        <v>0</v>
      </c>
      <c r="JE787" s="1637">
        <f t="shared" si="245"/>
        <v>0</v>
      </c>
      <c r="JF787" s="1637">
        <f t="shared" si="246"/>
        <v>0</v>
      </c>
      <c r="JG787" s="1637">
        <f t="shared" si="247"/>
        <v>0</v>
      </c>
      <c r="JH787" s="1637">
        <f t="shared" si="248"/>
        <v>0</v>
      </c>
      <c r="JI787" s="1637">
        <f t="shared" si="249"/>
        <v>0</v>
      </c>
      <c r="JJ787" s="1637">
        <f t="shared" si="250"/>
        <v>0</v>
      </c>
      <c r="JK787" s="1637">
        <f t="shared" si="251"/>
        <v>0</v>
      </c>
      <c r="JL787" s="1637">
        <f t="shared" si="252"/>
        <v>0</v>
      </c>
      <c r="JM787" s="1637">
        <f t="shared" si="253"/>
        <v>0</v>
      </c>
      <c r="JN787" s="1637">
        <f t="shared" si="254"/>
        <v>0</v>
      </c>
      <c r="JO787" s="1637">
        <f t="shared" si="255"/>
        <v>0</v>
      </c>
      <c r="JP787" s="1637">
        <f t="shared" si="256"/>
        <v>0</v>
      </c>
      <c r="JQ787" s="1637">
        <f t="shared" si="257"/>
        <v>0</v>
      </c>
    </row>
    <row r="788" spans="1:277" ht="12" customHeight="1">
      <c r="A788" s="1813" t="str">
        <f t="shared" si="0"/>
        <v/>
      </c>
      <c r="B788" s="2145">
        <f>'Part VI-Revenues &amp; Expenses'!B31</f>
        <v>0</v>
      </c>
      <c r="C788" s="2146">
        <f>'Part VI-Revenues &amp; Expenses'!C31</f>
        <v>0</v>
      </c>
      <c r="D788" s="2147">
        <f>'Part VI-Revenues &amp; Expenses'!D31</f>
        <v>0</v>
      </c>
      <c r="E788" s="2148">
        <f>'Part VI-Revenues &amp; Expenses'!E31</f>
        <v>0</v>
      </c>
      <c r="F788" s="2148">
        <f>'Part VI-Revenues &amp; Expenses'!F31</f>
        <v>0</v>
      </c>
      <c r="G788" s="2148">
        <f>'Part VI-Revenues &amp; Expenses'!G31</f>
        <v>0</v>
      </c>
      <c r="H788" s="2148">
        <f>'Part VI-Revenues &amp; Expenses'!H31</f>
        <v>0</v>
      </c>
      <c r="I788" s="2148">
        <f>'Part VI-Revenues &amp; Expenses'!I31</f>
        <v>0</v>
      </c>
      <c r="J788" s="2149">
        <f>'Part VI-Revenues &amp; Expenses'!J31</f>
        <v>0</v>
      </c>
      <c r="K788" s="1822">
        <f t="shared" si="1"/>
        <v>0</v>
      </c>
      <c r="L788" s="1822">
        <f t="shared" si="2"/>
        <v>0</v>
      </c>
      <c r="M788" s="2133">
        <f>'Part VI-Revenues &amp; Expenses'!M31</f>
        <v>0</v>
      </c>
      <c r="N788" s="2133">
        <f>'Part VI-Revenues &amp; Expenses'!N31</f>
        <v>0</v>
      </c>
      <c r="O788" s="2133">
        <f>'Part VI-Revenues &amp; Expenses'!O31</f>
        <v>0</v>
      </c>
      <c r="P788" s="1633">
        <f>'Part VI-Revenues &amp; Expenses'!P31</f>
        <v>0</v>
      </c>
      <c r="Q788" s="1823" t="str">
        <f>'Part VI-Revenues &amp; Expenses'!Q31</f>
        <v/>
      </c>
      <c r="R788" s="1824" t="str">
        <f>'Part VI-Revenues &amp; Expenses'!R31</f>
        <v/>
      </c>
      <c r="S788" s="1823">
        <f>'Part VI-Revenues &amp; Expenses'!S31</f>
        <v>0</v>
      </c>
      <c r="T788" s="1824">
        <f>'Part VI-Revenues &amp; Expenses'!T31</f>
        <v>0</v>
      </c>
      <c r="U788" s="1838"/>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117"/>
        <v/>
      </c>
      <c r="EH788" s="742" t="str">
        <f t="shared" si="118"/>
        <v/>
      </c>
      <c r="EI788" s="742" t="str">
        <f t="shared" si="119"/>
        <v/>
      </c>
      <c r="EJ788" s="742" t="str">
        <f t="shared" si="120"/>
        <v/>
      </c>
      <c r="EK788" s="742" t="str">
        <f t="shared" si="121"/>
        <v/>
      </c>
      <c r="EL788" s="742" t="str">
        <f t="shared" si="122"/>
        <v/>
      </c>
      <c r="EM788" s="742" t="str">
        <f t="shared" si="123"/>
        <v/>
      </c>
      <c r="EN788" s="742" t="str">
        <f t="shared" si="124"/>
        <v/>
      </c>
      <c r="EO788" s="742" t="str">
        <f t="shared" si="125"/>
        <v/>
      </c>
      <c r="EP788" s="742" t="str">
        <f t="shared" si="126"/>
        <v/>
      </c>
      <c r="EQ788" s="742" t="str">
        <f t="shared" si="127"/>
        <v/>
      </c>
      <c r="ER788" s="742" t="str">
        <f t="shared" si="128"/>
        <v/>
      </c>
      <c r="ES788" s="742" t="str">
        <f t="shared" si="129"/>
        <v/>
      </c>
      <c r="ET788" s="742" t="str">
        <f t="shared" si="130"/>
        <v/>
      </c>
      <c r="EU788" s="742" t="str">
        <f t="shared" si="131"/>
        <v/>
      </c>
      <c r="EV788" s="742" t="str">
        <f t="shared" si="132"/>
        <v/>
      </c>
      <c r="EW788" s="1638" t="str">
        <f t="shared" si="133"/>
        <v/>
      </c>
      <c r="EX788" s="1638" t="str">
        <f t="shared" si="134"/>
        <v/>
      </c>
      <c r="EY788" s="1638" t="str">
        <f t="shared" si="135"/>
        <v/>
      </c>
      <c r="EZ788" s="1638" t="str">
        <f t="shared" si="136"/>
        <v/>
      </c>
      <c r="FA788" s="1638" t="str">
        <f t="shared" si="137"/>
        <v/>
      </c>
      <c r="FB788" s="1638" t="str">
        <f t="shared" si="138"/>
        <v/>
      </c>
      <c r="FC788" s="1638" t="str">
        <f t="shared" si="139"/>
        <v/>
      </c>
      <c r="FD788" s="1638" t="str">
        <f t="shared" si="140"/>
        <v/>
      </c>
      <c r="FE788" s="1638" t="str">
        <f t="shared" si="141"/>
        <v/>
      </c>
      <c r="FF788" s="1638" t="str">
        <f t="shared" si="142"/>
        <v/>
      </c>
      <c r="FG788" s="1638" t="str">
        <f t="shared" si="143"/>
        <v/>
      </c>
      <c r="FH788" s="1638" t="str">
        <f t="shared" si="144"/>
        <v/>
      </c>
      <c r="FI788" s="1638" t="str">
        <f t="shared" si="145"/>
        <v/>
      </c>
      <c r="FJ788" s="1638" t="str">
        <f t="shared" si="146"/>
        <v/>
      </c>
      <c r="FK788" s="1638" t="str">
        <f t="shared" si="147"/>
        <v/>
      </c>
      <c r="FL788" s="1638" t="str">
        <f t="shared" si="148"/>
        <v/>
      </c>
      <c r="FM788" s="1638" t="str">
        <f t="shared" si="149"/>
        <v/>
      </c>
      <c r="FN788" s="1638" t="str">
        <f t="shared" si="150"/>
        <v/>
      </c>
      <c r="FO788" s="1638" t="str">
        <f t="shared" si="151"/>
        <v/>
      </c>
      <c r="FP788" s="1638" t="str">
        <f t="shared" si="152"/>
        <v/>
      </c>
      <c r="FQ788" s="1638" t="str">
        <f t="shared" si="153"/>
        <v/>
      </c>
      <c r="FR788" s="1638" t="str">
        <f t="shared" si="154"/>
        <v/>
      </c>
      <c r="FS788" s="1638" t="str">
        <f t="shared" si="155"/>
        <v/>
      </c>
      <c r="FT788" s="1638" t="str">
        <f t="shared" si="156"/>
        <v/>
      </c>
      <c r="FU788" s="1638" t="str">
        <f t="shared" si="157"/>
        <v/>
      </c>
      <c r="FV788" s="1638" t="str">
        <f t="shared" si="158"/>
        <v/>
      </c>
      <c r="FW788" s="1638" t="str">
        <f t="shared" si="159"/>
        <v/>
      </c>
      <c r="FX788" s="1638" t="str">
        <f t="shared" si="160"/>
        <v/>
      </c>
      <c r="FY788" s="1638" t="str">
        <f t="shared" si="161"/>
        <v/>
      </c>
      <c r="FZ788" s="1638" t="str">
        <f t="shared" si="162"/>
        <v/>
      </c>
      <c r="GA788" s="1638" t="str">
        <f t="shared" si="163"/>
        <v/>
      </c>
      <c r="GB788" s="1638" t="str">
        <f t="shared" si="164"/>
        <v/>
      </c>
      <c r="GC788" s="1638" t="str">
        <f t="shared" si="165"/>
        <v/>
      </c>
      <c r="GD788" s="1638" t="str">
        <f t="shared" si="166"/>
        <v/>
      </c>
      <c r="GE788" s="1638" t="str">
        <f t="shared" si="167"/>
        <v/>
      </c>
      <c r="GF788" s="1638" t="str">
        <f t="shared" si="168"/>
        <v/>
      </c>
      <c r="GG788" s="1638" t="str">
        <f t="shared" si="169"/>
        <v/>
      </c>
      <c r="GH788" s="1638" t="str">
        <f t="shared" si="170"/>
        <v/>
      </c>
      <c r="GI788" s="1638" t="str">
        <f t="shared" si="171"/>
        <v/>
      </c>
      <c r="GJ788" s="1638" t="str">
        <f t="shared" si="172"/>
        <v/>
      </c>
      <c r="GK788" s="1638" t="str">
        <f t="shared" si="173"/>
        <v/>
      </c>
      <c r="GL788" s="1638" t="str">
        <f t="shared" si="174"/>
        <v/>
      </c>
      <c r="GM788" s="1638" t="str">
        <f t="shared" si="175"/>
        <v/>
      </c>
      <c r="GN788" s="1638" t="str">
        <f t="shared" si="176"/>
        <v/>
      </c>
      <c r="GO788" s="1638" t="str">
        <f t="shared" si="177"/>
        <v/>
      </c>
      <c r="GP788" s="1638" t="str">
        <f t="shared" si="178"/>
        <v/>
      </c>
      <c r="GQ788" s="1638" t="str">
        <f t="shared" si="179"/>
        <v/>
      </c>
      <c r="GR788" s="1638" t="str">
        <f t="shared" si="180"/>
        <v/>
      </c>
      <c r="GS788" s="1638" t="str">
        <f t="shared" si="181"/>
        <v/>
      </c>
      <c r="GT788" s="1638" t="str">
        <f t="shared" si="182"/>
        <v/>
      </c>
      <c r="GU788" s="1638" t="str">
        <f t="shared" si="183"/>
        <v/>
      </c>
      <c r="GV788" s="1638" t="str">
        <f t="shared" si="184"/>
        <v/>
      </c>
      <c r="GW788" s="1638" t="str">
        <f t="shared" si="185"/>
        <v/>
      </c>
      <c r="GX788" s="1638" t="str">
        <f t="shared" si="186"/>
        <v/>
      </c>
      <c r="GY788" s="1638" t="str">
        <f t="shared" si="187"/>
        <v/>
      </c>
      <c r="GZ788" s="1638" t="str">
        <f t="shared" si="188"/>
        <v/>
      </c>
      <c r="HA788" s="1638" t="str">
        <f t="shared" si="189"/>
        <v/>
      </c>
      <c r="HB788" s="1638" t="str">
        <f t="shared" si="190"/>
        <v/>
      </c>
      <c r="HC788" s="1638" t="str">
        <f t="shared" si="191"/>
        <v/>
      </c>
      <c r="HD788" s="1638" t="str">
        <f t="shared" si="192"/>
        <v/>
      </c>
      <c r="HE788" s="1638" t="str">
        <f t="shared" si="193"/>
        <v/>
      </c>
      <c r="HF788" s="1638" t="str">
        <f t="shared" si="194"/>
        <v/>
      </c>
      <c r="HG788" s="1638" t="str">
        <f t="shared" si="195"/>
        <v/>
      </c>
      <c r="HH788" s="1638" t="str">
        <f t="shared" si="196"/>
        <v/>
      </c>
      <c r="HI788" s="1638" t="str">
        <f t="shared" si="197"/>
        <v/>
      </c>
      <c r="HJ788" s="1638" t="str">
        <f t="shared" si="198"/>
        <v/>
      </c>
      <c r="HK788" s="1638" t="str">
        <f t="shared" si="199"/>
        <v/>
      </c>
      <c r="HL788" s="1638" t="str">
        <f t="shared" si="200"/>
        <v/>
      </c>
      <c r="HM788" s="1638" t="str">
        <f t="shared" si="201"/>
        <v/>
      </c>
      <c r="HN788" s="1638" t="str">
        <f t="shared" si="202"/>
        <v/>
      </c>
      <c r="HO788" s="1638" t="str">
        <f t="shared" si="203"/>
        <v/>
      </c>
      <c r="HP788" s="1638" t="str">
        <f t="shared" si="204"/>
        <v/>
      </c>
      <c r="HQ788" s="1638" t="str">
        <f t="shared" si="205"/>
        <v/>
      </c>
      <c r="HR788" s="1638" t="str">
        <f t="shared" si="206"/>
        <v/>
      </c>
      <c r="HS788" s="1638" t="str">
        <f t="shared" si="207"/>
        <v/>
      </c>
      <c r="HT788" s="1638" t="str">
        <f t="shared" si="208"/>
        <v/>
      </c>
      <c r="HU788" s="1638" t="str">
        <f t="shared" si="209"/>
        <v/>
      </c>
      <c r="HV788" s="1638" t="str">
        <f t="shared" si="210"/>
        <v/>
      </c>
      <c r="HW788" s="1638" t="str">
        <f t="shared" si="211"/>
        <v/>
      </c>
      <c r="HX788" s="1638" t="str">
        <f t="shared" si="212"/>
        <v/>
      </c>
      <c r="HY788" s="1638" t="str">
        <f t="shared" si="213"/>
        <v/>
      </c>
      <c r="HZ788" s="1638" t="str">
        <f t="shared" si="214"/>
        <v/>
      </c>
      <c r="IA788" s="1638" t="str">
        <f t="shared" si="215"/>
        <v/>
      </c>
      <c r="IB788" s="1638" t="str">
        <f t="shared" si="216"/>
        <v/>
      </c>
      <c r="IC788" s="1638" t="str">
        <f t="shared" si="217"/>
        <v/>
      </c>
      <c r="ID788" s="1639" t="str">
        <f t="shared" si="218"/>
        <v/>
      </c>
      <c r="IE788" s="1639" t="str">
        <f t="shared" si="219"/>
        <v/>
      </c>
      <c r="IF788" s="1639" t="str">
        <f t="shared" si="220"/>
        <v/>
      </c>
      <c r="IG788" s="1639" t="str">
        <f t="shared" si="221"/>
        <v/>
      </c>
      <c r="IH788" s="1639" t="str">
        <f t="shared" si="222"/>
        <v/>
      </c>
      <c r="II788" s="742" t="str">
        <f t="shared" si="223"/>
        <v/>
      </c>
      <c r="IJ788" s="742" t="str">
        <f t="shared" si="224"/>
        <v/>
      </c>
      <c r="IK788" s="742" t="str">
        <f t="shared" si="225"/>
        <v/>
      </c>
      <c r="IL788" s="742" t="str">
        <f t="shared" si="226"/>
        <v/>
      </c>
      <c r="IM788" s="742" t="str">
        <f t="shared" si="227"/>
        <v/>
      </c>
      <c r="IN788" s="742" t="str">
        <f t="shared" si="228"/>
        <v/>
      </c>
      <c r="IO788" s="742" t="str">
        <f t="shared" si="229"/>
        <v/>
      </c>
      <c r="IP788" s="742" t="str">
        <f t="shared" si="230"/>
        <v/>
      </c>
      <c r="IQ788" s="742" t="str">
        <f t="shared" si="231"/>
        <v/>
      </c>
      <c r="IR788" s="742" t="str">
        <f t="shared" si="232"/>
        <v/>
      </c>
      <c r="IS788" s="742" t="str">
        <f t="shared" si="233"/>
        <v/>
      </c>
      <c r="IT788" s="742" t="str">
        <f t="shared" si="234"/>
        <v/>
      </c>
      <c r="IU788" s="742" t="str">
        <f t="shared" si="235"/>
        <v/>
      </c>
      <c r="IV788" s="742" t="str">
        <f t="shared" si="236"/>
        <v/>
      </c>
      <c r="IW788" s="742" t="str">
        <f t="shared" si="237"/>
        <v/>
      </c>
      <c r="IX788" s="742" t="str">
        <f t="shared" si="238"/>
        <v/>
      </c>
      <c r="IY788" s="742" t="str">
        <f t="shared" si="239"/>
        <v/>
      </c>
      <c r="IZ788" s="742" t="str">
        <f t="shared" si="240"/>
        <v/>
      </c>
      <c r="JA788" s="742" t="str">
        <f t="shared" si="241"/>
        <v/>
      </c>
      <c r="JB788" s="742" t="str">
        <f t="shared" si="242"/>
        <v/>
      </c>
      <c r="JC788" s="1637">
        <f t="shared" si="243"/>
        <v>0</v>
      </c>
      <c r="JD788" s="1637">
        <f t="shared" si="244"/>
        <v>0</v>
      </c>
      <c r="JE788" s="1637">
        <f t="shared" si="245"/>
        <v>0</v>
      </c>
      <c r="JF788" s="1637">
        <f t="shared" si="246"/>
        <v>0</v>
      </c>
      <c r="JG788" s="1637">
        <f t="shared" si="247"/>
        <v>0</v>
      </c>
      <c r="JH788" s="1637">
        <f t="shared" si="248"/>
        <v>0</v>
      </c>
      <c r="JI788" s="1637">
        <f t="shared" si="249"/>
        <v>0</v>
      </c>
      <c r="JJ788" s="1637">
        <f t="shared" si="250"/>
        <v>0</v>
      </c>
      <c r="JK788" s="1637">
        <f t="shared" si="251"/>
        <v>0</v>
      </c>
      <c r="JL788" s="1637">
        <f t="shared" si="252"/>
        <v>0</v>
      </c>
      <c r="JM788" s="1637">
        <f t="shared" si="253"/>
        <v>0</v>
      </c>
      <c r="JN788" s="1637">
        <f t="shared" si="254"/>
        <v>0</v>
      </c>
      <c r="JO788" s="1637">
        <f t="shared" si="255"/>
        <v>0</v>
      </c>
      <c r="JP788" s="1637">
        <f t="shared" si="256"/>
        <v>0</v>
      </c>
      <c r="JQ788" s="1637">
        <f t="shared" si="257"/>
        <v>0</v>
      </c>
    </row>
    <row r="789" spans="1:277" ht="12" customHeight="1">
      <c r="A789" s="1813" t="str">
        <f t="shared" si="0"/>
        <v/>
      </c>
      <c r="B789" s="2145">
        <f>'Part VI-Revenues &amp; Expenses'!B32</f>
        <v>0</v>
      </c>
      <c r="C789" s="2146">
        <f>'Part VI-Revenues &amp; Expenses'!C32</f>
        <v>0</v>
      </c>
      <c r="D789" s="2147">
        <f>'Part VI-Revenues &amp; Expenses'!D32</f>
        <v>0</v>
      </c>
      <c r="E789" s="2148">
        <f>'Part VI-Revenues &amp; Expenses'!E32</f>
        <v>0</v>
      </c>
      <c r="F789" s="2148">
        <f>'Part VI-Revenues &amp; Expenses'!F32</f>
        <v>0</v>
      </c>
      <c r="G789" s="2148">
        <f>'Part VI-Revenues &amp; Expenses'!G32</f>
        <v>0</v>
      </c>
      <c r="H789" s="2148">
        <f>'Part VI-Revenues &amp; Expenses'!H32</f>
        <v>0</v>
      </c>
      <c r="I789" s="2148">
        <f>'Part VI-Revenues &amp; Expenses'!I32</f>
        <v>0</v>
      </c>
      <c r="J789" s="2149">
        <f>'Part VI-Revenues &amp; Expenses'!J32</f>
        <v>0</v>
      </c>
      <c r="K789" s="1822">
        <f t="shared" si="1"/>
        <v>0</v>
      </c>
      <c r="L789" s="1822">
        <f t="shared" si="2"/>
        <v>0</v>
      </c>
      <c r="M789" s="2133">
        <f>'Part VI-Revenues &amp; Expenses'!M32</f>
        <v>0</v>
      </c>
      <c r="N789" s="2133">
        <f>'Part VI-Revenues &amp; Expenses'!N32</f>
        <v>0</v>
      </c>
      <c r="O789" s="2133">
        <f>'Part VI-Revenues &amp; Expenses'!O32</f>
        <v>0</v>
      </c>
      <c r="P789" s="1633">
        <f>'Part VI-Revenues &amp; Expenses'!P32</f>
        <v>0</v>
      </c>
      <c r="Q789" s="1823" t="str">
        <f>'Part VI-Revenues &amp; Expenses'!Q32</f>
        <v/>
      </c>
      <c r="R789" s="1824" t="str">
        <f>'Part VI-Revenues &amp; Expenses'!R32</f>
        <v/>
      </c>
      <c r="S789" s="1823">
        <f>'Part VI-Revenues &amp; Expenses'!S32</f>
        <v>0</v>
      </c>
      <c r="T789" s="1824">
        <f>'Part VI-Revenues &amp; Expenses'!T32</f>
        <v>0</v>
      </c>
      <c r="U789" s="1838"/>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117"/>
        <v/>
      </c>
      <c r="EH789" s="742" t="str">
        <f t="shared" si="118"/>
        <v/>
      </c>
      <c r="EI789" s="742" t="str">
        <f t="shared" si="119"/>
        <v/>
      </c>
      <c r="EJ789" s="742" t="str">
        <f t="shared" si="120"/>
        <v/>
      </c>
      <c r="EK789" s="742" t="str">
        <f t="shared" si="121"/>
        <v/>
      </c>
      <c r="EL789" s="742" t="str">
        <f t="shared" si="122"/>
        <v/>
      </c>
      <c r="EM789" s="742" t="str">
        <f t="shared" si="123"/>
        <v/>
      </c>
      <c r="EN789" s="742" t="str">
        <f t="shared" si="124"/>
        <v/>
      </c>
      <c r="EO789" s="742" t="str">
        <f t="shared" si="125"/>
        <v/>
      </c>
      <c r="EP789" s="742" t="str">
        <f t="shared" si="126"/>
        <v/>
      </c>
      <c r="EQ789" s="742" t="str">
        <f t="shared" si="127"/>
        <v/>
      </c>
      <c r="ER789" s="742" t="str">
        <f t="shared" si="128"/>
        <v/>
      </c>
      <c r="ES789" s="742" t="str">
        <f t="shared" si="129"/>
        <v/>
      </c>
      <c r="ET789" s="742" t="str">
        <f t="shared" si="130"/>
        <v/>
      </c>
      <c r="EU789" s="742" t="str">
        <f t="shared" si="131"/>
        <v/>
      </c>
      <c r="EV789" s="742" t="str">
        <f t="shared" si="132"/>
        <v/>
      </c>
      <c r="EW789" s="1638" t="str">
        <f t="shared" si="133"/>
        <v/>
      </c>
      <c r="EX789" s="1638" t="str">
        <f t="shared" si="134"/>
        <v/>
      </c>
      <c r="EY789" s="1638" t="str">
        <f t="shared" si="135"/>
        <v/>
      </c>
      <c r="EZ789" s="1638" t="str">
        <f t="shared" si="136"/>
        <v/>
      </c>
      <c r="FA789" s="1638" t="str">
        <f t="shared" si="137"/>
        <v/>
      </c>
      <c r="FB789" s="1638" t="str">
        <f t="shared" si="138"/>
        <v/>
      </c>
      <c r="FC789" s="1638" t="str">
        <f t="shared" si="139"/>
        <v/>
      </c>
      <c r="FD789" s="1638" t="str">
        <f t="shared" si="140"/>
        <v/>
      </c>
      <c r="FE789" s="1638" t="str">
        <f t="shared" si="141"/>
        <v/>
      </c>
      <c r="FF789" s="1638" t="str">
        <f t="shared" si="142"/>
        <v/>
      </c>
      <c r="FG789" s="1638" t="str">
        <f t="shared" si="143"/>
        <v/>
      </c>
      <c r="FH789" s="1638" t="str">
        <f t="shared" si="144"/>
        <v/>
      </c>
      <c r="FI789" s="1638" t="str">
        <f t="shared" si="145"/>
        <v/>
      </c>
      <c r="FJ789" s="1638" t="str">
        <f t="shared" si="146"/>
        <v/>
      </c>
      <c r="FK789" s="1638" t="str">
        <f t="shared" si="147"/>
        <v/>
      </c>
      <c r="FL789" s="1638" t="str">
        <f t="shared" si="148"/>
        <v/>
      </c>
      <c r="FM789" s="1638" t="str">
        <f t="shared" si="149"/>
        <v/>
      </c>
      <c r="FN789" s="1638" t="str">
        <f t="shared" si="150"/>
        <v/>
      </c>
      <c r="FO789" s="1638" t="str">
        <f t="shared" si="151"/>
        <v/>
      </c>
      <c r="FP789" s="1638" t="str">
        <f t="shared" si="152"/>
        <v/>
      </c>
      <c r="FQ789" s="1638" t="str">
        <f t="shared" si="153"/>
        <v/>
      </c>
      <c r="FR789" s="1638" t="str">
        <f t="shared" si="154"/>
        <v/>
      </c>
      <c r="FS789" s="1638" t="str">
        <f t="shared" si="155"/>
        <v/>
      </c>
      <c r="FT789" s="1638" t="str">
        <f t="shared" si="156"/>
        <v/>
      </c>
      <c r="FU789" s="1638" t="str">
        <f t="shared" si="157"/>
        <v/>
      </c>
      <c r="FV789" s="1638" t="str">
        <f t="shared" si="158"/>
        <v/>
      </c>
      <c r="FW789" s="1638" t="str">
        <f t="shared" si="159"/>
        <v/>
      </c>
      <c r="FX789" s="1638" t="str">
        <f t="shared" si="160"/>
        <v/>
      </c>
      <c r="FY789" s="1638" t="str">
        <f t="shared" si="161"/>
        <v/>
      </c>
      <c r="FZ789" s="1638" t="str">
        <f t="shared" si="162"/>
        <v/>
      </c>
      <c r="GA789" s="1638" t="str">
        <f t="shared" si="163"/>
        <v/>
      </c>
      <c r="GB789" s="1638" t="str">
        <f t="shared" si="164"/>
        <v/>
      </c>
      <c r="GC789" s="1638" t="str">
        <f t="shared" si="165"/>
        <v/>
      </c>
      <c r="GD789" s="1638" t="str">
        <f t="shared" si="166"/>
        <v/>
      </c>
      <c r="GE789" s="1638" t="str">
        <f t="shared" si="167"/>
        <v/>
      </c>
      <c r="GF789" s="1638" t="str">
        <f t="shared" si="168"/>
        <v/>
      </c>
      <c r="GG789" s="1638" t="str">
        <f t="shared" si="169"/>
        <v/>
      </c>
      <c r="GH789" s="1638" t="str">
        <f t="shared" si="170"/>
        <v/>
      </c>
      <c r="GI789" s="1638" t="str">
        <f t="shared" si="171"/>
        <v/>
      </c>
      <c r="GJ789" s="1638" t="str">
        <f t="shared" si="172"/>
        <v/>
      </c>
      <c r="GK789" s="1638" t="str">
        <f t="shared" si="173"/>
        <v/>
      </c>
      <c r="GL789" s="1638" t="str">
        <f t="shared" si="174"/>
        <v/>
      </c>
      <c r="GM789" s="1638" t="str">
        <f t="shared" si="175"/>
        <v/>
      </c>
      <c r="GN789" s="1638" t="str">
        <f t="shared" si="176"/>
        <v/>
      </c>
      <c r="GO789" s="1638" t="str">
        <f t="shared" si="177"/>
        <v/>
      </c>
      <c r="GP789" s="1638" t="str">
        <f t="shared" si="178"/>
        <v/>
      </c>
      <c r="GQ789" s="1638" t="str">
        <f t="shared" si="179"/>
        <v/>
      </c>
      <c r="GR789" s="1638" t="str">
        <f t="shared" si="180"/>
        <v/>
      </c>
      <c r="GS789" s="1638" t="str">
        <f t="shared" si="181"/>
        <v/>
      </c>
      <c r="GT789" s="1638" t="str">
        <f t="shared" si="182"/>
        <v/>
      </c>
      <c r="GU789" s="1638" t="str">
        <f t="shared" si="183"/>
        <v/>
      </c>
      <c r="GV789" s="1638" t="str">
        <f t="shared" si="184"/>
        <v/>
      </c>
      <c r="GW789" s="1638" t="str">
        <f t="shared" si="185"/>
        <v/>
      </c>
      <c r="GX789" s="1638" t="str">
        <f t="shared" si="186"/>
        <v/>
      </c>
      <c r="GY789" s="1638" t="str">
        <f t="shared" si="187"/>
        <v/>
      </c>
      <c r="GZ789" s="1638" t="str">
        <f t="shared" si="188"/>
        <v/>
      </c>
      <c r="HA789" s="1638" t="str">
        <f t="shared" si="189"/>
        <v/>
      </c>
      <c r="HB789" s="1638" t="str">
        <f t="shared" si="190"/>
        <v/>
      </c>
      <c r="HC789" s="1638" t="str">
        <f t="shared" si="191"/>
        <v/>
      </c>
      <c r="HD789" s="1638" t="str">
        <f t="shared" si="192"/>
        <v/>
      </c>
      <c r="HE789" s="1638" t="str">
        <f t="shared" si="193"/>
        <v/>
      </c>
      <c r="HF789" s="1638" t="str">
        <f t="shared" si="194"/>
        <v/>
      </c>
      <c r="HG789" s="1638" t="str">
        <f t="shared" si="195"/>
        <v/>
      </c>
      <c r="HH789" s="1638" t="str">
        <f t="shared" si="196"/>
        <v/>
      </c>
      <c r="HI789" s="1638" t="str">
        <f t="shared" si="197"/>
        <v/>
      </c>
      <c r="HJ789" s="1638" t="str">
        <f t="shared" si="198"/>
        <v/>
      </c>
      <c r="HK789" s="1638" t="str">
        <f t="shared" si="199"/>
        <v/>
      </c>
      <c r="HL789" s="1638" t="str">
        <f t="shared" si="200"/>
        <v/>
      </c>
      <c r="HM789" s="1638" t="str">
        <f t="shared" si="201"/>
        <v/>
      </c>
      <c r="HN789" s="1638" t="str">
        <f t="shared" si="202"/>
        <v/>
      </c>
      <c r="HO789" s="1638" t="str">
        <f t="shared" si="203"/>
        <v/>
      </c>
      <c r="HP789" s="1638" t="str">
        <f t="shared" si="204"/>
        <v/>
      </c>
      <c r="HQ789" s="1638" t="str">
        <f t="shared" si="205"/>
        <v/>
      </c>
      <c r="HR789" s="1638" t="str">
        <f t="shared" si="206"/>
        <v/>
      </c>
      <c r="HS789" s="1638" t="str">
        <f t="shared" si="207"/>
        <v/>
      </c>
      <c r="HT789" s="1638" t="str">
        <f t="shared" si="208"/>
        <v/>
      </c>
      <c r="HU789" s="1638" t="str">
        <f t="shared" si="209"/>
        <v/>
      </c>
      <c r="HV789" s="1638" t="str">
        <f t="shared" si="210"/>
        <v/>
      </c>
      <c r="HW789" s="1638" t="str">
        <f t="shared" si="211"/>
        <v/>
      </c>
      <c r="HX789" s="1638" t="str">
        <f t="shared" si="212"/>
        <v/>
      </c>
      <c r="HY789" s="1638" t="str">
        <f t="shared" si="213"/>
        <v/>
      </c>
      <c r="HZ789" s="1638" t="str">
        <f t="shared" si="214"/>
        <v/>
      </c>
      <c r="IA789" s="1638" t="str">
        <f t="shared" si="215"/>
        <v/>
      </c>
      <c r="IB789" s="1638" t="str">
        <f t="shared" si="216"/>
        <v/>
      </c>
      <c r="IC789" s="1638" t="str">
        <f t="shared" si="217"/>
        <v/>
      </c>
      <c r="ID789" s="1639" t="str">
        <f t="shared" si="218"/>
        <v/>
      </c>
      <c r="IE789" s="1639" t="str">
        <f t="shared" si="219"/>
        <v/>
      </c>
      <c r="IF789" s="1639" t="str">
        <f t="shared" si="220"/>
        <v/>
      </c>
      <c r="IG789" s="1639" t="str">
        <f t="shared" si="221"/>
        <v/>
      </c>
      <c r="IH789" s="1639" t="str">
        <f t="shared" si="222"/>
        <v/>
      </c>
      <c r="II789" s="742" t="str">
        <f t="shared" si="223"/>
        <v/>
      </c>
      <c r="IJ789" s="742" t="str">
        <f t="shared" si="224"/>
        <v/>
      </c>
      <c r="IK789" s="742" t="str">
        <f t="shared" si="225"/>
        <v/>
      </c>
      <c r="IL789" s="742" t="str">
        <f t="shared" si="226"/>
        <v/>
      </c>
      <c r="IM789" s="742" t="str">
        <f t="shared" si="227"/>
        <v/>
      </c>
      <c r="IN789" s="742" t="str">
        <f t="shared" si="228"/>
        <v/>
      </c>
      <c r="IO789" s="742" t="str">
        <f t="shared" si="229"/>
        <v/>
      </c>
      <c r="IP789" s="742" t="str">
        <f t="shared" si="230"/>
        <v/>
      </c>
      <c r="IQ789" s="742" t="str">
        <f t="shared" si="231"/>
        <v/>
      </c>
      <c r="IR789" s="742" t="str">
        <f t="shared" si="232"/>
        <v/>
      </c>
      <c r="IS789" s="742" t="str">
        <f t="shared" si="233"/>
        <v/>
      </c>
      <c r="IT789" s="742" t="str">
        <f t="shared" si="234"/>
        <v/>
      </c>
      <c r="IU789" s="742" t="str">
        <f t="shared" si="235"/>
        <v/>
      </c>
      <c r="IV789" s="742" t="str">
        <f t="shared" si="236"/>
        <v/>
      </c>
      <c r="IW789" s="742" t="str">
        <f t="shared" si="237"/>
        <v/>
      </c>
      <c r="IX789" s="742" t="str">
        <f t="shared" si="238"/>
        <v/>
      </c>
      <c r="IY789" s="742" t="str">
        <f t="shared" si="239"/>
        <v/>
      </c>
      <c r="IZ789" s="742" t="str">
        <f t="shared" si="240"/>
        <v/>
      </c>
      <c r="JA789" s="742" t="str">
        <f t="shared" si="241"/>
        <v/>
      </c>
      <c r="JB789" s="742" t="str">
        <f t="shared" si="242"/>
        <v/>
      </c>
      <c r="JC789" s="1637">
        <f t="shared" si="243"/>
        <v>0</v>
      </c>
      <c r="JD789" s="1637">
        <f t="shared" si="244"/>
        <v>0</v>
      </c>
      <c r="JE789" s="1637">
        <f t="shared" si="245"/>
        <v>0</v>
      </c>
      <c r="JF789" s="1637">
        <f t="shared" si="246"/>
        <v>0</v>
      </c>
      <c r="JG789" s="1637">
        <f t="shared" si="247"/>
        <v>0</v>
      </c>
      <c r="JH789" s="1637">
        <f t="shared" si="248"/>
        <v>0</v>
      </c>
      <c r="JI789" s="1637">
        <f t="shared" si="249"/>
        <v>0</v>
      </c>
      <c r="JJ789" s="1637">
        <f t="shared" si="250"/>
        <v>0</v>
      </c>
      <c r="JK789" s="1637">
        <f t="shared" si="251"/>
        <v>0</v>
      </c>
      <c r="JL789" s="1637">
        <f t="shared" si="252"/>
        <v>0</v>
      </c>
      <c r="JM789" s="1637">
        <f t="shared" si="253"/>
        <v>0</v>
      </c>
      <c r="JN789" s="1637">
        <f t="shared" si="254"/>
        <v>0</v>
      </c>
      <c r="JO789" s="1637">
        <f t="shared" si="255"/>
        <v>0</v>
      </c>
      <c r="JP789" s="1637">
        <f t="shared" si="256"/>
        <v>0</v>
      </c>
      <c r="JQ789" s="1637">
        <f t="shared" si="257"/>
        <v>0</v>
      </c>
    </row>
    <row r="790" spans="1:277" ht="12" customHeight="1">
      <c r="A790" s="1813" t="str">
        <f t="shared" si="0"/>
        <v/>
      </c>
      <c r="B790" s="2145">
        <f>'Part VI-Revenues &amp; Expenses'!B33</f>
        <v>0</v>
      </c>
      <c r="C790" s="2146">
        <f>'Part VI-Revenues &amp; Expenses'!C33</f>
        <v>0</v>
      </c>
      <c r="D790" s="2147">
        <f>'Part VI-Revenues &amp; Expenses'!D33</f>
        <v>0</v>
      </c>
      <c r="E790" s="2148">
        <f>'Part VI-Revenues &amp; Expenses'!E33</f>
        <v>0</v>
      </c>
      <c r="F790" s="2148">
        <f>'Part VI-Revenues &amp; Expenses'!F33</f>
        <v>0</v>
      </c>
      <c r="G790" s="2148">
        <f>'Part VI-Revenues &amp; Expenses'!G33</f>
        <v>0</v>
      </c>
      <c r="H790" s="2148">
        <f>'Part VI-Revenues &amp; Expenses'!H33</f>
        <v>0</v>
      </c>
      <c r="I790" s="2148">
        <f>'Part VI-Revenues &amp; Expenses'!I33</f>
        <v>0</v>
      </c>
      <c r="J790" s="2149">
        <f>'Part VI-Revenues &amp; Expenses'!J33</f>
        <v>0</v>
      </c>
      <c r="K790" s="1822">
        <f t="shared" si="1"/>
        <v>0</v>
      </c>
      <c r="L790" s="1822">
        <f t="shared" si="2"/>
        <v>0</v>
      </c>
      <c r="M790" s="2133">
        <f>'Part VI-Revenues &amp; Expenses'!M33</f>
        <v>0</v>
      </c>
      <c r="N790" s="2133">
        <f>'Part VI-Revenues &amp; Expenses'!N33</f>
        <v>0</v>
      </c>
      <c r="O790" s="2133">
        <f>'Part VI-Revenues &amp; Expenses'!O33</f>
        <v>0</v>
      </c>
      <c r="P790" s="1633">
        <f>'Part VI-Revenues &amp; Expenses'!P33</f>
        <v>0</v>
      </c>
      <c r="Q790" s="1823" t="str">
        <f>'Part VI-Revenues &amp; Expenses'!Q33</f>
        <v/>
      </c>
      <c r="R790" s="1824" t="str">
        <f>'Part VI-Revenues &amp; Expenses'!R33</f>
        <v/>
      </c>
      <c r="S790" s="1823">
        <f>'Part VI-Revenues &amp; Expenses'!S33</f>
        <v>0</v>
      </c>
      <c r="T790" s="1824">
        <f>'Part VI-Revenues &amp; Expenses'!T33</f>
        <v>0</v>
      </c>
      <c r="U790" s="1838"/>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117"/>
        <v/>
      </c>
      <c r="EH790" s="742" t="str">
        <f t="shared" si="118"/>
        <v/>
      </c>
      <c r="EI790" s="742" t="str">
        <f t="shared" si="119"/>
        <v/>
      </c>
      <c r="EJ790" s="742" t="str">
        <f t="shared" si="120"/>
        <v/>
      </c>
      <c r="EK790" s="742" t="str">
        <f t="shared" si="121"/>
        <v/>
      </c>
      <c r="EL790" s="742" t="str">
        <f t="shared" si="122"/>
        <v/>
      </c>
      <c r="EM790" s="742" t="str">
        <f t="shared" si="123"/>
        <v/>
      </c>
      <c r="EN790" s="742" t="str">
        <f t="shared" si="124"/>
        <v/>
      </c>
      <c r="EO790" s="742" t="str">
        <f t="shared" si="125"/>
        <v/>
      </c>
      <c r="EP790" s="742" t="str">
        <f t="shared" si="126"/>
        <v/>
      </c>
      <c r="EQ790" s="742" t="str">
        <f t="shared" si="127"/>
        <v/>
      </c>
      <c r="ER790" s="742" t="str">
        <f t="shared" si="128"/>
        <v/>
      </c>
      <c r="ES790" s="742" t="str">
        <f t="shared" si="129"/>
        <v/>
      </c>
      <c r="ET790" s="742" t="str">
        <f t="shared" si="130"/>
        <v/>
      </c>
      <c r="EU790" s="742" t="str">
        <f t="shared" si="131"/>
        <v/>
      </c>
      <c r="EV790" s="742" t="str">
        <f t="shared" si="132"/>
        <v/>
      </c>
      <c r="EW790" s="1638" t="str">
        <f t="shared" si="133"/>
        <v/>
      </c>
      <c r="EX790" s="1638" t="str">
        <f t="shared" si="134"/>
        <v/>
      </c>
      <c r="EY790" s="1638" t="str">
        <f t="shared" si="135"/>
        <v/>
      </c>
      <c r="EZ790" s="1638" t="str">
        <f t="shared" si="136"/>
        <v/>
      </c>
      <c r="FA790" s="1638" t="str">
        <f t="shared" si="137"/>
        <v/>
      </c>
      <c r="FB790" s="1638" t="str">
        <f t="shared" si="138"/>
        <v/>
      </c>
      <c r="FC790" s="1638" t="str">
        <f t="shared" si="139"/>
        <v/>
      </c>
      <c r="FD790" s="1638" t="str">
        <f t="shared" si="140"/>
        <v/>
      </c>
      <c r="FE790" s="1638" t="str">
        <f t="shared" si="141"/>
        <v/>
      </c>
      <c r="FF790" s="1638" t="str">
        <f t="shared" si="142"/>
        <v/>
      </c>
      <c r="FG790" s="1638" t="str">
        <f t="shared" si="143"/>
        <v/>
      </c>
      <c r="FH790" s="1638" t="str">
        <f t="shared" si="144"/>
        <v/>
      </c>
      <c r="FI790" s="1638" t="str">
        <f t="shared" si="145"/>
        <v/>
      </c>
      <c r="FJ790" s="1638" t="str">
        <f t="shared" si="146"/>
        <v/>
      </c>
      <c r="FK790" s="1638" t="str">
        <f t="shared" si="147"/>
        <v/>
      </c>
      <c r="FL790" s="1638" t="str">
        <f t="shared" si="148"/>
        <v/>
      </c>
      <c r="FM790" s="1638" t="str">
        <f t="shared" si="149"/>
        <v/>
      </c>
      <c r="FN790" s="1638" t="str">
        <f t="shared" si="150"/>
        <v/>
      </c>
      <c r="FO790" s="1638" t="str">
        <f t="shared" si="151"/>
        <v/>
      </c>
      <c r="FP790" s="1638" t="str">
        <f t="shared" si="152"/>
        <v/>
      </c>
      <c r="FQ790" s="1638" t="str">
        <f t="shared" si="153"/>
        <v/>
      </c>
      <c r="FR790" s="1638" t="str">
        <f t="shared" si="154"/>
        <v/>
      </c>
      <c r="FS790" s="1638" t="str">
        <f t="shared" si="155"/>
        <v/>
      </c>
      <c r="FT790" s="1638" t="str">
        <f t="shared" si="156"/>
        <v/>
      </c>
      <c r="FU790" s="1638" t="str">
        <f t="shared" si="157"/>
        <v/>
      </c>
      <c r="FV790" s="1638" t="str">
        <f t="shared" si="158"/>
        <v/>
      </c>
      <c r="FW790" s="1638" t="str">
        <f t="shared" si="159"/>
        <v/>
      </c>
      <c r="FX790" s="1638" t="str">
        <f t="shared" si="160"/>
        <v/>
      </c>
      <c r="FY790" s="1638" t="str">
        <f t="shared" si="161"/>
        <v/>
      </c>
      <c r="FZ790" s="1638" t="str">
        <f t="shared" si="162"/>
        <v/>
      </c>
      <c r="GA790" s="1638" t="str">
        <f t="shared" si="163"/>
        <v/>
      </c>
      <c r="GB790" s="1638" t="str">
        <f t="shared" si="164"/>
        <v/>
      </c>
      <c r="GC790" s="1638" t="str">
        <f t="shared" si="165"/>
        <v/>
      </c>
      <c r="GD790" s="1638" t="str">
        <f t="shared" si="166"/>
        <v/>
      </c>
      <c r="GE790" s="1638" t="str">
        <f t="shared" si="167"/>
        <v/>
      </c>
      <c r="GF790" s="1638" t="str">
        <f t="shared" si="168"/>
        <v/>
      </c>
      <c r="GG790" s="1638" t="str">
        <f t="shared" si="169"/>
        <v/>
      </c>
      <c r="GH790" s="1638" t="str">
        <f t="shared" si="170"/>
        <v/>
      </c>
      <c r="GI790" s="1638" t="str">
        <f t="shared" si="171"/>
        <v/>
      </c>
      <c r="GJ790" s="1638" t="str">
        <f t="shared" si="172"/>
        <v/>
      </c>
      <c r="GK790" s="1638" t="str">
        <f t="shared" si="173"/>
        <v/>
      </c>
      <c r="GL790" s="1638" t="str">
        <f t="shared" si="174"/>
        <v/>
      </c>
      <c r="GM790" s="1638" t="str">
        <f t="shared" si="175"/>
        <v/>
      </c>
      <c r="GN790" s="1638" t="str">
        <f t="shared" si="176"/>
        <v/>
      </c>
      <c r="GO790" s="1638" t="str">
        <f t="shared" si="177"/>
        <v/>
      </c>
      <c r="GP790" s="1638" t="str">
        <f t="shared" si="178"/>
        <v/>
      </c>
      <c r="GQ790" s="1638" t="str">
        <f t="shared" si="179"/>
        <v/>
      </c>
      <c r="GR790" s="1638" t="str">
        <f t="shared" si="180"/>
        <v/>
      </c>
      <c r="GS790" s="1638" t="str">
        <f t="shared" si="181"/>
        <v/>
      </c>
      <c r="GT790" s="1638" t="str">
        <f t="shared" si="182"/>
        <v/>
      </c>
      <c r="GU790" s="1638" t="str">
        <f t="shared" si="183"/>
        <v/>
      </c>
      <c r="GV790" s="1638" t="str">
        <f t="shared" si="184"/>
        <v/>
      </c>
      <c r="GW790" s="1638" t="str">
        <f t="shared" si="185"/>
        <v/>
      </c>
      <c r="GX790" s="1638" t="str">
        <f t="shared" si="186"/>
        <v/>
      </c>
      <c r="GY790" s="1638" t="str">
        <f t="shared" si="187"/>
        <v/>
      </c>
      <c r="GZ790" s="1638" t="str">
        <f t="shared" si="188"/>
        <v/>
      </c>
      <c r="HA790" s="1638" t="str">
        <f t="shared" si="189"/>
        <v/>
      </c>
      <c r="HB790" s="1638" t="str">
        <f t="shared" si="190"/>
        <v/>
      </c>
      <c r="HC790" s="1638" t="str">
        <f t="shared" si="191"/>
        <v/>
      </c>
      <c r="HD790" s="1638" t="str">
        <f t="shared" si="192"/>
        <v/>
      </c>
      <c r="HE790" s="1638" t="str">
        <f t="shared" si="193"/>
        <v/>
      </c>
      <c r="HF790" s="1638" t="str">
        <f t="shared" si="194"/>
        <v/>
      </c>
      <c r="HG790" s="1638" t="str">
        <f t="shared" si="195"/>
        <v/>
      </c>
      <c r="HH790" s="1638" t="str">
        <f t="shared" si="196"/>
        <v/>
      </c>
      <c r="HI790" s="1638" t="str">
        <f t="shared" si="197"/>
        <v/>
      </c>
      <c r="HJ790" s="1638" t="str">
        <f t="shared" si="198"/>
        <v/>
      </c>
      <c r="HK790" s="1638" t="str">
        <f t="shared" si="199"/>
        <v/>
      </c>
      <c r="HL790" s="1638" t="str">
        <f t="shared" si="200"/>
        <v/>
      </c>
      <c r="HM790" s="1638" t="str">
        <f t="shared" si="201"/>
        <v/>
      </c>
      <c r="HN790" s="1638" t="str">
        <f t="shared" si="202"/>
        <v/>
      </c>
      <c r="HO790" s="1638" t="str">
        <f t="shared" si="203"/>
        <v/>
      </c>
      <c r="HP790" s="1638" t="str">
        <f t="shared" si="204"/>
        <v/>
      </c>
      <c r="HQ790" s="1638" t="str">
        <f t="shared" si="205"/>
        <v/>
      </c>
      <c r="HR790" s="1638" t="str">
        <f t="shared" si="206"/>
        <v/>
      </c>
      <c r="HS790" s="1638" t="str">
        <f t="shared" si="207"/>
        <v/>
      </c>
      <c r="HT790" s="1638" t="str">
        <f t="shared" si="208"/>
        <v/>
      </c>
      <c r="HU790" s="1638" t="str">
        <f t="shared" si="209"/>
        <v/>
      </c>
      <c r="HV790" s="1638" t="str">
        <f t="shared" si="210"/>
        <v/>
      </c>
      <c r="HW790" s="1638" t="str">
        <f t="shared" si="211"/>
        <v/>
      </c>
      <c r="HX790" s="1638" t="str">
        <f t="shared" si="212"/>
        <v/>
      </c>
      <c r="HY790" s="1638" t="str">
        <f t="shared" si="213"/>
        <v/>
      </c>
      <c r="HZ790" s="1638" t="str">
        <f t="shared" si="214"/>
        <v/>
      </c>
      <c r="IA790" s="1638" t="str">
        <f t="shared" si="215"/>
        <v/>
      </c>
      <c r="IB790" s="1638" t="str">
        <f t="shared" si="216"/>
        <v/>
      </c>
      <c r="IC790" s="1638" t="str">
        <f t="shared" si="217"/>
        <v/>
      </c>
      <c r="ID790" s="1639" t="str">
        <f t="shared" si="218"/>
        <v/>
      </c>
      <c r="IE790" s="1639" t="str">
        <f t="shared" si="219"/>
        <v/>
      </c>
      <c r="IF790" s="1639" t="str">
        <f t="shared" si="220"/>
        <v/>
      </c>
      <c r="IG790" s="1639" t="str">
        <f t="shared" si="221"/>
        <v/>
      </c>
      <c r="IH790" s="1639" t="str">
        <f t="shared" si="222"/>
        <v/>
      </c>
      <c r="II790" s="742" t="str">
        <f t="shared" si="223"/>
        <v/>
      </c>
      <c r="IJ790" s="742" t="str">
        <f t="shared" si="224"/>
        <v/>
      </c>
      <c r="IK790" s="742" t="str">
        <f t="shared" si="225"/>
        <v/>
      </c>
      <c r="IL790" s="742" t="str">
        <f t="shared" si="226"/>
        <v/>
      </c>
      <c r="IM790" s="742" t="str">
        <f t="shared" si="227"/>
        <v/>
      </c>
      <c r="IN790" s="742" t="str">
        <f t="shared" si="228"/>
        <v/>
      </c>
      <c r="IO790" s="742" t="str">
        <f t="shared" si="229"/>
        <v/>
      </c>
      <c r="IP790" s="742" t="str">
        <f t="shared" si="230"/>
        <v/>
      </c>
      <c r="IQ790" s="742" t="str">
        <f t="shared" si="231"/>
        <v/>
      </c>
      <c r="IR790" s="742" t="str">
        <f t="shared" si="232"/>
        <v/>
      </c>
      <c r="IS790" s="742" t="str">
        <f t="shared" si="233"/>
        <v/>
      </c>
      <c r="IT790" s="742" t="str">
        <f t="shared" si="234"/>
        <v/>
      </c>
      <c r="IU790" s="742" t="str">
        <f t="shared" si="235"/>
        <v/>
      </c>
      <c r="IV790" s="742" t="str">
        <f t="shared" si="236"/>
        <v/>
      </c>
      <c r="IW790" s="742" t="str">
        <f t="shared" si="237"/>
        <v/>
      </c>
      <c r="IX790" s="742" t="str">
        <f t="shared" si="238"/>
        <v/>
      </c>
      <c r="IY790" s="742" t="str">
        <f t="shared" si="239"/>
        <v/>
      </c>
      <c r="IZ790" s="742" t="str">
        <f t="shared" si="240"/>
        <v/>
      </c>
      <c r="JA790" s="742" t="str">
        <f t="shared" si="241"/>
        <v/>
      </c>
      <c r="JB790" s="742" t="str">
        <f t="shared" si="242"/>
        <v/>
      </c>
      <c r="JC790" s="1637">
        <f t="shared" si="243"/>
        <v>0</v>
      </c>
      <c r="JD790" s="1637">
        <f t="shared" si="244"/>
        <v>0</v>
      </c>
      <c r="JE790" s="1637">
        <f t="shared" si="245"/>
        <v>0</v>
      </c>
      <c r="JF790" s="1637">
        <f t="shared" si="246"/>
        <v>0</v>
      </c>
      <c r="JG790" s="1637">
        <f t="shared" si="247"/>
        <v>0</v>
      </c>
      <c r="JH790" s="1637">
        <f t="shared" si="248"/>
        <v>0</v>
      </c>
      <c r="JI790" s="1637">
        <f t="shared" si="249"/>
        <v>0</v>
      </c>
      <c r="JJ790" s="1637">
        <f t="shared" si="250"/>
        <v>0</v>
      </c>
      <c r="JK790" s="1637">
        <f t="shared" si="251"/>
        <v>0</v>
      </c>
      <c r="JL790" s="1637">
        <f t="shared" si="252"/>
        <v>0</v>
      </c>
      <c r="JM790" s="1637">
        <f t="shared" si="253"/>
        <v>0</v>
      </c>
      <c r="JN790" s="1637">
        <f t="shared" si="254"/>
        <v>0</v>
      </c>
      <c r="JO790" s="1637">
        <f t="shared" si="255"/>
        <v>0</v>
      </c>
      <c r="JP790" s="1637">
        <f t="shared" si="256"/>
        <v>0</v>
      </c>
      <c r="JQ790" s="1637">
        <f t="shared" si="257"/>
        <v>0</v>
      </c>
    </row>
    <row r="791" spans="1:277" ht="12" customHeight="1">
      <c r="A791" s="1813" t="str">
        <f t="shared" si="0"/>
        <v/>
      </c>
      <c r="B791" s="2145">
        <f>'Part VI-Revenues &amp; Expenses'!B34</f>
        <v>0</v>
      </c>
      <c r="C791" s="2146">
        <f>'Part VI-Revenues &amp; Expenses'!C34</f>
        <v>0</v>
      </c>
      <c r="D791" s="2147">
        <f>'Part VI-Revenues &amp; Expenses'!D34</f>
        <v>0</v>
      </c>
      <c r="E791" s="2148">
        <f>'Part VI-Revenues &amp; Expenses'!E34</f>
        <v>0</v>
      </c>
      <c r="F791" s="2148">
        <f>'Part VI-Revenues &amp; Expenses'!F34</f>
        <v>0</v>
      </c>
      <c r="G791" s="2148">
        <f>'Part VI-Revenues &amp; Expenses'!G34</f>
        <v>0</v>
      </c>
      <c r="H791" s="2148">
        <f>'Part VI-Revenues &amp; Expenses'!H34</f>
        <v>0</v>
      </c>
      <c r="I791" s="2148">
        <f>'Part VI-Revenues &amp; Expenses'!I34</f>
        <v>0</v>
      </c>
      <c r="J791" s="2149">
        <f>'Part VI-Revenues &amp; Expenses'!J34</f>
        <v>0</v>
      </c>
      <c r="K791" s="1822">
        <f t="shared" si="1"/>
        <v>0</v>
      </c>
      <c r="L791" s="1822">
        <f t="shared" si="2"/>
        <v>0</v>
      </c>
      <c r="M791" s="2133">
        <f>'Part VI-Revenues &amp; Expenses'!M34</f>
        <v>0</v>
      </c>
      <c r="N791" s="2133">
        <f>'Part VI-Revenues &amp; Expenses'!N34</f>
        <v>0</v>
      </c>
      <c r="O791" s="2133">
        <f>'Part VI-Revenues &amp; Expenses'!O34</f>
        <v>0</v>
      </c>
      <c r="P791" s="1633">
        <f>'Part VI-Revenues &amp; Expenses'!P34</f>
        <v>0</v>
      </c>
      <c r="Q791" s="1823" t="str">
        <f>'Part VI-Revenues &amp; Expenses'!Q34</f>
        <v/>
      </c>
      <c r="R791" s="1824" t="str">
        <f>'Part VI-Revenues &amp; Expenses'!R34</f>
        <v/>
      </c>
      <c r="S791" s="1823">
        <f>'Part VI-Revenues &amp; Expenses'!S34</f>
        <v>0</v>
      </c>
      <c r="T791" s="1824">
        <f>'Part VI-Revenues &amp; Expenses'!T34</f>
        <v>0</v>
      </c>
      <c r="U791" s="1838"/>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117"/>
        <v/>
      </c>
      <c r="EH791" s="742" t="str">
        <f t="shared" si="118"/>
        <v/>
      </c>
      <c r="EI791" s="742" t="str">
        <f t="shared" si="119"/>
        <v/>
      </c>
      <c r="EJ791" s="742" t="str">
        <f t="shared" si="120"/>
        <v/>
      </c>
      <c r="EK791" s="742" t="str">
        <f t="shared" si="121"/>
        <v/>
      </c>
      <c r="EL791" s="742" t="str">
        <f t="shared" si="122"/>
        <v/>
      </c>
      <c r="EM791" s="742" t="str">
        <f t="shared" si="123"/>
        <v/>
      </c>
      <c r="EN791" s="742" t="str">
        <f t="shared" si="124"/>
        <v/>
      </c>
      <c r="EO791" s="742" t="str">
        <f t="shared" si="125"/>
        <v/>
      </c>
      <c r="EP791" s="742" t="str">
        <f t="shared" si="126"/>
        <v/>
      </c>
      <c r="EQ791" s="742" t="str">
        <f t="shared" si="127"/>
        <v/>
      </c>
      <c r="ER791" s="742" t="str">
        <f t="shared" si="128"/>
        <v/>
      </c>
      <c r="ES791" s="742" t="str">
        <f t="shared" si="129"/>
        <v/>
      </c>
      <c r="ET791" s="742" t="str">
        <f t="shared" si="130"/>
        <v/>
      </c>
      <c r="EU791" s="742" t="str">
        <f t="shared" si="131"/>
        <v/>
      </c>
      <c r="EV791" s="742" t="str">
        <f t="shared" si="132"/>
        <v/>
      </c>
      <c r="EW791" s="1638" t="str">
        <f t="shared" si="133"/>
        <v/>
      </c>
      <c r="EX791" s="1638" t="str">
        <f t="shared" si="134"/>
        <v/>
      </c>
      <c r="EY791" s="1638" t="str">
        <f t="shared" si="135"/>
        <v/>
      </c>
      <c r="EZ791" s="1638" t="str">
        <f t="shared" si="136"/>
        <v/>
      </c>
      <c r="FA791" s="1638" t="str">
        <f t="shared" si="137"/>
        <v/>
      </c>
      <c r="FB791" s="1638" t="str">
        <f t="shared" si="138"/>
        <v/>
      </c>
      <c r="FC791" s="1638" t="str">
        <f t="shared" si="139"/>
        <v/>
      </c>
      <c r="FD791" s="1638" t="str">
        <f t="shared" si="140"/>
        <v/>
      </c>
      <c r="FE791" s="1638" t="str">
        <f t="shared" si="141"/>
        <v/>
      </c>
      <c r="FF791" s="1638" t="str">
        <f t="shared" si="142"/>
        <v/>
      </c>
      <c r="FG791" s="1638" t="str">
        <f t="shared" si="143"/>
        <v/>
      </c>
      <c r="FH791" s="1638" t="str">
        <f t="shared" si="144"/>
        <v/>
      </c>
      <c r="FI791" s="1638" t="str">
        <f t="shared" si="145"/>
        <v/>
      </c>
      <c r="FJ791" s="1638" t="str">
        <f t="shared" si="146"/>
        <v/>
      </c>
      <c r="FK791" s="1638" t="str">
        <f t="shared" si="147"/>
        <v/>
      </c>
      <c r="FL791" s="1638" t="str">
        <f t="shared" si="148"/>
        <v/>
      </c>
      <c r="FM791" s="1638" t="str">
        <f t="shared" si="149"/>
        <v/>
      </c>
      <c r="FN791" s="1638" t="str">
        <f t="shared" si="150"/>
        <v/>
      </c>
      <c r="FO791" s="1638" t="str">
        <f t="shared" si="151"/>
        <v/>
      </c>
      <c r="FP791" s="1638" t="str">
        <f t="shared" si="152"/>
        <v/>
      </c>
      <c r="FQ791" s="1638" t="str">
        <f t="shared" si="153"/>
        <v/>
      </c>
      <c r="FR791" s="1638" t="str">
        <f t="shared" si="154"/>
        <v/>
      </c>
      <c r="FS791" s="1638" t="str">
        <f t="shared" si="155"/>
        <v/>
      </c>
      <c r="FT791" s="1638" t="str">
        <f t="shared" si="156"/>
        <v/>
      </c>
      <c r="FU791" s="1638" t="str">
        <f t="shared" si="157"/>
        <v/>
      </c>
      <c r="FV791" s="1638" t="str">
        <f t="shared" si="158"/>
        <v/>
      </c>
      <c r="FW791" s="1638" t="str">
        <f t="shared" si="159"/>
        <v/>
      </c>
      <c r="FX791" s="1638" t="str">
        <f t="shared" si="160"/>
        <v/>
      </c>
      <c r="FY791" s="1638" t="str">
        <f t="shared" si="161"/>
        <v/>
      </c>
      <c r="FZ791" s="1638" t="str">
        <f t="shared" si="162"/>
        <v/>
      </c>
      <c r="GA791" s="1638" t="str">
        <f t="shared" si="163"/>
        <v/>
      </c>
      <c r="GB791" s="1638" t="str">
        <f t="shared" si="164"/>
        <v/>
      </c>
      <c r="GC791" s="1638" t="str">
        <f t="shared" si="165"/>
        <v/>
      </c>
      <c r="GD791" s="1638" t="str">
        <f t="shared" si="166"/>
        <v/>
      </c>
      <c r="GE791" s="1638" t="str">
        <f t="shared" si="167"/>
        <v/>
      </c>
      <c r="GF791" s="1638" t="str">
        <f t="shared" si="168"/>
        <v/>
      </c>
      <c r="GG791" s="1638" t="str">
        <f t="shared" si="169"/>
        <v/>
      </c>
      <c r="GH791" s="1638" t="str">
        <f t="shared" si="170"/>
        <v/>
      </c>
      <c r="GI791" s="1638" t="str">
        <f t="shared" si="171"/>
        <v/>
      </c>
      <c r="GJ791" s="1638" t="str">
        <f t="shared" si="172"/>
        <v/>
      </c>
      <c r="GK791" s="1638" t="str">
        <f t="shared" si="173"/>
        <v/>
      </c>
      <c r="GL791" s="1638" t="str">
        <f t="shared" si="174"/>
        <v/>
      </c>
      <c r="GM791" s="1638" t="str">
        <f t="shared" si="175"/>
        <v/>
      </c>
      <c r="GN791" s="1638" t="str">
        <f t="shared" si="176"/>
        <v/>
      </c>
      <c r="GO791" s="1638" t="str">
        <f t="shared" si="177"/>
        <v/>
      </c>
      <c r="GP791" s="1638" t="str">
        <f t="shared" si="178"/>
        <v/>
      </c>
      <c r="GQ791" s="1638" t="str">
        <f t="shared" si="179"/>
        <v/>
      </c>
      <c r="GR791" s="1638" t="str">
        <f t="shared" si="180"/>
        <v/>
      </c>
      <c r="GS791" s="1638" t="str">
        <f t="shared" si="181"/>
        <v/>
      </c>
      <c r="GT791" s="1638" t="str">
        <f t="shared" si="182"/>
        <v/>
      </c>
      <c r="GU791" s="1638" t="str">
        <f t="shared" si="183"/>
        <v/>
      </c>
      <c r="GV791" s="1638" t="str">
        <f t="shared" si="184"/>
        <v/>
      </c>
      <c r="GW791" s="1638" t="str">
        <f t="shared" si="185"/>
        <v/>
      </c>
      <c r="GX791" s="1638" t="str">
        <f t="shared" si="186"/>
        <v/>
      </c>
      <c r="GY791" s="1638" t="str">
        <f t="shared" si="187"/>
        <v/>
      </c>
      <c r="GZ791" s="1638" t="str">
        <f t="shared" si="188"/>
        <v/>
      </c>
      <c r="HA791" s="1638" t="str">
        <f t="shared" si="189"/>
        <v/>
      </c>
      <c r="HB791" s="1638" t="str">
        <f t="shared" si="190"/>
        <v/>
      </c>
      <c r="HC791" s="1638" t="str">
        <f t="shared" si="191"/>
        <v/>
      </c>
      <c r="HD791" s="1638" t="str">
        <f t="shared" si="192"/>
        <v/>
      </c>
      <c r="HE791" s="1638" t="str">
        <f t="shared" si="193"/>
        <v/>
      </c>
      <c r="HF791" s="1638" t="str">
        <f t="shared" si="194"/>
        <v/>
      </c>
      <c r="HG791" s="1638" t="str">
        <f t="shared" si="195"/>
        <v/>
      </c>
      <c r="HH791" s="1638" t="str">
        <f t="shared" si="196"/>
        <v/>
      </c>
      <c r="HI791" s="1638" t="str">
        <f t="shared" si="197"/>
        <v/>
      </c>
      <c r="HJ791" s="1638" t="str">
        <f t="shared" si="198"/>
        <v/>
      </c>
      <c r="HK791" s="1638" t="str">
        <f t="shared" si="199"/>
        <v/>
      </c>
      <c r="HL791" s="1638" t="str">
        <f t="shared" si="200"/>
        <v/>
      </c>
      <c r="HM791" s="1638" t="str">
        <f t="shared" si="201"/>
        <v/>
      </c>
      <c r="HN791" s="1638" t="str">
        <f t="shared" si="202"/>
        <v/>
      </c>
      <c r="HO791" s="1638" t="str">
        <f t="shared" si="203"/>
        <v/>
      </c>
      <c r="HP791" s="1638" t="str">
        <f t="shared" si="204"/>
        <v/>
      </c>
      <c r="HQ791" s="1638" t="str">
        <f t="shared" si="205"/>
        <v/>
      </c>
      <c r="HR791" s="1638" t="str">
        <f t="shared" si="206"/>
        <v/>
      </c>
      <c r="HS791" s="1638" t="str">
        <f t="shared" si="207"/>
        <v/>
      </c>
      <c r="HT791" s="1638" t="str">
        <f t="shared" si="208"/>
        <v/>
      </c>
      <c r="HU791" s="1638" t="str">
        <f t="shared" si="209"/>
        <v/>
      </c>
      <c r="HV791" s="1638" t="str">
        <f t="shared" si="210"/>
        <v/>
      </c>
      <c r="HW791" s="1638" t="str">
        <f t="shared" si="211"/>
        <v/>
      </c>
      <c r="HX791" s="1638" t="str">
        <f t="shared" si="212"/>
        <v/>
      </c>
      <c r="HY791" s="1638" t="str">
        <f t="shared" si="213"/>
        <v/>
      </c>
      <c r="HZ791" s="1638" t="str">
        <f t="shared" si="214"/>
        <v/>
      </c>
      <c r="IA791" s="1638" t="str">
        <f t="shared" si="215"/>
        <v/>
      </c>
      <c r="IB791" s="1638" t="str">
        <f t="shared" si="216"/>
        <v/>
      </c>
      <c r="IC791" s="1638" t="str">
        <f t="shared" si="217"/>
        <v/>
      </c>
      <c r="ID791" s="1639" t="str">
        <f t="shared" si="218"/>
        <v/>
      </c>
      <c r="IE791" s="1639" t="str">
        <f t="shared" si="219"/>
        <v/>
      </c>
      <c r="IF791" s="1639" t="str">
        <f t="shared" si="220"/>
        <v/>
      </c>
      <c r="IG791" s="1639" t="str">
        <f t="shared" si="221"/>
        <v/>
      </c>
      <c r="IH791" s="1639" t="str">
        <f t="shared" si="222"/>
        <v/>
      </c>
      <c r="II791" s="742" t="str">
        <f t="shared" si="223"/>
        <v/>
      </c>
      <c r="IJ791" s="742" t="str">
        <f t="shared" si="224"/>
        <v/>
      </c>
      <c r="IK791" s="742" t="str">
        <f t="shared" si="225"/>
        <v/>
      </c>
      <c r="IL791" s="742" t="str">
        <f t="shared" si="226"/>
        <v/>
      </c>
      <c r="IM791" s="742" t="str">
        <f t="shared" si="227"/>
        <v/>
      </c>
      <c r="IN791" s="742" t="str">
        <f t="shared" si="228"/>
        <v/>
      </c>
      <c r="IO791" s="742" t="str">
        <f t="shared" si="229"/>
        <v/>
      </c>
      <c r="IP791" s="742" t="str">
        <f t="shared" si="230"/>
        <v/>
      </c>
      <c r="IQ791" s="742" t="str">
        <f t="shared" si="231"/>
        <v/>
      </c>
      <c r="IR791" s="742" t="str">
        <f t="shared" si="232"/>
        <v/>
      </c>
      <c r="IS791" s="742" t="str">
        <f t="shared" si="233"/>
        <v/>
      </c>
      <c r="IT791" s="742" t="str">
        <f t="shared" si="234"/>
        <v/>
      </c>
      <c r="IU791" s="742" t="str">
        <f t="shared" si="235"/>
        <v/>
      </c>
      <c r="IV791" s="742" t="str">
        <f t="shared" si="236"/>
        <v/>
      </c>
      <c r="IW791" s="742" t="str">
        <f t="shared" si="237"/>
        <v/>
      </c>
      <c r="IX791" s="742" t="str">
        <f t="shared" si="238"/>
        <v/>
      </c>
      <c r="IY791" s="742" t="str">
        <f t="shared" si="239"/>
        <v/>
      </c>
      <c r="IZ791" s="742" t="str">
        <f t="shared" si="240"/>
        <v/>
      </c>
      <c r="JA791" s="742" t="str">
        <f t="shared" si="241"/>
        <v/>
      </c>
      <c r="JB791" s="742" t="str">
        <f t="shared" si="242"/>
        <v/>
      </c>
      <c r="JC791" s="1637">
        <f t="shared" si="243"/>
        <v>0</v>
      </c>
      <c r="JD791" s="1637">
        <f t="shared" si="244"/>
        <v>0</v>
      </c>
      <c r="JE791" s="1637">
        <f t="shared" si="245"/>
        <v>0</v>
      </c>
      <c r="JF791" s="1637">
        <f t="shared" si="246"/>
        <v>0</v>
      </c>
      <c r="JG791" s="1637">
        <f t="shared" si="247"/>
        <v>0</v>
      </c>
      <c r="JH791" s="1637">
        <f t="shared" si="248"/>
        <v>0</v>
      </c>
      <c r="JI791" s="1637">
        <f t="shared" si="249"/>
        <v>0</v>
      </c>
      <c r="JJ791" s="1637">
        <f t="shared" si="250"/>
        <v>0</v>
      </c>
      <c r="JK791" s="1637">
        <f t="shared" si="251"/>
        <v>0</v>
      </c>
      <c r="JL791" s="1637">
        <f t="shared" si="252"/>
        <v>0</v>
      </c>
      <c r="JM791" s="1637">
        <f t="shared" si="253"/>
        <v>0</v>
      </c>
      <c r="JN791" s="1637">
        <f t="shared" si="254"/>
        <v>0</v>
      </c>
      <c r="JO791" s="1637">
        <f t="shared" si="255"/>
        <v>0</v>
      </c>
      <c r="JP791" s="1637">
        <f t="shared" si="256"/>
        <v>0</v>
      </c>
      <c r="JQ791" s="1637">
        <f t="shared" si="257"/>
        <v>0</v>
      </c>
    </row>
    <row r="792" spans="1:277" ht="12" customHeight="1">
      <c r="A792" s="1813" t="str">
        <f t="shared" si="0"/>
        <v/>
      </c>
      <c r="B792" s="2145">
        <f>'Part VI-Revenues &amp; Expenses'!B35</f>
        <v>0</v>
      </c>
      <c r="C792" s="2146">
        <f>'Part VI-Revenues &amp; Expenses'!C35</f>
        <v>0</v>
      </c>
      <c r="D792" s="2147">
        <f>'Part VI-Revenues &amp; Expenses'!D35</f>
        <v>0</v>
      </c>
      <c r="E792" s="2148">
        <f>'Part VI-Revenues &amp; Expenses'!E35</f>
        <v>0</v>
      </c>
      <c r="F792" s="2148">
        <f>'Part VI-Revenues &amp; Expenses'!F35</f>
        <v>0</v>
      </c>
      <c r="G792" s="2148">
        <f>'Part VI-Revenues &amp; Expenses'!G35</f>
        <v>0</v>
      </c>
      <c r="H792" s="2148">
        <f>'Part VI-Revenues &amp; Expenses'!H35</f>
        <v>0</v>
      </c>
      <c r="I792" s="2148">
        <f>'Part VI-Revenues &amp; Expenses'!I35</f>
        <v>0</v>
      </c>
      <c r="J792" s="2149">
        <f>'Part VI-Revenues &amp; Expenses'!J35</f>
        <v>0</v>
      </c>
      <c r="K792" s="1822">
        <f t="shared" si="1"/>
        <v>0</v>
      </c>
      <c r="L792" s="1822">
        <f t="shared" si="2"/>
        <v>0</v>
      </c>
      <c r="M792" s="2133">
        <f>'Part VI-Revenues &amp; Expenses'!M35</f>
        <v>0</v>
      </c>
      <c r="N792" s="2133">
        <f>'Part VI-Revenues &amp; Expenses'!N35</f>
        <v>0</v>
      </c>
      <c r="O792" s="2133">
        <f>'Part VI-Revenues &amp; Expenses'!O35</f>
        <v>0</v>
      </c>
      <c r="P792" s="1633">
        <f>'Part VI-Revenues &amp; Expenses'!P35</f>
        <v>0</v>
      </c>
      <c r="Q792" s="1823" t="str">
        <f>'Part VI-Revenues &amp; Expenses'!Q35</f>
        <v/>
      </c>
      <c r="R792" s="1824" t="str">
        <f>'Part VI-Revenues &amp; Expenses'!R35</f>
        <v/>
      </c>
      <c r="S792" s="1823">
        <f>'Part VI-Revenues &amp; Expenses'!S35</f>
        <v>0</v>
      </c>
      <c r="T792" s="1824">
        <f>'Part VI-Revenues &amp; Expenses'!T35</f>
        <v>0</v>
      </c>
      <c r="U792" s="1838"/>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117"/>
        <v/>
      </c>
      <c r="EH792" s="742" t="str">
        <f t="shared" si="118"/>
        <v/>
      </c>
      <c r="EI792" s="742" t="str">
        <f t="shared" si="119"/>
        <v/>
      </c>
      <c r="EJ792" s="742" t="str">
        <f t="shared" si="120"/>
        <v/>
      </c>
      <c r="EK792" s="742" t="str">
        <f t="shared" si="121"/>
        <v/>
      </c>
      <c r="EL792" s="742" t="str">
        <f t="shared" si="122"/>
        <v/>
      </c>
      <c r="EM792" s="742" t="str">
        <f t="shared" si="123"/>
        <v/>
      </c>
      <c r="EN792" s="742" t="str">
        <f t="shared" si="124"/>
        <v/>
      </c>
      <c r="EO792" s="742" t="str">
        <f t="shared" si="125"/>
        <v/>
      </c>
      <c r="EP792" s="742" t="str">
        <f t="shared" si="126"/>
        <v/>
      </c>
      <c r="EQ792" s="742" t="str">
        <f t="shared" si="127"/>
        <v/>
      </c>
      <c r="ER792" s="742" t="str">
        <f t="shared" si="128"/>
        <v/>
      </c>
      <c r="ES792" s="742" t="str">
        <f t="shared" si="129"/>
        <v/>
      </c>
      <c r="ET792" s="742" t="str">
        <f t="shared" si="130"/>
        <v/>
      </c>
      <c r="EU792" s="742" t="str">
        <f t="shared" si="131"/>
        <v/>
      </c>
      <c r="EV792" s="742" t="str">
        <f t="shared" si="132"/>
        <v/>
      </c>
      <c r="EW792" s="1638" t="str">
        <f t="shared" si="133"/>
        <v/>
      </c>
      <c r="EX792" s="1638" t="str">
        <f t="shared" si="134"/>
        <v/>
      </c>
      <c r="EY792" s="1638" t="str">
        <f t="shared" si="135"/>
        <v/>
      </c>
      <c r="EZ792" s="1638" t="str">
        <f t="shared" si="136"/>
        <v/>
      </c>
      <c r="FA792" s="1638" t="str">
        <f t="shared" si="137"/>
        <v/>
      </c>
      <c r="FB792" s="1638" t="str">
        <f t="shared" si="138"/>
        <v/>
      </c>
      <c r="FC792" s="1638" t="str">
        <f t="shared" si="139"/>
        <v/>
      </c>
      <c r="FD792" s="1638" t="str">
        <f t="shared" si="140"/>
        <v/>
      </c>
      <c r="FE792" s="1638" t="str">
        <f t="shared" si="141"/>
        <v/>
      </c>
      <c r="FF792" s="1638" t="str">
        <f t="shared" si="142"/>
        <v/>
      </c>
      <c r="FG792" s="1638" t="str">
        <f t="shared" si="143"/>
        <v/>
      </c>
      <c r="FH792" s="1638" t="str">
        <f t="shared" si="144"/>
        <v/>
      </c>
      <c r="FI792" s="1638" t="str">
        <f t="shared" si="145"/>
        <v/>
      </c>
      <c r="FJ792" s="1638" t="str">
        <f t="shared" si="146"/>
        <v/>
      </c>
      <c r="FK792" s="1638" t="str">
        <f t="shared" si="147"/>
        <v/>
      </c>
      <c r="FL792" s="1638" t="str">
        <f t="shared" si="148"/>
        <v/>
      </c>
      <c r="FM792" s="1638" t="str">
        <f t="shared" si="149"/>
        <v/>
      </c>
      <c r="FN792" s="1638" t="str">
        <f t="shared" si="150"/>
        <v/>
      </c>
      <c r="FO792" s="1638" t="str">
        <f t="shared" si="151"/>
        <v/>
      </c>
      <c r="FP792" s="1638" t="str">
        <f t="shared" si="152"/>
        <v/>
      </c>
      <c r="FQ792" s="1638" t="str">
        <f t="shared" si="153"/>
        <v/>
      </c>
      <c r="FR792" s="1638" t="str">
        <f t="shared" si="154"/>
        <v/>
      </c>
      <c r="FS792" s="1638" t="str">
        <f t="shared" si="155"/>
        <v/>
      </c>
      <c r="FT792" s="1638" t="str">
        <f t="shared" si="156"/>
        <v/>
      </c>
      <c r="FU792" s="1638" t="str">
        <f t="shared" si="157"/>
        <v/>
      </c>
      <c r="FV792" s="1638" t="str">
        <f t="shared" si="158"/>
        <v/>
      </c>
      <c r="FW792" s="1638" t="str">
        <f t="shared" si="159"/>
        <v/>
      </c>
      <c r="FX792" s="1638" t="str">
        <f t="shared" si="160"/>
        <v/>
      </c>
      <c r="FY792" s="1638" t="str">
        <f t="shared" si="161"/>
        <v/>
      </c>
      <c r="FZ792" s="1638" t="str">
        <f t="shared" si="162"/>
        <v/>
      </c>
      <c r="GA792" s="1638" t="str">
        <f t="shared" si="163"/>
        <v/>
      </c>
      <c r="GB792" s="1638" t="str">
        <f t="shared" si="164"/>
        <v/>
      </c>
      <c r="GC792" s="1638" t="str">
        <f t="shared" si="165"/>
        <v/>
      </c>
      <c r="GD792" s="1638" t="str">
        <f t="shared" si="166"/>
        <v/>
      </c>
      <c r="GE792" s="1638" t="str">
        <f t="shared" si="167"/>
        <v/>
      </c>
      <c r="GF792" s="1638" t="str">
        <f t="shared" si="168"/>
        <v/>
      </c>
      <c r="GG792" s="1638" t="str">
        <f t="shared" si="169"/>
        <v/>
      </c>
      <c r="GH792" s="1638" t="str">
        <f t="shared" si="170"/>
        <v/>
      </c>
      <c r="GI792" s="1638" t="str">
        <f t="shared" si="171"/>
        <v/>
      </c>
      <c r="GJ792" s="1638" t="str">
        <f t="shared" si="172"/>
        <v/>
      </c>
      <c r="GK792" s="1638" t="str">
        <f t="shared" si="173"/>
        <v/>
      </c>
      <c r="GL792" s="1638" t="str">
        <f t="shared" si="174"/>
        <v/>
      </c>
      <c r="GM792" s="1638" t="str">
        <f t="shared" si="175"/>
        <v/>
      </c>
      <c r="GN792" s="1638" t="str">
        <f t="shared" si="176"/>
        <v/>
      </c>
      <c r="GO792" s="1638" t="str">
        <f t="shared" si="177"/>
        <v/>
      </c>
      <c r="GP792" s="1638" t="str">
        <f t="shared" si="178"/>
        <v/>
      </c>
      <c r="GQ792" s="1638" t="str">
        <f t="shared" si="179"/>
        <v/>
      </c>
      <c r="GR792" s="1638" t="str">
        <f t="shared" si="180"/>
        <v/>
      </c>
      <c r="GS792" s="1638" t="str">
        <f t="shared" si="181"/>
        <v/>
      </c>
      <c r="GT792" s="1638" t="str">
        <f t="shared" si="182"/>
        <v/>
      </c>
      <c r="GU792" s="1638" t="str">
        <f t="shared" si="183"/>
        <v/>
      </c>
      <c r="GV792" s="1638" t="str">
        <f t="shared" si="184"/>
        <v/>
      </c>
      <c r="GW792" s="1638" t="str">
        <f t="shared" si="185"/>
        <v/>
      </c>
      <c r="GX792" s="1638" t="str">
        <f t="shared" si="186"/>
        <v/>
      </c>
      <c r="GY792" s="1638" t="str">
        <f t="shared" si="187"/>
        <v/>
      </c>
      <c r="GZ792" s="1638" t="str">
        <f t="shared" si="188"/>
        <v/>
      </c>
      <c r="HA792" s="1638" t="str">
        <f t="shared" si="189"/>
        <v/>
      </c>
      <c r="HB792" s="1638" t="str">
        <f t="shared" si="190"/>
        <v/>
      </c>
      <c r="HC792" s="1638" t="str">
        <f t="shared" si="191"/>
        <v/>
      </c>
      <c r="HD792" s="1638" t="str">
        <f t="shared" si="192"/>
        <v/>
      </c>
      <c r="HE792" s="1638" t="str">
        <f t="shared" si="193"/>
        <v/>
      </c>
      <c r="HF792" s="1638" t="str">
        <f t="shared" si="194"/>
        <v/>
      </c>
      <c r="HG792" s="1638" t="str">
        <f t="shared" si="195"/>
        <v/>
      </c>
      <c r="HH792" s="1638" t="str">
        <f t="shared" si="196"/>
        <v/>
      </c>
      <c r="HI792" s="1638" t="str">
        <f t="shared" si="197"/>
        <v/>
      </c>
      <c r="HJ792" s="1638" t="str">
        <f t="shared" si="198"/>
        <v/>
      </c>
      <c r="HK792" s="1638" t="str">
        <f t="shared" si="199"/>
        <v/>
      </c>
      <c r="HL792" s="1638" t="str">
        <f t="shared" si="200"/>
        <v/>
      </c>
      <c r="HM792" s="1638" t="str">
        <f t="shared" si="201"/>
        <v/>
      </c>
      <c r="HN792" s="1638" t="str">
        <f t="shared" si="202"/>
        <v/>
      </c>
      <c r="HO792" s="1638" t="str">
        <f t="shared" si="203"/>
        <v/>
      </c>
      <c r="HP792" s="1638" t="str">
        <f t="shared" si="204"/>
        <v/>
      </c>
      <c r="HQ792" s="1638" t="str">
        <f t="shared" si="205"/>
        <v/>
      </c>
      <c r="HR792" s="1638" t="str">
        <f t="shared" si="206"/>
        <v/>
      </c>
      <c r="HS792" s="1638" t="str">
        <f t="shared" si="207"/>
        <v/>
      </c>
      <c r="HT792" s="1638" t="str">
        <f t="shared" si="208"/>
        <v/>
      </c>
      <c r="HU792" s="1638" t="str">
        <f t="shared" si="209"/>
        <v/>
      </c>
      <c r="HV792" s="1638" t="str">
        <f t="shared" si="210"/>
        <v/>
      </c>
      <c r="HW792" s="1638" t="str">
        <f t="shared" si="211"/>
        <v/>
      </c>
      <c r="HX792" s="1638" t="str">
        <f t="shared" si="212"/>
        <v/>
      </c>
      <c r="HY792" s="1638" t="str">
        <f t="shared" si="213"/>
        <v/>
      </c>
      <c r="HZ792" s="1638" t="str">
        <f t="shared" si="214"/>
        <v/>
      </c>
      <c r="IA792" s="1638" t="str">
        <f t="shared" si="215"/>
        <v/>
      </c>
      <c r="IB792" s="1638" t="str">
        <f t="shared" si="216"/>
        <v/>
      </c>
      <c r="IC792" s="1638" t="str">
        <f t="shared" si="217"/>
        <v/>
      </c>
      <c r="ID792" s="1639" t="str">
        <f t="shared" si="218"/>
        <v/>
      </c>
      <c r="IE792" s="1639" t="str">
        <f t="shared" si="219"/>
        <v/>
      </c>
      <c r="IF792" s="1639" t="str">
        <f t="shared" si="220"/>
        <v/>
      </c>
      <c r="IG792" s="1639" t="str">
        <f t="shared" si="221"/>
        <v/>
      </c>
      <c r="IH792" s="1639" t="str">
        <f t="shared" si="222"/>
        <v/>
      </c>
      <c r="II792" s="742" t="str">
        <f t="shared" si="223"/>
        <v/>
      </c>
      <c r="IJ792" s="742" t="str">
        <f t="shared" si="224"/>
        <v/>
      </c>
      <c r="IK792" s="742" t="str">
        <f t="shared" si="225"/>
        <v/>
      </c>
      <c r="IL792" s="742" t="str">
        <f t="shared" si="226"/>
        <v/>
      </c>
      <c r="IM792" s="742" t="str">
        <f t="shared" si="227"/>
        <v/>
      </c>
      <c r="IN792" s="742" t="str">
        <f t="shared" si="228"/>
        <v/>
      </c>
      <c r="IO792" s="742" t="str">
        <f t="shared" si="229"/>
        <v/>
      </c>
      <c r="IP792" s="742" t="str">
        <f t="shared" si="230"/>
        <v/>
      </c>
      <c r="IQ792" s="742" t="str">
        <f t="shared" si="231"/>
        <v/>
      </c>
      <c r="IR792" s="742" t="str">
        <f t="shared" si="232"/>
        <v/>
      </c>
      <c r="IS792" s="742" t="str">
        <f t="shared" si="233"/>
        <v/>
      </c>
      <c r="IT792" s="742" t="str">
        <f t="shared" si="234"/>
        <v/>
      </c>
      <c r="IU792" s="742" t="str">
        <f t="shared" si="235"/>
        <v/>
      </c>
      <c r="IV792" s="742" t="str">
        <f t="shared" si="236"/>
        <v/>
      </c>
      <c r="IW792" s="742" t="str">
        <f t="shared" si="237"/>
        <v/>
      </c>
      <c r="IX792" s="742" t="str">
        <f t="shared" si="238"/>
        <v/>
      </c>
      <c r="IY792" s="742" t="str">
        <f t="shared" si="239"/>
        <v/>
      </c>
      <c r="IZ792" s="742" t="str">
        <f t="shared" si="240"/>
        <v/>
      </c>
      <c r="JA792" s="742" t="str">
        <f t="shared" si="241"/>
        <v/>
      </c>
      <c r="JB792" s="742" t="str">
        <f t="shared" si="242"/>
        <v/>
      </c>
      <c r="JC792" s="1637">
        <f t="shared" si="243"/>
        <v>0</v>
      </c>
      <c r="JD792" s="1637">
        <f t="shared" si="244"/>
        <v>0</v>
      </c>
      <c r="JE792" s="1637">
        <f t="shared" si="245"/>
        <v>0</v>
      </c>
      <c r="JF792" s="1637">
        <f t="shared" si="246"/>
        <v>0</v>
      </c>
      <c r="JG792" s="1637">
        <f t="shared" si="247"/>
        <v>0</v>
      </c>
      <c r="JH792" s="1637">
        <f t="shared" si="248"/>
        <v>0</v>
      </c>
      <c r="JI792" s="1637">
        <f t="shared" si="249"/>
        <v>0</v>
      </c>
      <c r="JJ792" s="1637">
        <f t="shared" si="250"/>
        <v>0</v>
      </c>
      <c r="JK792" s="1637">
        <f t="shared" si="251"/>
        <v>0</v>
      </c>
      <c r="JL792" s="1637">
        <f t="shared" si="252"/>
        <v>0</v>
      </c>
      <c r="JM792" s="1637">
        <f t="shared" si="253"/>
        <v>0</v>
      </c>
      <c r="JN792" s="1637">
        <f t="shared" si="254"/>
        <v>0</v>
      </c>
      <c r="JO792" s="1637">
        <f t="shared" si="255"/>
        <v>0</v>
      </c>
      <c r="JP792" s="1637">
        <f t="shared" si="256"/>
        <v>0</v>
      </c>
      <c r="JQ792" s="1637">
        <f t="shared" si="257"/>
        <v>0</v>
      </c>
    </row>
    <row r="793" spans="1:277" ht="12" customHeight="1">
      <c r="A793" s="1813" t="str">
        <f t="shared" si="0"/>
        <v/>
      </c>
      <c r="B793" s="2145">
        <f>'Part VI-Revenues &amp; Expenses'!B36</f>
        <v>0</v>
      </c>
      <c r="C793" s="2146">
        <f>'Part VI-Revenues &amp; Expenses'!C36</f>
        <v>0</v>
      </c>
      <c r="D793" s="2147">
        <f>'Part VI-Revenues &amp; Expenses'!D36</f>
        <v>0</v>
      </c>
      <c r="E793" s="2148">
        <f>'Part VI-Revenues &amp; Expenses'!E36</f>
        <v>0</v>
      </c>
      <c r="F793" s="2148">
        <f>'Part VI-Revenues &amp; Expenses'!F36</f>
        <v>0</v>
      </c>
      <c r="G793" s="2148">
        <f>'Part VI-Revenues &amp; Expenses'!G36</f>
        <v>0</v>
      </c>
      <c r="H793" s="2148">
        <f>'Part VI-Revenues &amp; Expenses'!H36</f>
        <v>0</v>
      </c>
      <c r="I793" s="2148">
        <f>'Part VI-Revenues &amp; Expenses'!I36</f>
        <v>0</v>
      </c>
      <c r="J793" s="2149">
        <f>'Part VI-Revenues &amp; Expenses'!J36</f>
        <v>0</v>
      </c>
      <c r="K793" s="1822">
        <f t="shared" si="1"/>
        <v>0</v>
      </c>
      <c r="L793" s="1822">
        <f t="shared" si="2"/>
        <v>0</v>
      </c>
      <c r="M793" s="2133">
        <f>'Part VI-Revenues &amp; Expenses'!M36</f>
        <v>0</v>
      </c>
      <c r="N793" s="2133">
        <f>'Part VI-Revenues &amp; Expenses'!N36</f>
        <v>0</v>
      </c>
      <c r="O793" s="2133">
        <f>'Part VI-Revenues &amp; Expenses'!O36</f>
        <v>0</v>
      </c>
      <c r="P793" s="1633">
        <f>'Part VI-Revenues &amp; Expenses'!P36</f>
        <v>0</v>
      </c>
      <c r="Q793" s="1823" t="str">
        <f>'Part VI-Revenues &amp; Expenses'!Q36</f>
        <v/>
      </c>
      <c r="R793" s="1824" t="str">
        <f>'Part VI-Revenues &amp; Expenses'!R36</f>
        <v/>
      </c>
      <c r="S793" s="1823">
        <f>'Part VI-Revenues &amp; Expenses'!S36</f>
        <v>0</v>
      </c>
      <c r="T793" s="1824">
        <f>'Part VI-Revenues &amp; Expenses'!T36</f>
        <v>0</v>
      </c>
      <c r="U793" s="1838"/>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117"/>
        <v/>
      </c>
      <c r="EH793" s="742" t="str">
        <f t="shared" si="118"/>
        <v/>
      </c>
      <c r="EI793" s="742" t="str">
        <f t="shared" si="119"/>
        <v/>
      </c>
      <c r="EJ793" s="742" t="str">
        <f t="shared" si="120"/>
        <v/>
      </c>
      <c r="EK793" s="742" t="str">
        <f t="shared" si="121"/>
        <v/>
      </c>
      <c r="EL793" s="742" t="str">
        <f t="shared" si="122"/>
        <v/>
      </c>
      <c r="EM793" s="742" t="str">
        <f t="shared" si="123"/>
        <v/>
      </c>
      <c r="EN793" s="742" t="str">
        <f t="shared" si="124"/>
        <v/>
      </c>
      <c r="EO793" s="742" t="str">
        <f t="shared" si="125"/>
        <v/>
      </c>
      <c r="EP793" s="742" t="str">
        <f t="shared" si="126"/>
        <v/>
      </c>
      <c r="EQ793" s="742" t="str">
        <f t="shared" si="127"/>
        <v/>
      </c>
      <c r="ER793" s="742" t="str">
        <f t="shared" si="128"/>
        <v/>
      </c>
      <c r="ES793" s="742" t="str">
        <f t="shared" si="129"/>
        <v/>
      </c>
      <c r="ET793" s="742" t="str">
        <f t="shared" si="130"/>
        <v/>
      </c>
      <c r="EU793" s="742" t="str">
        <f t="shared" si="131"/>
        <v/>
      </c>
      <c r="EV793" s="742" t="str">
        <f t="shared" si="132"/>
        <v/>
      </c>
      <c r="EW793" s="1638" t="str">
        <f t="shared" si="133"/>
        <v/>
      </c>
      <c r="EX793" s="1638" t="str">
        <f t="shared" si="134"/>
        <v/>
      </c>
      <c r="EY793" s="1638" t="str">
        <f t="shared" si="135"/>
        <v/>
      </c>
      <c r="EZ793" s="1638" t="str">
        <f t="shared" si="136"/>
        <v/>
      </c>
      <c r="FA793" s="1638" t="str">
        <f t="shared" si="137"/>
        <v/>
      </c>
      <c r="FB793" s="1638" t="str">
        <f t="shared" si="138"/>
        <v/>
      </c>
      <c r="FC793" s="1638" t="str">
        <f t="shared" si="139"/>
        <v/>
      </c>
      <c r="FD793" s="1638" t="str">
        <f t="shared" si="140"/>
        <v/>
      </c>
      <c r="FE793" s="1638" t="str">
        <f t="shared" si="141"/>
        <v/>
      </c>
      <c r="FF793" s="1638" t="str">
        <f t="shared" si="142"/>
        <v/>
      </c>
      <c r="FG793" s="1638" t="str">
        <f t="shared" si="143"/>
        <v/>
      </c>
      <c r="FH793" s="1638" t="str">
        <f t="shared" si="144"/>
        <v/>
      </c>
      <c r="FI793" s="1638" t="str">
        <f t="shared" si="145"/>
        <v/>
      </c>
      <c r="FJ793" s="1638" t="str">
        <f t="shared" si="146"/>
        <v/>
      </c>
      <c r="FK793" s="1638" t="str">
        <f t="shared" si="147"/>
        <v/>
      </c>
      <c r="FL793" s="1638" t="str">
        <f t="shared" si="148"/>
        <v/>
      </c>
      <c r="FM793" s="1638" t="str">
        <f t="shared" si="149"/>
        <v/>
      </c>
      <c r="FN793" s="1638" t="str">
        <f t="shared" si="150"/>
        <v/>
      </c>
      <c r="FO793" s="1638" t="str">
        <f t="shared" si="151"/>
        <v/>
      </c>
      <c r="FP793" s="1638" t="str">
        <f t="shared" si="152"/>
        <v/>
      </c>
      <c r="FQ793" s="1638" t="str">
        <f t="shared" si="153"/>
        <v/>
      </c>
      <c r="FR793" s="1638" t="str">
        <f t="shared" si="154"/>
        <v/>
      </c>
      <c r="FS793" s="1638" t="str">
        <f t="shared" si="155"/>
        <v/>
      </c>
      <c r="FT793" s="1638" t="str">
        <f t="shared" si="156"/>
        <v/>
      </c>
      <c r="FU793" s="1638" t="str">
        <f t="shared" si="157"/>
        <v/>
      </c>
      <c r="FV793" s="1638" t="str">
        <f t="shared" si="158"/>
        <v/>
      </c>
      <c r="FW793" s="1638" t="str">
        <f t="shared" si="159"/>
        <v/>
      </c>
      <c r="FX793" s="1638" t="str">
        <f t="shared" si="160"/>
        <v/>
      </c>
      <c r="FY793" s="1638" t="str">
        <f t="shared" si="161"/>
        <v/>
      </c>
      <c r="FZ793" s="1638" t="str">
        <f t="shared" si="162"/>
        <v/>
      </c>
      <c r="GA793" s="1638" t="str">
        <f t="shared" si="163"/>
        <v/>
      </c>
      <c r="GB793" s="1638" t="str">
        <f t="shared" si="164"/>
        <v/>
      </c>
      <c r="GC793" s="1638" t="str">
        <f t="shared" si="165"/>
        <v/>
      </c>
      <c r="GD793" s="1638" t="str">
        <f t="shared" si="166"/>
        <v/>
      </c>
      <c r="GE793" s="1638" t="str">
        <f t="shared" si="167"/>
        <v/>
      </c>
      <c r="GF793" s="1638" t="str">
        <f t="shared" si="168"/>
        <v/>
      </c>
      <c r="GG793" s="1638" t="str">
        <f t="shared" si="169"/>
        <v/>
      </c>
      <c r="GH793" s="1638" t="str">
        <f t="shared" si="170"/>
        <v/>
      </c>
      <c r="GI793" s="1638" t="str">
        <f t="shared" si="171"/>
        <v/>
      </c>
      <c r="GJ793" s="1638" t="str">
        <f t="shared" si="172"/>
        <v/>
      </c>
      <c r="GK793" s="1638" t="str">
        <f t="shared" si="173"/>
        <v/>
      </c>
      <c r="GL793" s="1638" t="str">
        <f t="shared" si="174"/>
        <v/>
      </c>
      <c r="GM793" s="1638" t="str">
        <f t="shared" si="175"/>
        <v/>
      </c>
      <c r="GN793" s="1638" t="str">
        <f t="shared" si="176"/>
        <v/>
      </c>
      <c r="GO793" s="1638" t="str">
        <f t="shared" si="177"/>
        <v/>
      </c>
      <c r="GP793" s="1638" t="str">
        <f t="shared" si="178"/>
        <v/>
      </c>
      <c r="GQ793" s="1638" t="str">
        <f t="shared" si="179"/>
        <v/>
      </c>
      <c r="GR793" s="1638" t="str">
        <f t="shared" si="180"/>
        <v/>
      </c>
      <c r="GS793" s="1638" t="str">
        <f t="shared" si="181"/>
        <v/>
      </c>
      <c r="GT793" s="1638" t="str">
        <f t="shared" si="182"/>
        <v/>
      </c>
      <c r="GU793" s="1638" t="str">
        <f t="shared" si="183"/>
        <v/>
      </c>
      <c r="GV793" s="1638" t="str">
        <f t="shared" si="184"/>
        <v/>
      </c>
      <c r="GW793" s="1638" t="str">
        <f t="shared" si="185"/>
        <v/>
      </c>
      <c r="GX793" s="1638" t="str">
        <f t="shared" si="186"/>
        <v/>
      </c>
      <c r="GY793" s="1638" t="str">
        <f t="shared" si="187"/>
        <v/>
      </c>
      <c r="GZ793" s="1638" t="str">
        <f t="shared" si="188"/>
        <v/>
      </c>
      <c r="HA793" s="1638" t="str">
        <f t="shared" si="189"/>
        <v/>
      </c>
      <c r="HB793" s="1638" t="str">
        <f t="shared" si="190"/>
        <v/>
      </c>
      <c r="HC793" s="1638" t="str">
        <f t="shared" si="191"/>
        <v/>
      </c>
      <c r="HD793" s="1638" t="str">
        <f t="shared" si="192"/>
        <v/>
      </c>
      <c r="HE793" s="1638" t="str">
        <f t="shared" si="193"/>
        <v/>
      </c>
      <c r="HF793" s="1638" t="str">
        <f t="shared" si="194"/>
        <v/>
      </c>
      <c r="HG793" s="1638" t="str">
        <f t="shared" si="195"/>
        <v/>
      </c>
      <c r="HH793" s="1638" t="str">
        <f t="shared" si="196"/>
        <v/>
      </c>
      <c r="HI793" s="1638" t="str">
        <f t="shared" si="197"/>
        <v/>
      </c>
      <c r="HJ793" s="1638" t="str">
        <f t="shared" si="198"/>
        <v/>
      </c>
      <c r="HK793" s="1638" t="str">
        <f t="shared" si="199"/>
        <v/>
      </c>
      <c r="HL793" s="1638" t="str">
        <f t="shared" si="200"/>
        <v/>
      </c>
      <c r="HM793" s="1638" t="str">
        <f t="shared" si="201"/>
        <v/>
      </c>
      <c r="HN793" s="1638" t="str">
        <f t="shared" si="202"/>
        <v/>
      </c>
      <c r="HO793" s="1638" t="str">
        <f t="shared" si="203"/>
        <v/>
      </c>
      <c r="HP793" s="1638" t="str">
        <f t="shared" si="204"/>
        <v/>
      </c>
      <c r="HQ793" s="1638" t="str">
        <f t="shared" si="205"/>
        <v/>
      </c>
      <c r="HR793" s="1638" t="str">
        <f t="shared" si="206"/>
        <v/>
      </c>
      <c r="HS793" s="1638" t="str">
        <f t="shared" si="207"/>
        <v/>
      </c>
      <c r="HT793" s="1638" t="str">
        <f t="shared" si="208"/>
        <v/>
      </c>
      <c r="HU793" s="1638" t="str">
        <f t="shared" si="209"/>
        <v/>
      </c>
      <c r="HV793" s="1638" t="str">
        <f t="shared" si="210"/>
        <v/>
      </c>
      <c r="HW793" s="1638" t="str">
        <f t="shared" si="211"/>
        <v/>
      </c>
      <c r="HX793" s="1638" t="str">
        <f t="shared" si="212"/>
        <v/>
      </c>
      <c r="HY793" s="1638" t="str">
        <f t="shared" si="213"/>
        <v/>
      </c>
      <c r="HZ793" s="1638" t="str">
        <f t="shared" si="214"/>
        <v/>
      </c>
      <c r="IA793" s="1638" t="str">
        <f t="shared" si="215"/>
        <v/>
      </c>
      <c r="IB793" s="1638" t="str">
        <f t="shared" si="216"/>
        <v/>
      </c>
      <c r="IC793" s="1638" t="str">
        <f t="shared" si="217"/>
        <v/>
      </c>
      <c r="ID793" s="1639" t="str">
        <f t="shared" si="218"/>
        <v/>
      </c>
      <c r="IE793" s="1639" t="str">
        <f t="shared" si="219"/>
        <v/>
      </c>
      <c r="IF793" s="1639" t="str">
        <f t="shared" si="220"/>
        <v/>
      </c>
      <c r="IG793" s="1639" t="str">
        <f t="shared" si="221"/>
        <v/>
      </c>
      <c r="IH793" s="1639" t="str">
        <f t="shared" si="222"/>
        <v/>
      </c>
      <c r="II793" s="742" t="str">
        <f t="shared" si="223"/>
        <v/>
      </c>
      <c r="IJ793" s="742" t="str">
        <f t="shared" si="224"/>
        <v/>
      </c>
      <c r="IK793" s="742" t="str">
        <f t="shared" si="225"/>
        <v/>
      </c>
      <c r="IL793" s="742" t="str">
        <f t="shared" si="226"/>
        <v/>
      </c>
      <c r="IM793" s="742" t="str">
        <f t="shared" si="227"/>
        <v/>
      </c>
      <c r="IN793" s="742" t="str">
        <f t="shared" si="228"/>
        <v/>
      </c>
      <c r="IO793" s="742" t="str">
        <f t="shared" si="229"/>
        <v/>
      </c>
      <c r="IP793" s="742" t="str">
        <f t="shared" si="230"/>
        <v/>
      </c>
      <c r="IQ793" s="742" t="str">
        <f t="shared" si="231"/>
        <v/>
      </c>
      <c r="IR793" s="742" t="str">
        <f t="shared" si="232"/>
        <v/>
      </c>
      <c r="IS793" s="742" t="str">
        <f t="shared" si="233"/>
        <v/>
      </c>
      <c r="IT793" s="742" t="str">
        <f t="shared" si="234"/>
        <v/>
      </c>
      <c r="IU793" s="742" t="str">
        <f t="shared" si="235"/>
        <v/>
      </c>
      <c r="IV793" s="742" t="str">
        <f t="shared" si="236"/>
        <v/>
      </c>
      <c r="IW793" s="742" t="str">
        <f t="shared" si="237"/>
        <v/>
      </c>
      <c r="IX793" s="742" t="str">
        <f t="shared" si="238"/>
        <v/>
      </c>
      <c r="IY793" s="742" t="str">
        <f t="shared" si="239"/>
        <v/>
      </c>
      <c r="IZ793" s="742" t="str">
        <f t="shared" si="240"/>
        <v/>
      </c>
      <c r="JA793" s="742" t="str">
        <f t="shared" si="241"/>
        <v/>
      </c>
      <c r="JB793" s="742" t="str">
        <f t="shared" si="242"/>
        <v/>
      </c>
      <c r="JC793" s="1637">
        <f t="shared" si="243"/>
        <v>0</v>
      </c>
      <c r="JD793" s="1637">
        <f t="shared" si="244"/>
        <v>0</v>
      </c>
      <c r="JE793" s="1637">
        <f t="shared" si="245"/>
        <v>0</v>
      </c>
      <c r="JF793" s="1637">
        <f t="shared" si="246"/>
        <v>0</v>
      </c>
      <c r="JG793" s="1637">
        <f t="shared" si="247"/>
        <v>0</v>
      </c>
      <c r="JH793" s="1637">
        <f t="shared" si="248"/>
        <v>0</v>
      </c>
      <c r="JI793" s="1637">
        <f t="shared" si="249"/>
        <v>0</v>
      </c>
      <c r="JJ793" s="1637">
        <f t="shared" si="250"/>
        <v>0</v>
      </c>
      <c r="JK793" s="1637">
        <f t="shared" si="251"/>
        <v>0</v>
      </c>
      <c r="JL793" s="1637">
        <f t="shared" si="252"/>
        <v>0</v>
      </c>
      <c r="JM793" s="1637">
        <f t="shared" si="253"/>
        <v>0</v>
      </c>
      <c r="JN793" s="1637">
        <f t="shared" si="254"/>
        <v>0</v>
      </c>
      <c r="JO793" s="1637">
        <f t="shared" si="255"/>
        <v>0</v>
      </c>
      <c r="JP793" s="1637">
        <f t="shared" si="256"/>
        <v>0</v>
      </c>
      <c r="JQ793" s="1637">
        <f t="shared" si="257"/>
        <v>0</v>
      </c>
    </row>
    <row r="794" spans="1:277" ht="12" customHeight="1">
      <c r="A794" s="1813" t="str">
        <f t="shared" si="0"/>
        <v/>
      </c>
      <c r="B794" s="2145">
        <f>'Part VI-Revenues &amp; Expenses'!B37</f>
        <v>0</v>
      </c>
      <c r="C794" s="2146">
        <f>'Part VI-Revenues &amp; Expenses'!C37</f>
        <v>0</v>
      </c>
      <c r="D794" s="2147">
        <f>'Part VI-Revenues &amp; Expenses'!D37</f>
        <v>0</v>
      </c>
      <c r="E794" s="2148">
        <f>'Part VI-Revenues &amp; Expenses'!E37</f>
        <v>0</v>
      </c>
      <c r="F794" s="2148">
        <f>'Part VI-Revenues &amp; Expenses'!F37</f>
        <v>0</v>
      </c>
      <c r="G794" s="2148">
        <f>'Part VI-Revenues &amp; Expenses'!G37</f>
        <v>0</v>
      </c>
      <c r="H794" s="2148">
        <f>'Part VI-Revenues &amp; Expenses'!H37</f>
        <v>0</v>
      </c>
      <c r="I794" s="2148">
        <f>'Part VI-Revenues &amp; Expenses'!I37</f>
        <v>0</v>
      </c>
      <c r="J794" s="2149">
        <f>'Part VI-Revenues &amp; Expenses'!J37</f>
        <v>0</v>
      </c>
      <c r="K794" s="1822">
        <f t="shared" si="1"/>
        <v>0</v>
      </c>
      <c r="L794" s="1822">
        <f t="shared" si="2"/>
        <v>0</v>
      </c>
      <c r="M794" s="2133">
        <f>'Part VI-Revenues &amp; Expenses'!M37</f>
        <v>0</v>
      </c>
      <c r="N794" s="2133">
        <f>'Part VI-Revenues &amp; Expenses'!N37</f>
        <v>0</v>
      </c>
      <c r="O794" s="2133">
        <f>'Part VI-Revenues &amp; Expenses'!O37</f>
        <v>0</v>
      </c>
      <c r="P794" s="1633">
        <f>'Part VI-Revenues &amp; Expenses'!P37</f>
        <v>0</v>
      </c>
      <c r="Q794" s="1823" t="str">
        <f>'Part VI-Revenues &amp; Expenses'!Q37</f>
        <v/>
      </c>
      <c r="R794" s="1824" t="str">
        <f>'Part VI-Revenues &amp; Expenses'!R37</f>
        <v/>
      </c>
      <c r="S794" s="1823">
        <f>'Part VI-Revenues &amp; Expenses'!S37</f>
        <v>0</v>
      </c>
      <c r="T794" s="1824">
        <f>'Part VI-Revenues &amp; Expenses'!T37</f>
        <v>0</v>
      </c>
      <c r="U794" s="1838"/>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117"/>
        <v/>
      </c>
      <c r="EH794" s="742" t="str">
        <f t="shared" si="118"/>
        <v/>
      </c>
      <c r="EI794" s="742" t="str">
        <f t="shared" si="119"/>
        <v/>
      </c>
      <c r="EJ794" s="742" t="str">
        <f t="shared" si="120"/>
        <v/>
      </c>
      <c r="EK794" s="742" t="str">
        <f t="shared" si="121"/>
        <v/>
      </c>
      <c r="EL794" s="742" t="str">
        <f t="shared" si="122"/>
        <v/>
      </c>
      <c r="EM794" s="742" t="str">
        <f t="shared" si="123"/>
        <v/>
      </c>
      <c r="EN794" s="742" t="str">
        <f t="shared" si="124"/>
        <v/>
      </c>
      <c r="EO794" s="742" t="str">
        <f t="shared" si="125"/>
        <v/>
      </c>
      <c r="EP794" s="742" t="str">
        <f t="shared" si="126"/>
        <v/>
      </c>
      <c r="EQ794" s="742" t="str">
        <f t="shared" si="127"/>
        <v/>
      </c>
      <c r="ER794" s="742" t="str">
        <f t="shared" si="128"/>
        <v/>
      </c>
      <c r="ES794" s="742" t="str">
        <f t="shared" si="129"/>
        <v/>
      </c>
      <c r="ET794" s="742" t="str">
        <f t="shared" si="130"/>
        <v/>
      </c>
      <c r="EU794" s="742" t="str">
        <f t="shared" si="131"/>
        <v/>
      </c>
      <c r="EV794" s="742" t="str">
        <f t="shared" si="132"/>
        <v/>
      </c>
      <c r="EW794" s="1638" t="str">
        <f t="shared" si="133"/>
        <v/>
      </c>
      <c r="EX794" s="1638" t="str">
        <f t="shared" si="134"/>
        <v/>
      </c>
      <c r="EY794" s="1638" t="str">
        <f t="shared" si="135"/>
        <v/>
      </c>
      <c r="EZ794" s="1638" t="str">
        <f t="shared" si="136"/>
        <v/>
      </c>
      <c r="FA794" s="1638" t="str">
        <f t="shared" si="137"/>
        <v/>
      </c>
      <c r="FB794" s="1638" t="str">
        <f t="shared" si="138"/>
        <v/>
      </c>
      <c r="FC794" s="1638" t="str">
        <f t="shared" si="139"/>
        <v/>
      </c>
      <c r="FD794" s="1638" t="str">
        <f t="shared" si="140"/>
        <v/>
      </c>
      <c r="FE794" s="1638" t="str">
        <f t="shared" si="141"/>
        <v/>
      </c>
      <c r="FF794" s="1638" t="str">
        <f t="shared" si="142"/>
        <v/>
      </c>
      <c r="FG794" s="1638" t="str">
        <f t="shared" si="143"/>
        <v/>
      </c>
      <c r="FH794" s="1638" t="str">
        <f t="shared" si="144"/>
        <v/>
      </c>
      <c r="FI794" s="1638" t="str">
        <f t="shared" si="145"/>
        <v/>
      </c>
      <c r="FJ794" s="1638" t="str">
        <f t="shared" si="146"/>
        <v/>
      </c>
      <c r="FK794" s="1638" t="str">
        <f t="shared" si="147"/>
        <v/>
      </c>
      <c r="FL794" s="1638" t="str">
        <f t="shared" si="148"/>
        <v/>
      </c>
      <c r="FM794" s="1638" t="str">
        <f t="shared" si="149"/>
        <v/>
      </c>
      <c r="FN794" s="1638" t="str">
        <f t="shared" si="150"/>
        <v/>
      </c>
      <c r="FO794" s="1638" t="str">
        <f t="shared" si="151"/>
        <v/>
      </c>
      <c r="FP794" s="1638" t="str">
        <f t="shared" si="152"/>
        <v/>
      </c>
      <c r="FQ794" s="1638" t="str">
        <f t="shared" si="153"/>
        <v/>
      </c>
      <c r="FR794" s="1638" t="str">
        <f t="shared" si="154"/>
        <v/>
      </c>
      <c r="FS794" s="1638" t="str">
        <f t="shared" si="155"/>
        <v/>
      </c>
      <c r="FT794" s="1638" t="str">
        <f t="shared" si="156"/>
        <v/>
      </c>
      <c r="FU794" s="1638" t="str">
        <f t="shared" si="157"/>
        <v/>
      </c>
      <c r="FV794" s="1638" t="str">
        <f t="shared" si="158"/>
        <v/>
      </c>
      <c r="FW794" s="1638" t="str">
        <f t="shared" si="159"/>
        <v/>
      </c>
      <c r="FX794" s="1638" t="str">
        <f t="shared" si="160"/>
        <v/>
      </c>
      <c r="FY794" s="1638" t="str">
        <f t="shared" si="161"/>
        <v/>
      </c>
      <c r="FZ794" s="1638" t="str">
        <f t="shared" si="162"/>
        <v/>
      </c>
      <c r="GA794" s="1638" t="str">
        <f t="shared" si="163"/>
        <v/>
      </c>
      <c r="GB794" s="1638" t="str">
        <f t="shared" si="164"/>
        <v/>
      </c>
      <c r="GC794" s="1638" t="str">
        <f t="shared" si="165"/>
        <v/>
      </c>
      <c r="GD794" s="1638" t="str">
        <f t="shared" si="166"/>
        <v/>
      </c>
      <c r="GE794" s="1638" t="str">
        <f t="shared" si="167"/>
        <v/>
      </c>
      <c r="GF794" s="1638" t="str">
        <f t="shared" si="168"/>
        <v/>
      </c>
      <c r="GG794" s="1638" t="str">
        <f t="shared" si="169"/>
        <v/>
      </c>
      <c r="GH794" s="1638" t="str">
        <f t="shared" si="170"/>
        <v/>
      </c>
      <c r="GI794" s="1638" t="str">
        <f t="shared" si="171"/>
        <v/>
      </c>
      <c r="GJ794" s="1638" t="str">
        <f t="shared" si="172"/>
        <v/>
      </c>
      <c r="GK794" s="1638" t="str">
        <f t="shared" si="173"/>
        <v/>
      </c>
      <c r="GL794" s="1638" t="str">
        <f t="shared" si="174"/>
        <v/>
      </c>
      <c r="GM794" s="1638" t="str">
        <f t="shared" si="175"/>
        <v/>
      </c>
      <c r="GN794" s="1638" t="str">
        <f t="shared" si="176"/>
        <v/>
      </c>
      <c r="GO794" s="1638" t="str">
        <f t="shared" si="177"/>
        <v/>
      </c>
      <c r="GP794" s="1638" t="str">
        <f t="shared" si="178"/>
        <v/>
      </c>
      <c r="GQ794" s="1638" t="str">
        <f t="shared" si="179"/>
        <v/>
      </c>
      <c r="GR794" s="1638" t="str">
        <f t="shared" si="180"/>
        <v/>
      </c>
      <c r="GS794" s="1638" t="str">
        <f t="shared" si="181"/>
        <v/>
      </c>
      <c r="GT794" s="1638" t="str">
        <f t="shared" si="182"/>
        <v/>
      </c>
      <c r="GU794" s="1638" t="str">
        <f t="shared" si="183"/>
        <v/>
      </c>
      <c r="GV794" s="1638" t="str">
        <f t="shared" si="184"/>
        <v/>
      </c>
      <c r="GW794" s="1638" t="str">
        <f t="shared" si="185"/>
        <v/>
      </c>
      <c r="GX794" s="1638" t="str">
        <f t="shared" si="186"/>
        <v/>
      </c>
      <c r="GY794" s="1638" t="str">
        <f t="shared" si="187"/>
        <v/>
      </c>
      <c r="GZ794" s="1638" t="str">
        <f t="shared" si="188"/>
        <v/>
      </c>
      <c r="HA794" s="1638" t="str">
        <f t="shared" si="189"/>
        <v/>
      </c>
      <c r="HB794" s="1638" t="str">
        <f t="shared" si="190"/>
        <v/>
      </c>
      <c r="HC794" s="1638" t="str">
        <f t="shared" si="191"/>
        <v/>
      </c>
      <c r="HD794" s="1638" t="str">
        <f t="shared" si="192"/>
        <v/>
      </c>
      <c r="HE794" s="1638" t="str">
        <f t="shared" si="193"/>
        <v/>
      </c>
      <c r="HF794" s="1638" t="str">
        <f t="shared" si="194"/>
        <v/>
      </c>
      <c r="HG794" s="1638" t="str">
        <f t="shared" si="195"/>
        <v/>
      </c>
      <c r="HH794" s="1638" t="str">
        <f t="shared" si="196"/>
        <v/>
      </c>
      <c r="HI794" s="1638" t="str">
        <f t="shared" si="197"/>
        <v/>
      </c>
      <c r="HJ794" s="1638" t="str">
        <f t="shared" si="198"/>
        <v/>
      </c>
      <c r="HK794" s="1638" t="str">
        <f t="shared" si="199"/>
        <v/>
      </c>
      <c r="HL794" s="1638" t="str">
        <f t="shared" si="200"/>
        <v/>
      </c>
      <c r="HM794" s="1638" t="str">
        <f t="shared" si="201"/>
        <v/>
      </c>
      <c r="HN794" s="1638" t="str">
        <f t="shared" si="202"/>
        <v/>
      </c>
      <c r="HO794" s="1638" t="str">
        <f t="shared" si="203"/>
        <v/>
      </c>
      <c r="HP794" s="1638" t="str">
        <f t="shared" si="204"/>
        <v/>
      </c>
      <c r="HQ794" s="1638" t="str">
        <f t="shared" si="205"/>
        <v/>
      </c>
      <c r="HR794" s="1638" t="str">
        <f t="shared" si="206"/>
        <v/>
      </c>
      <c r="HS794" s="1638" t="str">
        <f t="shared" si="207"/>
        <v/>
      </c>
      <c r="HT794" s="1638" t="str">
        <f t="shared" si="208"/>
        <v/>
      </c>
      <c r="HU794" s="1638" t="str">
        <f t="shared" si="209"/>
        <v/>
      </c>
      <c r="HV794" s="1638" t="str">
        <f t="shared" si="210"/>
        <v/>
      </c>
      <c r="HW794" s="1638" t="str">
        <f t="shared" si="211"/>
        <v/>
      </c>
      <c r="HX794" s="1638" t="str">
        <f t="shared" si="212"/>
        <v/>
      </c>
      <c r="HY794" s="1638" t="str">
        <f t="shared" si="213"/>
        <v/>
      </c>
      <c r="HZ794" s="1638" t="str">
        <f t="shared" si="214"/>
        <v/>
      </c>
      <c r="IA794" s="1638" t="str">
        <f t="shared" si="215"/>
        <v/>
      </c>
      <c r="IB794" s="1638" t="str">
        <f t="shared" si="216"/>
        <v/>
      </c>
      <c r="IC794" s="1638" t="str">
        <f t="shared" si="217"/>
        <v/>
      </c>
      <c r="ID794" s="1639" t="str">
        <f t="shared" si="218"/>
        <v/>
      </c>
      <c r="IE794" s="1639" t="str">
        <f t="shared" si="219"/>
        <v/>
      </c>
      <c r="IF794" s="1639" t="str">
        <f t="shared" si="220"/>
        <v/>
      </c>
      <c r="IG794" s="1639" t="str">
        <f t="shared" si="221"/>
        <v/>
      </c>
      <c r="IH794" s="1639" t="str">
        <f t="shared" si="222"/>
        <v/>
      </c>
      <c r="II794" s="742" t="str">
        <f t="shared" si="223"/>
        <v/>
      </c>
      <c r="IJ794" s="742" t="str">
        <f t="shared" si="224"/>
        <v/>
      </c>
      <c r="IK794" s="742" t="str">
        <f t="shared" si="225"/>
        <v/>
      </c>
      <c r="IL794" s="742" t="str">
        <f t="shared" si="226"/>
        <v/>
      </c>
      <c r="IM794" s="742" t="str">
        <f t="shared" si="227"/>
        <v/>
      </c>
      <c r="IN794" s="742" t="str">
        <f t="shared" si="228"/>
        <v/>
      </c>
      <c r="IO794" s="742" t="str">
        <f t="shared" si="229"/>
        <v/>
      </c>
      <c r="IP794" s="742" t="str">
        <f t="shared" si="230"/>
        <v/>
      </c>
      <c r="IQ794" s="742" t="str">
        <f t="shared" si="231"/>
        <v/>
      </c>
      <c r="IR794" s="742" t="str">
        <f t="shared" si="232"/>
        <v/>
      </c>
      <c r="IS794" s="742" t="str">
        <f t="shared" si="233"/>
        <v/>
      </c>
      <c r="IT794" s="742" t="str">
        <f t="shared" si="234"/>
        <v/>
      </c>
      <c r="IU794" s="742" t="str">
        <f t="shared" si="235"/>
        <v/>
      </c>
      <c r="IV794" s="742" t="str">
        <f t="shared" si="236"/>
        <v/>
      </c>
      <c r="IW794" s="742" t="str">
        <f t="shared" si="237"/>
        <v/>
      </c>
      <c r="IX794" s="742" t="str">
        <f t="shared" si="238"/>
        <v/>
      </c>
      <c r="IY794" s="742" t="str">
        <f t="shared" si="239"/>
        <v/>
      </c>
      <c r="IZ794" s="742" t="str">
        <f t="shared" si="240"/>
        <v/>
      </c>
      <c r="JA794" s="742" t="str">
        <f t="shared" si="241"/>
        <v/>
      </c>
      <c r="JB794" s="742" t="str">
        <f t="shared" si="242"/>
        <v/>
      </c>
      <c r="JC794" s="1637">
        <f t="shared" si="243"/>
        <v>0</v>
      </c>
      <c r="JD794" s="1637">
        <f t="shared" si="244"/>
        <v>0</v>
      </c>
      <c r="JE794" s="1637">
        <f t="shared" si="245"/>
        <v>0</v>
      </c>
      <c r="JF794" s="1637">
        <f t="shared" si="246"/>
        <v>0</v>
      </c>
      <c r="JG794" s="1637">
        <f t="shared" si="247"/>
        <v>0</v>
      </c>
      <c r="JH794" s="1637">
        <f t="shared" si="248"/>
        <v>0</v>
      </c>
      <c r="JI794" s="1637">
        <f t="shared" si="249"/>
        <v>0</v>
      </c>
      <c r="JJ794" s="1637">
        <f t="shared" si="250"/>
        <v>0</v>
      </c>
      <c r="JK794" s="1637">
        <f t="shared" si="251"/>
        <v>0</v>
      </c>
      <c r="JL794" s="1637">
        <f t="shared" si="252"/>
        <v>0</v>
      </c>
      <c r="JM794" s="1637">
        <f t="shared" si="253"/>
        <v>0</v>
      </c>
      <c r="JN794" s="1637">
        <f t="shared" si="254"/>
        <v>0</v>
      </c>
      <c r="JO794" s="1637">
        <f t="shared" si="255"/>
        <v>0</v>
      </c>
      <c r="JP794" s="1637">
        <f t="shared" si="256"/>
        <v>0</v>
      </c>
      <c r="JQ794" s="1637">
        <f t="shared" si="257"/>
        <v>0</v>
      </c>
    </row>
    <row r="795" spans="1:277" ht="12" customHeight="1">
      <c r="A795" s="1813" t="str">
        <f t="shared" si="0"/>
        <v/>
      </c>
      <c r="B795" s="2145">
        <f>'Part VI-Revenues &amp; Expenses'!B38</f>
        <v>0</v>
      </c>
      <c r="C795" s="2146">
        <f>'Part VI-Revenues &amp; Expenses'!C38</f>
        <v>0</v>
      </c>
      <c r="D795" s="2147">
        <f>'Part VI-Revenues &amp; Expenses'!D38</f>
        <v>0</v>
      </c>
      <c r="E795" s="2148">
        <f>'Part VI-Revenues &amp; Expenses'!E38</f>
        <v>0</v>
      </c>
      <c r="F795" s="2148">
        <f>'Part VI-Revenues &amp; Expenses'!F38</f>
        <v>0</v>
      </c>
      <c r="G795" s="2148">
        <f>'Part VI-Revenues &amp; Expenses'!G38</f>
        <v>0</v>
      </c>
      <c r="H795" s="2148">
        <f>'Part VI-Revenues &amp; Expenses'!H38</f>
        <v>0</v>
      </c>
      <c r="I795" s="2148">
        <f>'Part VI-Revenues &amp; Expenses'!I38</f>
        <v>0</v>
      </c>
      <c r="J795" s="2149">
        <f>'Part VI-Revenues &amp; Expenses'!J38</f>
        <v>0</v>
      </c>
      <c r="K795" s="1822">
        <f t="shared" si="1"/>
        <v>0</v>
      </c>
      <c r="L795" s="1822">
        <f t="shared" si="2"/>
        <v>0</v>
      </c>
      <c r="M795" s="2133">
        <f>'Part VI-Revenues &amp; Expenses'!M38</f>
        <v>0</v>
      </c>
      <c r="N795" s="2133">
        <f>'Part VI-Revenues &amp; Expenses'!N38</f>
        <v>0</v>
      </c>
      <c r="O795" s="2133">
        <f>'Part VI-Revenues &amp; Expenses'!O38</f>
        <v>0</v>
      </c>
      <c r="P795" s="1633">
        <f>'Part VI-Revenues &amp; Expenses'!P38</f>
        <v>0</v>
      </c>
      <c r="Q795" s="1823" t="str">
        <f>'Part VI-Revenues &amp; Expenses'!Q38</f>
        <v/>
      </c>
      <c r="R795" s="1824" t="str">
        <f>'Part VI-Revenues &amp; Expenses'!R38</f>
        <v/>
      </c>
      <c r="S795" s="1823">
        <f>'Part VI-Revenues &amp; Expenses'!S38</f>
        <v>0</v>
      </c>
      <c r="T795" s="1824">
        <f>'Part VI-Revenues &amp; Expenses'!T38</f>
        <v>0</v>
      </c>
      <c r="U795" s="1838"/>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117"/>
        <v/>
      </c>
      <c r="EH795" s="742" t="str">
        <f t="shared" si="118"/>
        <v/>
      </c>
      <c r="EI795" s="742" t="str">
        <f t="shared" si="119"/>
        <v/>
      </c>
      <c r="EJ795" s="742" t="str">
        <f t="shared" si="120"/>
        <v/>
      </c>
      <c r="EK795" s="742" t="str">
        <f t="shared" si="121"/>
        <v/>
      </c>
      <c r="EL795" s="742" t="str">
        <f t="shared" si="122"/>
        <v/>
      </c>
      <c r="EM795" s="742" t="str">
        <f t="shared" si="123"/>
        <v/>
      </c>
      <c r="EN795" s="742" t="str">
        <f t="shared" si="124"/>
        <v/>
      </c>
      <c r="EO795" s="742" t="str">
        <f t="shared" si="125"/>
        <v/>
      </c>
      <c r="EP795" s="742" t="str">
        <f t="shared" si="126"/>
        <v/>
      </c>
      <c r="EQ795" s="742" t="str">
        <f t="shared" si="127"/>
        <v/>
      </c>
      <c r="ER795" s="742" t="str">
        <f t="shared" si="128"/>
        <v/>
      </c>
      <c r="ES795" s="742" t="str">
        <f t="shared" si="129"/>
        <v/>
      </c>
      <c r="ET795" s="742" t="str">
        <f t="shared" si="130"/>
        <v/>
      </c>
      <c r="EU795" s="742" t="str">
        <f t="shared" si="131"/>
        <v/>
      </c>
      <c r="EV795" s="742" t="str">
        <f t="shared" si="132"/>
        <v/>
      </c>
      <c r="EW795" s="1638" t="str">
        <f t="shared" si="133"/>
        <v/>
      </c>
      <c r="EX795" s="1638" t="str">
        <f t="shared" si="134"/>
        <v/>
      </c>
      <c r="EY795" s="1638" t="str">
        <f t="shared" si="135"/>
        <v/>
      </c>
      <c r="EZ795" s="1638" t="str">
        <f t="shared" si="136"/>
        <v/>
      </c>
      <c r="FA795" s="1638" t="str">
        <f t="shared" si="137"/>
        <v/>
      </c>
      <c r="FB795" s="1638" t="str">
        <f t="shared" si="138"/>
        <v/>
      </c>
      <c r="FC795" s="1638" t="str">
        <f t="shared" si="139"/>
        <v/>
      </c>
      <c r="FD795" s="1638" t="str">
        <f t="shared" si="140"/>
        <v/>
      </c>
      <c r="FE795" s="1638" t="str">
        <f t="shared" si="141"/>
        <v/>
      </c>
      <c r="FF795" s="1638" t="str">
        <f t="shared" si="142"/>
        <v/>
      </c>
      <c r="FG795" s="1638" t="str">
        <f t="shared" si="143"/>
        <v/>
      </c>
      <c r="FH795" s="1638" t="str">
        <f t="shared" si="144"/>
        <v/>
      </c>
      <c r="FI795" s="1638" t="str">
        <f t="shared" si="145"/>
        <v/>
      </c>
      <c r="FJ795" s="1638" t="str">
        <f t="shared" si="146"/>
        <v/>
      </c>
      <c r="FK795" s="1638" t="str">
        <f t="shared" si="147"/>
        <v/>
      </c>
      <c r="FL795" s="1638" t="str">
        <f t="shared" si="148"/>
        <v/>
      </c>
      <c r="FM795" s="1638" t="str">
        <f t="shared" si="149"/>
        <v/>
      </c>
      <c r="FN795" s="1638" t="str">
        <f t="shared" si="150"/>
        <v/>
      </c>
      <c r="FO795" s="1638" t="str">
        <f t="shared" si="151"/>
        <v/>
      </c>
      <c r="FP795" s="1638" t="str">
        <f t="shared" si="152"/>
        <v/>
      </c>
      <c r="FQ795" s="1638" t="str">
        <f t="shared" si="153"/>
        <v/>
      </c>
      <c r="FR795" s="1638" t="str">
        <f t="shared" si="154"/>
        <v/>
      </c>
      <c r="FS795" s="1638" t="str">
        <f t="shared" si="155"/>
        <v/>
      </c>
      <c r="FT795" s="1638" t="str">
        <f t="shared" si="156"/>
        <v/>
      </c>
      <c r="FU795" s="1638" t="str">
        <f t="shared" si="157"/>
        <v/>
      </c>
      <c r="FV795" s="1638" t="str">
        <f t="shared" si="158"/>
        <v/>
      </c>
      <c r="FW795" s="1638" t="str">
        <f t="shared" si="159"/>
        <v/>
      </c>
      <c r="FX795" s="1638" t="str">
        <f t="shared" si="160"/>
        <v/>
      </c>
      <c r="FY795" s="1638" t="str">
        <f t="shared" si="161"/>
        <v/>
      </c>
      <c r="FZ795" s="1638" t="str">
        <f t="shared" si="162"/>
        <v/>
      </c>
      <c r="GA795" s="1638" t="str">
        <f t="shared" si="163"/>
        <v/>
      </c>
      <c r="GB795" s="1638" t="str">
        <f t="shared" si="164"/>
        <v/>
      </c>
      <c r="GC795" s="1638" t="str">
        <f t="shared" si="165"/>
        <v/>
      </c>
      <c r="GD795" s="1638" t="str">
        <f t="shared" si="166"/>
        <v/>
      </c>
      <c r="GE795" s="1638" t="str">
        <f t="shared" si="167"/>
        <v/>
      </c>
      <c r="GF795" s="1638" t="str">
        <f t="shared" si="168"/>
        <v/>
      </c>
      <c r="GG795" s="1638" t="str">
        <f t="shared" si="169"/>
        <v/>
      </c>
      <c r="GH795" s="1638" t="str">
        <f t="shared" si="170"/>
        <v/>
      </c>
      <c r="GI795" s="1638" t="str">
        <f t="shared" si="171"/>
        <v/>
      </c>
      <c r="GJ795" s="1638" t="str">
        <f t="shared" si="172"/>
        <v/>
      </c>
      <c r="GK795" s="1638" t="str">
        <f t="shared" si="173"/>
        <v/>
      </c>
      <c r="GL795" s="1638" t="str">
        <f t="shared" si="174"/>
        <v/>
      </c>
      <c r="GM795" s="1638" t="str">
        <f t="shared" si="175"/>
        <v/>
      </c>
      <c r="GN795" s="1638" t="str">
        <f t="shared" si="176"/>
        <v/>
      </c>
      <c r="GO795" s="1638" t="str">
        <f t="shared" si="177"/>
        <v/>
      </c>
      <c r="GP795" s="1638" t="str">
        <f t="shared" si="178"/>
        <v/>
      </c>
      <c r="GQ795" s="1638" t="str">
        <f t="shared" si="179"/>
        <v/>
      </c>
      <c r="GR795" s="1638" t="str">
        <f t="shared" si="180"/>
        <v/>
      </c>
      <c r="GS795" s="1638" t="str">
        <f t="shared" si="181"/>
        <v/>
      </c>
      <c r="GT795" s="1638" t="str">
        <f t="shared" si="182"/>
        <v/>
      </c>
      <c r="GU795" s="1638" t="str">
        <f t="shared" si="183"/>
        <v/>
      </c>
      <c r="GV795" s="1638" t="str">
        <f t="shared" si="184"/>
        <v/>
      </c>
      <c r="GW795" s="1638" t="str">
        <f t="shared" si="185"/>
        <v/>
      </c>
      <c r="GX795" s="1638" t="str">
        <f t="shared" si="186"/>
        <v/>
      </c>
      <c r="GY795" s="1638" t="str">
        <f t="shared" si="187"/>
        <v/>
      </c>
      <c r="GZ795" s="1638" t="str">
        <f t="shared" si="188"/>
        <v/>
      </c>
      <c r="HA795" s="1638" t="str">
        <f t="shared" si="189"/>
        <v/>
      </c>
      <c r="HB795" s="1638" t="str">
        <f t="shared" si="190"/>
        <v/>
      </c>
      <c r="HC795" s="1638" t="str">
        <f t="shared" si="191"/>
        <v/>
      </c>
      <c r="HD795" s="1638" t="str">
        <f t="shared" si="192"/>
        <v/>
      </c>
      <c r="HE795" s="1638" t="str">
        <f t="shared" si="193"/>
        <v/>
      </c>
      <c r="HF795" s="1638" t="str">
        <f t="shared" si="194"/>
        <v/>
      </c>
      <c r="HG795" s="1638" t="str">
        <f t="shared" si="195"/>
        <v/>
      </c>
      <c r="HH795" s="1638" t="str">
        <f t="shared" si="196"/>
        <v/>
      </c>
      <c r="HI795" s="1638" t="str">
        <f t="shared" si="197"/>
        <v/>
      </c>
      <c r="HJ795" s="1638" t="str">
        <f t="shared" si="198"/>
        <v/>
      </c>
      <c r="HK795" s="1638" t="str">
        <f t="shared" si="199"/>
        <v/>
      </c>
      <c r="HL795" s="1638" t="str">
        <f t="shared" si="200"/>
        <v/>
      </c>
      <c r="HM795" s="1638" t="str">
        <f t="shared" si="201"/>
        <v/>
      </c>
      <c r="HN795" s="1638" t="str">
        <f t="shared" si="202"/>
        <v/>
      </c>
      <c r="HO795" s="1638" t="str">
        <f t="shared" si="203"/>
        <v/>
      </c>
      <c r="HP795" s="1638" t="str">
        <f t="shared" si="204"/>
        <v/>
      </c>
      <c r="HQ795" s="1638" t="str">
        <f t="shared" si="205"/>
        <v/>
      </c>
      <c r="HR795" s="1638" t="str">
        <f t="shared" si="206"/>
        <v/>
      </c>
      <c r="HS795" s="1638" t="str">
        <f t="shared" si="207"/>
        <v/>
      </c>
      <c r="HT795" s="1638" t="str">
        <f t="shared" si="208"/>
        <v/>
      </c>
      <c r="HU795" s="1638" t="str">
        <f t="shared" si="209"/>
        <v/>
      </c>
      <c r="HV795" s="1638" t="str">
        <f t="shared" si="210"/>
        <v/>
      </c>
      <c r="HW795" s="1638" t="str">
        <f t="shared" si="211"/>
        <v/>
      </c>
      <c r="HX795" s="1638" t="str">
        <f t="shared" si="212"/>
        <v/>
      </c>
      <c r="HY795" s="1638" t="str">
        <f t="shared" si="213"/>
        <v/>
      </c>
      <c r="HZ795" s="1638" t="str">
        <f t="shared" si="214"/>
        <v/>
      </c>
      <c r="IA795" s="1638" t="str">
        <f t="shared" si="215"/>
        <v/>
      </c>
      <c r="IB795" s="1638" t="str">
        <f t="shared" si="216"/>
        <v/>
      </c>
      <c r="IC795" s="1638" t="str">
        <f t="shared" si="217"/>
        <v/>
      </c>
      <c r="ID795" s="1639" t="str">
        <f t="shared" si="218"/>
        <v/>
      </c>
      <c r="IE795" s="1639" t="str">
        <f t="shared" si="219"/>
        <v/>
      </c>
      <c r="IF795" s="1639" t="str">
        <f t="shared" si="220"/>
        <v/>
      </c>
      <c r="IG795" s="1639" t="str">
        <f t="shared" si="221"/>
        <v/>
      </c>
      <c r="IH795" s="1639" t="str">
        <f t="shared" si="222"/>
        <v/>
      </c>
      <c r="II795" s="742" t="str">
        <f t="shared" si="223"/>
        <v/>
      </c>
      <c r="IJ795" s="742" t="str">
        <f t="shared" si="224"/>
        <v/>
      </c>
      <c r="IK795" s="742" t="str">
        <f t="shared" si="225"/>
        <v/>
      </c>
      <c r="IL795" s="742" t="str">
        <f t="shared" si="226"/>
        <v/>
      </c>
      <c r="IM795" s="742" t="str">
        <f t="shared" si="227"/>
        <v/>
      </c>
      <c r="IN795" s="742" t="str">
        <f t="shared" si="228"/>
        <v/>
      </c>
      <c r="IO795" s="742" t="str">
        <f t="shared" si="229"/>
        <v/>
      </c>
      <c r="IP795" s="742" t="str">
        <f t="shared" si="230"/>
        <v/>
      </c>
      <c r="IQ795" s="742" t="str">
        <f t="shared" si="231"/>
        <v/>
      </c>
      <c r="IR795" s="742" t="str">
        <f t="shared" si="232"/>
        <v/>
      </c>
      <c r="IS795" s="742" t="str">
        <f t="shared" si="233"/>
        <v/>
      </c>
      <c r="IT795" s="742" t="str">
        <f t="shared" si="234"/>
        <v/>
      </c>
      <c r="IU795" s="742" t="str">
        <f t="shared" si="235"/>
        <v/>
      </c>
      <c r="IV795" s="742" t="str">
        <f t="shared" si="236"/>
        <v/>
      </c>
      <c r="IW795" s="742" t="str">
        <f t="shared" si="237"/>
        <v/>
      </c>
      <c r="IX795" s="742" t="str">
        <f t="shared" si="238"/>
        <v/>
      </c>
      <c r="IY795" s="742" t="str">
        <f t="shared" si="239"/>
        <v/>
      </c>
      <c r="IZ795" s="742" t="str">
        <f t="shared" si="240"/>
        <v/>
      </c>
      <c r="JA795" s="742" t="str">
        <f t="shared" si="241"/>
        <v/>
      </c>
      <c r="JB795" s="742" t="str">
        <f t="shared" si="242"/>
        <v/>
      </c>
      <c r="JC795" s="1637">
        <f t="shared" si="243"/>
        <v>0</v>
      </c>
      <c r="JD795" s="1637">
        <f t="shared" si="244"/>
        <v>0</v>
      </c>
      <c r="JE795" s="1637">
        <f t="shared" si="245"/>
        <v>0</v>
      </c>
      <c r="JF795" s="1637">
        <f t="shared" si="246"/>
        <v>0</v>
      </c>
      <c r="JG795" s="1637">
        <f t="shared" si="247"/>
        <v>0</v>
      </c>
      <c r="JH795" s="1637">
        <f t="shared" si="248"/>
        <v>0</v>
      </c>
      <c r="JI795" s="1637">
        <f t="shared" si="249"/>
        <v>0</v>
      </c>
      <c r="JJ795" s="1637">
        <f t="shared" si="250"/>
        <v>0</v>
      </c>
      <c r="JK795" s="1637">
        <f t="shared" si="251"/>
        <v>0</v>
      </c>
      <c r="JL795" s="1637">
        <f t="shared" si="252"/>
        <v>0</v>
      </c>
      <c r="JM795" s="1637">
        <f t="shared" si="253"/>
        <v>0</v>
      </c>
      <c r="JN795" s="1637">
        <f t="shared" si="254"/>
        <v>0</v>
      </c>
      <c r="JO795" s="1637">
        <f t="shared" si="255"/>
        <v>0</v>
      </c>
      <c r="JP795" s="1637">
        <f t="shared" si="256"/>
        <v>0</v>
      </c>
      <c r="JQ795" s="1637">
        <f t="shared" si="257"/>
        <v>0</v>
      </c>
    </row>
    <row r="796" spans="1:277" ht="12" customHeight="1">
      <c r="A796" s="1813" t="str">
        <f t="shared" si="0"/>
        <v/>
      </c>
      <c r="B796" s="2145">
        <f>'Part VI-Revenues &amp; Expenses'!B39</f>
        <v>0</v>
      </c>
      <c r="C796" s="2146">
        <f>'Part VI-Revenues &amp; Expenses'!C39</f>
        <v>0</v>
      </c>
      <c r="D796" s="2147">
        <f>'Part VI-Revenues &amp; Expenses'!D39</f>
        <v>0</v>
      </c>
      <c r="E796" s="2148">
        <f>'Part VI-Revenues &amp; Expenses'!E39</f>
        <v>0</v>
      </c>
      <c r="F796" s="2148">
        <f>'Part VI-Revenues &amp; Expenses'!F39</f>
        <v>0</v>
      </c>
      <c r="G796" s="2148">
        <f>'Part VI-Revenues &amp; Expenses'!G39</f>
        <v>0</v>
      </c>
      <c r="H796" s="2148">
        <f>'Part VI-Revenues &amp; Expenses'!H39</f>
        <v>0</v>
      </c>
      <c r="I796" s="2148">
        <f>'Part VI-Revenues &amp; Expenses'!I39</f>
        <v>0</v>
      </c>
      <c r="J796" s="2149">
        <f>'Part VI-Revenues &amp; Expenses'!J39</f>
        <v>0</v>
      </c>
      <c r="K796" s="1822">
        <f t="shared" si="1"/>
        <v>0</v>
      </c>
      <c r="L796" s="1822">
        <f t="shared" si="2"/>
        <v>0</v>
      </c>
      <c r="M796" s="2133">
        <f>'Part VI-Revenues &amp; Expenses'!M39</f>
        <v>0</v>
      </c>
      <c r="N796" s="2133">
        <f>'Part VI-Revenues &amp; Expenses'!N39</f>
        <v>0</v>
      </c>
      <c r="O796" s="2133">
        <f>'Part VI-Revenues &amp; Expenses'!O39</f>
        <v>0</v>
      </c>
      <c r="P796" s="1633">
        <f>'Part VI-Revenues &amp; Expenses'!P39</f>
        <v>0</v>
      </c>
      <c r="Q796" s="1823" t="str">
        <f>'Part VI-Revenues &amp; Expenses'!Q39</f>
        <v/>
      </c>
      <c r="R796" s="1824" t="str">
        <f>'Part VI-Revenues &amp; Expenses'!R39</f>
        <v/>
      </c>
      <c r="S796" s="1823">
        <f>'Part VI-Revenues &amp; Expenses'!S39</f>
        <v>0</v>
      </c>
      <c r="T796" s="1824">
        <f>'Part VI-Revenues &amp; Expenses'!T39</f>
        <v>0</v>
      </c>
      <c r="U796" s="1838"/>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117"/>
        <v/>
      </c>
      <c r="EH796" s="742" t="str">
        <f t="shared" si="118"/>
        <v/>
      </c>
      <c r="EI796" s="742" t="str">
        <f t="shared" si="119"/>
        <v/>
      </c>
      <c r="EJ796" s="742" t="str">
        <f t="shared" si="120"/>
        <v/>
      </c>
      <c r="EK796" s="742" t="str">
        <f t="shared" si="121"/>
        <v/>
      </c>
      <c r="EL796" s="742" t="str">
        <f t="shared" si="122"/>
        <v/>
      </c>
      <c r="EM796" s="742" t="str">
        <f t="shared" si="123"/>
        <v/>
      </c>
      <c r="EN796" s="742" t="str">
        <f t="shared" si="124"/>
        <v/>
      </c>
      <c r="EO796" s="742" t="str">
        <f t="shared" si="125"/>
        <v/>
      </c>
      <c r="EP796" s="742" t="str">
        <f t="shared" si="126"/>
        <v/>
      </c>
      <c r="EQ796" s="742" t="str">
        <f t="shared" si="127"/>
        <v/>
      </c>
      <c r="ER796" s="742" t="str">
        <f t="shared" si="128"/>
        <v/>
      </c>
      <c r="ES796" s="742" t="str">
        <f t="shared" si="129"/>
        <v/>
      </c>
      <c r="ET796" s="742" t="str">
        <f t="shared" si="130"/>
        <v/>
      </c>
      <c r="EU796" s="742" t="str">
        <f t="shared" si="131"/>
        <v/>
      </c>
      <c r="EV796" s="742" t="str">
        <f t="shared" si="132"/>
        <v/>
      </c>
      <c r="EW796" s="1638" t="str">
        <f t="shared" si="133"/>
        <v/>
      </c>
      <c r="EX796" s="1638" t="str">
        <f t="shared" si="134"/>
        <v/>
      </c>
      <c r="EY796" s="1638" t="str">
        <f t="shared" si="135"/>
        <v/>
      </c>
      <c r="EZ796" s="1638" t="str">
        <f t="shared" si="136"/>
        <v/>
      </c>
      <c r="FA796" s="1638" t="str">
        <f t="shared" si="137"/>
        <v/>
      </c>
      <c r="FB796" s="1638" t="str">
        <f t="shared" si="138"/>
        <v/>
      </c>
      <c r="FC796" s="1638" t="str">
        <f t="shared" si="139"/>
        <v/>
      </c>
      <c r="FD796" s="1638" t="str">
        <f t="shared" si="140"/>
        <v/>
      </c>
      <c r="FE796" s="1638" t="str">
        <f t="shared" si="141"/>
        <v/>
      </c>
      <c r="FF796" s="1638" t="str">
        <f t="shared" si="142"/>
        <v/>
      </c>
      <c r="FG796" s="1638" t="str">
        <f t="shared" si="143"/>
        <v/>
      </c>
      <c r="FH796" s="1638" t="str">
        <f t="shared" si="144"/>
        <v/>
      </c>
      <c r="FI796" s="1638" t="str">
        <f t="shared" si="145"/>
        <v/>
      </c>
      <c r="FJ796" s="1638" t="str">
        <f t="shared" si="146"/>
        <v/>
      </c>
      <c r="FK796" s="1638" t="str">
        <f t="shared" si="147"/>
        <v/>
      </c>
      <c r="FL796" s="1638" t="str">
        <f t="shared" si="148"/>
        <v/>
      </c>
      <c r="FM796" s="1638" t="str">
        <f t="shared" si="149"/>
        <v/>
      </c>
      <c r="FN796" s="1638" t="str">
        <f t="shared" si="150"/>
        <v/>
      </c>
      <c r="FO796" s="1638" t="str">
        <f t="shared" si="151"/>
        <v/>
      </c>
      <c r="FP796" s="1638" t="str">
        <f t="shared" si="152"/>
        <v/>
      </c>
      <c r="FQ796" s="1638" t="str">
        <f t="shared" si="153"/>
        <v/>
      </c>
      <c r="FR796" s="1638" t="str">
        <f t="shared" si="154"/>
        <v/>
      </c>
      <c r="FS796" s="1638" t="str">
        <f t="shared" si="155"/>
        <v/>
      </c>
      <c r="FT796" s="1638" t="str">
        <f t="shared" si="156"/>
        <v/>
      </c>
      <c r="FU796" s="1638" t="str">
        <f t="shared" si="157"/>
        <v/>
      </c>
      <c r="FV796" s="1638" t="str">
        <f t="shared" si="158"/>
        <v/>
      </c>
      <c r="FW796" s="1638" t="str">
        <f t="shared" si="159"/>
        <v/>
      </c>
      <c r="FX796" s="1638" t="str">
        <f t="shared" si="160"/>
        <v/>
      </c>
      <c r="FY796" s="1638" t="str">
        <f t="shared" si="161"/>
        <v/>
      </c>
      <c r="FZ796" s="1638" t="str">
        <f t="shared" si="162"/>
        <v/>
      </c>
      <c r="GA796" s="1638" t="str">
        <f t="shared" si="163"/>
        <v/>
      </c>
      <c r="GB796" s="1638" t="str">
        <f t="shared" si="164"/>
        <v/>
      </c>
      <c r="GC796" s="1638" t="str">
        <f t="shared" si="165"/>
        <v/>
      </c>
      <c r="GD796" s="1638" t="str">
        <f t="shared" si="166"/>
        <v/>
      </c>
      <c r="GE796" s="1638" t="str">
        <f t="shared" si="167"/>
        <v/>
      </c>
      <c r="GF796" s="1638" t="str">
        <f t="shared" si="168"/>
        <v/>
      </c>
      <c r="GG796" s="1638" t="str">
        <f t="shared" si="169"/>
        <v/>
      </c>
      <c r="GH796" s="1638" t="str">
        <f t="shared" si="170"/>
        <v/>
      </c>
      <c r="GI796" s="1638" t="str">
        <f t="shared" si="171"/>
        <v/>
      </c>
      <c r="GJ796" s="1638" t="str">
        <f t="shared" si="172"/>
        <v/>
      </c>
      <c r="GK796" s="1638" t="str">
        <f t="shared" si="173"/>
        <v/>
      </c>
      <c r="GL796" s="1638" t="str">
        <f t="shared" si="174"/>
        <v/>
      </c>
      <c r="GM796" s="1638" t="str">
        <f t="shared" si="175"/>
        <v/>
      </c>
      <c r="GN796" s="1638" t="str">
        <f t="shared" si="176"/>
        <v/>
      </c>
      <c r="GO796" s="1638" t="str">
        <f t="shared" si="177"/>
        <v/>
      </c>
      <c r="GP796" s="1638" t="str">
        <f t="shared" si="178"/>
        <v/>
      </c>
      <c r="GQ796" s="1638" t="str">
        <f t="shared" si="179"/>
        <v/>
      </c>
      <c r="GR796" s="1638" t="str">
        <f t="shared" si="180"/>
        <v/>
      </c>
      <c r="GS796" s="1638" t="str">
        <f t="shared" si="181"/>
        <v/>
      </c>
      <c r="GT796" s="1638" t="str">
        <f t="shared" si="182"/>
        <v/>
      </c>
      <c r="GU796" s="1638" t="str">
        <f t="shared" si="183"/>
        <v/>
      </c>
      <c r="GV796" s="1638" t="str">
        <f t="shared" si="184"/>
        <v/>
      </c>
      <c r="GW796" s="1638" t="str">
        <f t="shared" si="185"/>
        <v/>
      </c>
      <c r="GX796" s="1638" t="str">
        <f t="shared" si="186"/>
        <v/>
      </c>
      <c r="GY796" s="1638" t="str">
        <f t="shared" si="187"/>
        <v/>
      </c>
      <c r="GZ796" s="1638" t="str">
        <f t="shared" si="188"/>
        <v/>
      </c>
      <c r="HA796" s="1638" t="str">
        <f t="shared" si="189"/>
        <v/>
      </c>
      <c r="HB796" s="1638" t="str">
        <f t="shared" si="190"/>
        <v/>
      </c>
      <c r="HC796" s="1638" t="str">
        <f t="shared" si="191"/>
        <v/>
      </c>
      <c r="HD796" s="1638" t="str">
        <f t="shared" si="192"/>
        <v/>
      </c>
      <c r="HE796" s="1638" t="str">
        <f t="shared" si="193"/>
        <v/>
      </c>
      <c r="HF796" s="1638" t="str">
        <f t="shared" si="194"/>
        <v/>
      </c>
      <c r="HG796" s="1638" t="str">
        <f t="shared" si="195"/>
        <v/>
      </c>
      <c r="HH796" s="1638" t="str">
        <f t="shared" si="196"/>
        <v/>
      </c>
      <c r="HI796" s="1638" t="str">
        <f t="shared" si="197"/>
        <v/>
      </c>
      <c r="HJ796" s="1638" t="str">
        <f t="shared" si="198"/>
        <v/>
      </c>
      <c r="HK796" s="1638" t="str">
        <f t="shared" si="199"/>
        <v/>
      </c>
      <c r="HL796" s="1638" t="str">
        <f t="shared" si="200"/>
        <v/>
      </c>
      <c r="HM796" s="1638" t="str">
        <f t="shared" si="201"/>
        <v/>
      </c>
      <c r="HN796" s="1638" t="str">
        <f t="shared" si="202"/>
        <v/>
      </c>
      <c r="HO796" s="1638" t="str">
        <f t="shared" si="203"/>
        <v/>
      </c>
      <c r="HP796" s="1638" t="str">
        <f t="shared" si="204"/>
        <v/>
      </c>
      <c r="HQ796" s="1638" t="str">
        <f t="shared" si="205"/>
        <v/>
      </c>
      <c r="HR796" s="1638" t="str">
        <f t="shared" si="206"/>
        <v/>
      </c>
      <c r="HS796" s="1638" t="str">
        <f t="shared" si="207"/>
        <v/>
      </c>
      <c r="HT796" s="1638" t="str">
        <f t="shared" si="208"/>
        <v/>
      </c>
      <c r="HU796" s="1638" t="str">
        <f t="shared" si="209"/>
        <v/>
      </c>
      <c r="HV796" s="1638" t="str">
        <f t="shared" si="210"/>
        <v/>
      </c>
      <c r="HW796" s="1638" t="str">
        <f t="shared" si="211"/>
        <v/>
      </c>
      <c r="HX796" s="1638" t="str">
        <f t="shared" si="212"/>
        <v/>
      </c>
      <c r="HY796" s="1638" t="str">
        <f t="shared" si="213"/>
        <v/>
      </c>
      <c r="HZ796" s="1638" t="str">
        <f t="shared" si="214"/>
        <v/>
      </c>
      <c r="IA796" s="1638" t="str">
        <f t="shared" si="215"/>
        <v/>
      </c>
      <c r="IB796" s="1638" t="str">
        <f t="shared" si="216"/>
        <v/>
      </c>
      <c r="IC796" s="1638" t="str">
        <f t="shared" si="217"/>
        <v/>
      </c>
      <c r="ID796" s="1639" t="str">
        <f t="shared" si="218"/>
        <v/>
      </c>
      <c r="IE796" s="1639" t="str">
        <f t="shared" si="219"/>
        <v/>
      </c>
      <c r="IF796" s="1639" t="str">
        <f t="shared" si="220"/>
        <v/>
      </c>
      <c r="IG796" s="1639" t="str">
        <f t="shared" si="221"/>
        <v/>
      </c>
      <c r="IH796" s="1639" t="str">
        <f t="shared" si="222"/>
        <v/>
      </c>
      <c r="II796" s="742" t="str">
        <f t="shared" si="223"/>
        <v/>
      </c>
      <c r="IJ796" s="742" t="str">
        <f t="shared" si="224"/>
        <v/>
      </c>
      <c r="IK796" s="742" t="str">
        <f t="shared" si="225"/>
        <v/>
      </c>
      <c r="IL796" s="742" t="str">
        <f t="shared" si="226"/>
        <v/>
      </c>
      <c r="IM796" s="742" t="str">
        <f t="shared" si="227"/>
        <v/>
      </c>
      <c r="IN796" s="742" t="str">
        <f t="shared" si="228"/>
        <v/>
      </c>
      <c r="IO796" s="742" t="str">
        <f t="shared" si="229"/>
        <v/>
      </c>
      <c r="IP796" s="742" t="str">
        <f t="shared" si="230"/>
        <v/>
      </c>
      <c r="IQ796" s="742" t="str">
        <f t="shared" si="231"/>
        <v/>
      </c>
      <c r="IR796" s="742" t="str">
        <f t="shared" si="232"/>
        <v/>
      </c>
      <c r="IS796" s="742" t="str">
        <f t="shared" si="233"/>
        <v/>
      </c>
      <c r="IT796" s="742" t="str">
        <f t="shared" si="234"/>
        <v/>
      </c>
      <c r="IU796" s="742" t="str">
        <f t="shared" si="235"/>
        <v/>
      </c>
      <c r="IV796" s="742" t="str">
        <f t="shared" si="236"/>
        <v/>
      </c>
      <c r="IW796" s="742" t="str">
        <f t="shared" si="237"/>
        <v/>
      </c>
      <c r="IX796" s="742" t="str">
        <f t="shared" si="238"/>
        <v/>
      </c>
      <c r="IY796" s="742" t="str">
        <f t="shared" si="239"/>
        <v/>
      </c>
      <c r="IZ796" s="742" t="str">
        <f t="shared" si="240"/>
        <v/>
      </c>
      <c r="JA796" s="742" t="str">
        <f t="shared" si="241"/>
        <v/>
      </c>
      <c r="JB796" s="742" t="str">
        <f t="shared" si="242"/>
        <v/>
      </c>
      <c r="JC796" s="1637">
        <f t="shared" si="243"/>
        <v>0</v>
      </c>
      <c r="JD796" s="1637">
        <f t="shared" si="244"/>
        <v>0</v>
      </c>
      <c r="JE796" s="1637">
        <f t="shared" si="245"/>
        <v>0</v>
      </c>
      <c r="JF796" s="1637">
        <f t="shared" si="246"/>
        <v>0</v>
      </c>
      <c r="JG796" s="1637">
        <f t="shared" si="247"/>
        <v>0</v>
      </c>
      <c r="JH796" s="1637">
        <f t="shared" si="248"/>
        <v>0</v>
      </c>
      <c r="JI796" s="1637">
        <f t="shared" si="249"/>
        <v>0</v>
      </c>
      <c r="JJ796" s="1637">
        <f t="shared" si="250"/>
        <v>0</v>
      </c>
      <c r="JK796" s="1637">
        <f t="shared" si="251"/>
        <v>0</v>
      </c>
      <c r="JL796" s="1637">
        <f t="shared" si="252"/>
        <v>0</v>
      </c>
      <c r="JM796" s="1637">
        <f t="shared" si="253"/>
        <v>0</v>
      </c>
      <c r="JN796" s="1637">
        <f t="shared" si="254"/>
        <v>0</v>
      </c>
      <c r="JO796" s="1637">
        <f t="shared" si="255"/>
        <v>0</v>
      </c>
      <c r="JP796" s="1637">
        <f t="shared" si="256"/>
        <v>0</v>
      </c>
      <c r="JQ796" s="1637">
        <f t="shared" si="257"/>
        <v>0</v>
      </c>
    </row>
    <row r="797" spans="1:277" ht="12" customHeight="1">
      <c r="A797" s="1813" t="str">
        <f t="shared" si="0"/>
        <v/>
      </c>
      <c r="B797" s="2145">
        <f>'Part VI-Revenues &amp; Expenses'!B40</f>
        <v>0</v>
      </c>
      <c r="C797" s="2146">
        <f>'Part VI-Revenues &amp; Expenses'!C40</f>
        <v>0</v>
      </c>
      <c r="D797" s="2147">
        <f>'Part VI-Revenues &amp; Expenses'!D40</f>
        <v>0</v>
      </c>
      <c r="E797" s="2148">
        <f>'Part VI-Revenues &amp; Expenses'!E40</f>
        <v>0</v>
      </c>
      <c r="F797" s="2148">
        <f>'Part VI-Revenues &amp; Expenses'!F40</f>
        <v>0</v>
      </c>
      <c r="G797" s="2148">
        <f>'Part VI-Revenues &amp; Expenses'!G40</f>
        <v>0</v>
      </c>
      <c r="H797" s="2148">
        <f>'Part VI-Revenues &amp; Expenses'!H40</f>
        <v>0</v>
      </c>
      <c r="I797" s="2148">
        <f>'Part VI-Revenues &amp; Expenses'!I40</f>
        <v>0</v>
      </c>
      <c r="J797" s="2149">
        <f>'Part VI-Revenues &amp; Expenses'!J40</f>
        <v>0</v>
      </c>
      <c r="K797" s="1822">
        <f t="shared" si="1"/>
        <v>0</v>
      </c>
      <c r="L797" s="1822">
        <f t="shared" si="2"/>
        <v>0</v>
      </c>
      <c r="M797" s="2133">
        <f>'Part VI-Revenues &amp; Expenses'!M40</f>
        <v>0</v>
      </c>
      <c r="N797" s="2133">
        <f>'Part VI-Revenues &amp; Expenses'!N40</f>
        <v>0</v>
      </c>
      <c r="O797" s="2133">
        <f>'Part VI-Revenues &amp; Expenses'!O40</f>
        <v>0</v>
      </c>
      <c r="P797" s="1633">
        <f>'Part VI-Revenues &amp; Expenses'!P40</f>
        <v>0</v>
      </c>
      <c r="Q797" s="1823" t="str">
        <f>'Part VI-Revenues &amp; Expenses'!Q40</f>
        <v/>
      </c>
      <c r="R797" s="1824" t="str">
        <f>'Part VI-Revenues &amp; Expenses'!R40</f>
        <v/>
      </c>
      <c r="S797" s="1823">
        <f>'Part VI-Revenues &amp; Expenses'!S40</f>
        <v>0</v>
      </c>
      <c r="T797" s="1824">
        <f>'Part VI-Revenues &amp; Expenses'!T40</f>
        <v>0</v>
      </c>
      <c r="U797" s="1838"/>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117"/>
        <v/>
      </c>
      <c r="EH797" s="742" t="str">
        <f t="shared" si="118"/>
        <v/>
      </c>
      <c r="EI797" s="742" t="str">
        <f t="shared" si="119"/>
        <v/>
      </c>
      <c r="EJ797" s="742" t="str">
        <f t="shared" si="120"/>
        <v/>
      </c>
      <c r="EK797" s="742" t="str">
        <f t="shared" si="121"/>
        <v/>
      </c>
      <c r="EL797" s="742" t="str">
        <f t="shared" si="122"/>
        <v/>
      </c>
      <c r="EM797" s="742" t="str">
        <f t="shared" si="123"/>
        <v/>
      </c>
      <c r="EN797" s="742" t="str">
        <f t="shared" si="124"/>
        <v/>
      </c>
      <c r="EO797" s="742" t="str">
        <f t="shared" si="125"/>
        <v/>
      </c>
      <c r="EP797" s="742" t="str">
        <f t="shared" si="126"/>
        <v/>
      </c>
      <c r="EQ797" s="742" t="str">
        <f t="shared" si="127"/>
        <v/>
      </c>
      <c r="ER797" s="742" t="str">
        <f t="shared" si="128"/>
        <v/>
      </c>
      <c r="ES797" s="742" t="str">
        <f t="shared" si="129"/>
        <v/>
      </c>
      <c r="ET797" s="742" t="str">
        <f t="shared" si="130"/>
        <v/>
      </c>
      <c r="EU797" s="742" t="str">
        <f t="shared" si="131"/>
        <v/>
      </c>
      <c r="EV797" s="742" t="str">
        <f t="shared" si="132"/>
        <v/>
      </c>
      <c r="EW797" s="1638" t="str">
        <f t="shared" si="133"/>
        <v/>
      </c>
      <c r="EX797" s="1638" t="str">
        <f t="shared" si="134"/>
        <v/>
      </c>
      <c r="EY797" s="1638" t="str">
        <f t="shared" si="135"/>
        <v/>
      </c>
      <c r="EZ797" s="1638" t="str">
        <f t="shared" si="136"/>
        <v/>
      </c>
      <c r="FA797" s="1638" t="str">
        <f t="shared" si="137"/>
        <v/>
      </c>
      <c r="FB797" s="1638" t="str">
        <f t="shared" si="138"/>
        <v/>
      </c>
      <c r="FC797" s="1638" t="str">
        <f t="shared" si="139"/>
        <v/>
      </c>
      <c r="FD797" s="1638" t="str">
        <f t="shared" si="140"/>
        <v/>
      </c>
      <c r="FE797" s="1638" t="str">
        <f t="shared" si="141"/>
        <v/>
      </c>
      <c r="FF797" s="1638" t="str">
        <f t="shared" si="142"/>
        <v/>
      </c>
      <c r="FG797" s="1638" t="str">
        <f t="shared" si="143"/>
        <v/>
      </c>
      <c r="FH797" s="1638" t="str">
        <f t="shared" si="144"/>
        <v/>
      </c>
      <c r="FI797" s="1638" t="str">
        <f t="shared" si="145"/>
        <v/>
      </c>
      <c r="FJ797" s="1638" t="str">
        <f t="shared" si="146"/>
        <v/>
      </c>
      <c r="FK797" s="1638" t="str">
        <f t="shared" si="147"/>
        <v/>
      </c>
      <c r="FL797" s="1638" t="str">
        <f t="shared" si="148"/>
        <v/>
      </c>
      <c r="FM797" s="1638" t="str">
        <f t="shared" si="149"/>
        <v/>
      </c>
      <c r="FN797" s="1638" t="str">
        <f t="shared" si="150"/>
        <v/>
      </c>
      <c r="FO797" s="1638" t="str">
        <f t="shared" si="151"/>
        <v/>
      </c>
      <c r="FP797" s="1638" t="str">
        <f t="shared" si="152"/>
        <v/>
      </c>
      <c r="FQ797" s="1638" t="str">
        <f t="shared" si="153"/>
        <v/>
      </c>
      <c r="FR797" s="1638" t="str">
        <f t="shared" si="154"/>
        <v/>
      </c>
      <c r="FS797" s="1638" t="str">
        <f t="shared" si="155"/>
        <v/>
      </c>
      <c r="FT797" s="1638" t="str">
        <f t="shared" si="156"/>
        <v/>
      </c>
      <c r="FU797" s="1638" t="str">
        <f t="shared" si="157"/>
        <v/>
      </c>
      <c r="FV797" s="1638" t="str">
        <f t="shared" si="158"/>
        <v/>
      </c>
      <c r="FW797" s="1638" t="str">
        <f t="shared" si="159"/>
        <v/>
      </c>
      <c r="FX797" s="1638" t="str">
        <f t="shared" si="160"/>
        <v/>
      </c>
      <c r="FY797" s="1638" t="str">
        <f t="shared" si="161"/>
        <v/>
      </c>
      <c r="FZ797" s="1638" t="str">
        <f t="shared" si="162"/>
        <v/>
      </c>
      <c r="GA797" s="1638" t="str">
        <f t="shared" si="163"/>
        <v/>
      </c>
      <c r="GB797" s="1638" t="str">
        <f t="shared" si="164"/>
        <v/>
      </c>
      <c r="GC797" s="1638" t="str">
        <f t="shared" si="165"/>
        <v/>
      </c>
      <c r="GD797" s="1638" t="str">
        <f t="shared" si="166"/>
        <v/>
      </c>
      <c r="GE797" s="1638" t="str">
        <f t="shared" si="167"/>
        <v/>
      </c>
      <c r="GF797" s="1638" t="str">
        <f t="shared" si="168"/>
        <v/>
      </c>
      <c r="GG797" s="1638" t="str">
        <f t="shared" si="169"/>
        <v/>
      </c>
      <c r="GH797" s="1638" t="str">
        <f t="shared" si="170"/>
        <v/>
      </c>
      <c r="GI797" s="1638" t="str">
        <f t="shared" si="171"/>
        <v/>
      </c>
      <c r="GJ797" s="1638" t="str">
        <f t="shared" si="172"/>
        <v/>
      </c>
      <c r="GK797" s="1638" t="str">
        <f t="shared" si="173"/>
        <v/>
      </c>
      <c r="GL797" s="1638" t="str">
        <f t="shared" si="174"/>
        <v/>
      </c>
      <c r="GM797" s="1638" t="str">
        <f t="shared" si="175"/>
        <v/>
      </c>
      <c r="GN797" s="1638" t="str">
        <f t="shared" si="176"/>
        <v/>
      </c>
      <c r="GO797" s="1638" t="str">
        <f t="shared" si="177"/>
        <v/>
      </c>
      <c r="GP797" s="1638" t="str">
        <f t="shared" si="178"/>
        <v/>
      </c>
      <c r="GQ797" s="1638" t="str">
        <f t="shared" si="179"/>
        <v/>
      </c>
      <c r="GR797" s="1638" t="str">
        <f t="shared" si="180"/>
        <v/>
      </c>
      <c r="GS797" s="1638" t="str">
        <f t="shared" si="181"/>
        <v/>
      </c>
      <c r="GT797" s="1638" t="str">
        <f t="shared" si="182"/>
        <v/>
      </c>
      <c r="GU797" s="1638" t="str">
        <f t="shared" si="183"/>
        <v/>
      </c>
      <c r="GV797" s="1638" t="str">
        <f t="shared" si="184"/>
        <v/>
      </c>
      <c r="GW797" s="1638" t="str">
        <f t="shared" si="185"/>
        <v/>
      </c>
      <c r="GX797" s="1638" t="str">
        <f t="shared" si="186"/>
        <v/>
      </c>
      <c r="GY797" s="1638" t="str">
        <f t="shared" si="187"/>
        <v/>
      </c>
      <c r="GZ797" s="1638" t="str">
        <f t="shared" si="188"/>
        <v/>
      </c>
      <c r="HA797" s="1638" t="str">
        <f t="shared" si="189"/>
        <v/>
      </c>
      <c r="HB797" s="1638" t="str">
        <f t="shared" si="190"/>
        <v/>
      </c>
      <c r="HC797" s="1638" t="str">
        <f t="shared" si="191"/>
        <v/>
      </c>
      <c r="HD797" s="1638" t="str">
        <f t="shared" si="192"/>
        <v/>
      </c>
      <c r="HE797" s="1638" t="str">
        <f t="shared" si="193"/>
        <v/>
      </c>
      <c r="HF797" s="1638" t="str">
        <f t="shared" si="194"/>
        <v/>
      </c>
      <c r="HG797" s="1638" t="str">
        <f t="shared" si="195"/>
        <v/>
      </c>
      <c r="HH797" s="1638" t="str">
        <f t="shared" si="196"/>
        <v/>
      </c>
      <c r="HI797" s="1638" t="str">
        <f t="shared" si="197"/>
        <v/>
      </c>
      <c r="HJ797" s="1638" t="str">
        <f t="shared" si="198"/>
        <v/>
      </c>
      <c r="HK797" s="1638" t="str">
        <f t="shared" si="199"/>
        <v/>
      </c>
      <c r="HL797" s="1638" t="str">
        <f t="shared" si="200"/>
        <v/>
      </c>
      <c r="HM797" s="1638" t="str">
        <f t="shared" si="201"/>
        <v/>
      </c>
      <c r="HN797" s="1638" t="str">
        <f t="shared" si="202"/>
        <v/>
      </c>
      <c r="HO797" s="1638" t="str">
        <f t="shared" si="203"/>
        <v/>
      </c>
      <c r="HP797" s="1638" t="str">
        <f t="shared" si="204"/>
        <v/>
      </c>
      <c r="HQ797" s="1638" t="str">
        <f t="shared" si="205"/>
        <v/>
      </c>
      <c r="HR797" s="1638" t="str">
        <f t="shared" si="206"/>
        <v/>
      </c>
      <c r="HS797" s="1638" t="str">
        <f t="shared" si="207"/>
        <v/>
      </c>
      <c r="HT797" s="1638" t="str">
        <f t="shared" si="208"/>
        <v/>
      </c>
      <c r="HU797" s="1638" t="str">
        <f t="shared" si="209"/>
        <v/>
      </c>
      <c r="HV797" s="1638" t="str">
        <f t="shared" si="210"/>
        <v/>
      </c>
      <c r="HW797" s="1638" t="str">
        <f t="shared" si="211"/>
        <v/>
      </c>
      <c r="HX797" s="1638" t="str">
        <f t="shared" si="212"/>
        <v/>
      </c>
      <c r="HY797" s="1638" t="str">
        <f t="shared" si="213"/>
        <v/>
      </c>
      <c r="HZ797" s="1638" t="str">
        <f t="shared" si="214"/>
        <v/>
      </c>
      <c r="IA797" s="1638" t="str">
        <f t="shared" si="215"/>
        <v/>
      </c>
      <c r="IB797" s="1638" t="str">
        <f t="shared" si="216"/>
        <v/>
      </c>
      <c r="IC797" s="1638" t="str">
        <f t="shared" si="217"/>
        <v/>
      </c>
      <c r="ID797" s="1639" t="str">
        <f t="shared" si="218"/>
        <v/>
      </c>
      <c r="IE797" s="1639" t="str">
        <f t="shared" si="219"/>
        <v/>
      </c>
      <c r="IF797" s="1639" t="str">
        <f t="shared" si="220"/>
        <v/>
      </c>
      <c r="IG797" s="1639" t="str">
        <f t="shared" si="221"/>
        <v/>
      </c>
      <c r="IH797" s="1639" t="str">
        <f t="shared" si="222"/>
        <v/>
      </c>
      <c r="II797" s="742" t="str">
        <f t="shared" si="223"/>
        <v/>
      </c>
      <c r="IJ797" s="742" t="str">
        <f t="shared" si="224"/>
        <v/>
      </c>
      <c r="IK797" s="742" t="str">
        <f t="shared" si="225"/>
        <v/>
      </c>
      <c r="IL797" s="742" t="str">
        <f t="shared" si="226"/>
        <v/>
      </c>
      <c r="IM797" s="742" t="str">
        <f t="shared" si="227"/>
        <v/>
      </c>
      <c r="IN797" s="742" t="str">
        <f t="shared" si="228"/>
        <v/>
      </c>
      <c r="IO797" s="742" t="str">
        <f t="shared" si="229"/>
        <v/>
      </c>
      <c r="IP797" s="742" t="str">
        <f t="shared" si="230"/>
        <v/>
      </c>
      <c r="IQ797" s="742" t="str">
        <f t="shared" si="231"/>
        <v/>
      </c>
      <c r="IR797" s="742" t="str">
        <f t="shared" si="232"/>
        <v/>
      </c>
      <c r="IS797" s="742" t="str">
        <f t="shared" si="233"/>
        <v/>
      </c>
      <c r="IT797" s="742" t="str">
        <f t="shared" si="234"/>
        <v/>
      </c>
      <c r="IU797" s="742" t="str">
        <f t="shared" si="235"/>
        <v/>
      </c>
      <c r="IV797" s="742" t="str">
        <f t="shared" si="236"/>
        <v/>
      </c>
      <c r="IW797" s="742" t="str">
        <f t="shared" si="237"/>
        <v/>
      </c>
      <c r="IX797" s="742" t="str">
        <f t="shared" si="238"/>
        <v/>
      </c>
      <c r="IY797" s="742" t="str">
        <f t="shared" si="239"/>
        <v/>
      </c>
      <c r="IZ797" s="742" t="str">
        <f t="shared" si="240"/>
        <v/>
      </c>
      <c r="JA797" s="742" t="str">
        <f t="shared" si="241"/>
        <v/>
      </c>
      <c r="JB797" s="742" t="str">
        <f t="shared" si="242"/>
        <v/>
      </c>
      <c r="JC797" s="1637">
        <f t="shared" si="243"/>
        <v>0</v>
      </c>
      <c r="JD797" s="1637">
        <f t="shared" si="244"/>
        <v>0</v>
      </c>
      <c r="JE797" s="1637">
        <f t="shared" si="245"/>
        <v>0</v>
      </c>
      <c r="JF797" s="1637">
        <f t="shared" si="246"/>
        <v>0</v>
      </c>
      <c r="JG797" s="1637">
        <f t="shared" si="247"/>
        <v>0</v>
      </c>
      <c r="JH797" s="1637">
        <f t="shared" si="248"/>
        <v>0</v>
      </c>
      <c r="JI797" s="1637">
        <f t="shared" si="249"/>
        <v>0</v>
      </c>
      <c r="JJ797" s="1637">
        <f t="shared" si="250"/>
        <v>0</v>
      </c>
      <c r="JK797" s="1637">
        <f t="shared" si="251"/>
        <v>0</v>
      </c>
      <c r="JL797" s="1637">
        <f t="shared" si="252"/>
        <v>0</v>
      </c>
      <c r="JM797" s="1637">
        <f t="shared" si="253"/>
        <v>0</v>
      </c>
      <c r="JN797" s="1637">
        <f t="shared" si="254"/>
        <v>0</v>
      </c>
      <c r="JO797" s="1637">
        <f t="shared" si="255"/>
        <v>0</v>
      </c>
      <c r="JP797" s="1637">
        <f t="shared" si="256"/>
        <v>0</v>
      </c>
      <c r="JQ797" s="1637">
        <f t="shared" si="257"/>
        <v>0</v>
      </c>
    </row>
    <row r="798" spans="1:277" ht="12" customHeight="1">
      <c r="A798" s="1813" t="str">
        <f t="shared" si="0"/>
        <v/>
      </c>
      <c r="B798" s="2145">
        <f>'Part VI-Revenues &amp; Expenses'!B41</f>
        <v>0</v>
      </c>
      <c r="C798" s="2146">
        <f>'Part VI-Revenues &amp; Expenses'!C41</f>
        <v>0</v>
      </c>
      <c r="D798" s="2147">
        <f>'Part VI-Revenues &amp; Expenses'!D41</f>
        <v>0</v>
      </c>
      <c r="E798" s="2148">
        <f>'Part VI-Revenues &amp; Expenses'!E41</f>
        <v>0</v>
      </c>
      <c r="F798" s="2148">
        <f>'Part VI-Revenues &amp; Expenses'!F41</f>
        <v>0</v>
      </c>
      <c r="G798" s="2148">
        <f>'Part VI-Revenues &amp; Expenses'!G41</f>
        <v>0</v>
      </c>
      <c r="H798" s="2148">
        <f>'Part VI-Revenues &amp; Expenses'!H41</f>
        <v>0</v>
      </c>
      <c r="I798" s="2148">
        <f>'Part VI-Revenues &amp; Expenses'!I41</f>
        <v>0</v>
      </c>
      <c r="J798" s="2149">
        <f>'Part VI-Revenues &amp; Expenses'!J41</f>
        <v>0</v>
      </c>
      <c r="K798" s="1822">
        <f t="shared" si="1"/>
        <v>0</v>
      </c>
      <c r="L798" s="1822">
        <f t="shared" si="2"/>
        <v>0</v>
      </c>
      <c r="M798" s="2133">
        <f>'Part VI-Revenues &amp; Expenses'!M41</f>
        <v>0</v>
      </c>
      <c r="N798" s="2133">
        <f>'Part VI-Revenues &amp; Expenses'!N41</f>
        <v>0</v>
      </c>
      <c r="O798" s="2133">
        <f>'Part VI-Revenues &amp; Expenses'!O41</f>
        <v>0</v>
      </c>
      <c r="P798" s="1633">
        <f>'Part VI-Revenues &amp; Expenses'!P41</f>
        <v>0</v>
      </c>
      <c r="Q798" s="1823" t="str">
        <f>'Part VI-Revenues &amp; Expenses'!Q41</f>
        <v/>
      </c>
      <c r="R798" s="1824" t="str">
        <f>'Part VI-Revenues &amp; Expenses'!R41</f>
        <v/>
      </c>
      <c r="S798" s="1823">
        <f>'Part VI-Revenues &amp; Expenses'!S41</f>
        <v>0</v>
      </c>
      <c r="T798" s="1824">
        <f>'Part VI-Revenues &amp; Expenses'!T41</f>
        <v>0</v>
      </c>
      <c r="U798" s="1838"/>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117"/>
        <v/>
      </c>
      <c r="EH798" s="742" t="str">
        <f t="shared" si="118"/>
        <v/>
      </c>
      <c r="EI798" s="742" t="str">
        <f t="shared" si="119"/>
        <v/>
      </c>
      <c r="EJ798" s="742" t="str">
        <f t="shared" si="120"/>
        <v/>
      </c>
      <c r="EK798" s="742" t="str">
        <f t="shared" si="121"/>
        <v/>
      </c>
      <c r="EL798" s="742" t="str">
        <f t="shared" si="122"/>
        <v/>
      </c>
      <c r="EM798" s="742" t="str">
        <f t="shared" si="123"/>
        <v/>
      </c>
      <c r="EN798" s="742" t="str">
        <f t="shared" si="124"/>
        <v/>
      </c>
      <c r="EO798" s="742" t="str">
        <f t="shared" si="125"/>
        <v/>
      </c>
      <c r="EP798" s="742" t="str">
        <f t="shared" si="126"/>
        <v/>
      </c>
      <c r="EQ798" s="742" t="str">
        <f t="shared" si="127"/>
        <v/>
      </c>
      <c r="ER798" s="742" t="str">
        <f t="shared" si="128"/>
        <v/>
      </c>
      <c r="ES798" s="742" t="str">
        <f t="shared" si="129"/>
        <v/>
      </c>
      <c r="ET798" s="742" t="str">
        <f t="shared" si="130"/>
        <v/>
      </c>
      <c r="EU798" s="742" t="str">
        <f t="shared" si="131"/>
        <v/>
      </c>
      <c r="EV798" s="742" t="str">
        <f t="shared" si="132"/>
        <v/>
      </c>
      <c r="EW798" s="1638" t="str">
        <f t="shared" si="133"/>
        <v/>
      </c>
      <c r="EX798" s="1638" t="str">
        <f t="shared" si="134"/>
        <v/>
      </c>
      <c r="EY798" s="1638" t="str">
        <f t="shared" si="135"/>
        <v/>
      </c>
      <c r="EZ798" s="1638" t="str">
        <f t="shared" si="136"/>
        <v/>
      </c>
      <c r="FA798" s="1638" t="str">
        <f t="shared" si="137"/>
        <v/>
      </c>
      <c r="FB798" s="1638" t="str">
        <f t="shared" si="138"/>
        <v/>
      </c>
      <c r="FC798" s="1638" t="str">
        <f t="shared" si="139"/>
        <v/>
      </c>
      <c r="FD798" s="1638" t="str">
        <f t="shared" si="140"/>
        <v/>
      </c>
      <c r="FE798" s="1638" t="str">
        <f t="shared" si="141"/>
        <v/>
      </c>
      <c r="FF798" s="1638" t="str">
        <f t="shared" si="142"/>
        <v/>
      </c>
      <c r="FG798" s="1638" t="str">
        <f t="shared" si="143"/>
        <v/>
      </c>
      <c r="FH798" s="1638" t="str">
        <f t="shared" si="144"/>
        <v/>
      </c>
      <c r="FI798" s="1638" t="str">
        <f t="shared" si="145"/>
        <v/>
      </c>
      <c r="FJ798" s="1638" t="str">
        <f t="shared" si="146"/>
        <v/>
      </c>
      <c r="FK798" s="1638" t="str">
        <f t="shared" si="147"/>
        <v/>
      </c>
      <c r="FL798" s="1638" t="str">
        <f t="shared" si="148"/>
        <v/>
      </c>
      <c r="FM798" s="1638" t="str">
        <f t="shared" si="149"/>
        <v/>
      </c>
      <c r="FN798" s="1638" t="str">
        <f t="shared" si="150"/>
        <v/>
      </c>
      <c r="FO798" s="1638" t="str">
        <f t="shared" si="151"/>
        <v/>
      </c>
      <c r="FP798" s="1638" t="str">
        <f t="shared" si="152"/>
        <v/>
      </c>
      <c r="FQ798" s="1638" t="str">
        <f t="shared" si="153"/>
        <v/>
      </c>
      <c r="FR798" s="1638" t="str">
        <f t="shared" si="154"/>
        <v/>
      </c>
      <c r="FS798" s="1638" t="str">
        <f t="shared" si="155"/>
        <v/>
      </c>
      <c r="FT798" s="1638" t="str">
        <f t="shared" si="156"/>
        <v/>
      </c>
      <c r="FU798" s="1638" t="str">
        <f t="shared" si="157"/>
        <v/>
      </c>
      <c r="FV798" s="1638" t="str">
        <f t="shared" si="158"/>
        <v/>
      </c>
      <c r="FW798" s="1638" t="str">
        <f t="shared" si="159"/>
        <v/>
      </c>
      <c r="FX798" s="1638" t="str">
        <f t="shared" si="160"/>
        <v/>
      </c>
      <c r="FY798" s="1638" t="str">
        <f t="shared" si="161"/>
        <v/>
      </c>
      <c r="FZ798" s="1638" t="str">
        <f t="shared" si="162"/>
        <v/>
      </c>
      <c r="GA798" s="1638" t="str">
        <f t="shared" si="163"/>
        <v/>
      </c>
      <c r="GB798" s="1638" t="str">
        <f t="shared" si="164"/>
        <v/>
      </c>
      <c r="GC798" s="1638" t="str">
        <f t="shared" si="165"/>
        <v/>
      </c>
      <c r="GD798" s="1638" t="str">
        <f t="shared" si="166"/>
        <v/>
      </c>
      <c r="GE798" s="1638" t="str">
        <f t="shared" si="167"/>
        <v/>
      </c>
      <c r="GF798" s="1638" t="str">
        <f t="shared" si="168"/>
        <v/>
      </c>
      <c r="GG798" s="1638" t="str">
        <f t="shared" si="169"/>
        <v/>
      </c>
      <c r="GH798" s="1638" t="str">
        <f t="shared" si="170"/>
        <v/>
      </c>
      <c r="GI798" s="1638" t="str">
        <f t="shared" si="171"/>
        <v/>
      </c>
      <c r="GJ798" s="1638" t="str">
        <f t="shared" si="172"/>
        <v/>
      </c>
      <c r="GK798" s="1638" t="str">
        <f t="shared" si="173"/>
        <v/>
      </c>
      <c r="GL798" s="1638" t="str">
        <f t="shared" si="174"/>
        <v/>
      </c>
      <c r="GM798" s="1638" t="str">
        <f t="shared" si="175"/>
        <v/>
      </c>
      <c r="GN798" s="1638" t="str">
        <f t="shared" si="176"/>
        <v/>
      </c>
      <c r="GO798" s="1638" t="str">
        <f t="shared" si="177"/>
        <v/>
      </c>
      <c r="GP798" s="1638" t="str">
        <f t="shared" si="178"/>
        <v/>
      </c>
      <c r="GQ798" s="1638" t="str">
        <f t="shared" si="179"/>
        <v/>
      </c>
      <c r="GR798" s="1638" t="str">
        <f t="shared" si="180"/>
        <v/>
      </c>
      <c r="GS798" s="1638" t="str">
        <f t="shared" si="181"/>
        <v/>
      </c>
      <c r="GT798" s="1638" t="str">
        <f t="shared" si="182"/>
        <v/>
      </c>
      <c r="GU798" s="1638" t="str">
        <f t="shared" si="183"/>
        <v/>
      </c>
      <c r="GV798" s="1638" t="str">
        <f t="shared" si="184"/>
        <v/>
      </c>
      <c r="GW798" s="1638" t="str">
        <f t="shared" si="185"/>
        <v/>
      </c>
      <c r="GX798" s="1638" t="str">
        <f t="shared" si="186"/>
        <v/>
      </c>
      <c r="GY798" s="1638" t="str">
        <f t="shared" si="187"/>
        <v/>
      </c>
      <c r="GZ798" s="1638" t="str">
        <f t="shared" si="188"/>
        <v/>
      </c>
      <c r="HA798" s="1638" t="str">
        <f t="shared" si="189"/>
        <v/>
      </c>
      <c r="HB798" s="1638" t="str">
        <f t="shared" si="190"/>
        <v/>
      </c>
      <c r="HC798" s="1638" t="str">
        <f t="shared" si="191"/>
        <v/>
      </c>
      <c r="HD798" s="1638" t="str">
        <f t="shared" si="192"/>
        <v/>
      </c>
      <c r="HE798" s="1638" t="str">
        <f t="shared" si="193"/>
        <v/>
      </c>
      <c r="HF798" s="1638" t="str">
        <f t="shared" si="194"/>
        <v/>
      </c>
      <c r="HG798" s="1638" t="str">
        <f t="shared" si="195"/>
        <v/>
      </c>
      <c r="HH798" s="1638" t="str">
        <f t="shared" si="196"/>
        <v/>
      </c>
      <c r="HI798" s="1638" t="str">
        <f t="shared" si="197"/>
        <v/>
      </c>
      <c r="HJ798" s="1638" t="str">
        <f t="shared" si="198"/>
        <v/>
      </c>
      <c r="HK798" s="1638" t="str">
        <f t="shared" si="199"/>
        <v/>
      </c>
      <c r="HL798" s="1638" t="str">
        <f t="shared" si="200"/>
        <v/>
      </c>
      <c r="HM798" s="1638" t="str">
        <f t="shared" si="201"/>
        <v/>
      </c>
      <c r="HN798" s="1638" t="str">
        <f t="shared" si="202"/>
        <v/>
      </c>
      <c r="HO798" s="1638" t="str">
        <f t="shared" si="203"/>
        <v/>
      </c>
      <c r="HP798" s="1638" t="str">
        <f t="shared" si="204"/>
        <v/>
      </c>
      <c r="HQ798" s="1638" t="str">
        <f t="shared" si="205"/>
        <v/>
      </c>
      <c r="HR798" s="1638" t="str">
        <f t="shared" si="206"/>
        <v/>
      </c>
      <c r="HS798" s="1638" t="str">
        <f t="shared" si="207"/>
        <v/>
      </c>
      <c r="HT798" s="1638" t="str">
        <f t="shared" si="208"/>
        <v/>
      </c>
      <c r="HU798" s="1638" t="str">
        <f t="shared" si="209"/>
        <v/>
      </c>
      <c r="HV798" s="1638" t="str">
        <f t="shared" si="210"/>
        <v/>
      </c>
      <c r="HW798" s="1638" t="str">
        <f t="shared" si="211"/>
        <v/>
      </c>
      <c r="HX798" s="1638" t="str">
        <f t="shared" si="212"/>
        <v/>
      </c>
      <c r="HY798" s="1638" t="str">
        <f t="shared" si="213"/>
        <v/>
      </c>
      <c r="HZ798" s="1638" t="str">
        <f t="shared" si="214"/>
        <v/>
      </c>
      <c r="IA798" s="1638" t="str">
        <f t="shared" si="215"/>
        <v/>
      </c>
      <c r="IB798" s="1638" t="str">
        <f t="shared" si="216"/>
        <v/>
      </c>
      <c r="IC798" s="1638" t="str">
        <f t="shared" si="217"/>
        <v/>
      </c>
      <c r="ID798" s="1639" t="str">
        <f t="shared" si="218"/>
        <v/>
      </c>
      <c r="IE798" s="1639" t="str">
        <f t="shared" si="219"/>
        <v/>
      </c>
      <c r="IF798" s="1639" t="str">
        <f t="shared" si="220"/>
        <v/>
      </c>
      <c r="IG798" s="1639" t="str">
        <f t="shared" si="221"/>
        <v/>
      </c>
      <c r="IH798" s="1639" t="str">
        <f t="shared" si="222"/>
        <v/>
      </c>
      <c r="II798" s="742" t="str">
        <f t="shared" si="223"/>
        <v/>
      </c>
      <c r="IJ798" s="742" t="str">
        <f t="shared" si="224"/>
        <v/>
      </c>
      <c r="IK798" s="742" t="str">
        <f t="shared" si="225"/>
        <v/>
      </c>
      <c r="IL798" s="742" t="str">
        <f t="shared" si="226"/>
        <v/>
      </c>
      <c r="IM798" s="742" t="str">
        <f t="shared" si="227"/>
        <v/>
      </c>
      <c r="IN798" s="742" t="str">
        <f t="shared" si="228"/>
        <v/>
      </c>
      <c r="IO798" s="742" t="str">
        <f t="shared" si="229"/>
        <v/>
      </c>
      <c r="IP798" s="742" t="str">
        <f t="shared" si="230"/>
        <v/>
      </c>
      <c r="IQ798" s="742" t="str">
        <f t="shared" si="231"/>
        <v/>
      </c>
      <c r="IR798" s="742" t="str">
        <f t="shared" si="232"/>
        <v/>
      </c>
      <c r="IS798" s="742" t="str">
        <f t="shared" si="233"/>
        <v/>
      </c>
      <c r="IT798" s="742" t="str">
        <f t="shared" si="234"/>
        <v/>
      </c>
      <c r="IU798" s="742" t="str">
        <f t="shared" si="235"/>
        <v/>
      </c>
      <c r="IV798" s="742" t="str">
        <f t="shared" si="236"/>
        <v/>
      </c>
      <c r="IW798" s="742" t="str">
        <f t="shared" si="237"/>
        <v/>
      </c>
      <c r="IX798" s="742" t="str">
        <f t="shared" si="238"/>
        <v/>
      </c>
      <c r="IY798" s="742" t="str">
        <f t="shared" si="239"/>
        <v/>
      </c>
      <c r="IZ798" s="742" t="str">
        <f t="shared" si="240"/>
        <v/>
      </c>
      <c r="JA798" s="742" t="str">
        <f t="shared" si="241"/>
        <v/>
      </c>
      <c r="JB798" s="742" t="str">
        <f t="shared" si="242"/>
        <v/>
      </c>
      <c r="JC798" s="1637">
        <f t="shared" si="243"/>
        <v>0</v>
      </c>
      <c r="JD798" s="1637">
        <f t="shared" si="244"/>
        <v>0</v>
      </c>
      <c r="JE798" s="1637">
        <f t="shared" si="245"/>
        <v>0</v>
      </c>
      <c r="JF798" s="1637">
        <f t="shared" si="246"/>
        <v>0</v>
      </c>
      <c r="JG798" s="1637">
        <f t="shared" si="247"/>
        <v>0</v>
      </c>
      <c r="JH798" s="1637">
        <f t="shared" si="248"/>
        <v>0</v>
      </c>
      <c r="JI798" s="1637">
        <f t="shared" si="249"/>
        <v>0</v>
      </c>
      <c r="JJ798" s="1637">
        <f t="shared" si="250"/>
        <v>0</v>
      </c>
      <c r="JK798" s="1637">
        <f t="shared" si="251"/>
        <v>0</v>
      </c>
      <c r="JL798" s="1637">
        <f t="shared" si="252"/>
        <v>0</v>
      </c>
      <c r="JM798" s="1637">
        <f t="shared" si="253"/>
        <v>0</v>
      </c>
      <c r="JN798" s="1637">
        <f t="shared" si="254"/>
        <v>0</v>
      </c>
      <c r="JO798" s="1637">
        <f t="shared" si="255"/>
        <v>0</v>
      </c>
      <c r="JP798" s="1637">
        <f t="shared" si="256"/>
        <v>0</v>
      </c>
      <c r="JQ798" s="1637">
        <f t="shared" si="257"/>
        <v>0</v>
      </c>
    </row>
    <row r="799" spans="1:277" ht="12" customHeight="1">
      <c r="A799" s="1813" t="str">
        <f t="shared" si="0"/>
        <v/>
      </c>
      <c r="B799" s="2145">
        <f>'Part VI-Revenues &amp; Expenses'!B42</f>
        <v>0</v>
      </c>
      <c r="C799" s="2146">
        <f>'Part VI-Revenues &amp; Expenses'!C42</f>
        <v>0</v>
      </c>
      <c r="D799" s="2147">
        <f>'Part VI-Revenues &amp; Expenses'!D42</f>
        <v>0</v>
      </c>
      <c r="E799" s="2148">
        <f>'Part VI-Revenues &amp; Expenses'!E42</f>
        <v>0</v>
      </c>
      <c r="F799" s="2148">
        <f>'Part VI-Revenues &amp; Expenses'!F42</f>
        <v>0</v>
      </c>
      <c r="G799" s="2148">
        <f>'Part VI-Revenues &amp; Expenses'!G42</f>
        <v>0</v>
      </c>
      <c r="H799" s="2148">
        <f>'Part VI-Revenues &amp; Expenses'!H42</f>
        <v>0</v>
      </c>
      <c r="I799" s="2148">
        <f>'Part VI-Revenues &amp; Expenses'!I42</f>
        <v>0</v>
      </c>
      <c r="J799" s="2149">
        <f>'Part VI-Revenues &amp; Expenses'!J42</f>
        <v>0</v>
      </c>
      <c r="K799" s="1822">
        <f t="shared" si="1"/>
        <v>0</v>
      </c>
      <c r="L799" s="1822">
        <f t="shared" si="2"/>
        <v>0</v>
      </c>
      <c r="M799" s="2133">
        <f>'Part VI-Revenues &amp; Expenses'!M42</f>
        <v>0</v>
      </c>
      <c r="N799" s="2133">
        <f>'Part VI-Revenues &amp; Expenses'!N42</f>
        <v>0</v>
      </c>
      <c r="O799" s="2133">
        <f>'Part VI-Revenues &amp; Expenses'!O42</f>
        <v>0</v>
      </c>
      <c r="P799" s="1633">
        <f>'Part VI-Revenues &amp; Expenses'!P42</f>
        <v>0</v>
      </c>
      <c r="Q799" s="1823" t="str">
        <f>'Part VI-Revenues &amp; Expenses'!Q42</f>
        <v/>
      </c>
      <c r="R799" s="1824" t="str">
        <f>'Part VI-Revenues &amp; Expenses'!R42</f>
        <v/>
      </c>
      <c r="S799" s="1823">
        <f>'Part VI-Revenues &amp; Expenses'!S42</f>
        <v>0</v>
      </c>
      <c r="T799" s="1824">
        <f>'Part VI-Revenues &amp; Expenses'!T42</f>
        <v>0</v>
      </c>
      <c r="U799" s="1838"/>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117"/>
        <v/>
      </c>
      <c r="EH799" s="742" t="str">
        <f t="shared" si="118"/>
        <v/>
      </c>
      <c r="EI799" s="742" t="str">
        <f t="shared" si="119"/>
        <v/>
      </c>
      <c r="EJ799" s="742" t="str">
        <f t="shared" si="120"/>
        <v/>
      </c>
      <c r="EK799" s="742" t="str">
        <f t="shared" si="121"/>
        <v/>
      </c>
      <c r="EL799" s="742" t="str">
        <f t="shared" si="122"/>
        <v/>
      </c>
      <c r="EM799" s="742" t="str">
        <f t="shared" si="123"/>
        <v/>
      </c>
      <c r="EN799" s="742" t="str">
        <f t="shared" si="124"/>
        <v/>
      </c>
      <c r="EO799" s="742" t="str">
        <f t="shared" si="125"/>
        <v/>
      </c>
      <c r="EP799" s="742" t="str">
        <f t="shared" si="126"/>
        <v/>
      </c>
      <c r="EQ799" s="742" t="str">
        <f t="shared" si="127"/>
        <v/>
      </c>
      <c r="ER799" s="742" t="str">
        <f t="shared" si="128"/>
        <v/>
      </c>
      <c r="ES799" s="742" t="str">
        <f t="shared" si="129"/>
        <v/>
      </c>
      <c r="ET799" s="742" t="str">
        <f t="shared" si="130"/>
        <v/>
      </c>
      <c r="EU799" s="742" t="str">
        <f t="shared" si="131"/>
        <v/>
      </c>
      <c r="EV799" s="742" t="str">
        <f t="shared" si="132"/>
        <v/>
      </c>
      <c r="EW799" s="1638" t="str">
        <f t="shared" si="133"/>
        <v/>
      </c>
      <c r="EX799" s="1638" t="str">
        <f t="shared" si="134"/>
        <v/>
      </c>
      <c r="EY799" s="1638" t="str">
        <f t="shared" si="135"/>
        <v/>
      </c>
      <c r="EZ799" s="1638" t="str">
        <f t="shared" si="136"/>
        <v/>
      </c>
      <c r="FA799" s="1638" t="str">
        <f t="shared" si="137"/>
        <v/>
      </c>
      <c r="FB799" s="1638" t="str">
        <f t="shared" si="138"/>
        <v/>
      </c>
      <c r="FC799" s="1638" t="str">
        <f t="shared" si="139"/>
        <v/>
      </c>
      <c r="FD799" s="1638" t="str">
        <f t="shared" si="140"/>
        <v/>
      </c>
      <c r="FE799" s="1638" t="str">
        <f t="shared" si="141"/>
        <v/>
      </c>
      <c r="FF799" s="1638" t="str">
        <f t="shared" si="142"/>
        <v/>
      </c>
      <c r="FG799" s="1638" t="str">
        <f t="shared" si="143"/>
        <v/>
      </c>
      <c r="FH799" s="1638" t="str">
        <f t="shared" si="144"/>
        <v/>
      </c>
      <c r="FI799" s="1638" t="str">
        <f t="shared" si="145"/>
        <v/>
      </c>
      <c r="FJ799" s="1638" t="str">
        <f t="shared" si="146"/>
        <v/>
      </c>
      <c r="FK799" s="1638" t="str">
        <f t="shared" si="147"/>
        <v/>
      </c>
      <c r="FL799" s="1638" t="str">
        <f t="shared" si="148"/>
        <v/>
      </c>
      <c r="FM799" s="1638" t="str">
        <f t="shared" si="149"/>
        <v/>
      </c>
      <c r="FN799" s="1638" t="str">
        <f t="shared" si="150"/>
        <v/>
      </c>
      <c r="FO799" s="1638" t="str">
        <f t="shared" si="151"/>
        <v/>
      </c>
      <c r="FP799" s="1638" t="str">
        <f t="shared" si="152"/>
        <v/>
      </c>
      <c r="FQ799" s="1638" t="str">
        <f t="shared" si="153"/>
        <v/>
      </c>
      <c r="FR799" s="1638" t="str">
        <f t="shared" si="154"/>
        <v/>
      </c>
      <c r="FS799" s="1638" t="str">
        <f t="shared" si="155"/>
        <v/>
      </c>
      <c r="FT799" s="1638" t="str">
        <f t="shared" si="156"/>
        <v/>
      </c>
      <c r="FU799" s="1638" t="str">
        <f t="shared" si="157"/>
        <v/>
      </c>
      <c r="FV799" s="1638" t="str">
        <f t="shared" si="158"/>
        <v/>
      </c>
      <c r="FW799" s="1638" t="str">
        <f t="shared" si="159"/>
        <v/>
      </c>
      <c r="FX799" s="1638" t="str">
        <f t="shared" si="160"/>
        <v/>
      </c>
      <c r="FY799" s="1638" t="str">
        <f t="shared" si="161"/>
        <v/>
      </c>
      <c r="FZ799" s="1638" t="str">
        <f t="shared" si="162"/>
        <v/>
      </c>
      <c r="GA799" s="1638" t="str">
        <f t="shared" si="163"/>
        <v/>
      </c>
      <c r="GB799" s="1638" t="str">
        <f t="shared" si="164"/>
        <v/>
      </c>
      <c r="GC799" s="1638" t="str">
        <f t="shared" si="165"/>
        <v/>
      </c>
      <c r="GD799" s="1638" t="str">
        <f t="shared" si="166"/>
        <v/>
      </c>
      <c r="GE799" s="1638" t="str">
        <f t="shared" si="167"/>
        <v/>
      </c>
      <c r="GF799" s="1638" t="str">
        <f t="shared" si="168"/>
        <v/>
      </c>
      <c r="GG799" s="1638" t="str">
        <f t="shared" si="169"/>
        <v/>
      </c>
      <c r="GH799" s="1638" t="str">
        <f t="shared" si="170"/>
        <v/>
      </c>
      <c r="GI799" s="1638" t="str">
        <f t="shared" si="171"/>
        <v/>
      </c>
      <c r="GJ799" s="1638" t="str">
        <f t="shared" si="172"/>
        <v/>
      </c>
      <c r="GK799" s="1638" t="str">
        <f t="shared" si="173"/>
        <v/>
      </c>
      <c r="GL799" s="1638" t="str">
        <f t="shared" si="174"/>
        <v/>
      </c>
      <c r="GM799" s="1638" t="str">
        <f t="shared" si="175"/>
        <v/>
      </c>
      <c r="GN799" s="1638" t="str">
        <f t="shared" si="176"/>
        <v/>
      </c>
      <c r="GO799" s="1638" t="str">
        <f t="shared" si="177"/>
        <v/>
      </c>
      <c r="GP799" s="1638" t="str">
        <f t="shared" si="178"/>
        <v/>
      </c>
      <c r="GQ799" s="1638" t="str">
        <f t="shared" si="179"/>
        <v/>
      </c>
      <c r="GR799" s="1638" t="str">
        <f t="shared" si="180"/>
        <v/>
      </c>
      <c r="GS799" s="1638" t="str">
        <f t="shared" si="181"/>
        <v/>
      </c>
      <c r="GT799" s="1638" t="str">
        <f t="shared" si="182"/>
        <v/>
      </c>
      <c r="GU799" s="1638" t="str">
        <f t="shared" si="183"/>
        <v/>
      </c>
      <c r="GV799" s="1638" t="str">
        <f t="shared" si="184"/>
        <v/>
      </c>
      <c r="GW799" s="1638" t="str">
        <f t="shared" si="185"/>
        <v/>
      </c>
      <c r="GX799" s="1638" t="str">
        <f t="shared" si="186"/>
        <v/>
      </c>
      <c r="GY799" s="1638" t="str">
        <f t="shared" si="187"/>
        <v/>
      </c>
      <c r="GZ799" s="1638" t="str">
        <f t="shared" si="188"/>
        <v/>
      </c>
      <c r="HA799" s="1638" t="str">
        <f t="shared" si="189"/>
        <v/>
      </c>
      <c r="HB799" s="1638" t="str">
        <f t="shared" si="190"/>
        <v/>
      </c>
      <c r="HC799" s="1638" t="str">
        <f t="shared" si="191"/>
        <v/>
      </c>
      <c r="HD799" s="1638" t="str">
        <f t="shared" si="192"/>
        <v/>
      </c>
      <c r="HE799" s="1638" t="str">
        <f t="shared" si="193"/>
        <v/>
      </c>
      <c r="HF799" s="1638" t="str">
        <f t="shared" si="194"/>
        <v/>
      </c>
      <c r="HG799" s="1638" t="str">
        <f t="shared" si="195"/>
        <v/>
      </c>
      <c r="HH799" s="1638" t="str">
        <f t="shared" si="196"/>
        <v/>
      </c>
      <c r="HI799" s="1638" t="str">
        <f t="shared" si="197"/>
        <v/>
      </c>
      <c r="HJ799" s="1638" t="str">
        <f t="shared" si="198"/>
        <v/>
      </c>
      <c r="HK799" s="1638" t="str">
        <f t="shared" si="199"/>
        <v/>
      </c>
      <c r="HL799" s="1638" t="str">
        <f t="shared" si="200"/>
        <v/>
      </c>
      <c r="HM799" s="1638" t="str">
        <f t="shared" si="201"/>
        <v/>
      </c>
      <c r="HN799" s="1638" t="str">
        <f t="shared" si="202"/>
        <v/>
      </c>
      <c r="HO799" s="1638" t="str">
        <f t="shared" si="203"/>
        <v/>
      </c>
      <c r="HP799" s="1638" t="str">
        <f t="shared" si="204"/>
        <v/>
      </c>
      <c r="HQ799" s="1638" t="str">
        <f t="shared" si="205"/>
        <v/>
      </c>
      <c r="HR799" s="1638" t="str">
        <f t="shared" si="206"/>
        <v/>
      </c>
      <c r="HS799" s="1638" t="str">
        <f t="shared" si="207"/>
        <v/>
      </c>
      <c r="HT799" s="1638" t="str">
        <f t="shared" si="208"/>
        <v/>
      </c>
      <c r="HU799" s="1638" t="str">
        <f t="shared" si="209"/>
        <v/>
      </c>
      <c r="HV799" s="1638" t="str">
        <f t="shared" si="210"/>
        <v/>
      </c>
      <c r="HW799" s="1638" t="str">
        <f t="shared" si="211"/>
        <v/>
      </c>
      <c r="HX799" s="1638" t="str">
        <f t="shared" si="212"/>
        <v/>
      </c>
      <c r="HY799" s="1638" t="str">
        <f t="shared" si="213"/>
        <v/>
      </c>
      <c r="HZ799" s="1638" t="str">
        <f t="shared" si="214"/>
        <v/>
      </c>
      <c r="IA799" s="1638" t="str">
        <f t="shared" si="215"/>
        <v/>
      </c>
      <c r="IB799" s="1638" t="str">
        <f t="shared" si="216"/>
        <v/>
      </c>
      <c r="IC799" s="1638" t="str">
        <f t="shared" si="217"/>
        <v/>
      </c>
      <c r="ID799" s="1639" t="str">
        <f t="shared" si="218"/>
        <v/>
      </c>
      <c r="IE799" s="1639" t="str">
        <f t="shared" si="219"/>
        <v/>
      </c>
      <c r="IF799" s="1639" t="str">
        <f t="shared" si="220"/>
        <v/>
      </c>
      <c r="IG799" s="1639" t="str">
        <f t="shared" si="221"/>
        <v/>
      </c>
      <c r="IH799" s="1639" t="str">
        <f t="shared" si="222"/>
        <v/>
      </c>
      <c r="II799" s="742" t="str">
        <f t="shared" si="223"/>
        <v/>
      </c>
      <c r="IJ799" s="742" t="str">
        <f t="shared" si="224"/>
        <v/>
      </c>
      <c r="IK799" s="742" t="str">
        <f t="shared" si="225"/>
        <v/>
      </c>
      <c r="IL799" s="742" t="str">
        <f t="shared" si="226"/>
        <v/>
      </c>
      <c r="IM799" s="742" t="str">
        <f t="shared" si="227"/>
        <v/>
      </c>
      <c r="IN799" s="742" t="str">
        <f t="shared" si="228"/>
        <v/>
      </c>
      <c r="IO799" s="742" t="str">
        <f t="shared" si="229"/>
        <v/>
      </c>
      <c r="IP799" s="742" t="str">
        <f t="shared" si="230"/>
        <v/>
      </c>
      <c r="IQ799" s="742" t="str">
        <f t="shared" si="231"/>
        <v/>
      </c>
      <c r="IR799" s="742" t="str">
        <f t="shared" si="232"/>
        <v/>
      </c>
      <c r="IS799" s="742" t="str">
        <f t="shared" si="233"/>
        <v/>
      </c>
      <c r="IT799" s="742" t="str">
        <f t="shared" si="234"/>
        <v/>
      </c>
      <c r="IU799" s="742" t="str">
        <f t="shared" si="235"/>
        <v/>
      </c>
      <c r="IV799" s="742" t="str">
        <f t="shared" si="236"/>
        <v/>
      </c>
      <c r="IW799" s="742" t="str">
        <f t="shared" si="237"/>
        <v/>
      </c>
      <c r="IX799" s="742" t="str">
        <f t="shared" si="238"/>
        <v/>
      </c>
      <c r="IY799" s="742" t="str">
        <f t="shared" si="239"/>
        <v/>
      </c>
      <c r="IZ799" s="742" t="str">
        <f t="shared" si="240"/>
        <v/>
      </c>
      <c r="JA799" s="742" t="str">
        <f t="shared" si="241"/>
        <v/>
      </c>
      <c r="JB799" s="742" t="str">
        <f t="shared" si="242"/>
        <v/>
      </c>
      <c r="JC799" s="1637">
        <f t="shared" si="243"/>
        <v>0</v>
      </c>
      <c r="JD799" s="1637">
        <f t="shared" si="244"/>
        <v>0</v>
      </c>
      <c r="JE799" s="1637">
        <f t="shared" si="245"/>
        <v>0</v>
      </c>
      <c r="JF799" s="1637">
        <f t="shared" si="246"/>
        <v>0</v>
      </c>
      <c r="JG799" s="1637">
        <f t="shared" si="247"/>
        <v>0</v>
      </c>
      <c r="JH799" s="1637">
        <f t="shared" si="248"/>
        <v>0</v>
      </c>
      <c r="JI799" s="1637">
        <f t="shared" si="249"/>
        <v>0</v>
      </c>
      <c r="JJ799" s="1637">
        <f t="shared" si="250"/>
        <v>0</v>
      </c>
      <c r="JK799" s="1637">
        <f t="shared" si="251"/>
        <v>0</v>
      </c>
      <c r="JL799" s="1637">
        <f t="shared" si="252"/>
        <v>0</v>
      </c>
      <c r="JM799" s="1637">
        <f t="shared" si="253"/>
        <v>0</v>
      </c>
      <c r="JN799" s="1637">
        <f t="shared" si="254"/>
        <v>0</v>
      </c>
      <c r="JO799" s="1637">
        <f t="shared" si="255"/>
        <v>0</v>
      </c>
      <c r="JP799" s="1637">
        <f t="shared" si="256"/>
        <v>0</v>
      </c>
      <c r="JQ799" s="1637">
        <f t="shared" si="257"/>
        <v>0</v>
      </c>
    </row>
    <row r="800" spans="1:277" ht="12" customHeight="1">
      <c r="A800" s="1813" t="str">
        <f t="shared" si="0"/>
        <v/>
      </c>
      <c r="B800" s="2145">
        <f>'Part VI-Revenues &amp; Expenses'!B43</f>
        <v>0</v>
      </c>
      <c r="C800" s="2146">
        <f>'Part VI-Revenues &amp; Expenses'!C43</f>
        <v>0</v>
      </c>
      <c r="D800" s="2147">
        <f>'Part VI-Revenues &amp; Expenses'!D43</f>
        <v>0</v>
      </c>
      <c r="E800" s="2148">
        <f>'Part VI-Revenues &amp; Expenses'!E43</f>
        <v>0</v>
      </c>
      <c r="F800" s="2148">
        <f>'Part VI-Revenues &amp; Expenses'!F43</f>
        <v>0</v>
      </c>
      <c r="G800" s="2148">
        <f>'Part VI-Revenues &amp; Expenses'!G43</f>
        <v>0</v>
      </c>
      <c r="H800" s="2148">
        <f>'Part VI-Revenues &amp; Expenses'!H43</f>
        <v>0</v>
      </c>
      <c r="I800" s="2148">
        <f>'Part VI-Revenues &amp; Expenses'!I43</f>
        <v>0</v>
      </c>
      <c r="J800" s="2149">
        <f>'Part VI-Revenues &amp; Expenses'!J43</f>
        <v>0</v>
      </c>
      <c r="K800" s="1822">
        <f t="shared" si="1"/>
        <v>0</v>
      </c>
      <c r="L800" s="1822">
        <f t="shared" si="2"/>
        <v>0</v>
      </c>
      <c r="M800" s="2133">
        <f>'Part VI-Revenues &amp; Expenses'!M43</f>
        <v>0</v>
      </c>
      <c r="N800" s="2133">
        <f>'Part VI-Revenues &amp; Expenses'!N43</f>
        <v>0</v>
      </c>
      <c r="O800" s="2133">
        <f>'Part VI-Revenues &amp; Expenses'!O43</f>
        <v>0</v>
      </c>
      <c r="P800" s="1633">
        <f>'Part VI-Revenues &amp; Expenses'!P43</f>
        <v>0</v>
      </c>
      <c r="Q800" s="1823" t="str">
        <f>'Part VI-Revenues &amp; Expenses'!Q43</f>
        <v/>
      </c>
      <c r="R800" s="1824" t="str">
        <f>'Part VI-Revenues &amp; Expenses'!R43</f>
        <v/>
      </c>
      <c r="S800" s="1823">
        <f>'Part VI-Revenues &amp; Expenses'!S43</f>
        <v>0</v>
      </c>
      <c r="T800" s="1824">
        <f>'Part VI-Revenues &amp; Expenses'!T43</f>
        <v>0</v>
      </c>
      <c r="U800" s="1838"/>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117"/>
        <v/>
      </c>
      <c r="EH800" s="742" t="str">
        <f t="shared" si="118"/>
        <v/>
      </c>
      <c r="EI800" s="742" t="str">
        <f t="shared" si="119"/>
        <v/>
      </c>
      <c r="EJ800" s="742" t="str">
        <f t="shared" si="120"/>
        <v/>
      </c>
      <c r="EK800" s="742" t="str">
        <f t="shared" si="121"/>
        <v/>
      </c>
      <c r="EL800" s="742" t="str">
        <f t="shared" si="122"/>
        <v/>
      </c>
      <c r="EM800" s="742" t="str">
        <f t="shared" si="123"/>
        <v/>
      </c>
      <c r="EN800" s="742" t="str">
        <f t="shared" si="124"/>
        <v/>
      </c>
      <c r="EO800" s="742" t="str">
        <f t="shared" si="125"/>
        <v/>
      </c>
      <c r="EP800" s="742" t="str">
        <f t="shared" si="126"/>
        <v/>
      </c>
      <c r="EQ800" s="742" t="str">
        <f t="shared" si="127"/>
        <v/>
      </c>
      <c r="ER800" s="742" t="str">
        <f t="shared" si="128"/>
        <v/>
      </c>
      <c r="ES800" s="742" t="str">
        <f t="shared" si="129"/>
        <v/>
      </c>
      <c r="ET800" s="742" t="str">
        <f t="shared" si="130"/>
        <v/>
      </c>
      <c r="EU800" s="742" t="str">
        <f t="shared" si="131"/>
        <v/>
      </c>
      <c r="EV800" s="742" t="str">
        <f t="shared" si="132"/>
        <v/>
      </c>
      <c r="EW800" s="1638" t="str">
        <f t="shared" si="133"/>
        <v/>
      </c>
      <c r="EX800" s="1638" t="str">
        <f t="shared" si="134"/>
        <v/>
      </c>
      <c r="EY800" s="1638" t="str">
        <f t="shared" si="135"/>
        <v/>
      </c>
      <c r="EZ800" s="1638" t="str">
        <f t="shared" si="136"/>
        <v/>
      </c>
      <c r="FA800" s="1638" t="str">
        <f t="shared" si="137"/>
        <v/>
      </c>
      <c r="FB800" s="1638" t="str">
        <f t="shared" si="138"/>
        <v/>
      </c>
      <c r="FC800" s="1638" t="str">
        <f t="shared" si="139"/>
        <v/>
      </c>
      <c r="FD800" s="1638" t="str">
        <f t="shared" si="140"/>
        <v/>
      </c>
      <c r="FE800" s="1638" t="str">
        <f t="shared" si="141"/>
        <v/>
      </c>
      <c r="FF800" s="1638" t="str">
        <f t="shared" si="142"/>
        <v/>
      </c>
      <c r="FG800" s="1638" t="str">
        <f t="shared" si="143"/>
        <v/>
      </c>
      <c r="FH800" s="1638" t="str">
        <f t="shared" si="144"/>
        <v/>
      </c>
      <c r="FI800" s="1638" t="str">
        <f t="shared" si="145"/>
        <v/>
      </c>
      <c r="FJ800" s="1638" t="str">
        <f t="shared" si="146"/>
        <v/>
      </c>
      <c r="FK800" s="1638" t="str">
        <f t="shared" si="147"/>
        <v/>
      </c>
      <c r="FL800" s="1638" t="str">
        <f t="shared" si="148"/>
        <v/>
      </c>
      <c r="FM800" s="1638" t="str">
        <f t="shared" si="149"/>
        <v/>
      </c>
      <c r="FN800" s="1638" t="str">
        <f t="shared" si="150"/>
        <v/>
      </c>
      <c r="FO800" s="1638" t="str">
        <f t="shared" si="151"/>
        <v/>
      </c>
      <c r="FP800" s="1638" t="str">
        <f t="shared" si="152"/>
        <v/>
      </c>
      <c r="FQ800" s="1638" t="str">
        <f t="shared" si="153"/>
        <v/>
      </c>
      <c r="FR800" s="1638" t="str">
        <f t="shared" si="154"/>
        <v/>
      </c>
      <c r="FS800" s="1638" t="str">
        <f t="shared" si="155"/>
        <v/>
      </c>
      <c r="FT800" s="1638" t="str">
        <f t="shared" si="156"/>
        <v/>
      </c>
      <c r="FU800" s="1638" t="str">
        <f t="shared" si="157"/>
        <v/>
      </c>
      <c r="FV800" s="1638" t="str">
        <f t="shared" si="158"/>
        <v/>
      </c>
      <c r="FW800" s="1638" t="str">
        <f t="shared" si="159"/>
        <v/>
      </c>
      <c r="FX800" s="1638" t="str">
        <f t="shared" si="160"/>
        <v/>
      </c>
      <c r="FY800" s="1638" t="str">
        <f t="shared" si="161"/>
        <v/>
      </c>
      <c r="FZ800" s="1638" t="str">
        <f t="shared" si="162"/>
        <v/>
      </c>
      <c r="GA800" s="1638" t="str">
        <f t="shared" si="163"/>
        <v/>
      </c>
      <c r="GB800" s="1638" t="str">
        <f t="shared" si="164"/>
        <v/>
      </c>
      <c r="GC800" s="1638" t="str">
        <f t="shared" si="165"/>
        <v/>
      </c>
      <c r="GD800" s="1638" t="str">
        <f t="shared" si="166"/>
        <v/>
      </c>
      <c r="GE800" s="1638" t="str">
        <f t="shared" si="167"/>
        <v/>
      </c>
      <c r="GF800" s="1638" t="str">
        <f t="shared" si="168"/>
        <v/>
      </c>
      <c r="GG800" s="1638" t="str">
        <f t="shared" si="169"/>
        <v/>
      </c>
      <c r="GH800" s="1638" t="str">
        <f t="shared" si="170"/>
        <v/>
      </c>
      <c r="GI800" s="1638" t="str">
        <f t="shared" si="171"/>
        <v/>
      </c>
      <c r="GJ800" s="1638" t="str">
        <f t="shared" si="172"/>
        <v/>
      </c>
      <c r="GK800" s="1638" t="str">
        <f t="shared" si="173"/>
        <v/>
      </c>
      <c r="GL800" s="1638" t="str">
        <f t="shared" si="174"/>
        <v/>
      </c>
      <c r="GM800" s="1638" t="str">
        <f t="shared" si="175"/>
        <v/>
      </c>
      <c r="GN800" s="1638" t="str">
        <f t="shared" si="176"/>
        <v/>
      </c>
      <c r="GO800" s="1638" t="str">
        <f t="shared" si="177"/>
        <v/>
      </c>
      <c r="GP800" s="1638" t="str">
        <f t="shared" si="178"/>
        <v/>
      </c>
      <c r="GQ800" s="1638" t="str">
        <f t="shared" si="179"/>
        <v/>
      </c>
      <c r="GR800" s="1638" t="str">
        <f t="shared" si="180"/>
        <v/>
      </c>
      <c r="GS800" s="1638" t="str">
        <f t="shared" si="181"/>
        <v/>
      </c>
      <c r="GT800" s="1638" t="str">
        <f t="shared" si="182"/>
        <v/>
      </c>
      <c r="GU800" s="1638" t="str">
        <f t="shared" si="183"/>
        <v/>
      </c>
      <c r="GV800" s="1638" t="str">
        <f t="shared" si="184"/>
        <v/>
      </c>
      <c r="GW800" s="1638" t="str">
        <f t="shared" si="185"/>
        <v/>
      </c>
      <c r="GX800" s="1638" t="str">
        <f t="shared" si="186"/>
        <v/>
      </c>
      <c r="GY800" s="1638" t="str">
        <f t="shared" si="187"/>
        <v/>
      </c>
      <c r="GZ800" s="1638" t="str">
        <f t="shared" si="188"/>
        <v/>
      </c>
      <c r="HA800" s="1638" t="str">
        <f t="shared" si="189"/>
        <v/>
      </c>
      <c r="HB800" s="1638" t="str">
        <f t="shared" si="190"/>
        <v/>
      </c>
      <c r="HC800" s="1638" t="str">
        <f t="shared" si="191"/>
        <v/>
      </c>
      <c r="HD800" s="1638" t="str">
        <f t="shared" si="192"/>
        <v/>
      </c>
      <c r="HE800" s="1638" t="str">
        <f t="shared" si="193"/>
        <v/>
      </c>
      <c r="HF800" s="1638" t="str">
        <f t="shared" si="194"/>
        <v/>
      </c>
      <c r="HG800" s="1638" t="str">
        <f t="shared" si="195"/>
        <v/>
      </c>
      <c r="HH800" s="1638" t="str">
        <f t="shared" si="196"/>
        <v/>
      </c>
      <c r="HI800" s="1638" t="str">
        <f t="shared" si="197"/>
        <v/>
      </c>
      <c r="HJ800" s="1638" t="str">
        <f t="shared" si="198"/>
        <v/>
      </c>
      <c r="HK800" s="1638" t="str">
        <f t="shared" si="199"/>
        <v/>
      </c>
      <c r="HL800" s="1638" t="str">
        <f t="shared" si="200"/>
        <v/>
      </c>
      <c r="HM800" s="1638" t="str">
        <f t="shared" si="201"/>
        <v/>
      </c>
      <c r="HN800" s="1638" t="str">
        <f t="shared" si="202"/>
        <v/>
      </c>
      <c r="HO800" s="1638" t="str">
        <f t="shared" si="203"/>
        <v/>
      </c>
      <c r="HP800" s="1638" t="str">
        <f t="shared" si="204"/>
        <v/>
      </c>
      <c r="HQ800" s="1638" t="str">
        <f t="shared" si="205"/>
        <v/>
      </c>
      <c r="HR800" s="1638" t="str">
        <f t="shared" si="206"/>
        <v/>
      </c>
      <c r="HS800" s="1638" t="str">
        <f t="shared" si="207"/>
        <v/>
      </c>
      <c r="HT800" s="1638" t="str">
        <f t="shared" si="208"/>
        <v/>
      </c>
      <c r="HU800" s="1638" t="str">
        <f t="shared" si="209"/>
        <v/>
      </c>
      <c r="HV800" s="1638" t="str">
        <f t="shared" si="210"/>
        <v/>
      </c>
      <c r="HW800" s="1638" t="str">
        <f t="shared" si="211"/>
        <v/>
      </c>
      <c r="HX800" s="1638" t="str">
        <f t="shared" si="212"/>
        <v/>
      </c>
      <c r="HY800" s="1638" t="str">
        <f t="shared" si="213"/>
        <v/>
      </c>
      <c r="HZ800" s="1638" t="str">
        <f t="shared" si="214"/>
        <v/>
      </c>
      <c r="IA800" s="1638" t="str">
        <f t="shared" si="215"/>
        <v/>
      </c>
      <c r="IB800" s="1638" t="str">
        <f t="shared" si="216"/>
        <v/>
      </c>
      <c r="IC800" s="1638" t="str">
        <f t="shared" si="217"/>
        <v/>
      </c>
      <c r="ID800" s="1639" t="str">
        <f t="shared" si="218"/>
        <v/>
      </c>
      <c r="IE800" s="1639" t="str">
        <f t="shared" si="219"/>
        <v/>
      </c>
      <c r="IF800" s="1639" t="str">
        <f t="shared" si="220"/>
        <v/>
      </c>
      <c r="IG800" s="1639" t="str">
        <f t="shared" si="221"/>
        <v/>
      </c>
      <c r="IH800" s="1639" t="str">
        <f t="shared" si="222"/>
        <v/>
      </c>
      <c r="II800" s="742" t="str">
        <f t="shared" si="223"/>
        <v/>
      </c>
      <c r="IJ800" s="742" t="str">
        <f t="shared" si="224"/>
        <v/>
      </c>
      <c r="IK800" s="742" t="str">
        <f t="shared" si="225"/>
        <v/>
      </c>
      <c r="IL800" s="742" t="str">
        <f t="shared" si="226"/>
        <v/>
      </c>
      <c r="IM800" s="742" t="str">
        <f t="shared" si="227"/>
        <v/>
      </c>
      <c r="IN800" s="742" t="str">
        <f t="shared" si="228"/>
        <v/>
      </c>
      <c r="IO800" s="742" t="str">
        <f t="shared" si="229"/>
        <v/>
      </c>
      <c r="IP800" s="742" t="str">
        <f t="shared" si="230"/>
        <v/>
      </c>
      <c r="IQ800" s="742" t="str">
        <f t="shared" si="231"/>
        <v/>
      </c>
      <c r="IR800" s="742" t="str">
        <f t="shared" si="232"/>
        <v/>
      </c>
      <c r="IS800" s="742" t="str">
        <f t="shared" si="233"/>
        <v/>
      </c>
      <c r="IT800" s="742" t="str">
        <f t="shared" si="234"/>
        <v/>
      </c>
      <c r="IU800" s="742" t="str">
        <f t="shared" si="235"/>
        <v/>
      </c>
      <c r="IV800" s="742" t="str">
        <f t="shared" si="236"/>
        <v/>
      </c>
      <c r="IW800" s="742" t="str">
        <f t="shared" si="237"/>
        <v/>
      </c>
      <c r="IX800" s="742" t="str">
        <f t="shared" si="238"/>
        <v/>
      </c>
      <c r="IY800" s="742" t="str">
        <f t="shared" si="239"/>
        <v/>
      </c>
      <c r="IZ800" s="742" t="str">
        <f t="shared" si="240"/>
        <v/>
      </c>
      <c r="JA800" s="742" t="str">
        <f t="shared" si="241"/>
        <v/>
      </c>
      <c r="JB800" s="742" t="str">
        <f t="shared" si="242"/>
        <v/>
      </c>
      <c r="JC800" s="1637">
        <f t="shared" si="243"/>
        <v>0</v>
      </c>
      <c r="JD800" s="1637">
        <f t="shared" si="244"/>
        <v>0</v>
      </c>
      <c r="JE800" s="1637">
        <f t="shared" si="245"/>
        <v>0</v>
      </c>
      <c r="JF800" s="1637">
        <f t="shared" si="246"/>
        <v>0</v>
      </c>
      <c r="JG800" s="1637">
        <f t="shared" si="247"/>
        <v>0</v>
      </c>
      <c r="JH800" s="1637">
        <f t="shared" si="248"/>
        <v>0</v>
      </c>
      <c r="JI800" s="1637">
        <f t="shared" si="249"/>
        <v>0</v>
      </c>
      <c r="JJ800" s="1637">
        <f t="shared" si="250"/>
        <v>0</v>
      </c>
      <c r="JK800" s="1637">
        <f t="shared" si="251"/>
        <v>0</v>
      </c>
      <c r="JL800" s="1637">
        <f t="shared" si="252"/>
        <v>0</v>
      </c>
      <c r="JM800" s="1637">
        <f t="shared" si="253"/>
        <v>0</v>
      </c>
      <c r="JN800" s="1637">
        <f t="shared" si="254"/>
        <v>0</v>
      </c>
      <c r="JO800" s="1637">
        <f t="shared" si="255"/>
        <v>0</v>
      </c>
      <c r="JP800" s="1637">
        <f t="shared" si="256"/>
        <v>0</v>
      </c>
      <c r="JQ800" s="1637">
        <f t="shared" si="257"/>
        <v>0</v>
      </c>
    </row>
    <row r="801" spans="1:278" ht="12" customHeight="1">
      <c r="A801" s="1813" t="str">
        <f t="shared" si="0"/>
        <v/>
      </c>
      <c r="B801" s="2145">
        <f>'Part VI-Revenues &amp; Expenses'!B44</f>
        <v>0</v>
      </c>
      <c r="C801" s="2146">
        <f>'Part VI-Revenues &amp; Expenses'!C44</f>
        <v>0</v>
      </c>
      <c r="D801" s="2147">
        <f>'Part VI-Revenues &amp; Expenses'!D44</f>
        <v>0</v>
      </c>
      <c r="E801" s="2148">
        <f>'Part VI-Revenues &amp; Expenses'!E44</f>
        <v>0</v>
      </c>
      <c r="F801" s="2148">
        <f>'Part VI-Revenues &amp; Expenses'!F44</f>
        <v>0</v>
      </c>
      <c r="G801" s="2148">
        <f>'Part VI-Revenues &amp; Expenses'!G44</f>
        <v>0</v>
      </c>
      <c r="H801" s="2148">
        <f>'Part VI-Revenues &amp; Expenses'!H44</f>
        <v>0</v>
      </c>
      <c r="I801" s="2148">
        <f>'Part VI-Revenues &amp; Expenses'!I44</f>
        <v>0</v>
      </c>
      <c r="J801" s="2149">
        <f>'Part VI-Revenues &amp; Expenses'!J44</f>
        <v>0</v>
      </c>
      <c r="K801" s="1822">
        <f t="shared" si="1"/>
        <v>0</v>
      </c>
      <c r="L801" s="1822">
        <f t="shared" si="2"/>
        <v>0</v>
      </c>
      <c r="M801" s="2133">
        <f>'Part VI-Revenues &amp; Expenses'!M44</f>
        <v>0</v>
      </c>
      <c r="N801" s="2133">
        <f>'Part VI-Revenues &amp; Expenses'!N44</f>
        <v>0</v>
      </c>
      <c r="O801" s="2133">
        <f>'Part VI-Revenues &amp; Expenses'!O44</f>
        <v>0</v>
      </c>
      <c r="P801" s="1633">
        <f>'Part VI-Revenues &amp; Expenses'!P44</f>
        <v>0</v>
      </c>
      <c r="Q801" s="1823" t="str">
        <f>'Part VI-Revenues &amp; Expenses'!Q44</f>
        <v/>
      </c>
      <c r="R801" s="1824" t="str">
        <f>'Part VI-Revenues &amp; Expenses'!R44</f>
        <v/>
      </c>
      <c r="S801" s="1823">
        <f>'Part VI-Revenues &amp; Expenses'!S44</f>
        <v>0</v>
      </c>
      <c r="T801" s="1824">
        <f>'Part VI-Revenues &amp; Expenses'!T44</f>
        <v>0</v>
      </c>
      <c r="U801" s="1838"/>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117"/>
        <v/>
      </c>
      <c r="EH801" s="742" t="str">
        <f t="shared" si="118"/>
        <v/>
      </c>
      <c r="EI801" s="742" t="str">
        <f t="shared" si="119"/>
        <v/>
      </c>
      <c r="EJ801" s="742" t="str">
        <f t="shared" si="120"/>
        <v/>
      </c>
      <c r="EK801" s="742" t="str">
        <f t="shared" si="121"/>
        <v/>
      </c>
      <c r="EL801" s="742" t="str">
        <f t="shared" si="122"/>
        <v/>
      </c>
      <c r="EM801" s="742" t="str">
        <f t="shared" si="123"/>
        <v/>
      </c>
      <c r="EN801" s="742" t="str">
        <f t="shared" si="124"/>
        <v/>
      </c>
      <c r="EO801" s="742" t="str">
        <f t="shared" si="125"/>
        <v/>
      </c>
      <c r="EP801" s="742" t="str">
        <f t="shared" si="126"/>
        <v/>
      </c>
      <c r="EQ801" s="742" t="str">
        <f t="shared" si="127"/>
        <v/>
      </c>
      <c r="ER801" s="742" t="str">
        <f t="shared" si="128"/>
        <v/>
      </c>
      <c r="ES801" s="742" t="str">
        <f t="shared" si="129"/>
        <v/>
      </c>
      <c r="ET801" s="742" t="str">
        <f t="shared" si="130"/>
        <v/>
      </c>
      <c r="EU801" s="742" t="str">
        <f t="shared" si="131"/>
        <v/>
      </c>
      <c r="EV801" s="742" t="str">
        <f t="shared" si="132"/>
        <v/>
      </c>
      <c r="EW801" s="1638" t="str">
        <f t="shared" si="133"/>
        <v/>
      </c>
      <c r="EX801" s="1638" t="str">
        <f t="shared" si="134"/>
        <v/>
      </c>
      <c r="EY801" s="1638" t="str">
        <f t="shared" si="135"/>
        <v/>
      </c>
      <c r="EZ801" s="1638" t="str">
        <f t="shared" si="136"/>
        <v/>
      </c>
      <c r="FA801" s="1638" t="str">
        <f t="shared" si="137"/>
        <v/>
      </c>
      <c r="FB801" s="1638" t="str">
        <f t="shared" si="138"/>
        <v/>
      </c>
      <c r="FC801" s="1638" t="str">
        <f t="shared" si="139"/>
        <v/>
      </c>
      <c r="FD801" s="1638" t="str">
        <f t="shared" si="140"/>
        <v/>
      </c>
      <c r="FE801" s="1638" t="str">
        <f t="shared" si="141"/>
        <v/>
      </c>
      <c r="FF801" s="1638" t="str">
        <f t="shared" si="142"/>
        <v/>
      </c>
      <c r="FG801" s="1638" t="str">
        <f t="shared" si="143"/>
        <v/>
      </c>
      <c r="FH801" s="1638" t="str">
        <f t="shared" si="144"/>
        <v/>
      </c>
      <c r="FI801" s="1638" t="str">
        <f t="shared" si="145"/>
        <v/>
      </c>
      <c r="FJ801" s="1638" t="str">
        <f t="shared" si="146"/>
        <v/>
      </c>
      <c r="FK801" s="1638" t="str">
        <f t="shared" si="147"/>
        <v/>
      </c>
      <c r="FL801" s="1638" t="str">
        <f t="shared" si="148"/>
        <v/>
      </c>
      <c r="FM801" s="1638" t="str">
        <f t="shared" si="149"/>
        <v/>
      </c>
      <c r="FN801" s="1638" t="str">
        <f t="shared" si="150"/>
        <v/>
      </c>
      <c r="FO801" s="1638" t="str">
        <f t="shared" si="151"/>
        <v/>
      </c>
      <c r="FP801" s="1638" t="str">
        <f t="shared" si="152"/>
        <v/>
      </c>
      <c r="FQ801" s="1638" t="str">
        <f t="shared" si="153"/>
        <v/>
      </c>
      <c r="FR801" s="1638" t="str">
        <f t="shared" si="154"/>
        <v/>
      </c>
      <c r="FS801" s="1638" t="str">
        <f t="shared" si="155"/>
        <v/>
      </c>
      <c r="FT801" s="1638" t="str">
        <f t="shared" si="156"/>
        <v/>
      </c>
      <c r="FU801" s="1638" t="str">
        <f t="shared" si="157"/>
        <v/>
      </c>
      <c r="FV801" s="1638" t="str">
        <f t="shared" si="158"/>
        <v/>
      </c>
      <c r="FW801" s="1638" t="str">
        <f t="shared" si="159"/>
        <v/>
      </c>
      <c r="FX801" s="1638" t="str">
        <f t="shared" si="160"/>
        <v/>
      </c>
      <c r="FY801" s="1638" t="str">
        <f t="shared" si="161"/>
        <v/>
      </c>
      <c r="FZ801" s="1638" t="str">
        <f t="shared" si="162"/>
        <v/>
      </c>
      <c r="GA801" s="1638" t="str">
        <f t="shared" si="163"/>
        <v/>
      </c>
      <c r="GB801" s="1638" t="str">
        <f t="shared" si="164"/>
        <v/>
      </c>
      <c r="GC801" s="1638" t="str">
        <f t="shared" si="165"/>
        <v/>
      </c>
      <c r="GD801" s="1638" t="str">
        <f t="shared" si="166"/>
        <v/>
      </c>
      <c r="GE801" s="1638" t="str">
        <f t="shared" si="167"/>
        <v/>
      </c>
      <c r="GF801" s="1638" t="str">
        <f t="shared" si="168"/>
        <v/>
      </c>
      <c r="GG801" s="1638" t="str">
        <f t="shared" si="169"/>
        <v/>
      </c>
      <c r="GH801" s="1638" t="str">
        <f t="shared" si="170"/>
        <v/>
      </c>
      <c r="GI801" s="1638" t="str">
        <f t="shared" si="171"/>
        <v/>
      </c>
      <c r="GJ801" s="1638" t="str">
        <f t="shared" si="172"/>
        <v/>
      </c>
      <c r="GK801" s="1638" t="str">
        <f t="shared" si="173"/>
        <v/>
      </c>
      <c r="GL801" s="1638" t="str">
        <f t="shared" si="174"/>
        <v/>
      </c>
      <c r="GM801" s="1638" t="str">
        <f t="shared" si="175"/>
        <v/>
      </c>
      <c r="GN801" s="1638" t="str">
        <f t="shared" si="176"/>
        <v/>
      </c>
      <c r="GO801" s="1638" t="str">
        <f t="shared" si="177"/>
        <v/>
      </c>
      <c r="GP801" s="1638" t="str">
        <f t="shared" si="178"/>
        <v/>
      </c>
      <c r="GQ801" s="1638" t="str">
        <f t="shared" si="179"/>
        <v/>
      </c>
      <c r="GR801" s="1638" t="str">
        <f t="shared" si="180"/>
        <v/>
      </c>
      <c r="GS801" s="1638" t="str">
        <f t="shared" si="181"/>
        <v/>
      </c>
      <c r="GT801" s="1638" t="str">
        <f t="shared" si="182"/>
        <v/>
      </c>
      <c r="GU801" s="1638" t="str">
        <f t="shared" si="183"/>
        <v/>
      </c>
      <c r="GV801" s="1638" t="str">
        <f t="shared" si="184"/>
        <v/>
      </c>
      <c r="GW801" s="1638" t="str">
        <f t="shared" si="185"/>
        <v/>
      </c>
      <c r="GX801" s="1638" t="str">
        <f t="shared" si="186"/>
        <v/>
      </c>
      <c r="GY801" s="1638" t="str">
        <f t="shared" si="187"/>
        <v/>
      </c>
      <c r="GZ801" s="1638" t="str">
        <f t="shared" si="188"/>
        <v/>
      </c>
      <c r="HA801" s="1638" t="str">
        <f t="shared" si="189"/>
        <v/>
      </c>
      <c r="HB801" s="1638" t="str">
        <f t="shared" si="190"/>
        <v/>
      </c>
      <c r="HC801" s="1638" t="str">
        <f t="shared" si="191"/>
        <v/>
      </c>
      <c r="HD801" s="1638" t="str">
        <f t="shared" si="192"/>
        <v/>
      </c>
      <c r="HE801" s="1638" t="str">
        <f t="shared" si="193"/>
        <v/>
      </c>
      <c r="HF801" s="1638" t="str">
        <f t="shared" si="194"/>
        <v/>
      </c>
      <c r="HG801" s="1638" t="str">
        <f t="shared" si="195"/>
        <v/>
      </c>
      <c r="HH801" s="1638" t="str">
        <f t="shared" si="196"/>
        <v/>
      </c>
      <c r="HI801" s="1638" t="str">
        <f t="shared" si="197"/>
        <v/>
      </c>
      <c r="HJ801" s="1638" t="str">
        <f t="shared" si="198"/>
        <v/>
      </c>
      <c r="HK801" s="1638" t="str">
        <f t="shared" si="199"/>
        <v/>
      </c>
      <c r="HL801" s="1638" t="str">
        <f t="shared" si="200"/>
        <v/>
      </c>
      <c r="HM801" s="1638" t="str">
        <f t="shared" si="201"/>
        <v/>
      </c>
      <c r="HN801" s="1638" t="str">
        <f t="shared" si="202"/>
        <v/>
      </c>
      <c r="HO801" s="1638" t="str">
        <f t="shared" si="203"/>
        <v/>
      </c>
      <c r="HP801" s="1638" t="str">
        <f t="shared" si="204"/>
        <v/>
      </c>
      <c r="HQ801" s="1638" t="str">
        <f t="shared" si="205"/>
        <v/>
      </c>
      <c r="HR801" s="1638" t="str">
        <f t="shared" si="206"/>
        <v/>
      </c>
      <c r="HS801" s="1638" t="str">
        <f t="shared" si="207"/>
        <v/>
      </c>
      <c r="HT801" s="1638" t="str">
        <f t="shared" si="208"/>
        <v/>
      </c>
      <c r="HU801" s="1638" t="str">
        <f t="shared" si="209"/>
        <v/>
      </c>
      <c r="HV801" s="1638" t="str">
        <f t="shared" si="210"/>
        <v/>
      </c>
      <c r="HW801" s="1638" t="str">
        <f t="shared" si="211"/>
        <v/>
      </c>
      <c r="HX801" s="1638" t="str">
        <f t="shared" si="212"/>
        <v/>
      </c>
      <c r="HY801" s="1638" t="str">
        <f t="shared" si="213"/>
        <v/>
      </c>
      <c r="HZ801" s="1638" t="str">
        <f t="shared" si="214"/>
        <v/>
      </c>
      <c r="IA801" s="1638" t="str">
        <f t="shared" si="215"/>
        <v/>
      </c>
      <c r="IB801" s="1638" t="str">
        <f t="shared" si="216"/>
        <v/>
      </c>
      <c r="IC801" s="1638" t="str">
        <f t="shared" si="217"/>
        <v/>
      </c>
      <c r="ID801" s="1639" t="str">
        <f t="shared" si="218"/>
        <v/>
      </c>
      <c r="IE801" s="1639" t="str">
        <f t="shared" si="219"/>
        <v/>
      </c>
      <c r="IF801" s="1639" t="str">
        <f t="shared" si="220"/>
        <v/>
      </c>
      <c r="IG801" s="1639" t="str">
        <f t="shared" si="221"/>
        <v/>
      </c>
      <c r="IH801" s="1639" t="str">
        <f t="shared" si="222"/>
        <v/>
      </c>
      <c r="II801" s="742" t="str">
        <f t="shared" si="223"/>
        <v/>
      </c>
      <c r="IJ801" s="742" t="str">
        <f t="shared" si="224"/>
        <v/>
      </c>
      <c r="IK801" s="742" t="str">
        <f t="shared" si="225"/>
        <v/>
      </c>
      <c r="IL801" s="742" t="str">
        <f t="shared" si="226"/>
        <v/>
      </c>
      <c r="IM801" s="742" t="str">
        <f t="shared" si="227"/>
        <v/>
      </c>
      <c r="IN801" s="742" t="str">
        <f t="shared" si="228"/>
        <v/>
      </c>
      <c r="IO801" s="742" t="str">
        <f t="shared" si="229"/>
        <v/>
      </c>
      <c r="IP801" s="742" t="str">
        <f t="shared" si="230"/>
        <v/>
      </c>
      <c r="IQ801" s="742" t="str">
        <f t="shared" si="231"/>
        <v/>
      </c>
      <c r="IR801" s="742" t="str">
        <f t="shared" si="232"/>
        <v/>
      </c>
      <c r="IS801" s="742" t="str">
        <f t="shared" si="233"/>
        <v/>
      </c>
      <c r="IT801" s="742" t="str">
        <f t="shared" si="234"/>
        <v/>
      </c>
      <c r="IU801" s="742" t="str">
        <f t="shared" si="235"/>
        <v/>
      </c>
      <c r="IV801" s="742" t="str">
        <f t="shared" si="236"/>
        <v/>
      </c>
      <c r="IW801" s="742" t="str">
        <f t="shared" si="237"/>
        <v/>
      </c>
      <c r="IX801" s="742" t="str">
        <f t="shared" si="238"/>
        <v/>
      </c>
      <c r="IY801" s="742" t="str">
        <f t="shared" si="239"/>
        <v/>
      </c>
      <c r="IZ801" s="742" t="str">
        <f t="shared" si="240"/>
        <v/>
      </c>
      <c r="JA801" s="742" t="str">
        <f t="shared" si="241"/>
        <v/>
      </c>
      <c r="JB801" s="742" t="str">
        <f t="shared" si="242"/>
        <v/>
      </c>
      <c r="JC801" s="1637">
        <f t="shared" si="243"/>
        <v>0</v>
      </c>
      <c r="JD801" s="1637">
        <f t="shared" si="244"/>
        <v>0</v>
      </c>
      <c r="JE801" s="1637">
        <f t="shared" si="245"/>
        <v>0</v>
      </c>
      <c r="JF801" s="1637">
        <f t="shared" si="246"/>
        <v>0</v>
      </c>
      <c r="JG801" s="1637">
        <f t="shared" si="247"/>
        <v>0</v>
      </c>
      <c r="JH801" s="1637">
        <f t="shared" si="248"/>
        <v>0</v>
      </c>
      <c r="JI801" s="1637">
        <f t="shared" si="249"/>
        <v>0</v>
      </c>
      <c r="JJ801" s="1637">
        <f t="shared" si="250"/>
        <v>0</v>
      </c>
      <c r="JK801" s="1637">
        <f t="shared" si="251"/>
        <v>0</v>
      </c>
      <c r="JL801" s="1637">
        <f t="shared" si="252"/>
        <v>0</v>
      </c>
      <c r="JM801" s="1637">
        <f t="shared" si="253"/>
        <v>0</v>
      </c>
      <c r="JN801" s="1637">
        <f t="shared" si="254"/>
        <v>0</v>
      </c>
      <c r="JO801" s="1637">
        <f t="shared" si="255"/>
        <v>0</v>
      </c>
      <c r="JP801" s="1637">
        <f t="shared" si="256"/>
        <v>0</v>
      </c>
      <c r="JQ801" s="1637">
        <f t="shared" si="257"/>
        <v>0</v>
      </c>
    </row>
    <row r="802" spans="1:278" ht="12" customHeight="1">
      <c r="A802" s="1813" t="str">
        <f t="shared" si="0"/>
        <v/>
      </c>
      <c r="B802" s="2145">
        <f>'Part VI-Revenues &amp; Expenses'!B45</f>
        <v>0</v>
      </c>
      <c r="C802" s="2146">
        <f>'Part VI-Revenues &amp; Expenses'!C45</f>
        <v>0</v>
      </c>
      <c r="D802" s="2147">
        <f>'Part VI-Revenues &amp; Expenses'!D45</f>
        <v>0</v>
      </c>
      <c r="E802" s="2148">
        <f>'Part VI-Revenues &amp; Expenses'!E45</f>
        <v>0</v>
      </c>
      <c r="F802" s="2148">
        <f>'Part VI-Revenues &amp; Expenses'!F45</f>
        <v>0</v>
      </c>
      <c r="G802" s="2148">
        <f>'Part VI-Revenues &amp; Expenses'!G45</f>
        <v>0</v>
      </c>
      <c r="H802" s="2148">
        <f>'Part VI-Revenues &amp; Expenses'!H45</f>
        <v>0</v>
      </c>
      <c r="I802" s="2148">
        <f>'Part VI-Revenues &amp; Expenses'!I45</f>
        <v>0</v>
      </c>
      <c r="J802" s="2149">
        <f>'Part VI-Revenues &amp; Expenses'!J45</f>
        <v>0</v>
      </c>
      <c r="K802" s="1822">
        <f t="shared" si="1"/>
        <v>0</v>
      </c>
      <c r="L802" s="1822">
        <f t="shared" si="2"/>
        <v>0</v>
      </c>
      <c r="M802" s="2133">
        <f>'Part VI-Revenues &amp; Expenses'!M45</f>
        <v>0</v>
      </c>
      <c r="N802" s="2133">
        <f>'Part VI-Revenues &amp; Expenses'!N45</f>
        <v>0</v>
      </c>
      <c r="O802" s="2133">
        <f>'Part VI-Revenues &amp; Expenses'!O45</f>
        <v>0</v>
      </c>
      <c r="P802" s="1633">
        <f>'Part VI-Revenues &amp; Expenses'!P45</f>
        <v>0</v>
      </c>
      <c r="Q802" s="1823" t="str">
        <f>'Part VI-Revenues &amp; Expenses'!Q45</f>
        <v/>
      </c>
      <c r="R802" s="1824" t="str">
        <f>'Part VI-Revenues &amp; Expenses'!R45</f>
        <v/>
      </c>
      <c r="S802" s="1823">
        <f>'Part VI-Revenues &amp; Expenses'!S45</f>
        <v>0</v>
      </c>
      <c r="T802" s="1824">
        <f>'Part VI-Revenues &amp; Expenses'!T45</f>
        <v>0</v>
      </c>
      <c r="U802" s="1838"/>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117"/>
        <v/>
      </c>
      <c r="EH802" s="742" t="str">
        <f t="shared" si="118"/>
        <v/>
      </c>
      <c r="EI802" s="742" t="str">
        <f t="shared" si="119"/>
        <v/>
      </c>
      <c r="EJ802" s="742" t="str">
        <f t="shared" si="120"/>
        <v/>
      </c>
      <c r="EK802" s="742" t="str">
        <f t="shared" si="121"/>
        <v/>
      </c>
      <c r="EL802" s="742" t="str">
        <f t="shared" si="122"/>
        <v/>
      </c>
      <c r="EM802" s="742" t="str">
        <f t="shared" si="123"/>
        <v/>
      </c>
      <c r="EN802" s="742" t="str">
        <f t="shared" si="124"/>
        <v/>
      </c>
      <c r="EO802" s="742" t="str">
        <f t="shared" si="125"/>
        <v/>
      </c>
      <c r="EP802" s="742" t="str">
        <f t="shared" si="126"/>
        <v/>
      </c>
      <c r="EQ802" s="742" t="str">
        <f t="shared" si="127"/>
        <v/>
      </c>
      <c r="ER802" s="742" t="str">
        <f t="shared" si="128"/>
        <v/>
      </c>
      <c r="ES802" s="742" t="str">
        <f t="shared" si="129"/>
        <v/>
      </c>
      <c r="ET802" s="742" t="str">
        <f t="shared" si="130"/>
        <v/>
      </c>
      <c r="EU802" s="742" t="str">
        <f t="shared" si="131"/>
        <v/>
      </c>
      <c r="EV802" s="742" t="str">
        <f t="shared" si="132"/>
        <v/>
      </c>
      <c r="EW802" s="1638" t="str">
        <f t="shared" si="133"/>
        <v/>
      </c>
      <c r="EX802" s="1638" t="str">
        <f t="shared" si="134"/>
        <v/>
      </c>
      <c r="EY802" s="1638" t="str">
        <f t="shared" si="135"/>
        <v/>
      </c>
      <c r="EZ802" s="1638" t="str">
        <f t="shared" si="136"/>
        <v/>
      </c>
      <c r="FA802" s="1638" t="str">
        <f t="shared" si="137"/>
        <v/>
      </c>
      <c r="FB802" s="1638" t="str">
        <f t="shared" si="138"/>
        <v/>
      </c>
      <c r="FC802" s="1638" t="str">
        <f t="shared" si="139"/>
        <v/>
      </c>
      <c r="FD802" s="1638" t="str">
        <f t="shared" si="140"/>
        <v/>
      </c>
      <c r="FE802" s="1638" t="str">
        <f t="shared" si="141"/>
        <v/>
      </c>
      <c r="FF802" s="1638" t="str">
        <f t="shared" si="142"/>
        <v/>
      </c>
      <c r="FG802" s="1638" t="str">
        <f t="shared" si="143"/>
        <v/>
      </c>
      <c r="FH802" s="1638" t="str">
        <f t="shared" si="144"/>
        <v/>
      </c>
      <c r="FI802" s="1638" t="str">
        <f t="shared" si="145"/>
        <v/>
      </c>
      <c r="FJ802" s="1638" t="str">
        <f t="shared" si="146"/>
        <v/>
      </c>
      <c r="FK802" s="1638" t="str">
        <f t="shared" si="147"/>
        <v/>
      </c>
      <c r="FL802" s="1638" t="str">
        <f t="shared" si="148"/>
        <v/>
      </c>
      <c r="FM802" s="1638" t="str">
        <f t="shared" si="149"/>
        <v/>
      </c>
      <c r="FN802" s="1638" t="str">
        <f t="shared" si="150"/>
        <v/>
      </c>
      <c r="FO802" s="1638" t="str">
        <f t="shared" si="151"/>
        <v/>
      </c>
      <c r="FP802" s="1638" t="str">
        <f t="shared" si="152"/>
        <v/>
      </c>
      <c r="FQ802" s="1638" t="str">
        <f t="shared" si="153"/>
        <v/>
      </c>
      <c r="FR802" s="1638" t="str">
        <f t="shared" si="154"/>
        <v/>
      </c>
      <c r="FS802" s="1638" t="str">
        <f t="shared" si="155"/>
        <v/>
      </c>
      <c r="FT802" s="1638" t="str">
        <f t="shared" si="156"/>
        <v/>
      </c>
      <c r="FU802" s="1638" t="str">
        <f t="shared" si="157"/>
        <v/>
      </c>
      <c r="FV802" s="1638" t="str">
        <f t="shared" si="158"/>
        <v/>
      </c>
      <c r="FW802" s="1638" t="str">
        <f t="shared" si="159"/>
        <v/>
      </c>
      <c r="FX802" s="1638" t="str">
        <f t="shared" si="160"/>
        <v/>
      </c>
      <c r="FY802" s="1638" t="str">
        <f t="shared" si="161"/>
        <v/>
      </c>
      <c r="FZ802" s="1638" t="str">
        <f t="shared" si="162"/>
        <v/>
      </c>
      <c r="GA802" s="1638" t="str">
        <f t="shared" si="163"/>
        <v/>
      </c>
      <c r="GB802" s="1638" t="str">
        <f t="shared" si="164"/>
        <v/>
      </c>
      <c r="GC802" s="1638" t="str">
        <f t="shared" si="165"/>
        <v/>
      </c>
      <c r="GD802" s="1638" t="str">
        <f t="shared" si="166"/>
        <v/>
      </c>
      <c r="GE802" s="1638" t="str">
        <f t="shared" si="167"/>
        <v/>
      </c>
      <c r="GF802" s="1638" t="str">
        <f t="shared" si="168"/>
        <v/>
      </c>
      <c r="GG802" s="1638" t="str">
        <f t="shared" si="169"/>
        <v/>
      </c>
      <c r="GH802" s="1638" t="str">
        <f t="shared" si="170"/>
        <v/>
      </c>
      <c r="GI802" s="1638" t="str">
        <f t="shared" si="171"/>
        <v/>
      </c>
      <c r="GJ802" s="1638" t="str">
        <f t="shared" si="172"/>
        <v/>
      </c>
      <c r="GK802" s="1638" t="str">
        <f t="shared" si="173"/>
        <v/>
      </c>
      <c r="GL802" s="1638" t="str">
        <f t="shared" si="174"/>
        <v/>
      </c>
      <c r="GM802" s="1638" t="str">
        <f t="shared" si="175"/>
        <v/>
      </c>
      <c r="GN802" s="1638" t="str">
        <f t="shared" si="176"/>
        <v/>
      </c>
      <c r="GO802" s="1638" t="str">
        <f t="shared" si="177"/>
        <v/>
      </c>
      <c r="GP802" s="1638" t="str">
        <f t="shared" si="178"/>
        <v/>
      </c>
      <c r="GQ802" s="1638" t="str">
        <f t="shared" si="179"/>
        <v/>
      </c>
      <c r="GR802" s="1638" t="str">
        <f t="shared" si="180"/>
        <v/>
      </c>
      <c r="GS802" s="1638" t="str">
        <f t="shared" si="181"/>
        <v/>
      </c>
      <c r="GT802" s="1638" t="str">
        <f t="shared" si="182"/>
        <v/>
      </c>
      <c r="GU802" s="1638" t="str">
        <f t="shared" si="183"/>
        <v/>
      </c>
      <c r="GV802" s="1638" t="str">
        <f t="shared" si="184"/>
        <v/>
      </c>
      <c r="GW802" s="1638" t="str">
        <f t="shared" si="185"/>
        <v/>
      </c>
      <c r="GX802" s="1638" t="str">
        <f t="shared" si="186"/>
        <v/>
      </c>
      <c r="GY802" s="1638" t="str">
        <f t="shared" si="187"/>
        <v/>
      </c>
      <c r="GZ802" s="1638" t="str">
        <f t="shared" si="188"/>
        <v/>
      </c>
      <c r="HA802" s="1638" t="str">
        <f t="shared" si="189"/>
        <v/>
      </c>
      <c r="HB802" s="1638" t="str">
        <f t="shared" si="190"/>
        <v/>
      </c>
      <c r="HC802" s="1638" t="str">
        <f t="shared" si="191"/>
        <v/>
      </c>
      <c r="HD802" s="1638" t="str">
        <f t="shared" si="192"/>
        <v/>
      </c>
      <c r="HE802" s="1638" t="str">
        <f t="shared" si="193"/>
        <v/>
      </c>
      <c r="HF802" s="1638" t="str">
        <f t="shared" si="194"/>
        <v/>
      </c>
      <c r="HG802" s="1638" t="str">
        <f t="shared" si="195"/>
        <v/>
      </c>
      <c r="HH802" s="1638" t="str">
        <f t="shared" si="196"/>
        <v/>
      </c>
      <c r="HI802" s="1638" t="str">
        <f t="shared" si="197"/>
        <v/>
      </c>
      <c r="HJ802" s="1638" t="str">
        <f t="shared" si="198"/>
        <v/>
      </c>
      <c r="HK802" s="1638" t="str">
        <f t="shared" si="199"/>
        <v/>
      </c>
      <c r="HL802" s="1638" t="str">
        <f t="shared" si="200"/>
        <v/>
      </c>
      <c r="HM802" s="1638" t="str">
        <f t="shared" si="201"/>
        <v/>
      </c>
      <c r="HN802" s="1638" t="str">
        <f t="shared" si="202"/>
        <v/>
      </c>
      <c r="HO802" s="1638" t="str">
        <f t="shared" si="203"/>
        <v/>
      </c>
      <c r="HP802" s="1638" t="str">
        <f t="shared" si="204"/>
        <v/>
      </c>
      <c r="HQ802" s="1638" t="str">
        <f t="shared" si="205"/>
        <v/>
      </c>
      <c r="HR802" s="1638" t="str">
        <f t="shared" si="206"/>
        <v/>
      </c>
      <c r="HS802" s="1638" t="str">
        <f t="shared" si="207"/>
        <v/>
      </c>
      <c r="HT802" s="1638" t="str">
        <f t="shared" si="208"/>
        <v/>
      </c>
      <c r="HU802" s="1638" t="str">
        <f t="shared" si="209"/>
        <v/>
      </c>
      <c r="HV802" s="1638" t="str">
        <f t="shared" si="210"/>
        <v/>
      </c>
      <c r="HW802" s="1638" t="str">
        <f t="shared" si="211"/>
        <v/>
      </c>
      <c r="HX802" s="1638" t="str">
        <f t="shared" si="212"/>
        <v/>
      </c>
      <c r="HY802" s="1638" t="str">
        <f t="shared" si="213"/>
        <v/>
      </c>
      <c r="HZ802" s="1638" t="str">
        <f t="shared" si="214"/>
        <v/>
      </c>
      <c r="IA802" s="1638" t="str">
        <f t="shared" si="215"/>
        <v/>
      </c>
      <c r="IB802" s="1638" t="str">
        <f t="shared" si="216"/>
        <v/>
      </c>
      <c r="IC802" s="1638" t="str">
        <f t="shared" si="217"/>
        <v/>
      </c>
      <c r="ID802" s="1639" t="str">
        <f t="shared" si="218"/>
        <v/>
      </c>
      <c r="IE802" s="1639" t="str">
        <f t="shared" si="219"/>
        <v/>
      </c>
      <c r="IF802" s="1639" t="str">
        <f t="shared" si="220"/>
        <v/>
      </c>
      <c r="IG802" s="1639" t="str">
        <f t="shared" si="221"/>
        <v/>
      </c>
      <c r="IH802" s="1639" t="str">
        <f t="shared" si="222"/>
        <v/>
      </c>
      <c r="II802" s="742" t="str">
        <f t="shared" si="223"/>
        <v/>
      </c>
      <c r="IJ802" s="742" t="str">
        <f t="shared" si="224"/>
        <v/>
      </c>
      <c r="IK802" s="742" t="str">
        <f t="shared" si="225"/>
        <v/>
      </c>
      <c r="IL802" s="742" t="str">
        <f t="shared" si="226"/>
        <v/>
      </c>
      <c r="IM802" s="742" t="str">
        <f t="shared" si="227"/>
        <v/>
      </c>
      <c r="IN802" s="742" t="str">
        <f t="shared" si="228"/>
        <v/>
      </c>
      <c r="IO802" s="742" t="str">
        <f t="shared" si="229"/>
        <v/>
      </c>
      <c r="IP802" s="742" t="str">
        <f t="shared" si="230"/>
        <v/>
      </c>
      <c r="IQ802" s="742" t="str">
        <f t="shared" si="231"/>
        <v/>
      </c>
      <c r="IR802" s="742" t="str">
        <f t="shared" si="232"/>
        <v/>
      </c>
      <c r="IS802" s="742" t="str">
        <f t="shared" si="233"/>
        <v/>
      </c>
      <c r="IT802" s="742" t="str">
        <f t="shared" si="234"/>
        <v/>
      </c>
      <c r="IU802" s="742" t="str">
        <f t="shared" si="235"/>
        <v/>
      </c>
      <c r="IV802" s="742" t="str">
        <f t="shared" si="236"/>
        <v/>
      </c>
      <c r="IW802" s="742" t="str">
        <f t="shared" si="237"/>
        <v/>
      </c>
      <c r="IX802" s="742" t="str">
        <f t="shared" si="238"/>
        <v/>
      </c>
      <c r="IY802" s="742" t="str">
        <f t="shared" si="239"/>
        <v/>
      </c>
      <c r="IZ802" s="742" t="str">
        <f t="shared" si="240"/>
        <v/>
      </c>
      <c r="JA802" s="742" t="str">
        <f t="shared" si="241"/>
        <v/>
      </c>
      <c r="JB802" s="742" t="str">
        <f t="shared" si="242"/>
        <v/>
      </c>
      <c r="JC802" s="1637">
        <f t="shared" si="243"/>
        <v>0</v>
      </c>
      <c r="JD802" s="1637">
        <f t="shared" si="244"/>
        <v>0</v>
      </c>
      <c r="JE802" s="1637">
        <f t="shared" si="245"/>
        <v>0</v>
      </c>
      <c r="JF802" s="1637">
        <f t="shared" si="246"/>
        <v>0</v>
      </c>
      <c r="JG802" s="1637">
        <f t="shared" si="247"/>
        <v>0</v>
      </c>
      <c r="JH802" s="1637">
        <f t="shared" si="248"/>
        <v>0</v>
      </c>
      <c r="JI802" s="1637">
        <f t="shared" si="249"/>
        <v>0</v>
      </c>
      <c r="JJ802" s="1637">
        <f t="shared" si="250"/>
        <v>0</v>
      </c>
      <c r="JK802" s="1637">
        <f t="shared" si="251"/>
        <v>0</v>
      </c>
      <c r="JL802" s="1637">
        <f t="shared" si="252"/>
        <v>0</v>
      </c>
      <c r="JM802" s="1637">
        <f t="shared" si="253"/>
        <v>0</v>
      </c>
      <c r="JN802" s="1637">
        <f t="shared" si="254"/>
        <v>0</v>
      </c>
      <c r="JO802" s="1637">
        <f t="shared" si="255"/>
        <v>0</v>
      </c>
      <c r="JP802" s="1637">
        <f t="shared" si="256"/>
        <v>0</v>
      </c>
      <c r="JQ802" s="1637">
        <f t="shared" si="257"/>
        <v>0</v>
      </c>
    </row>
    <row r="803" spans="1:278" ht="12" customHeight="1">
      <c r="A803" s="1813" t="str">
        <f t="shared" si="0"/>
        <v/>
      </c>
      <c r="B803" s="2145">
        <f>'Part VI-Revenues &amp; Expenses'!B46</f>
        <v>0</v>
      </c>
      <c r="C803" s="2146">
        <f>'Part VI-Revenues &amp; Expenses'!C46</f>
        <v>0</v>
      </c>
      <c r="D803" s="2147">
        <f>'Part VI-Revenues &amp; Expenses'!D46</f>
        <v>0</v>
      </c>
      <c r="E803" s="2148">
        <f>'Part VI-Revenues &amp; Expenses'!E46</f>
        <v>0</v>
      </c>
      <c r="F803" s="2148">
        <f>'Part VI-Revenues &amp; Expenses'!F46</f>
        <v>0</v>
      </c>
      <c r="G803" s="2148">
        <f>'Part VI-Revenues &amp; Expenses'!G46</f>
        <v>0</v>
      </c>
      <c r="H803" s="2148">
        <f>'Part VI-Revenues &amp; Expenses'!H46</f>
        <v>0</v>
      </c>
      <c r="I803" s="2148">
        <f>'Part VI-Revenues &amp; Expenses'!I46</f>
        <v>0</v>
      </c>
      <c r="J803" s="2149">
        <f>'Part VI-Revenues &amp; Expenses'!J46</f>
        <v>0</v>
      </c>
      <c r="K803" s="1822">
        <f t="shared" si="1"/>
        <v>0</v>
      </c>
      <c r="L803" s="1822">
        <f t="shared" si="2"/>
        <v>0</v>
      </c>
      <c r="M803" s="2133">
        <f>'Part VI-Revenues &amp; Expenses'!M46</f>
        <v>0</v>
      </c>
      <c r="N803" s="2133">
        <f>'Part VI-Revenues &amp; Expenses'!N46</f>
        <v>0</v>
      </c>
      <c r="O803" s="2133">
        <f>'Part VI-Revenues &amp; Expenses'!O46</f>
        <v>0</v>
      </c>
      <c r="P803" s="1633">
        <f>'Part VI-Revenues &amp; Expenses'!P46</f>
        <v>0</v>
      </c>
      <c r="Q803" s="1823" t="str">
        <f>'Part VI-Revenues &amp; Expenses'!Q46</f>
        <v/>
      </c>
      <c r="R803" s="1824" t="str">
        <f>'Part VI-Revenues &amp; Expenses'!R46</f>
        <v/>
      </c>
      <c r="S803" s="1823">
        <f>'Part VI-Revenues &amp; Expenses'!S46</f>
        <v>0</v>
      </c>
      <c r="T803" s="1824">
        <f>'Part VI-Revenues &amp; Expenses'!T46</f>
        <v>0</v>
      </c>
      <c r="U803" s="1838"/>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117"/>
        <v/>
      </c>
      <c r="EH803" s="742" t="str">
        <f t="shared" si="118"/>
        <v/>
      </c>
      <c r="EI803" s="742" t="str">
        <f t="shared" si="119"/>
        <v/>
      </c>
      <c r="EJ803" s="742" t="str">
        <f t="shared" si="120"/>
        <v/>
      </c>
      <c r="EK803" s="742" t="str">
        <f t="shared" si="121"/>
        <v/>
      </c>
      <c r="EL803" s="742" t="str">
        <f t="shared" si="122"/>
        <v/>
      </c>
      <c r="EM803" s="742" t="str">
        <f t="shared" si="123"/>
        <v/>
      </c>
      <c r="EN803" s="742" t="str">
        <f t="shared" si="124"/>
        <v/>
      </c>
      <c r="EO803" s="742" t="str">
        <f t="shared" si="125"/>
        <v/>
      </c>
      <c r="EP803" s="742" t="str">
        <f t="shared" si="126"/>
        <v/>
      </c>
      <c r="EQ803" s="742" t="str">
        <f t="shared" si="127"/>
        <v/>
      </c>
      <c r="ER803" s="742" t="str">
        <f t="shared" si="128"/>
        <v/>
      </c>
      <c r="ES803" s="742" t="str">
        <f t="shared" si="129"/>
        <v/>
      </c>
      <c r="ET803" s="742" t="str">
        <f t="shared" si="130"/>
        <v/>
      </c>
      <c r="EU803" s="742" t="str">
        <f t="shared" si="131"/>
        <v/>
      </c>
      <c r="EV803" s="742" t="str">
        <f t="shared" si="132"/>
        <v/>
      </c>
      <c r="EW803" s="1638" t="str">
        <f t="shared" si="133"/>
        <v/>
      </c>
      <c r="EX803" s="1638" t="str">
        <f t="shared" si="134"/>
        <v/>
      </c>
      <c r="EY803" s="1638" t="str">
        <f t="shared" si="135"/>
        <v/>
      </c>
      <c r="EZ803" s="1638" t="str">
        <f t="shared" si="136"/>
        <v/>
      </c>
      <c r="FA803" s="1638" t="str">
        <f t="shared" si="137"/>
        <v/>
      </c>
      <c r="FB803" s="1638" t="str">
        <f t="shared" si="138"/>
        <v/>
      </c>
      <c r="FC803" s="1638" t="str">
        <f t="shared" si="139"/>
        <v/>
      </c>
      <c r="FD803" s="1638" t="str">
        <f t="shared" si="140"/>
        <v/>
      </c>
      <c r="FE803" s="1638" t="str">
        <f t="shared" si="141"/>
        <v/>
      </c>
      <c r="FF803" s="1638" t="str">
        <f t="shared" si="142"/>
        <v/>
      </c>
      <c r="FG803" s="1638" t="str">
        <f t="shared" si="143"/>
        <v/>
      </c>
      <c r="FH803" s="1638" t="str">
        <f t="shared" si="144"/>
        <v/>
      </c>
      <c r="FI803" s="1638" t="str">
        <f t="shared" si="145"/>
        <v/>
      </c>
      <c r="FJ803" s="1638" t="str">
        <f t="shared" si="146"/>
        <v/>
      </c>
      <c r="FK803" s="1638" t="str">
        <f t="shared" si="147"/>
        <v/>
      </c>
      <c r="FL803" s="1638" t="str">
        <f t="shared" si="148"/>
        <v/>
      </c>
      <c r="FM803" s="1638" t="str">
        <f t="shared" si="149"/>
        <v/>
      </c>
      <c r="FN803" s="1638" t="str">
        <f t="shared" si="150"/>
        <v/>
      </c>
      <c r="FO803" s="1638" t="str">
        <f t="shared" si="151"/>
        <v/>
      </c>
      <c r="FP803" s="1638" t="str">
        <f t="shared" si="152"/>
        <v/>
      </c>
      <c r="FQ803" s="1638" t="str">
        <f t="shared" si="153"/>
        <v/>
      </c>
      <c r="FR803" s="1638" t="str">
        <f t="shared" si="154"/>
        <v/>
      </c>
      <c r="FS803" s="1638" t="str">
        <f t="shared" si="155"/>
        <v/>
      </c>
      <c r="FT803" s="1638" t="str">
        <f t="shared" si="156"/>
        <v/>
      </c>
      <c r="FU803" s="1638" t="str">
        <f t="shared" si="157"/>
        <v/>
      </c>
      <c r="FV803" s="1638" t="str">
        <f t="shared" si="158"/>
        <v/>
      </c>
      <c r="FW803" s="1638" t="str">
        <f t="shared" si="159"/>
        <v/>
      </c>
      <c r="FX803" s="1638" t="str">
        <f t="shared" si="160"/>
        <v/>
      </c>
      <c r="FY803" s="1638" t="str">
        <f t="shared" si="161"/>
        <v/>
      </c>
      <c r="FZ803" s="1638" t="str">
        <f t="shared" si="162"/>
        <v/>
      </c>
      <c r="GA803" s="1638" t="str">
        <f t="shared" si="163"/>
        <v/>
      </c>
      <c r="GB803" s="1638" t="str">
        <f t="shared" si="164"/>
        <v/>
      </c>
      <c r="GC803" s="1638" t="str">
        <f t="shared" si="165"/>
        <v/>
      </c>
      <c r="GD803" s="1638" t="str">
        <f t="shared" si="166"/>
        <v/>
      </c>
      <c r="GE803" s="1638" t="str">
        <f t="shared" si="167"/>
        <v/>
      </c>
      <c r="GF803" s="1638" t="str">
        <f t="shared" si="168"/>
        <v/>
      </c>
      <c r="GG803" s="1638" t="str">
        <f t="shared" si="169"/>
        <v/>
      </c>
      <c r="GH803" s="1638" t="str">
        <f t="shared" si="170"/>
        <v/>
      </c>
      <c r="GI803" s="1638" t="str">
        <f t="shared" si="171"/>
        <v/>
      </c>
      <c r="GJ803" s="1638" t="str">
        <f t="shared" si="172"/>
        <v/>
      </c>
      <c r="GK803" s="1638" t="str">
        <f t="shared" si="173"/>
        <v/>
      </c>
      <c r="GL803" s="1638" t="str">
        <f t="shared" si="174"/>
        <v/>
      </c>
      <c r="GM803" s="1638" t="str">
        <f t="shared" si="175"/>
        <v/>
      </c>
      <c r="GN803" s="1638" t="str">
        <f t="shared" si="176"/>
        <v/>
      </c>
      <c r="GO803" s="1638" t="str">
        <f t="shared" si="177"/>
        <v/>
      </c>
      <c r="GP803" s="1638" t="str">
        <f t="shared" si="178"/>
        <v/>
      </c>
      <c r="GQ803" s="1638" t="str">
        <f t="shared" si="179"/>
        <v/>
      </c>
      <c r="GR803" s="1638" t="str">
        <f t="shared" si="180"/>
        <v/>
      </c>
      <c r="GS803" s="1638" t="str">
        <f t="shared" si="181"/>
        <v/>
      </c>
      <c r="GT803" s="1638" t="str">
        <f t="shared" si="182"/>
        <v/>
      </c>
      <c r="GU803" s="1638" t="str">
        <f t="shared" si="183"/>
        <v/>
      </c>
      <c r="GV803" s="1638" t="str">
        <f t="shared" si="184"/>
        <v/>
      </c>
      <c r="GW803" s="1638" t="str">
        <f t="shared" si="185"/>
        <v/>
      </c>
      <c r="GX803" s="1638" t="str">
        <f t="shared" si="186"/>
        <v/>
      </c>
      <c r="GY803" s="1638" t="str">
        <f t="shared" si="187"/>
        <v/>
      </c>
      <c r="GZ803" s="1638" t="str">
        <f t="shared" si="188"/>
        <v/>
      </c>
      <c r="HA803" s="1638" t="str">
        <f t="shared" si="189"/>
        <v/>
      </c>
      <c r="HB803" s="1638" t="str">
        <f t="shared" si="190"/>
        <v/>
      </c>
      <c r="HC803" s="1638" t="str">
        <f t="shared" si="191"/>
        <v/>
      </c>
      <c r="HD803" s="1638" t="str">
        <f t="shared" si="192"/>
        <v/>
      </c>
      <c r="HE803" s="1638" t="str">
        <f t="shared" si="193"/>
        <v/>
      </c>
      <c r="HF803" s="1638" t="str">
        <f t="shared" si="194"/>
        <v/>
      </c>
      <c r="HG803" s="1638" t="str">
        <f t="shared" si="195"/>
        <v/>
      </c>
      <c r="HH803" s="1638" t="str">
        <f t="shared" si="196"/>
        <v/>
      </c>
      <c r="HI803" s="1638" t="str">
        <f t="shared" si="197"/>
        <v/>
      </c>
      <c r="HJ803" s="1638" t="str">
        <f t="shared" si="198"/>
        <v/>
      </c>
      <c r="HK803" s="1638" t="str">
        <f t="shared" si="199"/>
        <v/>
      </c>
      <c r="HL803" s="1638" t="str">
        <f t="shared" si="200"/>
        <v/>
      </c>
      <c r="HM803" s="1638" t="str">
        <f t="shared" si="201"/>
        <v/>
      </c>
      <c r="HN803" s="1638" t="str">
        <f t="shared" si="202"/>
        <v/>
      </c>
      <c r="HO803" s="1638" t="str">
        <f t="shared" si="203"/>
        <v/>
      </c>
      <c r="HP803" s="1638" t="str">
        <f t="shared" si="204"/>
        <v/>
      </c>
      <c r="HQ803" s="1638" t="str">
        <f t="shared" si="205"/>
        <v/>
      </c>
      <c r="HR803" s="1638" t="str">
        <f t="shared" si="206"/>
        <v/>
      </c>
      <c r="HS803" s="1638" t="str">
        <f t="shared" si="207"/>
        <v/>
      </c>
      <c r="HT803" s="1638" t="str">
        <f t="shared" si="208"/>
        <v/>
      </c>
      <c r="HU803" s="1638" t="str">
        <f t="shared" si="209"/>
        <v/>
      </c>
      <c r="HV803" s="1638" t="str">
        <f t="shared" si="210"/>
        <v/>
      </c>
      <c r="HW803" s="1638" t="str">
        <f t="shared" si="211"/>
        <v/>
      </c>
      <c r="HX803" s="1638" t="str">
        <f t="shared" si="212"/>
        <v/>
      </c>
      <c r="HY803" s="1638" t="str">
        <f t="shared" si="213"/>
        <v/>
      </c>
      <c r="HZ803" s="1638" t="str">
        <f t="shared" si="214"/>
        <v/>
      </c>
      <c r="IA803" s="1638" t="str">
        <f t="shared" si="215"/>
        <v/>
      </c>
      <c r="IB803" s="1638" t="str">
        <f t="shared" si="216"/>
        <v/>
      </c>
      <c r="IC803" s="1638" t="str">
        <f t="shared" si="217"/>
        <v/>
      </c>
      <c r="ID803" s="1639" t="str">
        <f t="shared" si="218"/>
        <v/>
      </c>
      <c r="IE803" s="1639" t="str">
        <f t="shared" si="219"/>
        <v/>
      </c>
      <c r="IF803" s="1639" t="str">
        <f t="shared" si="220"/>
        <v/>
      </c>
      <c r="IG803" s="1639" t="str">
        <f t="shared" si="221"/>
        <v/>
      </c>
      <c r="IH803" s="1639" t="str">
        <f t="shared" si="222"/>
        <v/>
      </c>
      <c r="II803" s="742" t="str">
        <f t="shared" si="223"/>
        <v/>
      </c>
      <c r="IJ803" s="742" t="str">
        <f t="shared" si="224"/>
        <v/>
      </c>
      <c r="IK803" s="742" t="str">
        <f t="shared" si="225"/>
        <v/>
      </c>
      <c r="IL803" s="742" t="str">
        <f t="shared" si="226"/>
        <v/>
      </c>
      <c r="IM803" s="742" t="str">
        <f t="shared" si="227"/>
        <v/>
      </c>
      <c r="IN803" s="742" t="str">
        <f t="shared" si="228"/>
        <v/>
      </c>
      <c r="IO803" s="742" t="str">
        <f t="shared" si="229"/>
        <v/>
      </c>
      <c r="IP803" s="742" t="str">
        <f t="shared" si="230"/>
        <v/>
      </c>
      <c r="IQ803" s="742" t="str">
        <f t="shared" si="231"/>
        <v/>
      </c>
      <c r="IR803" s="742" t="str">
        <f t="shared" si="232"/>
        <v/>
      </c>
      <c r="IS803" s="742" t="str">
        <f t="shared" si="233"/>
        <v/>
      </c>
      <c r="IT803" s="742" t="str">
        <f t="shared" si="234"/>
        <v/>
      </c>
      <c r="IU803" s="742" t="str">
        <f t="shared" si="235"/>
        <v/>
      </c>
      <c r="IV803" s="742" t="str">
        <f t="shared" si="236"/>
        <v/>
      </c>
      <c r="IW803" s="742" t="str">
        <f t="shared" si="237"/>
        <v/>
      </c>
      <c r="IX803" s="742" t="str">
        <f t="shared" si="238"/>
        <v/>
      </c>
      <c r="IY803" s="742" t="str">
        <f t="shared" si="239"/>
        <v/>
      </c>
      <c r="IZ803" s="742" t="str">
        <f t="shared" si="240"/>
        <v/>
      </c>
      <c r="JA803" s="742" t="str">
        <f t="shared" si="241"/>
        <v/>
      </c>
      <c r="JB803" s="742" t="str">
        <f t="shared" si="242"/>
        <v/>
      </c>
      <c r="JC803" s="1637">
        <f t="shared" si="243"/>
        <v>0</v>
      </c>
      <c r="JD803" s="1637">
        <f t="shared" si="244"/>
        <v>0</v>
      </c>
      <c r="JE803" s="1637">
        <f t="shared" si="245"/>
        <v>0</v>
      </c>
      <c r="JF803" s="1637">
        <f t="shared" si="246"/>
        <v>0</v>
      </c>
      <c r="JG803" s="1637">
        <f t="shared" si="247"/>
        <v>0</v>
      </c>
      <c r="JH803" s="1637">
        <f t="shared" si="248"/>
        <v>0</v>
      </c>
      <c r="JI803" s="1637">
        <f t="shared" si="249"/>
        <v>0</v>
      </c>
      <c r="JJ803" s="1637">
        <f t="shared" si="250"/>
        <v>0</v>
      </c>
      <c r="JK803" s="1637">
        <f t="shared" si="251"/>
        <v>0</v>
      </c>
      <c r="JL803" s="1637">
        <f t="shared" si="252"/>
        <v>0</v>
      </c>
      <c r="JM803" s="1637">
        <f t="shared" si="253"/>
        <v>0</v>
      </c>
      <c r="JN803" s="1637">
        <f t="shared" si="254"/>
        <v>0</v>
      </c>
      <c r="JO803" s="1637">
        <f t="shared" si="255"/>
        <v>0</v>
      </c>
      <c r="JP803" s="1637">
        <f t="shared" si="256"/>
        <v>0</v>
      </c>
      <c r="JQ803" s="1637">
        <f t="shared" si="257"/>
        <v>0</v>
      </c>
    </row>
    <row r="804" spans="1:278" ht="12" customHeight="1">
      <c r="A804" s="1813" t="str">
        <f t="shared" si="0"/>
        <v/>
      </c>
      <c r="B804" s="2145">
        <f>'Part VI-Revenues &amp; Expenses'!B47</f>
        <v>0</v>
      </c>
      <c r="C804" s="2146">
        <f>'Part VI-Revenues &amp; Expenses'!C47</f>
        <v>0</v>
      </c>
      <c r="D804" s="2147">
        <f>'Part VI-Revenues &amp; Expenses'!D47</f>
        <v>0</v>
      </c>
      <c r="E804" s="2148">
        <f>'Part VI-Revenues &amp; Expenses'!E47</f>
        <v>0</v>
      </c>
      <c r="F804" s="2148">
        <f>'Part VI-Revenues &amp; Expenses'!F47</f>
        <v>0</v>
      </c>
      <c r="G804" s="2148">
        <f>'Part VI-Revenues &amp; Expenses'!G47</f>
        <v>0</v>
      </c>
      <c r="H804" s="2148">
        <f>'Part VI-Revenues &amp; Expenses'!H47</f>
        <v>0</v>
      </c>
      <c r="I804" s="2148">
        <f>'Part VI-Revenues &amp; Expenses'!I47</f>
        <v>0</v>
      </c>
      <c r="J804" s="2149">
        <f>'Part VI-Revenues &amp; Expenses'!J47</f>
        <v>0</v>
      </c>
      <c r="K804" s="1822">
        <f t="shared" si="1"/>
        <v>0</v>
      </c>
      <c r="L804" s="1822">
        <f t="shared" si="2"/>
        <v>0</v>
      </c>
      <c r="M804" s="2133">
        <f>'Part VI-Revenues &amp; Expenses'!M47</f>
        <v>0</v>
      </c>
      <c r="N804" s="2133">
        <f>'Part VI-Revenues &amp; Expenses'!N47</f>
        <v>0</v>
      </c>
      <c r="O804" s="2133">
        <f>'Part VI-Revenues &amp; Expenses'!O47</f>
        <v>0</v>
      </c>
      <c r="P804" s="1633">
        <f>'Part VI-Revenues &amp; Expenses'!P47</f>
        <v>0</v>
      </c>
      <c r="Q804" s="1823" t="str">
        <f>'Part VI-Revenues &amp; Expenses'!Q47</f>
        <v/>
      </c>
      <c r="R804" s="1824" t="str">
        <f>'Part VI-Revenues &amp; Expenses'!R47</f>
        <v/>
      </c>
      <c r="S804" s="1823">
        <f>'Part VI-Revenues &amp; Expenses'!S47</f>
        <v>0</v>
      </c>
      <c r="T804" s="1824">
        <f>'Part VI-Revenues &amp; Expenses'!T47</f>
        <v>0</v>
      </c>
      <c r="U804" s="1838"/>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117"/>
        <v/>
      </c>
      <c r="EH804" s="742" t="str">
        <f t="shared" si="118"/>
        <v/>
      </c>
      <c r="EI804" s="742" t="str">
        <f t="shared" si="119"/>
        <v/>
      </c>
      <c r="EJ804" s="742" t="str">
        <f t="shared" si="120"/>
        <v/>
      </c>
      <c r="EK804" s="742" t="str">
        <f t="shared" si="121"/>
        <v/>
      </c>
      <c r="EL804" s="742" t="str">
        <f t="shared" si="122"/>
        <v/>
      </c>
      <c r="EM804" s="742" t="str">
        <f t="shared" si="123"/>
        <v/>
      </c>
      <c r="EN804" s="742" t="str">
        <f t="shared" si="124"/>
        <v/>
      </c>
      <c r="EO804" s="742" t="str">
        <f t="shared" si="125"/>
        <v/>
      </c>
      <c r="EP804" s="742" t="str">
        <f t="shared" si="126"/>
        <v/>
      </c>
      <c r="EQ804" s="742" t="str">
        <f t="shared" si="127"/>
        <v/>
      </c>
      <c r="ER804" s="742" t="str">
        <f t="shared" si="128"/>
        <v/>
      </c>
      <c r="ES804" s="742" t="str">
        <f t="shared" si="129"/>
        <v/>
      </c>
      <c r="ET804" s="742" t="str">
        <f t="shared" si="130"/>
        <v/>
      </c>
      <c r="EU804" s="742" t="str">
        <f t="shared" si="131"/>
        <v/>
      </c>
      <c r="EV804" s="742" t="str">
        <f t="shared" si="132"/>
        <v/>
      </c>
      <c r="EW804" s="1638" t="str">
        <f t="shared" si="133"/>
        <v/>
      </c>
      <c r="EX804" s="1638" t="str">
        <f t="shared" si="134"/>
        <v/>
      </c>
      <c r="EY804" s="1638" t="str">
        <f t="shared" si="135"/>
        <v/>
      </c>
      <c r="EZ804" s="1638" t="str">
        <f t="shared" si="136"/>
        <v/>
      </c>
      <c r="FA804" s="1638" t="str">
        <f t="shared" si="137"/>
        <v/>
      </c>
      <c r="FB804" s="1638" t="str">
        <f t="shared" si="138"/>
        <v/>
      </c>
      <c r="FC804" s="1638" t="str">
        <f t="shared" si="139"/>
        <v/>
      </c>
      <c r="FD804" s="1638" t="str">
        <f t="shared" si="140"/>
        <v/>
      </c>
      <c r="FE804" s="1638" t="str">
        <f t="shared" si="141"/>
        <v/>
      </c>
      <c r="FF804" s="1638" t="str">
        <f t="shared" si="142"/>
        <v/>
      </c>
      <c r="FG804" s="1638" t="str">
        <f t="shared" si="143"/>
        <v/>
      </c>
      <c r="FH804" s="1638" t="str">
        <f t="shared" si="144"/>
        <v/>
      </c>
      <c r="FI804" s="1638" t="str">
        <f t="shared" si="145"/>
        <v/>
      </c>
      <c r="FJ804" s="1638" t="str">
        <f t="shared" si="146"/>
        <v/>
      </c>
      <c r="FK804" s="1638" t="str">
        <f t="shared" si="147"/>
        <v/>
      </c>
      <c r="FL804" s="1638" t="str">
        <f t="shared" si="148"/>
        <v/>
      </c>
      <c r="FM804" s="1638" t="str">
        <f t="shared" si="149"/>
        <v/>
      </c>
      <c r="FN804" s="1638" t="str">
        <f t="shared" si="150"/>
        <v/>
      </c>
      <c r="FO804" s="1638" t="str">
        <f t="shared" si="151"/>
        <v/>
      </c>
      <c r="FP804" s="1638" t="str">
        <f t="shared" si="152"/>
        <v/>
      </c>
      <c r="FQ804" s="1638" t="str">
        <f t="shared" si="153"/>
        <v/>
      </c>
      <c r="FR804" s="1638" t="str">
        <f t="shared" si="154"/>
        <v/>
      </c>
      <c r="FS804" s="1638" t="str">
        <f t="shared" si="155"/>
        <v/>
      </c>
      <c r="FT804" s="1638" t="str">
        <f t="shared" si="156"/>
        <v/>
      </c>
      <c r="FU804" s="1638" t="str">
        <f t="shared" si="157"/>
        <v/>
      </c>
      <c r="FV804" s="1638" t="str">
        <f t="shared" si="158"/>
        <v/>
      </c>
      <c r="FW804" s="1638" t="str">
        <f t="shared" si="159"/>
        <v/>
      </c>
      <c r="FX804" s="1638" t="str">
        <f t="shared" si="160"/>
        <v/>
      </c>
      <c r="FY804" s="1638" t="str">
        <f t="shared" si="161"/>
        <v/>
      </c>
      <c r="FZ804" s="1638" t="str">
        <f t="shared" si="162"/>
        <v/>
      </c>
      <c r="GA804" s="1638" t="str">
        <f t="shared" si="163"/>
        <v/>
      </c>
      <c r="GB804" s="1638" t="str">
        <f t="shared" si="164"/>
        <v/>
      </c>
      <c r="GC804" s="1638" t="str">
        <f t="shared" si="165"/>
        <v/>
      </c>
      <c r="GD804" s="1638" t="str">
        <f t="shared" si="166"/>
        <v/>
      </c>
      <c r="GE804" s="1638" t="str">
        <f t="shared" si="167"/>
        <v/>
      </c>
      <c r="GF804" s="1638" t="str">
        <f t="shared" si="168"/>
        <v/>
      </c>
      <c r="GG804" s="1638" t="str">
        <f t="shared" si="169"/>
        <v/>
      </c>
      <c r="GH804" s="1638" t="str">
        <f t="shared" si="170"/>
        <v/>
      </c>
      <c r="GI804" s="1638" t="str">
        <f t="shared" si="171"/>
        <v/>
      </c>
      <c r="GJ804" s="1638" t="str">
        <f t="shared" si="172"/>
        <v/>
      </c>
      <c r="GK804" s="1638" t="str">
        <f t="shared" si="173"/>
        <v/>
      </c>
      <c r="GL804" s="1638" t="str">
        <f t="shared" si="174"/>
        <v/>
      </c>
      <c r="GM804" s="1638" t="str">
        <f t="shared" si="175"/>
        <v/>
      </c>
      <c r="GN804" s="1638" t="str">
        <f t="shared" si="176"/>
        <v/>
      </c>
      <c r="GO804" s="1638" t="str">
        <f t="shared" si="177"/>
        <v/>
      </c>
      <c r="GP804" s="1638" t="str">
        <f t="shared" si="178"/>
        <v/>
      </c>
      <c r="GQ804" s="1638" t="str">
        <f t="shared" si="179"/>
        <v/>
      </c>
      <c r="GR804" s="1638" t="str">
        <f t="shared" si="180"/>
        <v/>
      </c>
      <c r="GS804" s="1638" t="str">
        <f t="shared" si="181"/>
        <v/>
      </c>
      <c r="GT804" s="1638" t="str">
        <f t="shared" si="182"/>
        <v/>
      </c>
      <c r="GU804" s="1638" t="str">
        <f t="shared" si="183"/>
        <v/>
      </c>
      <c r="GV804" s="1638" t="str">
        <f t="shared" si="184"/>
        <v/>
      </c>
      <c r="GW804" s="1638" t="str">
        <f t="shared" si="185"/>
        <v/>
      </c>
      <c r="GX804" s="1638" t="str">
        <f t="shared" si="186"/>
        <v/>
      </c>
      <c r="GY804" s="1638" t="str">
        <f t="shared" si="187"/>
        <v/>
      </c>
      <c r="GZ804" s="1638" t="str">
        <f t="shared" si="188"/>
        <v/>
      </c>
      <c r="HA804" s="1638" t="str">
        <f t="shared" si="189"/>
        <v/>
      </c>
      <c r="HB804" s="1638" t="str">
        <f t="shared" si="190"/>
        <v/>
      </c>
      <c r="HC804" s="1638" t="str">
        <f t="shared" si="191"/>
        <v/>
      </c>
      <c r="HD804" s="1638" t="str">
        <f t="shared" si="192"/>
        <v/>
      </c>
      <c r="HE804" s="1638" t="str">
        <f t="shared" si="193"/>
        <v/>
      </c>
      <c r="HF804" s="1638" t="str">
        <f t="shared" si="194"/>
        <v/>
      </c>
      <c r="HG804" s="1638" t="str">
        <f t="shared" si="195"/>
        <v/>
      </c>
      <c r="HH804" s="1638" t="str">
        <f t="shared" si="196"/>
        <v/>
      </c>
      <c r="HI804" s="1638" t="str">
        <f t="shared" si="197"/>
        <v/>
      </c>
      <c r="HJ804" s="1638" t="str">
        <f t="shared" si="198"/>
        <v/>
      </c>
      <c r="HK804" s="1638" t="str">
        <f t="shared" si="199"/>
        <v/>
      </c>
      <c r="HL804" s="1638" t="str">
        <f t="shared" si="200"/>
        <v/>
      </c>
      <c r="HM804" s="1638" t="str">
        <f t="shared" si="201"/>
        <v/>
      </c>
      <c r="HN804" s="1638" t="str">
        <f t="shared" si="202"/>
        <v/>
      </c>
      <c r="HO804" s="1638" t="str">
        <f t="shared" si="203"/>
        <v/>
      </c>
      <c r="HP804" s="1638" t="str">
        <f t="shared" si="204"/>
        <v/>
      </c>
      <c r="HQ804" s="1638" t="str">
        <f t="shared" si="205"/>
        <v/>
      </c>
      <c r="HR804" s="1638" t="str">
        <f t="shared" si="206"/>
        <v/>
      </c>
      <c r="HS804" s="1638" t="str">
        <f t="shared" si="207"/>
        <v/>
      </c>
      <c r="HT804" s="1638" t="str">
        <f t="shared" si="208"/>
        <v/>
      </c>
      <c r="HU804" s="1638" t="str">
        <f t="shared" si="209"/>
        <v/>
      </c>
      <c r="HV804" s="1638" t="str">
        <f t="shared" si="210"/>
        <v/>
      </c>
      <c r="HW804" s="1638" t="str">
        <f t="shared" si="211"/>
        <v/>
      </c>
      <c r="HX804" s="1638" t="str">
        <f t="shared" si="212"/>
        <v/>
      </c>
      <c r="HY804" s="1638" t="str">
        <f t="shared" si="213"/>
        <v/>
      </c>
      <c r="HZ804" s="1638" t="str">
        <f t="shared" si="214"/>
        <v/>
      </c>
      <c r="IA804" s="1638" t="str">
        <f t="shared" si="215"/>
        <v/>
      </c>
      <c r="IB804" s="1638" t="str">
        <f t="shared" si="216"/>
        <v/>
      </c>
      <c r="IC804" s="1638" t="str">
        <f t="shared" si="217"/>
        <v/>
      </c>
      <c r="ID804" s="1639" t="str">
        <f t="shared" si="218"/>
        <v/>
      </c>
      <c r="IE804" s="1639" t="str">
        <f t="shared" si="219"/>
        <v/>
      </c>
      <c r="IF804" s="1639" t="str">
        <f t="shared" si="220"/>
        <v/>
      </c>
      <c r="IG804" s="1639" t="str">
        <f t="shared" si="221"/>
        <v/>
      </c>
      <c r="IH804" s="1639" t="str">
        <f t="shared" si="222"/>
        <v/>
      </c>
      <c r="II804" s="742" t="str">
        <f t="shared" si="223"/>
        <v/>
      </c>
      <c r="IJ804" s="742" t="str">
        <f t="shared" si="224"/>
        <v/>
      </c>
      <c r="IK804" s="742" t="str">
        <f t="shared" si="225"/>
        <v/>
      </c>
      <c r="IL804" s="742" t="str">
        <f t="shared" si="226"/>
        <v/>
      </c>
      <c r="IM804" s="742" t="str">
        <f t="shared" si="227"/>
        <v/>
      </c>
      <c r="IN804" s="742" t="str">
        <f t="shared" si="228"/>
        <v/>
      </c>
      <c r="IO804" s="742" t="str">
        <f t="shared" si="229"/>
        <v/>
      </c>
      <c r="IP804" s="742" t="str">
        <f t="shared" si="230"/>
        <v/>
      </c>
      <c r="IQ804" s="742" t="str">
        <f t="shared" si="231"/>
        <v/>
      </c>
      <c r="IR804" s="742" t="str">
        <f t="shared" si="232"/>
        <v/>
      </c>
      <c r="IS804" s="742" t="str">
        <f t="shared" si="233"/>
        <v/>
      </c>
      <c r="IT804" s="742" t="str">
        <f t="shared" si="234"/>
        <v/>
      </c>
      <c r="IU804" s="742" t="str">
        <f t="shared" si="235"/>
        <v/>
      </c>
      <c r="IV804" s="742" t="str">
        <f t="shared" si="236"/>
        <v/>
      </c>
      <c r="IW804" s="742" t="str">
        <f t="shared" si="237"/>
        <v/>
      </c>
      <c r="IX804" s="742" t="str">
        <f t="shared" si="238"/>
        <v/>
      </c>
      <c r="IY804" s="742" t="str">
        <f t="shared" si="239"/>
        <v/>
      </c>
      <c r="IZ804" s="742" t="str">
        <f t="shared" si="240"/>
        <v/>
      </c>
      <c r="JA804" s="742" t="str">
        <f t="shared" si="241"/>
        <v/>
      </c>
      <c r="JB804" s="742" t="str">
        <f t="shared" si="242"/>
        <v/>
      </c>
      <c r="JC804" s="1637">
        <f t="shared" si="243"/>
        <v>0</v>
      </c>
      <c r="JD804" s="1637">
        <f t="shared" si="244"/>
        <v>0</v>
      </c>
      <c r="JE804" s="1637">
        <f t="shared" si="245"/>
        <v>0</v>
      </c>
      <c r="JF804" s="1637">
        <f t="shared" si="246"/>
        <v>0</v>
      </c>
      <c r="JG804" s="1637">
        <f t="shared" si="247"/>
        <v>0</v>
      </c>
      <c r="JH804" s="1637">
        <f t="shared" si="248"/>
        <v>0</v>
      </c>
      <c r="JI804" s="1637">
        <f t="shared" si="249"/>
        <v>0</v>
      </c>
      <c r="JJ804" s="1637">
        <f t="shared" si="250"/>
        <v>0</v>
      </c>
      <c r="JK804" s="1637">
        <f t="shared" si="251"/>
        <v>0</v>
      </c>
      <c r="JL804" s="1637">
        <f t="shared" si="252"/>
        <v>0</v>
      </c>
      <c r="JM804" s="1637">
        <f t="shared" si="253"/>
        <v>0</v>
      </c>
      <c r="JN804" s="1637">
        <f t="shared" si="254"/>
        <v>0</v>
      </c>
      <c r="JO804" s="1637">
        <f t="shared" si="255"/>
        <v>0</v>
      </c>
      <c r="JP804" s="1637">
        <f t="shared" si="256"/>
        <v>0</v>
      </c>
      <c r="JQ804" s="1637">
        <f t="shared" si="257"/>
        <v>0</v>
      </c>
    </row>
    <row r="805" spans="1:278" ht="12" customHeight="1">
      <c r="A805" s="1813">
        <f>COUNT(A767,A768,A769,A770,A771,A772,A773,A774,A775,A776,A777,A778,A779,A780,A781,A782,A783,A784,A785,A786,A787,A788,A789,A790,A791,A792,A793,A794,A795,A796)</f>
        <v>0</v>
      </c>
      <c r="B805" s="1631"/>
      <c r="C805" s="1631"/>
      <c r="D805" s="1825" t="s">
        <v>1018</v>
      </c>
      <c r="E805" s="1826">
        <f>SUM(E767:E804)</f>
        <v>84</v>
      </c>
      <c r="F805" s="182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85704</v>
      </c>
      <c r="G805" s="522"/>
      <c r="H805" s="522"/>
      <c r="I805" s="522"/>
      <c r="J805" s="522"/>
      <c r="K805" s="1828" t="s">
        <v>1302</v>
      </c>
      <c r="L805" s="1826">
        <f>SUM(L767:L804)</f>
        <v>77840</v>
      </c>
      <c r="M805" s="1631"/>
      <c r="N805" s="1631"/>
      <c r="O805" s="1631"/>
      <c r="P805" s="1631"/>
      <c r="Q805" s="1631"/>
      <c r="R805" s="1631"/>
      <c r="S805" s="1631"/>
      <c r="T805" s="1631"/>
      <c r="U805" s="1812"/>
      <c r="V805" s="1640"/>
      <c r="W805" s="1640">
        <f t="shared" ref="W805:CH805" si="258">SUM(W767:W804)</f>
        <v>0</v>
      </c>
      <c r="X805" s="1640">
        <f t="shared" si="258"/>
        <v>0</v>
      </c>
      <c r="Y805" s="1640">
        <f t="shared" si="258"/>
        <v>0</v>
      </c>
      <c r="Z805" s="1640">
        <f t="shared" si="258"/>
        <v>0</v>
      </c>
      <c r="AA805" s="1640">
        <f t="shared" si="258"/>
        <v>0</v>
      </c>
      <c r="AB805" s="1640">
        <f t="shared" si="258"/>
        <v>0</v>
      </c>
      <c r="AC805" s="1640">
        <f t="shared" si="258"/>
        <v>0</v>
      </c>
      <c r="AD805" s="1640">
        <f t="shared" si="258"/>
        <v>0</v>
      </c>
      <c r="AE805" s="1640">
        <f t="shared" si="258"/>
        <v>0</v>
      </c>
      <c r="AF805" s="1640">
        <f t="shared" si="258"/>
        <v>0</v>
      </c>
      <c r="AG805" s="1640">
        <f t="shared" si="258"/>
        <v>0</v>
      </c>
      <c r="AH805" s="1640">
        <f t="shared" si="258"/>
        <v>0</v>
      </c>
      <c r="AI805" s="1640">
        <f t="shared" si="258"/>
        <v>0</v>
      </c>
      <c r="AJ805" s="1640">
        <f t="shared" si="258"/>
        <v>0</v>
      </c>
      <c r="AK805" s="1640">
        <f t="shared" si="258"/>
        <v>0</v>
      </c>
      <c r="AL805" s="1640">
        <f t="shared" si="258"/>
        <v>0</v>
      </c>
      <c r="AM805" s="1640">
        <f t="shared" si="258"/>
        <v>0</v>
      </c>
      <c r="AN805" s="1640">
        <f t="shared" si="258"/>
        <v>0</v>
      </c>
      <c r="AO805" s="1640">
        <f t="shared" si="258"/>
        <v>0</v>
      </c>
      <c r="AP805" s="1640">
        <f t="shared" si="258"/>
        <v>0</v>
      </c>
      <c r="AQ805" s="1640">
        <f t="shared" si="258"/>
        <v>0</v>
      </c>
      <c r="AR805" s="1640">
        <f t="shared" si="258"/>
        <v>0</v>
      </c>
      <c r="AS805" s="1640">
        <f t="shared" si="258"/>
        <v>0</v>
      </c>
      <c r="AT805" s="1640">
        <f t="shared" si="258"/>
        <v>0</v>
      </c>
      <c r="AU805" s="1640">
        <f t="shared" si="258"/>
        <v>0</v>
      </c>
      <c r="AV805" s="1640">
        <f t="shared" si="258"/>
        <v>0</v>
      </c>
      <c r="AW805" s="1640">
        <f t="shared" si="258"/>
        <v>0</v>
      </c>
      <c r="AX805" s="1640">
        <f t="shared" si="258"/>
        <v>0</v>
      </c>
      <c r="AY805" s="1640">
        <f t="shared" si="258"/>
        <v>0</v>
      </c>
      <c r="AZ805" s="1640">
        <f t="shared" si="258"/>
        <v>0</v>
      </c>
      <c r="BA805" s="1640">
        <f t="shared" si="258"/>
        <v>0</v>
      </c>
      <c r="BB805" s="1640">
        <f t="shared" si="258"/>
        <v>0</v>
      </c>
      <c r="BC805" s="1640">
        <f t="shared" si="258"/>
        <v>0</v>
      </c>
      <c r="BD805" s="1640">
        <f t="shared" si="258"/>
        <v>0</v>
      </c>
      <c r="BE805" s="1640">
        <f t="shared" si="258"/>
        <v>0</v>
      </c>
      <c r="BF805" s="1640">
        <f t="shared" si="258"/>
        <v>0</v>
      </c>
      <c r="BG805" s="1640">
        <f t="shared" si="258"/>
        <v>0</v>
      </c>
      <c r="BH805" s="1640">
        <f t="shared" si="258"/>
        <v>0</v>
      </c>
      <c r="BI805" s="1640">
        <f t="shared" si="258"/>
        <v>0</v>
      </c>
      <c r="BJ805" s="1640">
        <f t="shared" si="258"/>
        <v>0</v>
      </c>
      <c r="BK805" s="1640">
        <f t="shared" si="258"/>
        <v>0</v>
      </c>
      <c r="BL805" s="1640">
        <f t="shared" si="258"/>
        <v>0</v>
      </c>
      <c r="BM805" s="1640">
        <f t="shared" si="258"/>
        <v>0</v>
      </c>
      <c r="BN805" s="1640">
        <f t="shared" si="258"/>
        <v>0</v>
      </c>
      <c r="BO805" s="1640">
        <f t="shared" si="258"/>
        <v>0</v>
      </c>
      <c r="BP805" s="1640">
        <f t="shared" si="258"/>
        <v>0</v>
      </c>
      <c r="BQ805" s="1640">
        <f t="shared" si="258"/>
        <v>0</v>
      </c>
      <c r="BR805" s="1640">
        <f t="shared" si="258"/>
        <v>0</v>
      </c>
      <c r="BS805" s="1640">
        <f t="shared" si="258"/>
        <v>0</v>
      </c>
      <c r="BT805" s="1640">
        <f t="shared" si="258"/>
        <v>0</v>
      </c>
      <c r="BU805" s="1640">
        <f t="shared" si="258"/>
        <v>0</v>
      </c>
      <c r="BV805" s="1640">
        <f t="shared" si="258"/>
        <v>0</v>
      </c>
      <c r="BW805" s="1640">
        <f t="shared" si="258"/>
        <v>0</v>
      </c>
      <c r="BX805" s="1640">
        <f t="shared" si="258"/>
        <v>0</v>
      </c>
      <c r="BY805" s="1640">
        <f t="shared" si="258"/>
        <v>0</v>
      </c>
      <c r="BZ805" s="1640">
        <f t="shared" si="258"/>
        <v>0</v>
      </c>
      <c r="CA805" s="1640">
        <f t="shared" si="258"/>
        <v>0</v>
      </c>
      <c r="CB805" s="1640">
        <f t="shared" si="258"/>
        <v>0</v>
      </c>
      <c r="CC805" s="1640">
        <f t="shared" si="258"/>
        <v>0</v>
      </c>
      <c r="CD805" s="1640">
        <f t="shared" si="258"/>
        <v>0</v>
      </c>
      <c r="CE805" s="1640">
        <f t="shared" si="258"/>
        <v>0</v>
      </c>
      <c r="CF805" s="1640">
        <f t="shared" si="258"/>
        <v>0</v>
      </c>
      <c r="CG805" s="1640">
        <f t="shared" si="258"/>
        <v>0</v>
      </c>
      <c r="CH805" s="1640">
        <f t="shared" si="258"/>
        <v>0</v>
      </c>
      <c r="CI805" s="1640">
        <f t="shared" ref="CI805:ET805" si="259">SUM(CI767:CI804)</f>
        <v>0</v>
      </c>
      <c r="CJ805" s="1640">
        <f t="shared" si="259"/>
        <v>0</v>
      </c>
      <c r="CK805" s="1640">
        <f t="shared" si="259"/>
        <v>0</v>
      </c>
      <c r="CL805" s="1640">
        <f t="shared" si="259"/>
        <v>0</v>
      </c>
      <c r="CM805" s="1640">
        <f t="shared" si="259"/>
        <v>0</v>
      </c>
      <c r="CN805" s="1640">
        <f t="shared" si="259"/>
        <v>0</v>
      </c>
      <c r="CO805" s="1640">
        <f t="shared" si="259"/>
        <v>0</v>
      </c>
      <c r="CP805" s="1640">
        <f t="shared" si="259"/>
        <v>0</v>
      </c>
      <c r="CQ805" s="1640">
        <f t="shared" si="259"/>
        <v>0</v>
      </c>
      <c r="CR805" s="1640">
        <f t="shared" si="259"/>
        <v>0</v>
      </c>
      <c r="CS805" s="1640">
        <f t="shared" si="259"/>
        <v>0</v>
      </c>
      <c r="CT805" s="1640">
        <f t="shared" si="259"/>
        <v>0</v>
      </c>
      <c r="CU805" s="1640">
        <f t="shared" si="259"/>
        <v>0</v>
      </c>
      <c r="CV805" s="1640">
        <f t="shared" si="259"/>
        <v>0</v>
      </c>
      <c r="CW805" s="1640">
        <f t="shared" si="259"/>
        <v>0</v>
      </c>
      <c r="CX805" s="1640">
        <f t="shared" si="259"/>
        <v>0</v>
      </c>
      <c r="CY805" s="1640">
        <f t="shared" si="259"/>
        <v>0</v>
      </c>
      <c r="CZ805" s="1640">
        <f t="shared" si="259"/>
        <v>0</v>
      </c>
      <c r="DA805" s="1640">
        <f t="shared" si="259"/>
        <v>0</v>
      </c>
      <c r="DB805" s="1640">
        <f t="shared" si="259"/>
        <v>0</v>
      </c>
      <c r="DC805" s="1640">
        <f t="shared" si="259"/>
        <v>0</v>
      </c>
      <c r="DD805" s="1640">
        <f t="shared" si="259"/>
        <v>0</v>
      </c>
      <c r="DE805" s="1640">
        <f t="shared" si="259"/>
        <v>12</v>
      </c>
      <c r="DF805" s="1640">
        <f t="shared" si="259"/>
        <v>56</v>
      </c>
      <c r="DG805" s="1640">
        <f t="shared" si="259"/>
        <v>8</v>
      </c>
      <c r="DH805" s="1640">
        <f t="shared" si="259"/>
        <v>8</v>
      </c>
      <c r="DI805" s="1640">
        <f t="shared" si="259"/>
        <v>0</v>
      </c>
      <c r="DJ805" s="1640">
        <f t="shared" si="259"/>
        <v>0</v>
      </c>
      <c r="DK805" s="1640">
        <f t="shared" si="259"/>
        <v>0</v>
      </c>
      <c r="DL805" s="1640">
        <f t="shared" si="259"/>
        <v>0</v>
      </c>
      <c r="DM805" s="1640">
        <f t="shared" si="259"/>
        <v>0</v>
      </c>
      <c r="DN805" s="1640">
        <f t="shared" si="259"/>
        <v>0</v>
      </c>
      <c r="DO805" s="1640">
        <f t="shared" si="259"/>
        <v>0</v>
      </c>
      <c r="DP805" s="1640">
        <f t="shared" si="259"/>
        <v>0</v>
      </c>
      <c r="DQ805" s="1640">
        <f t="shared" si="259"/>
        <v>0</v>
      </c>
      <c r="DR805" s="1640">
        <f t="shared" si="259"/>
        <v>0</v>
      </c>
      <c r="DS805" s="1640">
        <f t="shared" si="259"/>
        <v>0</v>
      </c>
      <c r="DT805" s="1640">
        <f t="shared" si="259"/>
        <v>0</v>
      </c>
      <c r="DU805" s="1640">
        <f t="shared" si="259"/>
        <v>0</v>
      </c>
      <c r="DV805" s="1640">
        <f t="shared" si="259"/>
        <v>0</v>
      </c>
      <c r="DW805" s="1640">
        <f t="shared" si="259"/>
        <v>0</v>
      </c>
      <c r="DX805" s="1640">
        <f t="shared" si="259"/>
        <v>0</v>
      </c>
      <c r="DY805" s="1640">
        <f t="shared" si="259"/>
        <v>0</v>
      </c>
      <c r="DZ805" s="1640">
        <f t="shared" si="259"/>
        <v>0</v>
      </c>
      <c r="EA805" s="1640">
        <f t="shared" si="259"/>
        <v>0</v>
      </c>
      <c r="EB805" s="1640">
        <f t="shared" si="259"/>
        <v>0</v>
      </c>
      <c r="EC805" s="1640">
        <f t="shared" si="259"/>
        <v>0</v>
      </c>
      <c r="ED805" s="1640">
        <f t="shared" si="259"/>
        <v>0</v>
      </c>
      <c r="EE805" s="1640">
        <f t="shared" si="259"/>
        <v>0</v>
      </c>
      <c r="EF805" s="1640">
        <f t="shared" si="259"/>
        <v>0</v>
      </c>
      <c r="EG805" s="1640">
        <f t="shared" si="259"/>
        <v>0</v>
      </c>
      <c r="EH805" s="1640">
        <f t="shared" si="259"/>
        <v>0</v>
      </c>
      <c r="EI805" s="1640">
        <f t="shared" si="259"/>
        <v>0</v>
      </c>
      <c r="EJ805" s="1640">
        <f t="shared" si="259"/>
        <v>0</v>
      </c>
      <c r="EK805" s="1640">
        <f t="shared" si="259"/>
        <v>0</v>
      </c>
      <c r="EL805" s="1640">
        <f t="shared" si="259"/>
        <v>0</v>
      </c>
      <c r="EM805" s="1640">
        <f t="shared" si="259"/>
        <v>0</v>
      </c>
      <c r="EN805" s="1640">
        <f t="shared" si="259"/>
        <v>0</v>
      </c>
      <c r="EO805" s="1640">
        <f t="shared" si="259"/>
        <v>0</v>
      </c>
      <c r="EP805" s="1640">
        <f t="shared" si="259"/>
        <v>0</v>
      </c>
      <c r="EQ805" s="1640">
        <f t="shared" si="259"/>
        <v>0</v>
      </c>
      <c r="ER805" s="1640">
        <f t="shared" si="259"/>
        <v>0</v>
      </c>
      <c r="ES805" s="1640">
        <f t="shared" si="259"/>
        <v>0</v>
      </c>
      <c r="ET805" s="1640">
        <f t="shared" si="259"/>
        <v>0</v>
      </c>
      <c r="EU805" s="1640">
        <f t="shared" ref="EU805:HF805" si="260">SUM(EU767:EU804)</f>
        <v>0</v>
      </c>
      <c r="EV805" s="1640">
        <f t="shared" si="260"/>
        <v>0</v>
      </c>
      <c r="EW805" s="1640">
        <f t="shared" si="260"/>
        <v>0</v>
      </c>
      <c r="EX805" s="1640">
        <f t="shared" si="260"/>
        <v>12</v>
      </c>
      <c r="EY805" s="1640">
        <f t="shared" si="260"/>
        <v>56</v>
      </c>
      <c r="EZ805" s="1640">
        <f t="shared" si="260"/>
        <v>8</v>
      </c>
      <c r="FA805" s="1640">
        <f t="shared" si="260"/>
        <v>8</v>
      </c>
      <c r="FB805" s="1640">
        <f t="shared" si="260"/>
        <v>0</v>
      </c>
      <c r="FC805" s="1640">
        <f t="shared" si="260"/>
        <v>0</v>
      </c>
      <c r="FD805" s="1640">
        <f t="shared" si="260"/>
        <v>0</v>
      </c>
      <c r="FE805" s="1640">
        <f t="shared" si="260"/>
        <v>0</v>
      </c>
      <c r="FF805" s="1640">
        <f t="shared" si="260"/>
        <v>0</v>
      </c>
      <c r="FG805" s="1640">
        <f t="shared" si="260"/>
        <v>0</v>
      </c>
      <c r="FH805" s="1640">
        <f t="shared" si="260"/>
        <v>0</v>
      </c>
      <c r="FI805" s="1640">
        <f t="shared" si="260"/>
        <v>0</v>
      </c>
      <c r="FJ805" s="1640">
        <f t="shared" si="260"/>
        <v>0</v>
      </c>
      <c r="FK805" s="1640">
        <f t="shared" si="260"/>
        <v>0</v>
      </c>
      <c r="FL805" s="1640">
        <f t="shared" si="260"/>
        <v>0</v>
      </c>
      <c r="FM805" s="1640">
        <f t="shared" si="260"/>
        <v>0</v>
      </c>
      <c r="FN805" s="1640">
        <f t="shared" si="260"/>
        <v>0</v>
      </c>
      <c r="FO805" s="1640">
        <f t="shared" si="260"/>
        <v>0</v>
      </c>
      <c r="FP805" s="1640">
        <f t="shared" si="260"/>
        <v>0</v>
      </c>
      <c r="FQ805" s="1640">
        <f t="shared" si="260"/>
        <v>0</v>
      </c>
      <c r="FR805" s="1640">
        <f t="shared" si="260"/>
        <v>0</v>
      </c>
      <c r="FS805" s="1640">
        <f t="shared" si="260"/>
        <v>0</v>
      </c>
      <c r="FT805" s="1640">
        <f t="shared" si="260"/>
        <v>0</v>
      </c>
      <c r="FU805" s="1640">
        <f t="shared" si="260"/>
        <v>0</v>
      </c>
      <c r="FV805" s="1640">
        <f t="shared" si="260"/>
        <v>0</v>
      </c>
      <c r="FW805" s="1640">
        <f t="shared" si="260"/>
        <v>0</v>
      </c>
      <c r="FX805" s="1640">
        <f t="shared" si="260"/>
        <v>0</v>
      </c>
      <c r="FY805" s="1640">
        <f t="shared" si="260"/>
        <v>0</v>
      </c>
      <c r="FZ805" s="1640">
        <f t="shared" si="260"/>
        <v>0</v>
      </c>
      <c r="GA805" s="1640">
        <f t="shared" si="260"/>
        <v>0</v>
      </c>
      <c r="GB805" s="1640">
        <f t="shared" si="260"/>
        <v>0</v>
      </c>
      <c r="GC805" s="1640">
        <f t="shared" si="260"/>
        <v>0</v>
      </c>
      <c r="GD805" s="1640">
        <f t="shared" si="260"/>
        <v>0</v>
      </c>
      <c r="GE805" s="1640">
        <f t="shared" si="260"/>
        <v>0</v>
      </c>
      <c r="GF805" s="1640">
        <f t="shared" si="260"/>
        <v>0</v>
      </c>
      <c r="GG805" s="1640">
        <f t="shared" si="260"/>
        <v>0</v>
      </c>
      <c r="GH805" s="1640">
        <f t="shared" si="260"/>
        <v>0</v>
      </c>
      <c r="GI805" s="1640">
        <f t="shared" si="260"/>
        <v>0</v>
      </c>
      <c r="GJ805" s="1640">
        <f t="shared" si="260"/>
        <v>0</v>
      </c>
      <c r="GK805" s="1640">
        <f t="shared" si="260"/>
        <v>0</v>
      </c>
      <c r="GL805" s="1640">
        <f t="shared" si="260"/>
        <v>0</v>
      </c>
      <c r="GM805" s="1640">
        <f t="shared" si="260"/>
        <v>0</v>
      </c>
      <c r="GN805" s="1640">
        <f t="shared" si="260"/>
        <v>0</v>
      </c>
      <c r="GO805" s="1640">
        <f t="shared" si="260"/>
        <v>0</v>
      </c>
      <c r="GP805" s="1640">
        <f t="shared" si="260"/>
        <v>0</v>
      </c>
      <c r="GQ805" s="1640">
        <f t="shared" si="260"/>
        <v>0</v>
      </c>
      <c r="GR805" s="1640">
        <f t="shared" si="260"/>
        <v>0</v>
      </c>
      <c r="GS805" s="1640">
        <f t="shared" si="260"/>
        <v>0</v>
      </c>
      <c r="GT805" s="1640">
        <f t="shared" si="260"/>
        <v>0</v>
      </c>
      <c r="GU805" s="1640">
        <f t="shared" si="260"/>
        <v>0</v>
      </c>
      <c r="GV805" s="1640">
        <f t="shared" si="260"/>
        <v>0</v>
      </c>
      <c r="GW805" s="1640">
        <f t="shared" si="260"/>
        <v>0</v>
      </c>
      <c r="GX805" s="1640">
        <f t="shared" si="260"/>
        <v>0</v>
      </c>
      <c r="GY805" s="1640">
        <f t="shared" si="260"/>
        <v>0</v>
      </c>
      <c r="GZ805" s="1640">
        <f t="shared" si="260"/>
        <v>0</v>
      </c>
      <c r="HA805" s="1640">
        <f t="shared" si="260"/>
        <v>0</v>
      </c>
      <c r="HB805" s="1640">
        <f t="shared" si="260"/>
        <v>0</v>
      </c>
      <c r="HC805" s="1640">
        <f t="shared" si="260"/>
        <v>0</v>
      </c>
      <c r="HD805" s="1640">
        <f t="shared" si="260"/>
        <v>0</v>
      </c>
      <c r="HE805" s="1640">
        <f t="shared" si="260"/>
        <v>0</v>
      </c>
      <c r="HF805" s="1640">
        <f t="shared" si="260"/>
        <v>0</v>
      </c>
      <c r="HG805" s="1640">
        <f t="shared" ref="HG805:JR805" si="261">SUM(HG767:HG804)</f>
        <v>0</v>
      </c>
      <c r="HH805" s="1640">
        <f t="shared" si="261"/>
        <v>0</v>
      </c>
      <c r="HI805" s="1640">
        <f t="shared" si="261"/>
        <v>0</v>
      </c>
      <c r="HJ805" s="1640">
        <f t="shared" si="261"/>
        <v>0</v>
      </c>
      <c r="HK805" s="1640">
        <f t="shared" si="261"/>
        <v>0</v>
      </c>
      <c r="HL805" s="1640">
        <f t="shared" si="261"/>
        <v>0</v>
      </c>
      <c r="HM805" s="1640">
        <f t="shared" si="261"/>
        <v>0</v>
      </c>
      <c r="HN805" s="1640">
        <f t="shared" si="261"/>
        <v>0</v>
      </c>
      <c r="HO805" s="1640">
        <f t="shared" si="261"/>
        <v>0</v>
      </c>
      <c r="HP805" s="1640">
        <f t="shared" si="261"/>
        <v>0</v>
      </c>
      <c r="HQ805" s="1640">
        <f t="shared" si="261"/>
        <v>0</v>
      </c>
      <c r="HR805" s="1640">
        <f t="shared" si="261"/>
        <v>0</v>
      </c>
      <c r="HS805" s="1640">
        <f t="shared" si="261"/>
        <v>0</v>
      </c>
      <c r="HT805" s="1640">
        <f t="shared" si="261"/>
        <v>0</v>
      </c>
      <c r="HU805" s="1640">
        <f t="shared" si="261"/>
        <v>12</v>
      </c>
      <c r="HV805" s="1640">
        <f t="shared" si="261"/>
        <v>56</v>
      </c>
      <c r="HW805" s="1640">
        <f t="shared" si="261"/>
        <v>8</v>
      </c>
      <c r="HX805" s="1640">
        <f t="shared" si="261"/>
        <v>8</v>
      </c>
      <c r="HY805" s="1640">
        <f t="shared" si="261"/>
        <v>0</v>
      </c>
      <c r="HZ805" s="1640">
        <f t="shared" si="261"/>
        <v>0</v>
      </c>
      <c r="IA805" s="1640">
        <f t="shared" si="261"/>
        <v>0</v>
      </c>
      <c r="IB805" s="1640">
        <f t="shared" si="261"/>
        <v>0</v>
      </c>
      <c r="IC805" s="1640">
        <f t="shared" si="261"/>
        <v>0</v>
      </c>
      <c r="ID805" s="1640">
        <f t="shared" si="261"/>
        <v>0</v>
      </c>
      <c r="IE805" s="1640">
        <f t="shared" si="261"/>
        <v>0</v>
      </c>
      <c r="IF805" s="1640">
        <f t="shared" si="261"/>
        <v>0</v>
      </c>
      <c r="IG805" s="1640">
        <f t="shared" si="261"/>
        <v>0</v>
      </c>
      <c r="IH805" s="1640">
        <f t="shared" si="261"/>
        <v>0</v>
      </c>
      <c r="II805" s="1640">
        <f t="shared" si="261"/>
        <v>0</v>
      </c>
      <c r="IJ805" s="1640">
        <f t="shared" si="261"/>
        <v>0</v>
      </c>
      <c r="IK805" s="1640">
        <f t="shared" si="261"/>
        <v>0</v>
      </c>
      <c r="IL805" s="1640">
        <f t="shared" si="261"/>
        <v>0</v>
      </c>
      <c r="IM805" s="1640">
        <f t="shared" si="261"/>
        <v>0</v>
      </c>
      <c r="IN805" s="1640">
        <f t="shared" si="261"/>
        <v>0</v>
      </c>
      <c r="IO805" s="1640">
        <f t="shared" si="261"/>
        <v>0</v>
      </c>
      <c r="IP805" s="1640">
        <f t="shared" si="261"/>
        <v>0</v>
      </c>
      <c r="IQ805" s="1640">
        <f t="shared" si="261"/>
        <v>0</v>
      </c>
      <c r="IR805" s="1640">
        <f t="shared" si="261"/>
        <v>0</v>
      </c>
      <c r="IS805" s="1640">
        <f t="shared" si="261"/>
        <v>0</v>
      </c>
      <c r="IT805" s="1640">
        <f t="shared" si="261"/>
        <v>0</v>
      </c>
      <c r="IU805" s="1640">
        <f t="shared" si="261"/>
        <v>0</v>
      </c>
      <c r="IV805" s="1640">
        <f t="shared" si="261"/>
        <v>0</v>
      </c>
      <c r="IW805" s="1640">
        <f t="shared" si="261"/>
        <v>0</v>
      </c>
      <c r="IX805" s="1640">
        <f t="shared" si="261"/>
        <v>0</v>
      </c>
      <c r="IY805" s="1640">
        <f t="shared" si="261"/>
        <v>0</v>
      </c>
      <c r="IZ805" s="1640">
        <f t="shared" si="261"/>
        <v>0</v>
      </c>
      <c r="JA805" s="1640">
        <f t="shared" si="261"/>
        <v>0</v>
      </c>
      <c r="JB805" s="1640">
        <f t="shared" si="261"/>
        <v>0</v>
      </c>
      <c r="JC805" s="1640">
        <f t="shared" si="261"/>
        <v>0</v>
      </c>
      <c r="JD805" s="1640">
        <f t="shared" si="261"/>
        <v>0</v>
      </c>
      <c r="JE805" s="1640">
        <f t="shared" si="261"/>
        <v>0</v>
      </c>
      <c r="JF805" s="1640">
        <f t="shared" si="261"/>
        <v>0</v>
      </c>
      <c r="JG805" s="1640">
        <f t="shared" si="261"/>
        <v>0</v>
      </c>
      <c r="JH805" s="1640">
        <f t="shared" si="261"/>
        <v>0</v>
      </c>
      <c r="JI805" s="1640">
        <f t="shared" si="261"/>
        <v>12</v>
      </c>
      <c r="JJ805" s="1640">
        <f t="shared" si="261"/>
        <v>56</v>
      </c>
      <c r="JK805" s="1640">
        <f t="shared" si="261"/>
        <v>8</v>
      </c>
      <c r="JL805" s="1640">
        <f t="shared" si="261"/>
        <v>8</v>
      </c>
      <c r="JM805" s="1640">
        <f t="shared" si="261"/>
        <v>0</v>
      </c>
      <c r="JN805" s="1640">
        <f t="shared" si="261"/>
        <v>0</v>
      </c>
      <c r="JO805" s="1640">
        <f t="shared" si="261"/>
        <v>0</v>
      </c>
      <c r="JP805" s="1640">
        <f t="shared" si="261"/>
        <v>0</v>
      </c>
      <c r="JQ805" s="1640">
        <f t="shared" si="261"/>
        <v>0</v>
      </c>
      <c r="JR805" s="1640">
        <f t="shared" si="261"/>
        <v>0</v>
      </c>
    </row>
    <row r="806" spans="1:278" ht="12" customHeight="1">
      <c r="B806" s="1631"/>
      <c r="D806" s="1829"/>
      <c r="E806" s="1826"/>
      <c r="F806" s="1826"/>
      <c r="G806" s="522"/>
      <c r="H806" s="522"/>
      <c r="I806" s="522"/>
      <c r="J806" s="522"/>
      <c r="K806" s="1825" t="s">
        <v>814</v>
      </c>
      <c r="L806" s="1826">
        <f>L805*12</f>
        <v>934080</v>
      </c>
      <c r="M806" s="1631"/>
      <c r="N806" s="1631"/>
      <c r="O806" s="1631"/>
      <c r="P806" s="1631"/>
      <c r="Q806" s="1631"/>
      <c r="R806" s="1631"/>
      <c r="S806" s="1631"/>
      <c r="T806" s="1631"/>
      <c r="U806" s="1631"/>
      <c r="V806" s="1640"/>
      <c r="W806" s="1640"/>
      <c r="X806" s="1640"/>
      <c r="Y806" s="1640"/>
      <c r="Z806" s="1640"/>
      <c r="AA806" s="1640"/>
      <c r="AB806" s="1640"/>
      <c r="AC806" s="1640"/>
      <c r="AD806" s="1640"/>
      <c r="AE806" s="1640"/>
      <c r="AF806" s="1640"/>
      <c r="AG806" s="1640"/>
      <c r="AH806" s="1640"/>
      <c r="AI806" s="1640"/>
      <c r="AJ806" s="1640"/>
      <c r="AK806" s="1640"/>
      <c r="AL806" s="1640"/>
      <c r="AM806" s="1640"/>
      <c r="AN806" s="1640"/>
      <c r="AO806" s="1640"/>
      <c r="AP806" s="1640"/>
      <c r="AQ806" s="1640"/>
      <c r="AR806" s="1640"/>
      <c r="AS806" s="1640"/>
      <c r="AT806" s="1640"/>
      <c r="AU806" s="1640"/>
      <c r="AV806" s="1640"/>
      <c r="AW806" s="1640"/>
      <c r="AX806" s="1640"/>
      <c r="AY806" s="1640"/>
      <c r="AZ806" s="1640"/>
      <c r="BA806" s="1640"/>
      <c r="BB806" s="1640"/>
      <c r="BC806" s="1640"/>
      <c r="BD806" s="1640"/>
      <c r="BE806" s="1640"/>
      <c r="BF806" s="1640"/>
      <c r="BG806" s="1640"/>
      <c r="BH806" s="1640"/>
      <c r="BI806" s="1640"/>
      <c r="BJ806" s="1640"/>
      <c r="BK806" s="1640"/>
      <c r="BL806" s="1640"/>
      <c r="BM806" s="1640"/>
      <c r="BN806" s="1640"/>
      <c r="BO806" s="1640"/>
      <c r="BP806" s="1640"/>
      <c r="BQ806" s="1640"/>
      <c r="BR806" s="1640"/>
      <c r="BS806" s="1640"/>
      <c r="BT806" s="1640"/>
      <c r="BU806" s="1640"/>
      <c r="BV806" s="1640"/>
      <c r="BW806" s="1640"/>
      <c r="BX806" s="1640"/>
      <c r="BY806" s="1640"/>
      <c r="BZ806" s="1640"/>
      <c r="CA806" s="1640"/>
      <c r="CB806" s="1640"/>
      <c r="CC806" s="1640"/>
      <c r="CD806" s="1640"/>
      <c r="CE806" s="1640"/>
      <c r="CF806" s="1640"/>
      <c r="CG806" s="1640"/>
      <c r="CH806" s="1640"/>
      <c r="CI806" s="1640"/>
      <c r="CJ806" s="1640"/>
      <c r="CK806" s="1640"/>
      <c r="CL806" s="1640"/>
      <c r="CM806" s="1640"/>
      <c r="CN806" s="1640"/>
      <c r="CO806" s="1640"/>
      <c r="CP806" s="1640"/>
      <c r="CQ806" s="1640"/>
      <c r="CR806" s="1640"/>
      <c r="CS806" s="1640"/>
      <c r="CT806" s="1640"/>
      <c r="CU806" s="1640"/>
      <c r="CV806" s="1640"/>
      <c r="CW806" s="1640"/>
      <c r="CX806" s="1640"/>
      <c r="CY806" s="1640"/>
      <c r="CZ806" s="1640"/>
      <c r="DA806" s="1640"/>
      <c r="DB806" s="1640"/>
      <c r="DC806" s="1640"/>
      <c r="DD806" s="1640"/>
      <c r="DE806" s="1640"/>
      <c r="DF806" s="1640"/>
      <c r="DG806" s="1640"/>
      <c r="DH806" s="1640"/>
      <c r="DI806" s="1640"/>
      <c r="DJ806" s="1640"/>
      <c r="DK806" s="1640"/>
      <c r="DL806" s="1640"/>
      <c r="DM806" s="1640"/>
      <c r="DN806" s="1640"/>
      <c r="DO806" s="1640"/>
      <c r="DP806" s="1640"/>
      <c r="DQ806" s="1640"/>
      <c r="DR806" s="1640"/>
      <c r="DS806" s="1640"/>
      <c r="DT806" s="1640"/>
      <c r="DU806" s="1640"/>
      <c r="DV806" s="1640"/>
      <c r="DW806" s="1640"/>
      <c r="DX806" s="1640"/>
      <c r="DY806" s="1640"/>
      <c r="DZ806" s="1640"/>
      <c r="EA806" s="1640"/>
      <c r="EB806" s="1640"/>
      <c r="EC806" s="1640"/>
      <c r="ED806" s="1640"/>
      <c r="EE806" s="1640"/>
      <c r="EF806" s="1640"/>
      <c r="EG806" s="1640"/>
      <c r="EH806" s="1640"/>
      <c r="EI806" s="1640"/>
      <c r="EJ806" s="1640"/>
      <c r="EK806" s="1640"/>
      <c r="EL806" s="1640"/>
      <c r="EM806" s="1640"/>
      <c r="EN806" s="1640"/>
      <c r="EO806" s="1640"/>
      <c r="EP806" s="1640"/>
      <c r="EQ806" s="1640"/>
      <c r="ER806" s="1640"/>
      <c r="ES806" s="1640"/>
      <c r="ET806" s="1640"/>
      <c r="EU806" s="1640"/>
      <c r="EV806" s="1640"/>
      <c r="EW806" s="1640"/>
      <c r="EX806" s="1640"/>
      <c r="EY806" s="1640"/>
      <c r="EZ806" s="1640"/>
      <c r="FA806" s="1640"/>
      <c r="FB806" s="1640"/>
      <c r="FC806" s="1640"/>
      <c r="FD806" s="1640"/>
      <c r="FE806" s="1640"/>
      <c r="FF806" s="1640"/>
      <c r="FG806" s="1640"/>
      <c r="FH806" s="1640"/>
      <c r="FI806" s="1640"/>
      <c r="FJ806" s="1640"/>
      <c r="FK806" s="1640"/>
      <c r="FL806" s="1640"/>
      <c r="FM806" s="1640"/>
      <c r="FN806" s="1640"/>
      <c r="FO806" s="1640"/>
      <c r="FP806" s="1640"/>
      <c r="FQ806" s="1640"/>
      <c r="FR806" s="1640"/>
      <c r="FS806" s="1640"/>
      <c r="FT806" s="1640"/>
      <c r="FU806" s="1640"/>
      <c r="FV806" s="1640"/>
      <c r="FW806" s="1640"/>
      <c r="FX806" s="1640"/>
      <c r="FY806" s="1640"/>
      <c r="FZ806" s="1640"/>
      <c r="GA806" s="1640"/>
      <c r="GB806" s="1640"/>
      <c r="GC806" s="1640"/>
      <c r="GD806" s="1640"/>
      <c r="GE806" s="1640"/>
      <c r="GF806" s="1640"/>
      <c r="GG806" s="1640"/>
      <c r="GH806" s="1640"/>
      <c r="GI806" s="1640"/>
      <c r="GJ806" s="1640"/>
      <c r="GK806" s="1640"/>
      <c r="GL806" s="1640"/>
      <c r="GM806" s="1640"/>
      <c r="GN806" s="1640"/>
      <c r="GO806" s="1640"/>
      <c r="GP806" s="1640"/>
      <c r="GQ806" s="1640"/>
      <c r="GR806" s="1640"/>
      <c r="GS806" s="1640"/>
      <c r="GT806" s="1640"/>
      <c r="GU806" s="1640"/>
      <c r="GV806" s="1640"/>
      <c r="GW806" s="1640"/>
      <c r="GX806" s="1640"/>
      <c r="GY806" s="1640"/>
      <c r="GZ806" s="1640"/>
      <c r="HA806" s="1640"/>
      <c r="HB806" s="1640"/>
      <c r="HC806" s="1640"/>
      <c r="HD806" s="1640"/>
      <c r="HE806" s="1640"/>
      <c r="HF806" s="1640"/>
      <c r="HG806" s="1640"/>
      <c r="HH806" s="1640"/>
      <c r="HI806" s="1640"/>
      <c r="HJ806" s="1640"/>
      <c r="HK806" s="1640"/>
      <c r="HL806" s="1640"/>
      <c r="HM806" s="1640"/>
      <c r="HN806" s="1640"/>
      <c r="HO806" s="1640"/>
      <c r="HP806" s="1640"/>
      <c r="HQ806" s="1640"/>
      <c r="HR806" s="1640"/>
      <c r="HS806" s="1640"/>
      <c r="HT806" s="1640"/>
      <c r="HU806" s="1640"/>
      <c r="HV806" s="1640"/>
      <c r="HW806" s="1640"/>
      <c r="HX806" s="1640"/>
      <c r="HY806" s="1640"/>
      <c r="HZ806" s="1640"/>
      <c r="IA806" s="1640"/>
      <c r="IB806" s="1640"/>
      <c r="IC806" s="1640"/>
      <c r="ID806" s="1640"/>
      <c r="IE806" s="1640"/>
      <c r="IF806" s="1640"/>
      <c r="IG806" s="1640"/>
      <c r="IH806" s="1640"/>
      <c r="II806" s="1640"/>
      <c r="IJ806" s="1640"/>
      <c r="IK806" s="1640"/>
      <c r="IL806" s="1640"/>
      <c r="IM806" s="1640"/>
      <c r="IN806" s="1640"/>
      <c r="IO806" s="1640"/>
      <c r="IP806" s="1640"/>
      <c r="IQ806" s="1640"/>
      <c r="IR806" s="1640"/>
      <c r="IS806" s="1640"/>
      <c r="IT806" s="1640"/>
      <c r="IU806" s="1640"/>
      <c r="IV806" s="1640"/>
      <c r="IW806" s="1640"/>
      <c r="IX806" s="1640"/>
      <c r="IY806" s="1640"/>
      <c r="IZ806" s="1640"/>
      <c r="JA806" s="1640"/>
      <c r="JB806" s="1640"/>
    </row>
    <row r="807" spans="1:278" ht="3" customHeight="1">
      <c r="A807" s="521"/>
      <c r="B807" s="1631"/>
      <c r="D807" s="1829"/>
      <c r="E807" s="1826"/>
      <c r="F807" s="1826"/>
      <c r="G807" s="522"/>
      <c r="H807" s="522"/>
      <c r="I807" s="522"/>
      <c r="J807" s="522"/>
      <c r="K807" s="1829"/>
      <c r="L807" s="1826"/>
      <c r="M807" s="1631"/>
      <c r="N807" s="1631"/>
      <c r="O807" s="1631"/>
      <c r="P807" s="1631"/>
      <c r="Q807" s="1631"/>
      <c r="R807" s="1631"/>
      <c r="S807" s="1631"/>
      <c r="T807" s="1631"/>
      <c r="U807" s="1631"/>
      <c r="V807" s="1640"/>
      <c r="W807" s="1640"/>
      <c r="X807" s="1640"/>
      <c r="Y807" s="1640"/>
      <c r="Z807" s="1640"/>
      <c r="AA807" s="1640"/>
      <c r="AB807" s="1640"/>
      <c r="AC807" s="1640"/>
      <c r="AD807" s="1640"/>
      <c r="AE807" s="1640"/>
      <c r="AF807" s="1640"/>
      <c r="AG807" s="1640"/>
      <c r="AH807" s="1640"/>
      <c r="AI807" s="1640"/>
      <c r="AJ807" s="1640"/>
      <c r="AK807" s="1640"/>
      <c r="AL807" s="1640"/>
      <c r="AM807" s="1640"/>
      <c r="AN807" s="1640"/>
      <c r="AO807" s="1640"/>
      <c r="AP807" s="1640"/>
      <c r="AQ807" s="1640"/>
      <c r="AR807" s="1640"/>
      <c r="AS807" s="1640"/>
      <c r="AT807" s="1640"/>
      <c r="AU807" s="1640"/>
      <c r="AV807" s="1640"/>
      <c r="AW807" s="1640"/>
      <c r="AX807" s="1640"/>
      <c r="AY807" s="1640"/>
      <c r="AZ807" s="1640"/>
      <c r="BA807" s="1640"/>
      <c r="BB807" s="1640"/>
      <c r="BC807" s="1640"/>
      <c r="BD807" s="1640"/>
      <c r="BE807" s="1640"/>
      <c r="BF807" s="1640"/>
      <c r="BG807" s="1640"/>
      <c r="BH807" s="1640"/>
      <c r="BI807" s="1640"/>
      <c r="BJ807" s="1640"/>
      <c r="BK807" s="1640"/>
      <c r="BL807" s="1640"/>
      <c r="BM807" s="1640"/>
      <c r="BN807" s="1640"/>
      <c r="BO807" s="1640"/>
      <c r="BP807" s="1640"/>
      <c r="BQ807" s="1640"/>
      <c r="BR807" s="1640"/>
      <c r="BS807" s="1640"/>
      <c r="BT807" s="1640"/>
      <c r="BU807" s="1640"/>
      <c r="BV807" s="1640"/>
      <c r="BW807" s="1640"/>
      <c r="BX807" s="1640"/>
      <c r="BY807" s="1640"/>
      <c r="BZ807" s="1640"/>
      <c r="CA807" s="1640"/>
      <c r="CB807" s="1640"/>
      <c r="CC807" s="1640"/>
      <c r="CD807" s="1640"/>
      <c r="CE807" s="1640"/>
      <c r="CF807" s="1640"/>
      <c r="CG807" s="1640"/>
      <c r="CH807" s="1640"/>
      <c r="CI807" s="1640"/>
      <c r="CJ807" s="1640"/>
      <c r="CK807" s="1640"/>
      <c r="CL807" s="1640"/>
      <c r="CM807" s="1640"/>
      <c r="CN807" s="1640"/>
      <c r="CO807" s="1640"/>
      <c r="CP807" s="1640"/>
      <c r="CQ807" s="1640"/>
      <c r="CR807" s="1640"/>
      <c r="CS807" s="1640"/>
      <c r="CT807" s="1640"/>
      <c r="CU807" s="1640"/>
      <c r="CV807" s="1640"/>
      <c r="CW807" s="1640"/>
      <c r="CX807" s="1640"/>
      <c r="CY807" s="1640"/>
      <c r="CZ807" s="1640"/>
      <c r="DA807" s="1640"/>
      <c r="DB807" s="1640"/>
      <c r="DC807" s="1640"/>
      <c r="DD807" s="1640"/>
      <c r="DE807" s="1640"/>
      <c r="DF807" s="1640"/>
      <c r="DG807" s="1640"/>
      <c r="DH807" s="1640"/>
      <c r="DI807" s="1640"/>
      <c r="DJ807" s="1640"/>
      <c r="DK807" s="1640"/>
      <c r="DL807" s="1640"/>
      <c r="DM807" s="1640"/>
      <c r="DN807" s="1640"/>
      <c r="DO807" s="1640"/>
      <c r="DP807" s="1640"/>
      <c r="DQ807" s="1640"/>
      <c r="DR807" s="1640"/>
      <c r="DS807" s="1640"/>
      <c r="DT807" s="1640"/>
      <c r="DU807" s="1640"/>
      <c r="DV807" s="1640"/>
      <c r="DW807" s="1640"/>
      <c r="DX807" s="1640"/>
      <c r="DY807" s="1640"/>
      <c r="DZ807" s="1640"/>
      <c r="EA807" s="1640"/>
      <c r="EB807" s="1640"/>
      <c r="EC807" s="1640"/>
      <c r="ED807" s="1640"/>
      <c r="EE807" s="1640"/>
      <c r="EF807" s="1640"/>
      <c r="EG807" s="1640"/>
      <c r="EH807" s="1640"/>
      <c r="EI807" s="1640"/>
      <c r="EJ807" s="1640"/>
      <c r="EK807" s="1640"/>
      <c r="EL807" s="1640"/>
      <c r="EM807" s="1640"/>
      <c r="EN807" s="1640"/>
      <c r="EO807" s="1640"/>
      <c r="EP807" s="1640"/>
      <c r="EQ807" s="1640"/>
      <c r="ER807" s="1640"/>
      <c r="ES807" s="1640"/>
      <c r="ET807" s="1640"/>
      <c r="EU807" s="1640"/>
      <c r="EV807" s="1640"/>
      <c r="EW807" s="1640"/>
      <c r="EX807" s="1640"/>
      <c r="EY807" s="1640"/>
      <c r="EZ807" s="1640"/>
      <c r="FA807" s="1640"/>
      <c r="FB807" s="1640"/>
      <c r="FC807" s="1640"/>
      <c r="FD807" s="1640"/>
      <c r="FE807" s="1640"/>
      <c r="FF807" s="1640"/>
      <c r="FG807" s="1640"/>
      <c r="FH807" s="1640"/>
      <c r="FI807" s="1640"/>
      <c r="FJ807" s="1640"/>
      <c r="FK807" s="1640"/>
      <c r="FL807" s="1640"/>
      <c r="FM807" s="1640"/>
      <c r="FN807" s="1640"/>
      <c r="FO807" s="1640"/>
      <c r="FP807" s="1640"/>
      <c r="FQ807" s="1640"/>
      <c r="FR807" s="1640"/>
      <c r="FS807" s="1640"/>
      <c r="FT807" s="1640"/>
      <c r="FU807" s="1640"/>
      <c r="FV807" s="1640"/>
      <c r="FW807" s="1640"/>
      <c r="FX807" s="1640"/>
      <c r="FY807" s="1640"/>
      <c r="FZ807" s="1640"/>
      <c r="GA807" s="1640"/>
      <c r="GB807" s="1640"/>
      <c r="GC807" s="1640"/>
      <c r="GD807" s="1640"/>
      <c r="GE807" s="1640"/>
      <c r="GF807" s="1640"/>
      <c r="GG807" s="1640"/>
      <c r="GH807" s="1640"/>
      <c r="GI807" s="1640"/>
      <c r="GJ807" s="1640"/>
      <c r="GK807" s="1640"/>
      <c r="GL807" s="1640"/>
      <c r="GM807" s="1640"/>
      <c r="GN807" s="1640"/>
      <c r="GO807" s="1640"/>
      <c r="GP807" s="1640"/>
      <c r="GQ807" s="1640"/>
      <c r="GR807" s="1640"/>
      <c r="GS807" s="1640"/>
      <c r="GT807" s="1640"/>
      <c r="GU807" s="1640"/>
      <c r="GV807" s="1640"/>
      <c r="GW807" s="1640"/>
      <c r="GX807" s="1640"/>
      <c r="GY807" s="1640"/>
      <c r="GZ807" s="1640"/>
      <c r="HA807" s="1640"/>
      <c r="HB807" s="1640"/>
      <c r="HC807" s="1640"/>
      <c r="HD807" s="1640"/>
      <c r="HE807" s="1640"/>
      <c r="HF807" s="1640"/>
      <c r="HG807" s="1640"/>
      <c r="HH807" s="1640"/>
      <c r="HI807" s="1640"/>
      <c r="HJ807" s="1640"/>
      <c r="HK807" s="1640"/>
      <c r="HL807" s="1640"/>
      <c r="HM807" s="1640"/>
      <c r="HN807" s="1640"/>
      <c r="HO807" s="1640"/>
      <c r="HP807" s="1640"/>
      <c r="HQ807" s="1640"/>
      <c r="HR807" s="1640"/>
      <c r="HS807" s="1640"/>
      <c r="HT807" s="1640"/>
      <c r="HU807" s="1640"/>
      <c r="HV807" s="1640"/>
      <c r="HW807" s="1640"/>
      <c r="HX807" s="1640"/>
      <c r="HY807" s="1640"/>
      <c r="HZ807" s="1640"/>
      <c r="IA807" s="1640"/>
      <c r="IB807" s="1640"/>
      <c r="IC807" s="1640"/>
      <c r="ID807" s="1640"/>
      <c r="IE807" s="1640"/>
      <c r="IF807" s="1640"/>
      <c r="IG807" s="1640"/>
      <c r="IH807" s="1640"/>
      <c r="II807" s="1640"/>
      <c r="IJ807" s="1640"/>
      <c r="IK807" s="1640"/>
      <c r="IL807" s="1640"/>
      <c r="IM807" s="1640"/>
      <c r="IN807" s="1640"/>
      <c r="IO807" s="1640"/>
      <c r="IP807" s="1640"/>
      <c r="IQ807" s="1640"/>
      <c r="IR807" s="1640"/>
      <c r="IS807" s="1640"/>
      <c r="IT807" s="1640"/>
      <c r="IU807" s="1640"/>
      <c r="IV807" s="1640"/>
      <c r="IW807" s="1640"/>
      <c r="IX807" s="1640"/>
      <c r="IY807" s="1640"/>
      <c r="IZ807" s="1640"/>
      <c r="JA807" s="1640"/>
      <c r="JB807" s="1640"/>
    </row>
    <row r="808" spans="1:278" ht="12" customHeight="1">
      <c r="A808" s="1830" t="s">
        <v>4530</v>
      </c>
      <c r="B808" s="1830"/>
      <c r="C808" s="1830"/>
      <c r="D808" s="1830"/>
      <c r="E808" s="1830"/>
      <c r="F808" s="1830"/>
      <c r="G808" s="1830"/>
      <c r="H808" s="1830"/>
      <c r="I808" s="1830"/>
      <c r="J808" s="1830"/>
      <c r="K808" s="1830"/>
      <c r="L808" s="1830"/>
      <c r="M808" s="1830"/>
      <c r="N808" s="1830"/>
      <c r="O808" s="1830"/>
      <c r="P808" s="1830"/>
      <c r="Q808" s="2150"/>
      <c r="R808" s="1631"/>
      <c r="S808" s="1631"/>
      <c r="T808" s="1631"/>
      <c r="U808" s="1631"/>
      <c r="V808" s="1640"/>
      <c r="W808" s="1640"/>
      <c r="X808" s="1640"/>
      <c r="Y808" s="1640"/>
      <c r="Z808" s="1640"/>
      <c r="AA808" s="1640"/>
      <c r="AB808" s="1640"/>
      <c r="AC808" s="1640"/>
      <c r="AD808" s="1640"/>
      <c r="AE808" s="1640"/>
      <c r="AF808" s="1640"/>
      <c r="AG808" s="1640"/>
      <c r="AH808" s="1640"/>
      <c r="AI808" s="1640"/>
      <c r="AJ808" s="1640"/>
      <c r="AK808" s="1640"/>
      <c r="AL808" s="1640"/>
      <c r="AM808" s="1640"/>
      <c r="AN808" s="1640"/>
      <c r="AO808" s="1640"/>
      <c r="AP808" s="1640"/>
      <c r="AQ808" s="1640"/>
      <c r="AR808" s="1640"/>
      <c r="AS808" s="1640"/>
      <c r="AT808" s="1640"/>
      <c r="AU808" s="1640"/>
      <c r="AV808" s="1640"/>
      <c r="AW808" s="1640"/>
      <c r="AX808" s="1640"/>
      <c r="AY808" s="1640"/>
      <c r="AZ808" s="1640"/>
      <c r="BA808" s="1640"/>
      <c r="BB808" s="1640"/>
      <c r="BC808" s="1640"/>
      <c r="BD808" s="1640"/>
      <c r="BE808" s="1640"/>
      <c r="BF808" s="1640"/>
      <c r="BG808" s="1640"/>
      <c r="BH808" s="1640"/>
      <c r="BI808" s="1640"/>
      <c r="BJ808" s="1640"/>
      <c r="BK808" s="1640"/>
      <c r="BL808" s="1640"/>
      <c r="BM808" s="1640"/>
      <c r="BN808" s="1640"/>
      <c r="BO808" s="1640"/>
      <c r="BP808" s="1640"/>
      <c r="BQ808" s="1640"/>
      <c r="BR808" s="1640"/>
      <c r="BS808" s="1640"/>
      <c r="BT808" s="1640"/>
      <c r="BU808" s="1640"/>
      <c r="BV808" s="1640"/>
      <c r="BW808" s="1640"/>
      <c r="BX808" s="1640"/>
      <c r="BY808" s="1640"/>
      <c r="BZ808" s="1640"/>
      <c r="CA808" s="1640"/>
      <c r="CB808" s="1640"/>
      <c r="CC808" s="1640"/>
      <c r="CD808" s="1640"/>
      <c r="CE808" s="1640"/>
      <c r="CF808" s="1640"/>
      <c r="CG808" s="1640"/>
      <c r="CH808" s="1640"/>
      <c r="CI808" s="1640"/>
      <c r="CJ808" s="1640"/>
      <c r="CK808" s="1640"/>
      <c r="CL808" s="1640"/>
      <c r="CM808" s="1640"/>
      <c r="CN808" s="1640"/>
      <c r="CO808" s="1640"/>
      <c r="CP808" s="1640"/>
      <c r="CQ808" s="1640"/>
      <c r="CR808" s="1640"/>
      <c r="CS808" s="1640"/>
      <c r="CT808" s="1640"/>
      <c r="CU808" s="1640"/>
      <c r="CV808" s="1640"/>
      <c r="CW808" s="1640"/>
      <c r="CX808" s="1640"/>
      <c r="CY808" s="1640"/>
      <c r="CZ808" s="1640"/>
      <c r="DA808" s="1640"/>
      <c r="DB808" s="1640"/>
      <c r="DC808" s="1640"/>
      <c r="DD808" s="1640"/>
      <c r="DE808" s="1640"/>
      <c r="DF808" s="1640"/>
      <c r="DG808" s="1640"/>
      <c r="DH808" s="1640"/>
      <c r="DI808" s="1640"/>
      <c r="DJ808" s="1640"/>
      <c r="DK808" s="1640"/>
      <c r="DL808" s="1640"/>
      <c r="DM808" s="1640"/>
      <c r="DN808" s="1640"/>
      <c r="DO808" s="1640"/>
      <c r="DP808" s="1640"/>
      <c r="DQ808" s="1640"/>
      <c r="DR808" s="1640"/>
      <c r="DS808" s="1640"/>
      <c r="DT808" s="1640"/>
      <c r="DU808" s="1640"/>
      <c r="DV808" s="1640"/>
      <c r="DW808" s="1640"/>
      <c r="DX808" s="1640"/>
      <c r="DY808" s="1640"/>
      <c r="DZ808" s="1640"/>
      <c r="EA808" s="1640"/>
      <c r="EB808" s="1640"/>
      <c r="EC808" s="1640"/>
      <c r="ED808" s="1640"/>
      <c r="EE808" s="1640"/>
      <c r="EF808" s="1640"/>
      <c r="EG808" s="1640"/>
      <c r="EH808" s="1640"/>
      <c r="EI808" s="1640"/>
      <c r="EJ808" s="1640"/>
      <c r="EK808" s="1640"/>
      <c r="EL808" s="1640"/>
      <c r="EM808" s="1640"/>
      <c r="EN808" s="1640"/>
      <c r="EO808" s="1640"/>
      <c r="EP808" s="1640"/>
      <c r="EQ808" s="1640"/>
      <c r="ER808" s="1640"/>
      <c r="ES808" s="1640"/>
      <c r="ET808" s="1640"/>
      <c r="EU808" s="1640"/>
      <c r="EV808" s="1640"/>
      <c r="EW808" s="1640"/>
      <c r="EX808" s="1640"/>
      <c r="EY808" s="1640"/>
      <c r="EZ808" s="1640"/>
      <c r="FA808" s="1640"/>
      <c r="FB808" s="1640"/>
      <c r="FC808" s="1640"/>
      <c r="FD808" s="1640"/>
      <c r="FE808" s="1640"/>
      <c r="FF808" s="1640"/>
      <c r="FG808" s="1640"/>
      <c r="FH808" s="1640"/>
      <c r="FI808" s="1640"/>
      <c r="FJ808" s="1640"/>
      <c r="FK808" s="1640"/>
      <c r="FL808" s="1640"/>
      <c r="FM808" s="1640"/>
      <c r="FN808" s="1640"/>
      <c r="FO808" s="1640"/>
      <c r="FP808" s="1640"/>
      <c r="FQ808" s="1640"/>
      <c r="FR808" s="1640"/>
      <c r="FS808" s="1640"/>
      <c r="FT808" s="1640"/>
      <c r="FU808" s="1640"/>
      <c r="FV808" s="1640"/>
      <c r="FW808" s="1640"/>
      <c r="FX808" s="1640"/>
      <c r="FY808" s="1640"/>
      <c r="FZ808" s="1640"/>
      <c r="GA808" s="1640"/>
      <c r="GB808" s="1640"/>
      <c r="GC808" s="1640"/>
      <c r="GD808" s="1640"/>
      <c r="GE808" s="1640"/>
      <c r="GF808" s="1640"/>
      <c r="GG808" s="1640"/>
      <c r="GH808" s="1640"/>
      <c r="GI808" s="1640"/>
      <c r="GJ808" s="1640"/>
      <c r="GK808" s="1640"/>
      <c r="GL808" s="1640"/>
      <c r="GM808" s="1640"/>
      <c r="GN808" s="1640"/>
      <c r="GO808" s="1640"/>
      <c r="GP808" s="1640"/>
      <c r="GQ808" s="1640"/>
      <c r="GR808" s="1640"/>
      <c r="GS808" s="1640"/>
      <c r="GT808" s="1640"/>
      <c r="GU808" s="1640"/>
      <c r="GV808" s="1640"/>
      <c r="GW808" s="1640"/>
      <c r="GX808" s="1640"/>
      <c r="GY808" s="1640"/>
      <c r="GZ808" s="1640"/>
      <c r="HA808" s="1640"/>
      <c r="HB808" s="1640"/>
      <c r="HC808" s="1640"/>
      <c r="HD808" s="1640"/>
      <c r="HE808" s="1640"/>
      <c r="HF808" s="1640"/>
      <c r="HG808" s="1640"/>
      <c r="HH808" s="1640"/>
      <c r="HI808" s="1640"/>
      <c r="HJ808" s="1640"/>
      <c r="HK808" s="1640"/>
      <c r="HL808" s="1640"/>
      <c r="HM808" s="1640"/>
      <c r="HN808" s="1640"/>
      <c r="HO808" s="1640"/>
      <c r="HP808" s="1640"/>
      <c r="HQ808" s="1640"/>
      <c r="HR808" s="1640"/>
      <c r="HS808" s="1640"/>
      <c r="HT808" s="1640"/>
      <c r="HU808" s="1640"/>
      <c r="HV808" s="1640"/>
      <c r="HW808" s="1640"/>
      <c r="HX808" s="1640"/>
      <c r="HY808" s="1640"/>
      <c r="HZ808" s="1640"/>
      <c r="IA808" s="1640"/>
      <c r="IB808" s="1640"/>
      <c r="IC808" s="1640"/>
      <c r="ID808" s="1640"/>
      <c r="IE808" s="1640"/>
      <c r="IF808" s="1640"/>
      <c r="IG808" s="1640"/>
      <c r="IH808" s="1640"/>
      <c r="II808" s="1640"/>
      <c r="IJ808" s="1640"/>
      <c r="IK808" s="1640"/>
      <c r="IL808" s="1640"/>
      <c r="IM808" s="1640"/>
      <c r="IN808" s="1640"/>
      <c r="IO808" s="1640"/>
      <c r="IP808" s="1640"/>
      <c r="IQ808" s="1640"/>
      <c r="IR808" s="1640"/>
      <c r="IS808" s="1640"/>
      <c r="IT808" s="1640"/>
      <c r="IU808" s="1640"/>
      <c r="IV808" s="1640"/>
      <c r="IW808" s="1640"/>
      <c r="IX808" s="1640"/>
      <c r="IY808" s="1640"/>
      <c r="IZ808" s="1640"/>
      <c r="JA808" s="1640"/>
      <c r="JB808" s="1640"/>
    </row>
    <row r="809" spans="1:278" ht="12" customHeight="1">
      <c r="A809" s="1830"/>
      <c r="B809" s="1830"/>
      <c r="C809" s="1830"/>
      <c r="D809" s="1830"/>
      <c r="E809" s="1830"/>
      <c r="F809" s="1830"/>
      <c r="G809" s="1830"/>
      <c r="H809" s="1830"/>
      <c r="I809" s="1830"/>
      <c r="J809" s="1830"/>
      <c r="K809" s="1830"/>
      <c r="L809" s="1830"/>
      <c r="M809" s="1830"/>
      <c r="N809" s="1830"/>
      <c r="O809" s="1830"/>
      <c r="P809" s="1830"/>
      <c r="Q809" s="2150"/>
      <c r="R809" s="1631"/>
      <c r="S809" s="1631"/>
      <c r="T809" s="1631"/>
      <c r="U809" s="1631"/>
      <c r="V809" s="1640"/>
      <c r="W809" s="1640"/>
      <c r="X809" s="1640"/>
      <c r="Y809" s="1640"/>
      <c r="Z809" s="1640"/>
      <c r="AA809" s="1640"/>
      <c r="AB809" s="1640"/>
      <c r="AC809" s="1640"/>
      <c r="AD809" s="1640"/>
      <c r="AE809" s="1640"/>
      <c r="AF809" s="1640"/>
      <c r="AG809" s="1640"/>
      <c r="AH809" s="1640"/>
      <c r="AI809" s="1640"/>
      <c r="AJ809" s="1640"/>
      <c r="AK809" s="1640"/>
      <c r="AL809" s="1640"/>
      <c r="AM809" s="1640"/>
      <c r="AN809" s="1640"/>
      <c r="AO809" s="1640"/>
      <c r="AP809" s="1640"/>
      <c r="AQ809" s="1640"/>
      <c r="AR809" s="1640"/>
      <c r="AS809" s="1640"/>
      <c r="AT809" s="1640"/>
      <c r="AU809" s="1640"/>
      <c r="AV809" s="1640"/>
      <c r="AW809" s="1640"/>
      <c r="AX809" s="1640"/>
      <c r="AY809" s="1640"/>
      <c r="AZ809" s="1640"/>
      <c r="BA809" s="1640"/>
      <c r="BB809" s="1640"/>
      <c r="BC809" s="1640"/>
      <c r="BD809" s="1640"/>
      <c r="BE809" s="1640"/>
      <c r="BF809" s="1640"/>
      <c r="BG809" s="1640"/>
      <c r="BH809" s="1640"/>
      <c r="BI809" s="1640"/>
      <c r="BJ809" s="1640"/>
      <c r="BK809" s="1640"/>
      <c r="BL809" s="1640"/>
      <c r="BM809" s="1640"/>
      <c r="BN809" s="1640"/>
      <c r="BO809" s="1640"/>
      <c r="BP809" s="1640"/>
      <c r="BQ809" s="1640"/>
      <c r="BR809" s="1640"/>
      <c r="BS809" s="1640"/>
      <c r="BT809" s="1640"/>
      <c r="BU809" s="1640"/>
      <c r="BV809" s="1640"/>
      <c r="BW809" s="1640"/>
      <c r="BX809" s="1640"/>
      <c r="BY809" s="1640"/>
      <c r="BZ809" s="1640"/>
      <c r="CA809" s="1640"/>
      <c r="CB809" s="1640"/>
      <c r="CC809" s="1640"/>
      <c r="CD809" s="1640"/>
      <c r="CE809" s="1640"/>
      <c r="CF809" s="1640"/>
      <c r="CG809" s="1640"/>
      <c r="CH809" s="1640"/>
      <c r="CI809" s="1640"/>
      <c r="CJ809" s="1640"/>
      <c r="CK809" s="1640"/>
      <c r="CL809" s="1640"/>
      <c r="CM809" s="1640"/>
      <c r="CN809" s="1640"/>
      <c r="CO809" s="1640"/>
      <c r="CP809" s="1640"/>
      <c r="CQ809" s="1640"/>
      <c r="CR809" s="1640"/>
      <c r="CS809" s="1640"/>
      <c r="CT809" s="1640"/>
      <c r="CU809" s="1640"/>
      <c r="CV809" s="1640"/>
      <c r="CW809" s="1640"/>
      <c r="CX809" s="1640"/>
      <c r="CY809" s="1640"/>
      <c r="CZ809" s="1640"/>
      <c r="DA809" s="1640"/>
      <c r="DB809" s="1640"/>
      <c r="DC809" s="1640"/>
      <c r="DD809" s="1640"/>
      <c r="DE809" s="1640"/>
      <c r="DF809" s="1640"/>
      <c r="DG809" s="1640"/>
      <c r="DH809" s="1640"/>
      <c r="DI809" s="1640"/>
      <c r="DJ809" s="1640"/>
      <c r="DK809" s="1640"/>
      <c r="DL809" s="1640"/>
      <c r="DM809" s="1640"/>
      <c r="DN809" s="1640"/>
      <c r="DO809" s="1640"/>
      <c r="DP809" s="1640"/>
      <c r="DQ809" s="1640"/>
      <c r="DR809" s="1640"/>
      <c r="DS809" s="1640"/>
      <c r="DT809" s="1640"/>
      <c r="DU809" s="1640"/>
      <c r="DV809" s="1640"/>
      <c r="DW809" s="1640"/>
      <c r="DX809" s="1640"/>
      <c r="DY809" s="1640"/>
      <c r="DZ809" s="1640"/>
      <c r="EA809" s="1640"/>
      <c r="EB809" s="1640"/>
      <c r="EC809" s="1640"/>
      <c r="ED809" s="1640"/>
      <c r="EE809" s="1640"/>
      <c r="EF809" s="1640"/>
      <c r="EG809" s="1640"/>
      <c r="EH809" s="1640"/>
      <c r="EI809" s="1640"/>
      <c r="EJ809" s="1640"/>
      <c r="EK809" s="1640"/>
      <c r="EL809" s="1640"/>
      <c r="EM809" s="1640"/>
      <c r="EN809" s="1640"/>
      <c r="EO809" s="1640"/>
      <c r="EP809" s="1640"/>
      <c r="EQ809" s="1640"/>
      <c r="ER809" s="1640"/>
      <c r="ES809" s="1640"/>
      <c r="ET809" s="1640"/>
      <c r="EU809" s="1640"/>
      <c r="EV809" s="1640"/>
      <c r="EW809" s="1640"/>
      <c r="EX809" s="1640"/>
      <c r="EY809" s="1640"/>
      <c r="EZ809" s="1640"/>
      <c r="FA809" s="1640"/>
      <c r="FB809" s="1640"/>
      <c r="FC809" s="1640"/>
      <c r="FD809" s="1640"/>
      <c r="FE809" s="1640"/>
      <c r="FF809" s="1640"/>
      <c r="FG809" s="1640"/>
      <c r="FH809" s="1640"/>
      <c r="FI809" s="1640"/>
      <c r="FJ809" s="1640"/>
      <c r="FK809" s="1640"/>
      <c r="FL809" s="1640"/>
      <c r="FM809" s="1640"/>
      <c r="FN809" s="1640"/>
      <c r="FO809" s="1640"/>
      <c r="FP809" s="1640"/>
      <c r="FQ809" s="1640"/>
      <c r="FR809" s="1640"/>
      <c r="FS809" s="1640"/>
      <c r="FT809" s="1640"/>
      <c r="FU809" s="1640"/>
      <c r="FV809" s="1640"/>
      <c r="FW809" s="1640"/>
      <c r="FX809" s="1640"/>
      <c r="FY809" s="1640"/>
      <c r="FZ809" s="1640"/>
      <c r="GA809" s="1640"/>
      <c r="GB809" s="1640"/>
      <c r="GC809" s="1640"/>
      <c r="GD809" s="1640"/>
      <c r="GE809" s="1640"/>
      <c r="GF809" s="1640"/>
      <c r="GG809" s="1640"/>
      <c r="GH809" s="1640"/>
      <c r="GI809" s="1640"/>
      <c r="GJ809" s="1640"/>
      <c r="GK809" s="1640"/>
      <c r="GL809" s="1640"/>
      <c r="GM809" s="1640"/>
      <c r="GN809" s="1640"/>
      <c r="GO809" s="1640"/>
      <c r="GP809" s="1640"/>
      <c r="GQ809" s="1640"/>
      <c r="GR809" s="1640"/>
      <c r="GS809" s="1640"/>
      <c r="GT809" s="1640"/>
      <c r="GU809" s="1640"/>
      <c r="GV809" s="1640"/>
      <c r="GW809" s="1640"/>
      <c r="GX809" s="1640"/>
      <c r="GY809" s="1640"/>
      <c r="GZ809" s="1640"/>
      <c r="HA809" s="1640"/>
      <c r="HB809" s="1640"/>
      <c r="HC809" s="1640"/>
      <c r="HD809" s="1640"/>
      <c r="HE809" s="1640"/>
      <c r="HF809" s="1640"/>
      <c r="HG809" s="1640"/>
      <c r="HH809" s="1640"/>
      <c r="HI809" s="1640"/>
      <c r="HJ809" s="1640"/>
      <c r="HK809" s="1640"/>
      <c r="HL809" s="1640"/>
      <c r="HM809" s="1640"/>
      <c r="HN809" s="1640"/>
      <c r="HO809" s="1640"/>
      <c r="HP809" s="1640"/>
      <c r="HQ809" s="1640"/>
      <c r="HR809" s="1640"/>
      <c r="HS809" s="1640"/>
      <c r="HT809" s="1640"/>
      <c r="HU809" s="1640"/>
      <c r="HV809" s="1640"/>
      <c r="HW809" s="1640"/>
      <c r="HX809" s="1640"/>
      <c r="HY809" s="1640"/>
      <c r="HZ809" s="1640"/>
      <c r="IA809" s="1640"/>
      <c r="IB809" s="1640"/>
      <c r="IC809" s="1640"/>
      <c r="ID809" s="1640"/>
      <c r="IE809" s="1640"/>
      <c r="IF809" s="1640"/>
      <c r="IG809" s="1640"/>
      <c r="IH809" s="1640"/>
      <c r="II809" s="1640"/>
      <c r="IJ809" s="1640"/>
      <c r="IK809" s="1640"/>
      <c r="IL809" s="1640"/>
      <c r="IM809" s="1640"/>
      <c r="IN809" s="1640"/>
      <c r="IO809" s="1640"/>
      <c r="IP809" s="1640"/>
      <c r="IQ809" s="1640"/>
      <c r="IR809" s="1640"/>
      <c r="IS809" s="1640"/>
      <c r="IT809" s="1640"/>
      <c r="IU809" s="1640"/>
      <c r="IV809" s="1640"/>
      <c r="IW809" s="1640"/>
      <c r="IX809" s="1640"/>
      <c r="IY809" s="1640"/>
      <c r="IZ809" s="1640"/>
      <c r="JA809" s="1640"/>
      <c r="JB809" s="1640"/>
    </row>
    <row r="810" spans="1:278" ht="14.45" customHeight="1">
      <c r="A810" s="1641" t="s">
        <v>740</v>
      </c>
      <c r="B810" s="1641" t="s">
        <v>534</v>
      </c>
      <c r="R810" s="1629" t="str">
        <f>B810</f>
        <v>UNIT SUMMARY</v>
      </c>
      <c r="S810" s="1629"/>
      <c r="T810" s="1629"/>
      <c r="U810" s="1629"/>
      <c r="AI810" s="1631"/>
      <c r="GT810" s="1637"/>
      <c r="GY810" s="1637"/>
      <c r="GZ810" s="1637"/>
      <c r="HA810" s="1637"/>
      <c r="HB810" s="1637"/>
      <c r="HC810" s="1637"/>
      <c r="HD810" s="1637"/>
      <c r="HE810" s="1637"/>
      <c r="HF810" s="1637"/>
      <c r="HG810" s="1637"/>
      <c r="HH810" s="1637"/>
      <c r="HI810" s="1637"/>
      <c r="HJ810" s="1637"/>
      <c r="HK810" s="1637"/>
      <c r="HL810" s="1637"/>
      <c r="HM810" s="1637"/>
      <c r="HN810" s="1637"/>
      <c r="HO810" s="1637"/>
      <c r="HP810" s="1637"/>
      <c r="HQ810" s="1637"/>
      <c r="HR810" s="1637"/>
      <c r="HS810" s="1637"/>
      <c r="HT810" s="1637"/>
      <c r="HU810" s="1637"/>
      <c r="HV810" s="1637"/>
      <c r="HW810" s="1637"/>
      <c r="HX810" s="1637"/>
      <c r="HY810" s="1637"/>
      <c r="HZ810" s="1637"/>
      <c r="IA810" s="1637"/>
      <c r="IB810" s="1637"/>
      <c r="IC810" s="1637"/>
      <c r="ID810" s="1637"/>
      <c r="IK810" s="1641"/>
      <c r="IL810" s="1641"/>
      <c r="JB810" s="1641"/>
    </row>
    <row r="811" spans="1:278" ht="3" customHeight="1">
      <c r="A811" s="1641"/>
      <c r="B811" s="1641"/>
      <c r="R811" s="1641"/>
      <c r="S811" s="1641"/>
      <c r="T811" s="1831"/>
      <c r="AI811" s="1631"/>
      <c r="GT811" s="1637"/>
      <c r="GY811" s="1637"/>
      <c r="GZ811" s="1637"/>
      <c r="HA811" s="1637"/>
      <c r="HB811" s="1637"/>
      <c r="HC811" s="1637"/>
      <c r="HD811" s="1637"/>
      <c r="HE811" s="1637"/>
      <c r="HF811" s="1637"/>
      <c r="HG811" s="1637"/>
      <c r="HH811" s="1637"/>
      <c r="HI811" s="1637"/>
      <c r="HJ811" s="1637"/>
      <c r="HK811" s="1637"/>
      <c r="HL811" s="1637"/>
      <c r="HM811" s="1637"/>
      <c r="HN811" s="1637"/>
      <c r="HO811" s="1637"/>
      <c r="HP811" s="1637"/>
      <c r="HQ811" s="1637"/>
      <c r="HR811" s="1637"/>
      <c r="HS811" s="1637"/>
      <c r="HT811" s="1637"/>
      <c r="HU811" s="1637"/>
      <c r="HV811" s="1637"/>
      <c r="HW811" s="1637"/>
      <c r="HX811" s="1637"/>
      <c r="HY811" s="1637"/>
      <c r="HZ811" s="1637"/>
      <c r="IA811" s="1637"/>
      <c r="IB811" s="1637"/>
      <c r="IC811" s="1637"/>
      <c r="ID811" s="1637"/>
      <c r="IK811" s="1641"/>
      <c r="IL811" s="1641"/>
      <c r="JB811" s="1641"/>
    </row>
    <row r="812" spans="1:278" ht="14.45" customHeight="1">
      <c r="A812" s="1641"/>
      <c r="B812" s="1641" t="s">
        <v>1136</v>
      </c>
      <c r="J812" s="1832" t="s">
        <v>568</v>
      </c>
      <c r="K812" s="1832" t="s">
        <v>535</v>
      </c>
      <c r="L812" s="1832" t="s">
        <v>536</v>
      </c>
      <c r="M812" s="1832" t="s">
        <v>537</v>
      </c>
      <c r="N812" s="1832" t="s">
        <v>538</v>
      </c>
      <c r="O812" s="1832" t="s">
        <v>539</v>
      </c>
      <c r="R812" s="1807" t="s">
        <v>1845</v>
      </c>
      <c r="S812" s="1807"/>
      <c r="T812" s="1831"/>
      <c r="AB812" s="1832"/>
      <c r="AC812" s="1832"/>
      <c r="AD812" s="1832"/>
      <c r="AE812" s="1832"/>
      <c r="AF812" s="1832"/>
      <c r="AG812" s="1832"/>
      <c r="AI812" s="1631"/>
      <c r="GT812" s="1637"/>
      <c r="GY812" s="1637"/>
      <c r="GZ812" s="1637"/>
      <c r="HA812" s="1637"/>
      <c r="HB812" s="1637"/>
      <c r="HC812" s="1637"/>
      <c r="HD812" s="1637"/>
      <c r="HE812" s="1637"/>
      <c r="HF812" s="1637"/>
      <c r="HG812" s="1637"/>
      <c r="HH812" s="1637"/>
      <c r="HI812" s="1637"/>
      <c r="HJ812" s="1637"/>
      <c r="HK812" s="1637"/>
      <c r="HL812" s="1637"/>
      <c r="HM812" s="1637"/>
      <c r="HN812" s="1637"/>
      <c r="HO812" s="1637"/>
      <c r="HP812" s="1637"/>
      <c r="HQ812" s="1637"/>
      <c r="HR812" s="1637"/>
      <c r="HS812" s="1637"/>
      <c r="HT812" s="1637"/>
      <c r="HU812" s="1637"/>
      <c r="HV812" s="1637"/>
      <c r="HW812" s="1637"/>
      <c r="HX812" s="1637"/>
      <c r="HY812" s="1637"/>
      <c r="HZ812" s="1637"/>
      <c r="IA812" s="1637"/>
      <c r="IB812" s="1637"/>
      <c r="IC812" s="1637"/>
      <c r="ID812" s="1637"/>
      <c r="IK812" s="1641"/>
      <c r="IL812" s="1641"/>
      <c r="JB812" s="1641"/>
    </row>
    <row r="813" spans="1:278" ht="12" customHeight="1">
      <c r="C813" s="1631" t="s">
        <v>1137</v>
      </c>
      <c r="D813" s="1631"/>
      <c r="E813" s="1631"/>
      <c r="F813" s="1631"/>
      <c r="H813" s="521" t="s">
        <v>1149</v>
      </c>
      <c r="J813" s="1833">
        <f>W805</f>
        <v>0</v>
      </c>
      <c r="K813" s="1833">
        <f>X805</f>
        <v>0</v>
      </c>
      <c r="L813" s="1833">
        <f>Y805</f>
        <v>0</v>
      </c>
      <c r="M813" s="1833">
        <f>Z805</f>
        <v>0</v>
      </c>
      <c r="N813" s="1833">
        <f>AA805</f>
        <v>0</v>
      </c>
      <c r="O813" s="1833">
        <f t="shared" ref="O813:O819" si="262">SUM(J813:N813)</f>
        <v>0</v>
      </c>
      <c r="P813" s="1785" t="s">
        <v>3670</v>
      </c>
      <c r="Q813" s="1834"/>
      <c r="R813" s="1838"/>
      <c r="S813" s="1838"/>
      <c r="T813" s="1838"/>
      <c r="U813" s="1838"/>
      <c r="V813" s="1838"/>
      <c r="W813" s="1631"/>
      <c r="Z813" s="1631"/>
      <c r="AA813" s="521"/>
      <c r="AB813" s="522"/>
      <c r="AC813" s="522"/>
      <c r="AD813" s="522"/>
      <c r="AE813" s="522"/>
      <c r="AF813" s="522"/>
      <c r="AG813" s="522"/>
      <c r="AH813" s="521"/>
      <c r="AI813" s="1631"/>
      <c r="GT813" s="1637"/>
      <c r="GY813" s="1637"/>
      <c r="GZ813" s="1637"/>
      <c r="HA813" s="1637"/>
      <c r="HB813" s="1637"/>
      <c r="HC813" s="1637"/>
      <c r="HD813" s="1637"/>
      <c r="HE813" s="1637"/>
      <c r="HF813" s="1637"/>
      <c r="HG813" s="1637"/>
      <c r="HH813" s="1637"/>
      <c r="HI813" s="1637"/>
      <c r="HJ813" s="1637"/>
      <c r="HK813" s="1637"/>
      <c r="HL813" s="1637"/>
      <c r="HM813" s="1637"/>
      <c r="HN813" s="1637"/>
      <c r="HO813" s="1637"/>
      <c r="HP813" s="1637"/>
      <c r="HQ813" s="1637"/>
      <c r="HR813" s="1637"/>
      <c r="HS813" s="1637"/>
      <c r="HT813" s="1637"/>
      <c r="HU813" s="1637"/>
      <c r="HV813" s="1637"/>
      <c r="HW813" s="1637"/>
      <c r="HX813" s="1637"/>
      <c r="HY813" s="1637"/>
      <c r="HZ813" s="1637"/>
      <c r="IA813" s="1637"/>
      <c r="IB813" s="1637"/>
      <c r="IC813" s="1637"/>
      <c r="ID813" s="1637"/>
      <c r="IK813" s="1641"/>
      <c r="IL813" s="1641"/>
      <c r="JB813" s="1641"/>
    </row>
    <row r="814" spans="1:278" ht="12" customHeight="1">
      <c r="A814" s="1835" t="s">
        <v>442</v>
      </c>
      <c r="B814" s="1835"/>
      <c r="C814" s="1629"/>
      <c r="D814" s="1631"/>
      <c r="E814" s="1631"/>
      <c r="F814" s="1631"/>
      <c r="H814" s="521" t="s">
        <v>118</v>
      </c>
      <c r="J814" s="1833">
        <f>AB805</f>
        <v>0</v>
      </c>
      <c r="K814" s="1833">
        <f>AC805</f>
        <v>0</v>
      </c>
      <c r="L814" s="1833">
        <f>AD805</f>
        <v>0</v>
      </c>
      <c r="M814" s="1833">
        <f>AE805</f>
        <v>0</v>
      </c>
      <c r="N814" s="1833">
        <f>AF805</f>
        <v>0</v>
      </c>
      <c r="O814" s="1833">
        <f t="shared" si="262"/>
        <v>0</v>
      </c>
      <c r="P814" s="1785"/>
      <c r="Q814" s="1834"/>
      <c r="R814" s="1838"/>
      <c r="S814" s="1838"/>
      <c r="T814" s="1838"/>
      <c r="U814" s="1838"/>
      <c r="V814" s="1838"/>
      <c r="W814" s="1629"/>
      <c r="Z814" s="1631"/>
      <c r="AA814" s="521"/>
      <c r="AB814" s="522"/>
      <c r="AC814" s="522"/>
      <c r="AD814" s="522"/>
      <c r="AE814" s="522"/>
      <c r="AF814" s="522"/>
      <c r="AG814" s="522"/>
      <c r="AH814" s="521"/>
      <c r="AI814" s="1631"/>
      <c r="GT814" s="1637"/>
      <c r="GY814" s="1637"/>
      <c r="GZ814" s="1637"/>
      <c r="HA814" s="1637"/>
      <c r="HB814" s="1637"/>
      <c r="HC814" s="1637"/>
      <c r="HD814" s="1637"/>
      <c r="HE814" s="1637"/>
      <c r="HF814" s="1637"/>
      <c r="HG814" s="1637"/>
      <c r="HH814" s="1637"/>
      <c r="HI814" s="1637"/>
      <c r="HJ814" s="1637"/>
      <c r="HK814" s="1637"/>
      <c r="HL814" s="1637"/>
      <c r="HM814" s="1637"/>
      <c r="HN814" s="1637"/>
      <c r="HO814" s="1637"/>
      <c r="HP814" s="1637"/>
      <c r="HQ814" s="1637"/>
      <c r="HR814" s="1637"/>
      <c r="HS814" s="1637"/>
      <c r="HT814" s="1637"/>
      <c r="HU814" s="1637"/>
      <c r="HV814" s="1637"/>
      <c r="HW814" s="1637"/>
      <c r="HX814" s="1637"/>
      <c r="HY814" s="1637"/>
      <c r="HZ814" s="1637"/>
      <c r="IA814" s="1637"/>
      <c r="IB814" s="1637"/>
      <c r="IC814" s="1637"/>
      <c r="ID814" s="1637"/>
      <c r="IK814" s="1641"/>
      <c r="IL814" s="1641"/>
      <c r="JB814" s="1641"/>
    </row>
    <row r="815" spans="1:278" ht="12" customHeight="1">
      <c r="A815" s="1835"/>
      <c r="B815" s="1835"/>
      <c r="C815" s="1629"/>
      <c r="D815" s="1631"/>
      <c r="E815" s="1631"/>
      <c r="F815" s="1631"/>
      <c r="H815" s="521" t="s">
        <v>539</v>
      </c>
      <c r="J815" s="1833">
        <f>SUM(J813:J814)</f>
        <v>0</v>
      </c>
      <c r="K815" s="1833">
        <f>SUM(K813:K814)</f>
        <v>0</v>
      </c>
      <c r="L815" s="1833">
        <f>SUM(L813:L814)</f>
        <v>0</v>
      </c>
      <c r="M815" s="1833">
        <f>SUM(M813:M814)</f>
        <v>0</v>
      </c>
      <c r="N815" s="1833">
        <f>SUM(N813:N814)</f>
        <v>0</v>
      </c>
      <c r="O815" s="1833">
        <f t="shared" si="262"/>
        <v>0</v>
      </c>
      <c r="P815" s="1785"/>
      <c r="R815" s="1838"/>
      <c r="S815" s="1838"/>
      <c r="T815" s="1838"/>
      <c r="U815" s="1838"/>
      <c r="V815" s="1838"/>
      <c r="W815" s="1629"/>
      <c r="Z815" s="1631"/>
      <c r="AA815" s="521"/>
      <c r="AB815" s="522"/>
      <c r="AC815" s="522"/>
      <c r="AD815" s="522"/>
      <c r="AE815" s="522"/>
      <c r="AF815" s="522"/>
      <c r="AG815" s="522"/>
      <c r="AH815" s="521"/>
      <c r="AI815" s="1631"/>
      <c r="GT815" s="1637"/>
      <c r="GY815" s="1637"/>
      <c r="GZ815" s="1637"/>
      <c r="HA815" s="1637"/>
      <c r="HB815" s="1637"/>
      <c r="HC815" s="1637"/>
      <c r="HD815" s="1637"/>
      <c r="HE815" s="1637"/>
      <c r="HF815" s="1637"/>
      <c r="HG815" s="1637"/>
      <c r="HH815" s="1637"/>
      <c r="HI815" s="1637"/>
      <c r="HJ815" s="1637"/>
      <c r="HK815" s="1637"/>
      <c r="HL815" s="1637"/>
      <c r="HM815" s="1637"/>
      <c r="HN815" s="1637"/>
      <c r="HO815" s="1637"/>
      <c r="HP815" s="1637"/>
      <c r="HQ815" s="1637"/>
      <c r="HR815" s="1637"/>
      <c r="HS815" s="1637"/>
      <c r="HT815" s="1637"/>
      <c r="HU815" s="1637"/>
      <c r="HV815" s="1637"/>
      <c r="HW815" s="1637"/>
      <c r="HX815" s="1637"/>
      <c r="HY815" s="1637"/>
      <c r="HZ815" s="1637"/>
      <c r="IA815" s="1637"/>
      <c r="IB815" s="1637"/>
      <c r="IC815" s="1637"/>
      <c r="ID815" s="1637"/>
      <c r="IK815" s="1641"/>
      <c r="IL815" s="1641"/>
      <c r="JB815" s="1641"/>
    </row>
    <row r="816" spans="1:278" ht="12" customHeight="1">
      <c r="A816" s="1835"/>
      <c r="B816" s="1835"/>
      <c r="C816" s="1631" t="s">
        <v>303</v>
      </c>
      <c r="D816" s="1631"/>
      <c r="E816" s="1631"/>
      <c r="F816" s="1631"/>
      <c r="H816" s="521"/>
      <c r="J816" s="1833">
        <f>AL805</f>
        <v>0</v>
      </c>
      <c r="K816" s="1833">
        <f>AM805</f>
        <v>0</v>
      </c>
      <c r="L816" s="1833">
        <f>AN805</f>
        <v>0</v>
      </c>
      <c r="M816" s="1833">
        <f>AO805</f>
        <v>0</v>
      </c>
      <c r="N816" s="1833">
        <f>AP805</f>
        <v>0</v>
      </c>
      <c r="O816" s="1833">
        <f t="shared" si="262"/>
        <v>0</v>
      </c>
      <c r="R816" s="1838"/>
      <c r="S816" s="1838"/>
      <c r="T816" s="1838"/>
      <c r="U816" s="1838"/>
      <c r="V816" s="1838"/>
      <c r="W816" s="1631"/>
      <c r="Z816" s="1631"/>
      <c r="AA816" s="521"/>
      <c r="AB816" s="522"/>
      <c r="AC816" s="522"/>
      <c r="AD816" s="522"/>
      <c r="AE816" s="522"/>
      <c r="AF816" s="522"/>
      <c r="AG816" s="522"/>
      <c r="AH816" s="1216"/>
      <c r="AI816" s="1631"/>
      <c r="GT816" s="1637"/>
      <c r="GY816" s="1637"/>
      <c r="GZ816" s="1637"/>
      <c r="HA816" s="1637"/>
      <c r="HB816" s="1637"/>
      <c r="HC816" s="1637"/>
      <c r="HD816" s="1637"/>
      <c r="HE816" s="1637"/>
      <c r="HF816" s="1637"/>
      <c r="HG816" s="1637"/>
      <c r="HH816" s="1637"/>
      <c r="HI816" s="1637"/>
      <c r="HJ816" s="1637"/>
      <c r="HK816" s="1637"/>
      <c r="HL816" s="1637"/>
      <c r="HM816" s="1637"/>
      <c r="HN816" s="1637"/>
      <c r="HO816" s="1637"/>
      <c r="HP816" s="1637"/>
      <c r="HQ816" s="1637"/>
      <c r="HR816" s="1637"/>
      <c r="HS816" s="1637"/>
      <c r="HT816" s="1637"/>
      <c r="HU816" s="1637"/>
      <c r="HV816" s="1637"/>
      <c r="HW816" s="1637"/>
      <c r="HX816" s="1637"/>
      <c r="HY816" s="1637"/>
      <c r="HZ816" s="1637"/>
      <c r="IA816" s="1637"/>
      <c r="IB816" s="1637"/>
      <c r="IC816" s="1637"/>
      <c r="ID816" s="1637"/>
      <c r="IK816" s="1641"/>
      <c r="IL816" s="1641"/>
      <c r="JB816" s="1641"/>
    </row>
    <row r="817" spans="1:262" ht="12" customHeight="1">
      <c r="A817" s="1835"/>
      <c r="B817" s="1835"/>
      <c r="C817" s="1631" t="s">
        <v>1138</v>
      </c>
      <c r="D817" s="1631"/>
      <c r="E817" s="1631"/>
      <c r="F817" s="1631"/>
      <c r="H817" s="521"/>
      <c r="J817" s="1833">
        <f>SUM(J815:J816)</f>
        <v>0</v>
      </c>
      <c r="K817" s="1833">
        <f>SUM(K815:K816)</f>
        <v>0</v>
      </c>
      <c r="L817" s="1833">
        <f>SUM(L815:L816)</f>
        <v>0</v>
      </c>
      <c r="M817" s="1833">
        <f>SUM(M815:M816)</f>
        <v>0</v>
      </c>
      <c r="N817" s="1833">
        <f>SUM(N815:N816)</f>
        <v>0</v>
      </c>
      <c r="O817" s="1833">
        <f t="shared" si="262"/>
        <v>0</v>
      </c>
      <c r="R817" s="1838"/>
      <c r="S817" s="1838"/>
      <c r="T817" s="1838"/>
      <c r="U817" s="1838"/>
      <c r="V817" s="1838"/>
      <c r="W817" s="1631"/>
      <c r="Z817" s="1631"/>
      <c r="AA817" s="521"/>
      <c r="AB817" s="522"/>
      <c r="AC817" s="522"/>
      <c r="AD817" s="522"/>
      <c r="AE817" s="522"/>
      <c r="AF817" s="522"/>
      <c r="AG817" s="522"/>
      <c r="AH817" s="1216"/>
      <c r="AI817" s="1631"/>
      <c r="GT817" s="1637"/>
      <c r="GY817" s="1637"/>
      <c r="GZ817" s="1637"/>
      <c r="HA817" s="1637"/>
      <c r="HB817" s="1637"/>
      <c r="HC817" s="1637"/>
      <c r="HD817" s="1637"/>
      <c r="HE817" s="1637"/>
      <c r="HF817" s="1637"/>
      <c r="HG817" s="1637"/>
      <c r="HH817" s="1637"/>
      <c r="HI817" s="1637"/>
      <c r="HJ817" s="1637"/>
      <c r="HK817" s="1637"/>
      <c r="HL817" s="1637"/>
      <c r="HM817" s="1637"/>
      <c r="HN817" s="1637"/>
      <c r="HO817" s="1637"/>
      <c r="HP817" s="1637"/>
      <c r="HQ817" s="1637"/>
      <c r="HR817" s="1637"/>
      <c r="HS817" s="1637"/>
      <c r="HT817" s="1637"/>
      <c r="HU817" s="1637"/>
      <c r="HV817" s="1637"/>
      <c r="HW817" s="1637"/>
      <c r="HX817" s="1637"/>
      <c r="HY817" s="1637"/>
      <c r="HZ817" s="1637"/>
      <c r="IA817" s="1637"/>
      <c r="IB817" s="1637"/>
      <c r="IC817" s="1637"/>
      <c r="ID817" s="1637"/>
      <c r="IK817" s="1641"/>
      <c r="IL817" s="1641"/>
      <c r="JB817" s="1641"/>
    </row>
    <row r="818" spans="1:262" ht="12" customHeight="1">
      <c r="A818" s="1835"/>
      <c r="B818" s="1835"/>
      <c r="C818" s="1631" t="s">
        <v>2511</v>
      </c>
      <c r="D818" s="1631"/>
      <c r="E818" s="1631"/>
      <c r="F818" s="1631"/>
      <c r="H818" s="521"/>
      <c r="J818" s="1833">
        <f>BU805</f>
        <v>0</v>
      </c>
      <c r="K818" s="1833">
        <f>BV805</f>
        <v>0</v>
      </c>
      <c r="L818" s="1833">
        <f>BW805</f>
        <v>0</v>
      </c>
      <c r="M818" s="1833">
        <f>BX805</f>
        <v>0</v>
      </c>
      <c r="N818" s="1833">
        <f>BY805</f>
        <v>0</v>
      </c>
      <c r="O818" s="1833">
        <f t="shared" si="262"/>
        <v>0</v>
      </c>
      <c r="P818" s="1652" t="s">
        <v>3671</v>
      </c>
      <c r="R818" s="1838"/>
      <c r="S818" s="1838"/>
      <c r="T818" s="1838"/>
      <c r="U818" s="1838"/>
      <c r="V818" s="1838"/>
      <c r="W818" s="1631"/>
      <c r="Z818" s="1631"/>
      <c r="AA818" s="521"/>
      <c r="AB818" s="522"/>
      <c r="AC818" s="522"/>
      <c r="AD818" s="522"/>
      <c r="AE818" s="522"/>
      <c r="AF818" s="522"/>
      <c r="AG818" s="522"/>
      <c r="AH818" s="521"/>
      <c r="AI818" s="1631"/>
      <c r="GT818" s="1637"/>
      <c r="GY818" s="1637"/>
      <c r="GZ818" s="1637"/>
      <c r="HA818" s="1637"/>
      <c r="HB818" s="1637"/>
      <c r="HC818" s="1637"/>
      <c r="HD818" s="1637"/>
      <c r="HE818" s="1637"/>
      <c r="HF818" s="1637"/>
      <c r="HG818" s="1637"/>
      <c r="HH818" s="1637"/>
      <c r="HI818" s="1637"/>
      <c r="HJ818" s="1637"/>
      <c r="HK818" s="1637"/>
      <c r="HL818" s="1637"/>
      <c r="HM818" s="1637"/>
      <c r="HN818" s="1637"/>
      <c r="HO818" s="1637"/>
      <c r="HP818" s="1637"/>
      <c r="HQ818" s="1637"/>
      <c r="HR818" s="1637"/>
      <c r="HS818" s="1637"/>
      <c r="HT818" s="1637"/>
      <c r="HU818" s="1637"/>
      <c r="HV818" s="1637"/>
      <c r="HW818" s="1637"/>
      <c r="HX818" s="1637"/>
      <c r="HY818" s="1637"/>
      <c r="HZ818" s="1637"/>
      <c r="IA818" s="1637"/>
      <c r="IB818" s="1637"/>
      <c r="IC818" s="1637"/>
      <c r="ID818" s="1637"/>
      <c r="IK818" s="1641"/>
      <c r="IL818" s="1641"/>
      <c r="JB818" s="1641"/>
    </row>
    <row r="819" spans="1:262" ht="12" customHeight="1">
      <c r="A819" s="1835"/>
      <c r="B819" s="1835"/>
      <c r="C819" s="1631" t="s">
        <v>539</v>
      </c>
      <c r="D819" s="1631"/>
      <c r="E819" s="1631"/>
      <c r="F819" s="1631"/>
      <c r="H819" s="521"/>
      <c r="J819" s="1833">
        <f>SUM(J817:J818)</f>
        <v>0</v>
      </c>
      <c r="K819" s="1833">
        <f>SUM(K817:K818)</f>
        <v>0</v>
      </c>
      <c r="L819" s="1833">
        <f>SUM(L817:L818)</f>
        <v>0</v>
      </c>
      <c r="M819" s="1833">
        <f>SUM(M817:M818)</f>
        <v>0</v>
      </c>
      <c r="N819" s="1833">
        <f>SUM(N817:N818)</f>
        <v>0</v>
      </c>
      <c r="O819" s="1833">
        <f t="shared" si="262"/>
        <v>0</v>
      </c>
      <c r="R819" s="1838"/>
      <c r="S819" s="1838"/>
      <c r="T819" s="1838"/>
      <c r="U819" s="1838"/>
      <c r="V819" s="1838"/>
      <c r="W819" s="1631"/>
      <c r="Z819" s="1631"/>
      <c r="AA819" s="521"/>
      <c r="AB819" s="522"/>
      <c r="AC819" s="522"/>
      <c r="AD819" s="522"/>
      <c r="AE819" s="522"/>
      <c r="AF819" s="522"/>
      <c r="AG819" s="522"/>
      <c r="AI819" s="1631"/>
      <c r="GT819" s="1637"/>
      <c r="GY819" s="1637"/>
      <c r="GZ819" s="1637"/>
      <c r="HA819" s="1637"/>
      <c r="HB819" s="1637"/>
      <c r="HC819" s="1637"/>
      <c r="HD819" s="1637"/>
      <c r="HE819" s="1637"/>
      <c r="HF819" s="1637"/>
      <c r="HG819" s="1637"/>
      <c r="HH819" s="1637"/>
      <c r="HI819" s="1637"/>
      <c r="HJ819" s="1637"/>
      <c r="HK819" s="1637"/>
      <c r="HL819" s="1637"/>
      <c r="HM819" s="1637"/>
      <c r="HN819" s="1637"/>
      <c r="HO819" s="1637"/>
      <c r="HP819" s="1637"/>
      <c r="HQ819" s="1637"/>
      <c r="HR819" s="1637"/>
      <c r="HS819" s="1637"/>
      <c r="HT819" s="1637"/>
      <c r="HU819" s="1637"/>
      <c r="HV819" s="1637"/>
      <c r="HW819" s="1637"/>
      <c r="HX819" s="1637"/>
      <c r="HY819" s="1637"/>
      <c r="HZ819" s="1637"/>
      <c r="IA819" s="1637"/>
      <c r="IB819" s="1637"/>
      <c r="IC819" s="1637"/>
      <c r="ID819" s="1637"/>
      <c r="IK819" s="1641"/>
      <c r="IL819" s="1641"/>
      <c r="JB819" s="1641"/>
    </row>
    <row r="820" spans="1:262" ht="9" customHeight="1">
      <c r="A820" s="1835"/>
      <c r="B820" s="1835"/>
      <c r="C820" s="1631"/>
      <c r="D820" s="1631"/>
      <c r="E820" s="1631"/>
      <c r="F820" s="1631"/>
      <c r="H820" s="521"/>
      <c r="J820" s="1836"/>
      <c r="K820" s="1836"/>
      <c r="L820" s="1836"/>
      <c r="M820" s="1836"/>
      <c r="N820" s="1836"/>
      <c r="O820" s="1836"/>
      <c r="R820" s="1653" t="str">
        <f>C821</f>
        <v>PBRA-Assisted</v>
      </c>
      <c r="T820" s="1837"/>
      <c r="W820" s="1631"/>
      <c r="Z820" s="1631"/>
      <c r="AA820" s="521"/>
      <c r="AB820" s="1631"/>
      <c r="AC820" s="1631"/>
      <c r="AD820" s="1631"/>
      <c r="AE820" s="1631"/>
      <c r="AF820" s="1631"/>
      <c r="AG820" s="1631"/>
      <c r="AI820" s="1631"/>
      <c r="GT820" s="1637"/>
      <c r="GY820" s="1637"/>
      <c r="GZ820" s="1637"/>
      <c r="HA820" s="1637"/>
      <c r="HB820" s="1637"/>
      <c r="HC820" s="1637"/>
      <c r="HD820" s="1637"/>
      <c r="HE820" s="1637"/>
      <c r="HF820" s="1637"/>
      <c r="HG820" s="1637"/>
      <c r="HH820" s="1637"/>
      <c r="HI820" s="1637"/>
      <c r="HJ820" s="1637"/>
      <c r="HK820" s="1637"/>
      <c r="HL820" s="1637"/>
      <c r="HM820" s="1637"/>
      <c r="HN820" s="1637"/>
      <c r="HO820" s="1637"/>
      <c r="HP820" s="1637"/>
      <c r="HQ820" s="1637"/>
      <c r="HR820" s="1637"/>
      <c r="HS820" s="1637"/>
      <c r="HT820" s="1637"/>
      <c r="HU820" s="1637"/>
      <c r="HV820" s="1637"/>
      <c r="HW820" s="1637"/>
      <c r="HX820" s="1637"/>
      <c r="HY820" s="1637"/>
      <c r="HZ820" s="1637"/>
      <c r="IA820" s="1637"/>
      <c r="IB820" s="1637"/>
      <c r="IC820" s="1637"/>
      <c r="ID820" s="1637"/>
      <c r="IK820" s="1641"/>
      <c r="IL820" s="1641"/>
      <c r="JB820" s="1641"/>
    </row>
    <row r="821" spans="1:262" ht="12" customHeight="1">
      <c r="A821" s="1835"/>
      <c r="B821" s="1835"/>
      <c r="C821" s="1631" t="s">
        <v>934</v>
      </c>
      <c r="D821" s="1631"/>
      <c r="E821" s="1634"/>
      <c r="F821" s="1631"/>
      <c r="H821" s="521" t="s">
        <v>1149</v>
      </c>
      <c r="J821" s="1833">
        <f>BA805</f>
        <v>0</v>
      </c>
      <c r="K821" s="1833">
        <f>BB805</f>
        <v>0</v>
      </c>
      <c r="L821" s="1833">
        <f>BC805</f>
        <v>0</v>
      </c>
      <c r="M821" s="1833">
        <f>BD805</f>
        <v>0</v>
      </c>
      <c r="N821" s="1833">
        <f>BE805</f>
        <v>0</v>
      </c>
      <c r="O821" s="1833">
        <f>SUM(J821:N821)</f>
        <v>0</v>
      </c>
      <c r="R821" s="1838"/>
      <c r="S821" s="1838"/>
      <c r="T821" s="1838"/>
      <c r="U821" s="1838"/>
      <c r="V821" s="1838"/>
      <c r="W821" s="1631"/>
      <c r="Z821" s="1631"/>
      <c r="AA821" s="521"/>
      <c r="AB821" s="522"/>
      <c r="AC821" s="522"/>
      <c r="AD821" s="522"/>
      <c r="AE821" s="522"/>
      <c r="AF821" s="522"/>
      <c r="AG821" s="522"/>
      <c r="AH821" s="521"/>
      <c r="AI821" s="1631"/>
      <c r="GT821" s="1637"/>
      <c r="GY821" s="1637"/>
      <c r="GZ821" s="1637"/>
      <c r="HA821" s="1637"/>
      <c r="HB821" s="1637"/>
      <c r="HC821" s="1637"/>
      <c r="HD821" s="1637"/>
      <c r="HE821" s="1637"/>
      <c r="HF821" s="1637"/>
      <c r="HG821" s="1637"/>
      <c r="HH821" s="1637"/>
      <c r="HI821" s="1637"/>
      <c r="HJ821" s="1637"/>
      <c r="HK821" s="1637"/>
      <c r="HL821" s="1637"/>
      <c r="HM821" s="1637"/>
      <c r="HN821" s="1637"/>
      <c r="HO821" s="1637"/>
      <c r="HP821" s="1637"/>
      <c r="HQ821" s="1637"/>
      <c r="HR821" s="1637"/>
      <c r="HS821" s="1637"/>
      <c r="HT821" s="1637"/>
      <c r="HU821" s="1637"/>
      <c r="HV821" s="1637"/>
      <c r="HW821" s="1637"/>
      <c r="HX821" s="1637"/>
      <c r="HY821" s="1637"/>
      <c r="HZ821" s="1637"/>
      <c r="IA821" s="1637"/>
      <c r="IB821" s="1637"/>
      <c r="IC821" s="1637"/>
      <c r="ID821" s="1637"/>
      <c r="IK821" s="1641"/>
      <c r="IL821" s="1641"/>
      <c r="JB821" s="1641"/>
    </row>
    <row r="822" spans="1:262" ht="12" customHeight="1">
      <c r="A822" s="1835"/>
      <c r="B822" s="1835"/>
      <c r="C822" s="521" t="s">
        <v>2512</v>
      </c>
      <c r="D822" s="1631"/>
      <c r="E822" s="1634"/>
      <c r="F822" s="1631"/>
      <c r="H822" s="521" t="s">
        <v>118</v>
      </c>
      <c r="J822" s="1833">
        <f>AV805</f>
        <v>0</v>
      </c>
      <c r="K822" s="1833">
        <f>AW805</f>
        <v>0</v>
      </c>
      <c r="L822" s="1833">
        <f>AX805</f>
        <v>0</v>
      </c>
      <c r="M822" s="1833">
        <f>AY805</f>
        <v>0</v>
      </c>
      <c r="N822" s="1833">
        <f>AZ805</f>
        <v>0</v>
      </c>
      <c r="O822" s="1833">
        <f>SUM(J822:N822)</f>
        <v>0</v>
      </c>
      <c r="R822" s="1838"/>
      <c r="S822" s="1838"/>
      <c r="T822" s="1838"/>
      <c r="U822" s="1838"/>
      <c r="V822" s="1838"/>
      <c r="W822" s="521"/>
      <c r="Z822" s="1631"/>
      <c r="AA822" s="521"/>
      <c r="AB822" s="522"/>
      <c r="AC822" s="522"/>
      <c r="AD822" s="522"/>
      <c r="AE822" s="522"/>
      <c r="AF822" s="522"/>
      <c r="AG822" s="522"/>
      <c r="AH822" s="521"/>
      <c r="AI822" s="1631"/>
      <c r="GT822" s="1637"/>
      <c r="GY822" s="1637"/>
      <c r="GZ822" s="1637"/>
      <c r="HA822" s="1637"/>
      <c r="HB822" s="1637"/>
      <c r="HC822" s="1637"/>
      <c r="HD822" s="1637"/>
      <c r="HE822" s="1637"/>
      <c r="HF822" s="1637"/>
      <c r="HG822" s="1637"/>
      <c r="HH822" s="1637"/>
      <c r="HI822" s="1637"/>
      <c r="HJ822" s="1637"/>
      <c r="HK822" s="1637"/>
      <c r="HL822" s="1637"/>
      <c r="HM822" s="1637"/>
      <c r="HN822" s="1637"/>
      <c r="HO822" s="1637"/>
      <c r="HP822" s="1637"/>
      <c r="HQ822" s="1637"/>
      <c r="HR822" s="1637"/>
      <c r="HS822" s="1637"/>
      <c r="HT822" s="1637"/>
      <c r="HU822" s="1637"/>
      <c r="HV822" s="1637"/>
      <c r="HW822" s="1637"/>
      <c r="HX822" s="1637"/>
      <c r="HY822" s="1637"/>
      <c r="HZ822" s="1637"/>
      <c r="IA822" s="1637"/>
      <c r="IB822" s="1637"/>
      <c r="IC822" s="1637"/>
      <c r="ID822" s="1637"/>
      <c r="IK822" s="1641"/>
      <c r="IL822" s="1641"/>
      <c r="JB822" s="1641"/>
    </row>
    <row r="823" spans="1:262" ht="12" customHeight="1">
      <c r="A823" s="1835"/>
      <c r="B823" s="1835"/>
      <c r="C823" s="1629"/>
      <c r="D823" s="1631"/>
      <c r="E823" s="1634"/>
      <c r="F823" s="1631"/>
      <c r="H823" s="521" t="s">
        <v>539</v>
      </c>
      <c r="J823" s="1833">
        <f>SUM(J821:J822)</f>
        <v>0</v>
      </c>
      <c r="K823" s="1833">
        <f>SUM(K821:K822)</f>
        <v>0</v>
      </c>
      <c r="L823" s="1833">
        <f>SUM(L821:L822)</f>
        <v>0</v>
      </c>
      <c r="M823" s="1833">
        <f>SUM(M821:M822)</f>
        <v>0</v>
      </c>
      <c r="N823" s="1833">
        <f>SUM(N821:N822)</f>
        <v>0</v>
      </c>
      <c r="O823" s="1833">
        <f>SUM(J823:N823)</f>
        <v>0</v>
      </c>
      <c r="R823" s="1838"/>
      <c r="S823" s="1838"/>
      <c r="T823" s="1838"/>
      <c r="U823" s="1838"/>
      <c r="V823" s="1838"/>
      <c r="W823" s="1629"/>
      <c r="Z823" s="1631"/>
      <c r="AA823" s="521"/>
      <c r="AB823" s="522"/>
      <c r="AC823" s="522"/>
      <c r="AD823" s="522"/>
      <c r="AE823" s="522"/>
      <c r="AF823" s="522"/>
      <c r="AG823" s="522"/>
      <c r="AH823" s="521"/>
      <c r="AI823" s="1631"/>
      <c r="GT823" s="1637"/>
      <c r="GY823" s="1637"/>
      <c r="GZ823" s="1637"/>
      <c r="HA823" s="1637"/>
      <c r="HB823" s="1637"/>
      <c r="HC823" s="1637"/>
      <c r="HD823" s="1637"/>
      <c r="HE823" s="1637"/>
      <c r="HF823" s="1637"/>
      <c r="HG823" s="1637"/>
      <c r="HH823" s="1637"/>
      <c r="HI823" s="1637"/>
      <c r="HJ823" s="1637"/>
      <c r="HK823" s="1637"/>
      <c r="HL823" s="1637"/>
      <c r="HM823" s="1637"/>
      <c r="HN823" s="1637"/>
      <c r="HO823" s="1637"/>
      <c r="HP823" s="1637"/>
      <c r="HQ823" s="1637"/>
      <c r="HR823" s="1637"/>
      <c r="HS823" s="1637"/>
      <c r="HT823" s="1637"/>
      <c r="HU823" s="1637"/>
      <c r="HV823" s="1637"/>
      <c r="HW823" s="1637"/>
      <c r="HX823" s="1637"/>
      <c r="HY823" s="1637"/>
      <c r="HZ823" s="1637"/>
      <c r="IA823" s="1637"/>
      <c r="IB823" s="1637"/>
      <c r="IC823" s="1637"/>
      <c r="ID823" s="1637"/>
      <c r="IK823" s="1641"/>
      <c r="IL823" s="1641"/>
      <c r="JB823" s="1641"/>
    </row>
    <row r="824" spans="1:262" ht="9" customHeight="1">
      <c r="A824" s="1835"/>
      <c r="B824" s="1835"/>
      <c r="C824" s="1631"/>
      <c r="D824" s="1631"/>
      <c r="E824" s="1631"/>
      <c r="F824" s="1631"/>
      <c r="H824" s="521"/>
      <c r="J824" s="1836"/>
      <c r="K824" s="1836"/>
      <c r="L824" s="1836"/>
      <c r="M824" s="1836"/>
      <c r="N824" s="1836"/>
      <c r="O824" s="1836"/>
      <c r="R824" s="1653" t="str">
        <f>C825</f>
        <v>PHA Operating Subsidy-Assisted</v>
      </c>
      <c r="T824" s="1837"/>
      <c r="W824" s="1631"/>
      <c r="Z824" s="1631"/>
      <c r="AA824" s="521"/>
      <c r="AB824" s="1631"/>
      <c r="AC824" s="1631"/>
      <c r="AD824" s="1631"/>
      <c r="AE824" s="1631"/>
      <c r="AF824" s="1631"/>
      <c r="AG824" s="1631"/>
      <c r="AI824" s="1631"/>
      <c r="GT824" s="1637"/>
      <c r="GY824" s="1637"/>
      <c r="GZ824" s="1637"/>
      <c r="HA824" s="1637"/>
      <c r="HB824" s="1637"/>
      <c r="HC824" s="1637"/>
      <c r="HD824" s="1637"/>
      <c r="HE824" s="1637"/>
      <c r="HF824" s="1637"/>
      <c r="HG824" s="1637"/>
      <c r="HH824" s="1637"/>
      <c r="HI824" s="1637"/>
      <c r="HJ824" s="1637"/>
      <c r="HK824" s="1637"/>
      <c r="HL824" s="1637"/>
      <c r="HM824" s="1637"/>
      <c r="HN824" s="1637"/>
      <c r="HO824" s="1637"/>
      <c r="HP824" s="1637"/>
      <c r="HQ824" s="1637"/>
      <c r="HR824" s="1637"/>
      <c r="HS824" s="1637"/>
      <c r="HT824" s="1637"/>
      <c r="HU824" s="1637"/>
      <c r="HV824" s="1637"/>
      <c r="HW824" s="1637"/>
      <c r="HX824" s="1637"/>
      <c r="HY824" s="1637"/>
      <c r="HZ824" s="1637"/>
      <c r="IA824" s="1637"/>
      <c r="IB824" s="1637"/>
      <c r="IC824" s="1637"/>
      <c r="ID824" s="1637"/>
      <c r="IK824" s="1641"/>
      <c r="IL824" s="1641"/>
      <c r="JB824" s="1641"/>
    </row>
    <row r="825" spans="1:262" ht="12" customHeight="1">
      <c r="A825" s="1835"/>
      <c r="B825" s="1835"/>
      <c r="C825" s="1636" t="s">
        <v>890</v>
      </c>
      <c r="D825" s="1636"/>
      <c r="E825" s="1636"/>
      <c r="F825" s="1631"/>
      <c r="H825" s="521" t="s">
        <v>1149</v>
      </c>
      <c r="J825" s="1833">
        <f>BP805</f>
        <v>0</v>
      </c>
      <c r="K825" s="1833">
        <f>BQ805</f>
        <v>0</v>
      </c>
      <c r="L825" s="1833">
        <f>BR805</f>
        <v>0</v>
      </c>
      <c r="M825" s="1833">
        <f>BS805</f>
        <v>0</v>
      </c>
      <c r="N825" s="1833">
        <f>BT805</f>
        <v>0</v>
      </c>
      <c r="O825" s="1833">
        <f>SUM(J825:N825)</f>
        <v>0</v>
      </c>
      <c r="R825" s="1838"/>
      <c r="S825" s="1838"/>
      <c r="T825" s="1838"/>
      <c r="U825" s="1838"/>
      <c r="V825" s="1838"/>
      <c r="W825" s="1631"/>
      <c r="Z825" s="1631"/>
      <c r="AA825" s="521"/>
      <c r="AB825" s="522"/>
      <c r="AC825" s="522"/>
      <c r="AD825" s="522"/>
      <c r="AE825" s="522"/>
      <c r="AF825" s="522"/>
      <c r="AG825" s="522"/>
      <c r="AH825" s="521"/>
      <c r="AI825" s="1631"/>
      <c r="GT825" s="1637"/>
      <c r="GY825" s="1637"/>
      <c r="GZ825" s="1637"/>
      <c r="HA825" s="1637"/>
      <c r="HB825" s="1637"/>
      <c r="HC825" s="1637"/>
      <c r="HD825" s="1637"/>
      <c r="HE825" s="1637"/>
      <c r="HF825" s="1637"/>
      <c r="HG825" s="1637"/>
      <c r="HH825" s="1637"/>
      <c r="HI825" s="1637"/>
      <c r="HJ825" s="1637"/>
      <c r="HK825" s="1637"/>
      <c r="HL825" s="1637"/>
      <c r="HM825" s="1637"/>
      <c r="HN825" s="1637"/>
      <c r="HO825" s="1637"/>
      <c r="HP825" s="1637"/>
      <c r="HQ825" s="1637"/>
      <c r="HR825" s="1637"/>
      <c r="HS825" s="1637"/>
      <c r="HT825" s="1637"/>
      <c r="HU825" s="1637"/>
      <c r="HV825" s="1637"/>
      <c r="HW825" s="1637"/>
      <c r="HX825" s="1637"/>
      <c r="HY825" s="1637"/>
      <c r="HZ825" s="1637"/>
      <c r="IA825" s="1637"/>
      <c r="IB825" s="1637"/>
      <c r="IC825" s="1637"/>
      <c r="ID825" s="1637"/>
      <c r="IK825" s="1641"/>
      <c r="IL825" s="1641"/>
      <c r="JB825" s="1641"/>
    </row>
    <row r="826" spans="1:262" ht="12" customHeight="1">
      <c r="A826" s="1835"/>
      <c r="B826" s="1835"/>
      <c r="C826" s="1636"/>
      <c r="D826" s="1636"/>
      <c r="E826" s="1636"/>
      <c r="F826" s="1631"/>
      <c r="H826" s="521" t="s">
        <v>118</v>
      </c>
      <c r="J826" s="1833">
        <f>BK805</f>
        <v>0</v>
      </c>
      <c r="K826" s="1833">
        <f>BL805</f>
        <v>0</v>
      </c>
      <c r="L826" s="1833">
        <f>BM805</f>
        <v>0</v>
      </c>
      <c r="M826" s="1833">
        <f>BN805</f>
        <v>0</v>
      </c>
      <c r="N826" s="1833">
        <f>BO805</f>
        <v>0</v>
      </c>
      <c r="O826" s="1833">
        <f>SUM(J826:N826)</f>
        <v>0</v>
      </c>
      <c r="R826" s="1838"/>
      <c r="S826" s="1838"/>
      <c r="T826" s="1838"/>
      <c r="U826" s="1838"/>
      <c r="V826" s="1838"/>
      <c r="W826" s="521"/>
      <c r="Z826" s="1631"/>
      <c r="AA826" s="521"/>
      <c r="AB826" s="522"/>
      <c r="AC826" s="522"/>
      <c r="AD826" s="522"/>
      <c r="AE826" s="522"/>
      <c r="AF826" s="522"/>
      <c r="AG826" s="522"/>
      <c r="AH826" s="521"/>
      <c r="AI826" s="1631"/>
      <c r="GT826" s="1637"/>
      <c r="GY826" s="1637"/>
      <c r="GZ826" s="1637"/>
      <c r="HA826" s="1637"/>
      <c r="HB826" s="1637"/>
      <c r="HC826" s="1637"/>
      <c r="HD826" s="1637"/>
      <c r="HE826" s="1637"/>
      <c r="HF826" s="1637"/>
      <c r="HG826" s="1637"/>
      <c r="HH826" s="1637"/>
      <c r="HI826" s="1637"/>
      <c r="HJ826" s="1637"/>
      <c r="HK826" s="1637"/>
      <c r="HL826" s="1637"/>
      <c r="HM826" s="1637"/>
      <c r="HN826" s="1637"/>
      <c r="HO826" s="1637"/>
      <c r="HP826" s="1637"/>
      <c r="HQ826" s="1637"/>
      <c r="HR826" s="1637"/>
      <c r="HS826" s="1637"/>
      <c r="HT826" s="1637"/>
      <c r="HU826" s="1637"/>
      <c r="HV826" s="1637"/>
      <c r="HW826" s="1637"/>
      <c r="HX826" s="1637"/>
      <c r="HY826" s="1637"/>
      <c r="HZ826" s="1637"/>
      <c r="IA826" s="1637"/>
      <c r="IB826" s="1637"/>
      <c r="IC826" s="1637"/>
      <c r="ID826" s="1637"/>
      <c r="IK826" s="1641"/>
      <c r="IL826" s="1641"/>
      <c r="JB826" s="1641"/>
    </row>
    <row r="827" spans="1:262" ht="12" customHeight="1">
      <c r="A827" s="1835"/>
      <c r="B827" s="1835"/>
      <c r="C827" s="521" t="s">
        <v>2512</v>
      </c>
      <c r="D827" s="1631"/>
      <c r="E827" s="1634"/>
      <c r="F827" s="1631"/>
      <c r="H827" s="521" t="s">
        <v>539</v>
      </c>
      <c r="J827" s="1833">
        <f>SUM(J825:J826)</f>
        <v>0</v>
      </c>
      <c r="K827" s="1833">
        <f>SUM(K825:K826)</f>
        <v>0</v>
      </c>
      <c r="L827" s="1833">
        <f>SUM(L825:L826)</f>
        <v>0</v>
      </c>
      <c r="M827" s="1833">
        <f>SUM(M825:M826)</f>
        <v>0</v>
      </c>
      <c r="N827" s="1833">
        <f>SUM(N825:N826)</f>
        <v>0</v>
      </c>
      <c r="O827" s="1833">
        <f>SUM(J827:N827)</f>
        <v>0</v>
      </c>
      <c r="R827" s="1838"/>
      <c r="S827" s="1838"/>
      <c r="T827" s="1838"/>
      <c r="U827" s="1838"/>
      <c r="V827" s="1838"/>
      <c r="W827" s="1629"/>
      <c r="Z827" s="1631"/>
      <c r="AA827" s="521"/>
      <c r="AB827" s="522"/>
      <c r="AC827" s="522"/>
      <c r="AD827" s="522"/>
      <c r="AE827" s="522"/>
      <c r="AF827" s="522"/>
      <c r="AG827" s="522"/>
      <c r="AH827" s="521"/>
      <c r="AI827" s="1631"/>
      <c r="GT827" s="1637"/>
      <c r="GY827" s="1637"/>
      <c r="GZ827" s="1637"/>
      <c r="HA827" s="1637"/>
      <c r="HB827" s="1637"/>
      <c r="HC827" s="1637"/>
      <c r="HD827" s="1637"/>
      <c r="HE827" s="1637"/>
      <c r="HF827" s="1637"/>
      <c r="HG827" s="1637"/>
      <c r="HH827" s="1637"/>
      <c r="HI827" s="1637"/>
      <c r="HJ827" s="1637"/>
      <c r="HK827" s="1637"/>
      <c r="HL827" s="1637"/>
      <c r="HM827" s="1637"/>
      <c r="HN827" s="1637"/>
      <c r="HO827" s="1637"/>
      <c r="HP827" s="1637"/>
      <c r="HQ827" s="1637"/>
      <c r="HR827" s="1637"/>
      <c r="HS827" s="1637"/>
      <c r="HT827" s="1637"/>
      <c r="HU827" s="1637"/>
      <c r="HV827" s="1637"/>
      <c r="HW827" s="1637"/>
      <c r="HX827" s="1637"/>
      <c r="HY827" s="1637"/>
      <c r="HZ827" s="1637"/>
      <c r="IA827" s="1637"/>
      <c r="IB827" s="1637"/>
      <c r="IC827" s="1637"/>
      <c r="ID827" s="1637"/>
      <c r="IK827" s="1641"/>
      <c r="IL827" s="1641"/>
      <c r="JB827" s="1641"/>
    </row>
    <row r="828" spans="1:262" ht="9" customHeight="1">
      <c r="A828" s="1835"/>
      <c r="B828" s="1835"/>
      <c r="D828" s="1636"/>
      <c r="E828" s="1634"/>
      <c r="F828" s="1631"/>
      <c r="H828" s="521"/>
      <c r="J828" s="1836"/>
      <c r="K828" s="1836"/>
      <c r="L828" s="1836"/>
      <c r="M828" s="1836"/>
      <c r="N828" s="1836"/>
      <c r="O828" s="1836"/>
      <c r="R828" s="1653" t="str">
        <f>C829</f>
        <v>Type of Construction Activity</v>
      </c>
      <c r="T828" s="1837"/>
      <c r="W828" s="1631"/>
      <c r="Z828" s="1631"/>
      <c r="AA828" s="521"/>
      <c r="AB828" s="1631"/>
      <c r="AC828" s="1631"/>
      <c r="AD828" s="1631"/>
      <c r="AE828" s="1631"/>
      <c r="AF828" s="1631"/>
      <c r="AG828" s="1631"/>
      <c r="AI828" s="1631"/>
      <c r="GT828" s="1637"/>
      <c r="GY828" s="1637"/>
      <c r="GZ828" s="1637"/>
      <c r="HA828" s="1637"/>
      <c r="HB828" s="1637"/>
      <c r="HC828" s="1637"/>
      <c r="HD828" s="1637"/>
      <c r="HE828" s="1637"/>
      <c r="HF828" s="1637"/>
      <c r="HG828" s="1637"/>
      <c r="HH828" s="1637"/>
      <c r="HI828" s="1637"/>
      <c r="HJ828" s="1637"/>
      <c r="HK828" s="1637"/>
      <c r="HL828" s="1637"/>
      <c r="HM828" s="1637"/>
      <c r="HN828" s="1637"/>
      <c r="HO828" s="1637"/>
      <c r="HP828" s="1637"/>
      <c r="HQ828" s="1637"/>
      <c r="HR828" s="1637"/>
      <c r="HS828" s="1637"/>
      <c r="HT828" s="1637"/>
      <c r="HU828" s="1637"/>
      <c r="HV828" s="1637"/>
      <c r="HW828" s="1637"/>
      <c r="HX828" s="1637"/>
      <c r="HY828" s="1637"/>
      <c r="HZ828" s="1637"/>
      <c r="IA828" s="1637"/>
      <c r="IB828" s="1637"/>
      <c r="IC828" s="1637"/>
      <c r="ID828" s="1637"/>
      <c r="IK828" s="1641"/>
      <c r="IL828" s="1641"/>
      <c r="JB828" s="1641"/>
    </row>
    <row r="829" spans="1:262" ht="12" customHeight="1">
      <c r="A829" s="1835"/>
      <c r="B829" s="1835"/>
      <c r="C829" s="1838" t="s">
        <v>38</v>
      </c>
      <c r="D829" s="1838"/>
      <c r="E829" s="1634" t="s">
        <v>2295</v>
      </c>
      <c r="F829" s="1631"/>
      <c r="H829" s="521" t="s">
        <v>1432</v>
      </c>
      <c r="J829" s="1833">
        <f>DD805</f>
        <v>0</v>
      </c>
      <c r="K829" s="1833">
        <f>DE805</f>
        <v>12</v>
      </c>
      <c r="L829" s="1833">
        <f>DF805</f>
        <v>56</v>
      </c>
      <c r="M829" s="1833">
        <f>DG805</f>
        <v>8</v>
      </c>
      <c r="N829" s="1833">
        <f>DH805</f>
        <v>8</v>
      </c>
      <c r="O829" s="1833">
        <f t="shared" ref="O829:O839" si="263">SUM(J829:N829)</f>
        <v>84</v>
      </c>
      <c r="R829" s="1838"/>
      <c r="S829" s="1838"/>
      <c r="T829" s="1838"/>
      <c r="U829" s="1838"/>
      <c r="V829" s="1838"/>
      <c r="W829" s="1631"/>
      <c r="Z829" s="1631"/>
      <c r="AA829" s="521"/>
      <c r="AB829" s="522"/>
      <c r="AC829" s="522"/>
      <c r="AD829" s="522"/>
      <c r="AE829" s="522"/>
      <c r="AF829" s="522"/>
      <c r="AG829" s="522"/>
      <c r="IK829" s="1641"/>
      <c r="IL829" s="1641"/>
      <c r="JB829" s="1641"/>
    </row>
    <row r="830" spans="1:262" ht="12" customHeight="1">
      <c r="A830" s="1835"/>
      <c r="B830" s="1835"/>
      <c r="C830" s="1838"/>
      <c r="D830" s="1838"/>
      <c r="E830" s="1634"/>
      <c r="F830" s="1631"/>
      <c r="H830" s="521" t="s">
        <v>303</v>
      </c>
      <c r="J830" s="1833">
        <f>DI805</f>
        <v>0</v>
      </c>
      <c r="K830" s="1833">
        <f>DJ805</f>
        <v>0</v>
      </c>
      <c r="L830" s="1833">
        <f>DK805</f>
        <v>0</v>
      </c>
      <c r="M830" s="1833">
        <f>DL805</f>
        <v>0</v>
      </c>
      <c r="N830" s="1833">
        <f>DM805</f>
        <v>0</v>
      </c>
      <c r="O830" s="1833">
        <f t="shared" si="263"/>
        <v>0</v>
      </c>
      <c r="R830" s="1838"/>
      <c r="S830" s="1838"/>
      <c r="T830" s="1838"/>
      <c r="U830" s="1838"/>
      <c r="V830" s="1838"/>
      <c r="W830" s="1631"/>
      <c r="Z830" s="1631"/>
      <c r="AA830" s="521"/>
      <c r="AB830" s="522"/>
      <c r="AC830" s="522"/>
      <c r="AD830" s="522"/>
      <c r="AE830" s="522"/>
      <c r="AF830" s="522"/>
      <c r="AG830" s="522"/>
      <c r="AH830" s="1216"/>
      <c r="AI830" s="1631"/>
      <c r="GT830" s="1637"/>
      <c r="GY830" s="1637"/>
      <c r="GZ830" s="1637"/>
      <c r="HA830" s="1637"/>
      <c r="HB830" s="1637"/>
      <c r="HC830" s="1637"/>
      <c r="HD830" s="1637"/>
      <c r="HE830" s="1637"/>
      <c r="HF830" s="1637"/>
      <c r="HG830" s="1637"/>
      <c r="HH830" s="1637"/>
      <c r="HI830" s="1637"/>
      <c r="HJ830" s="1637"/>
      <c r="HK830" s="1637"/>
      <c r="HL830" s="1637"/>
      <c r="HM830" s="1637"/>
      <c r="HN830" s="1637"/>
      <c r="HO830" s="1637"/>
      <c r="HP830" s="1637"/>
      <c r="HQ830" s="1637"/>
      <c r="HR830" s="1637"/>
      <c r="HS830" s="1637"/>
      <c r="HT830" s="1637"/>
      <c r="HU830" s="1637"/>
      <c r="HV830" s="1637"/>
      <c r="HW830" s="1637"/>
      <c r="HX830" s="1637"/>
      <c r="HY830" s="1637"/>
      <c r="HZ830" s="1637"/>
      <c r="IA830" s="1637"/>
      <c r="IB830" s="1637"/>
      <c r="IC830" s="1637"/>
      <c r="ID830" s="1637"/>
      <c r="IK830" s="1641"/>
      <c r="IL830" s="1641"/>
      <c r="JB830" s="1641"/>
    </row>
    <row r="831" spans="1:262" ht="12" customHeight="1">
      <c r="A831" s="1835"/>
      <c r="B831" s="1835"/>
      <c r="C831" s="1838"/>
      <c r="D831" s="1838"/>
      <c r="E831" s="1634"/>
      <c r="F831" s="1631"/>
      <c r="H831" s="521" t="s">
        <v>32</v>
      </c>
      <c r="J831" s="1833">
        <f>SUM(J829:J830)+DN805</f>
        <v>0</v>
      </c>
      <c r="K831" s="1833">
        <f>SUM(K829:K830)+DO805</f>
        <v>12</v>
      </c>
      <c r="L831" s="1833">
        <f>SUM(L829:L830)+DP805</f>
        <v>56</v>
      </c>
      <c r="M831" s="1833">
        <f>SUM(M829:M830)+DQ805</f>
        <v>8</v>
      </c>
      <c r="N831" s="1833">
        <f>SUM(N829:N830)+DR805</f>
        <v>8</v>
      </c>
      <c r="O831" s="1833">
        <f t="shared" si="263"/>
        <v>84</v>
      </c>
      <c r="R831" s="1838"/>
      <c r="S831" s="1838"/>
      <c r="T831" s="1838"/>
      <c r="U831" s="1838"/>
      <c r="V831" s="1838"/>
      <c r="W831" s="1629"/>
      <c r="Z831" s="1631"/>
      <c r="AA831" s="521"/>
      <c r="AB831" s="522"/>
      <c r="AC831" s="522"/>
      <c r="AD831" s="522"/>
      <c r="AE831" s="522"/>
      <c r="AF831" s="522"/>
      <c r="AG831" s="522"/>
      <c r="AH831" s="521"/>
      <c r="AI831" s="1631"/>
      <c r="GT831" s="1637"/>
      <c r="GY831" s="1637"/>
      <c r="GZ831" s="1637"/>
      <c r="HA831" s="1637"/>
      <c r="HB831" s="1637"/>
      <c r="HC831" s="1637"/>
      <c r="HD831" s="1637"/>
      <c r="HE831" s="1637"/>
      <c r="HF831" s="1637"/>
      <c r="HG831" s="1637"/>
      <c r="HH831" s="1637"/>
      <c r="HI831" s="1637"/>
      <c r="HJ831" s="1637"/>
      <c r="HK831" s="1637"/>
      <c r="HL831" s="1637"/>
      <c r="HM831" s="1637"/>
      <c r="HN831" s="1637"/>
      <c r="HO831" s="1637"/>
      <c r="HP831" s="1637"/>
      <c r="HQ831" s="1637"/>
      <c r="HR831" s="1637"/>
      <c r="HS831" s="1637"/>
      <c r="HT831" s="1637"/>
      <c r="HU831" s="1637"/>
      <c r="HV831" s="1637"/>
      <c r="HW831" s="1637"/>
      <c r="HX831" s="1637"/>
      <c r="HY831" s="1637"/>
      <c r="HZ831" s="1637"/>
      <c r="IA831" s="1637"/>
      <c r="IB831" s="1637"/>
      <c r="IC831" s="1637"/>
      <c r="ID831" s="1637"/>
      <c r="IK831" s="1641"/>
      <c r="IL831" s="1641"/>
      <c r="JB831" s="1641"/>
    </row>
    <row r="832" spans="1:262" ht="12" customHeight="1">
      <c r="A832" s="1835"/>
      <c r="B832" s="1835"/>
      <c r="C832" s="1838"/>
      <c r="D832" s="1838"/>
      <c r="E832" s="1634" t="s">
        <v>2137</v>
      </c>
      <c r="F832" s="1631"/>
      <c r="H832" s="521" t="s">
        <v>1432</v>
      </c>
      <c r="J832" s="1833">
        <f>DS805</f>
        <v>0</v>
      </c>
      <c r="K832" s="1833">
        <f>DT805</f>
        <v>0</v>
      </c>
      <c r="L832" s="1833">
        <f>DU805</f>
        <v>0</v>
      </c>
      <c r="M832" s="1833">
        <f>DV805</f>
        <v>0</v>
      </c>
      <c r="N832" s="1833">
        <f>DW805</f>
        <v>0</v>
      </c>
      <c r="O832" s="1833">
        <f t="shared" si="263"/>
        <v>0</v>
      </c>
      <c r="R832" s="1838"/>
      <c r="S832" s="1838"/>
      <c r="T832" s="1838"/>
      <c r="U832" s="1838"/>
      <c r="V832" s="1838"/>
      <c r="W832" s="1631"/>
      <c r="Z832" s="1631"/>
      <c r="AA832" s="521"/>
      <c r="AB832" s="522"/>
      <c r="AC832" s="522"/>
      <c r="AD832" s="522"/>
      <c r="AE832" s="522"/>
      <c r="AF832" s="522"/>
      <c r="AG832" s="522"/>
      <c r="IK832" s="1641"/>
      <c r="IL832" s="1641"/>
      <c r="JB832" s="1641"/>
    </row>
    <row r="833" spans="1:262" ht="12" customHeight="1">
      <c r="A833" s="1835"/>
      <c r="B833" s="1835"/>
      <c r="C833" s="1838"/>
      <c r="D833" s="1838"/>
      <c r="E833" s="1634"/>
      <c r="F833" s="1631"/>
      <c r="H833" s="521" t="s">
        <v>303</v>
      </c>
      <c r="J833" s="1833">
        <f>DX805</f>
        <v>0</v>
      </c>
      <c r="K833" s="1833">
        <f>DY805</f>
        <v>0</v>
      </c>
      <c r="L833" s="1833">
        <f>DZ805</f>
        <v>0</v>
      </c>
      <c r="M833" s="1833">
        <f>EA805</f>
        <v>0</v>
      </c>
      <c r="N833" s="1833">
        <f>EB805</f>
        <v>0</v>
      </c>
      <c r="O833" s="1833">
        <f t="shared" si="263"/>
        <v>0</v>
      </c>
      <c r="R833" s="1838"/>
      <c r="S833" s="1838"/>
      <c r="T833" s="1838"/>
      <c r="U833" s="1838"/>
      <c r="V833" s="1838"/>
      <c r="W833" s="1631"/>
      <c r="Z833" s="1631"/>
      <c r="AA833" s="521"/>
      <c r="AB833" s="522"/>
      <c r="AC833" s="522"/>
      <c r="AD833" s="522"/>
      <c r="AE833" s="522"/>
      <c r="AF833" s="522"/>
      <c r="AG833" s="522"/>
      <c r="AH833" s="1216"/>
      <c r="AI833" s="1631"/>
      <c r="GT833" s="1637"/>
      <c r="GY833" s="1637"/>
      <c r="GZ833" s="1637"/>
      <c r="HA833" s="1637"/>
      <c r="HB833" s="1637"/>
      <c r="HC833" s="1637"/>
      <c r="HD833" s="1637"/>
      <c r="HE833" s="1637"/>
      <c r="HF833" s="1637"/>
      <c r="HG833" s="1637"/>
      <c r="HH833" s="1637"/>
      <c r="HI833" s="1637"/>
      <c r="HJ833" s="1637"/>
      <c r="HK833" s="1637"/>
      <c r="HL833" s="1637"/>
      <c r="HM833" s="1637"/>
      <c r="HN833" s="1637"/>
      <c r="HO833" s="1637"/>
      <c r="HP833" s="1637"/>
      <c r="HQ833" s="1637"/>
      <c r="HR833" s="1637"/>
      <c r="HS833" s="1637"/>
      <c r="HT833" s="1637"/>
      <c r="HU833" s="1637"/>
      <c r="HV833" s="1637"/>
      <c r="HW833" s="1637"/>
      <c r="HX833" s="1637"/>
      <c r="HY833" s="1637"/>
      <c r="HZ833" s="1637"/>
      <c r="IA833" s="1637"/>
      <c r="IB833" s="1637"/>
      <c r="IC833" s="1637"/>
      <c r="ID833" s="1637"/>
      <c r="IK833" s="1641"/>
      <c r="IL833" s="1641"/>
      <c r="JB833" s="1641"/>
    </row>
    <row r="834" spans="1:262" ht="12" customHeight="1">
      <c r="A834" s="1835"/>
      <c r="B834" s="1835"/>
      <c r="C834" s="1838"/>
      <c r="D834" s="1838"/>
      <c r="E834" s="1634"/>
      <c r="F834" s="1631"/>
      <c r="H834" s="521" t="s">
        <v>32</v>
      </c>
      <c r="J834" s="1833">
        <f>SUM(J832:J833)+EC805</f>
        <v>0</v>
      </c>
      <c r="K834" s="1833">
        <f>SUM(K832:K833)+ED805</f>
        <v>0</v>
      </c>
      <c r="L834" s="1833">
        <f>SUM(L832:L833)+EE805</f>
        <v>0</v>
      </c>
      <c r="M834" s="1833">
        <f>SUM(M832:M833)+EF805</f>
        <v>0</v>
      </c>
      <c r="N834" s="1833">
        <f>SUM(N832:N833)+EG805</f>
        <v>0</v>
      </c>
      <c r="O834" s="1833">
        <f t="shared" si="263"/>
        <v>0</v>
      </c>
      <c r="R834" s="1838"/>
      <c r="S834" s="1838"/>
      <c r="T834" s="1838"/>
      <c r="U834" s="1838"/>
      <c r="V834" s="1838"/>
      <c r="W834" s="1629"/>
      <c r="Z834" s="1631"/>
      <c r="AA834" s="521"/>
      <c r="AB834" s="522"/>
      <c r="AC834" s="522"/>
      <c r="AD834" s="522"/>
      <c r="AE834" s="522"/>
      <c r="AF834" s="522"/>
      <c r="AG834" s="522"/>
      <c r="AH834" s="521"/>
      <c r="AI834" s="1631"/>
      <c r="GT834" s="1637"/>
      <c r="GY834" s="1637"/>
      <c r="GZ834" s="1637"/>
      <c r="HA834" s="1637"/>
      <c r="HB834" s="1637"/>
      <c r="HC834" s="1637"/>
      <c r="HD834" s="1637"/>
      <c r="HE834" s="1637"/>
      <c r="HF834" s="1637"/>
      <c r="HG834" s="1637"/>
      <c r="HH834" s="1637"/>
      <c r="HI834" s="1637"/>
      <c r="HJ834" s="1637"/>
      <c r="HK834" s="1637"/>
      <c r="HL834" s="1637"/>
      <c r="HM834" s="1637"/>
      <c r="HN834" s="1637"/>
      <c r="HO834" s="1637"/>
      <c r="HP834" s="1637"/>
      <c r="HQ834" s="1637"/>
      <c r="HR834" s="1637"/>
      <c r="HS834" s="1637"/>
      <c r="HT834" s="1637"/>
      <c r="HU834" s="1637"/>
      <c r="HV834" s="1637"/>
      <c r="HW834" s="1637"/>
      <c r="HX834" s="1637"/>
      <c r="HY834" s="1637"/>
      <c r="HZ834" s="1637"/>
      <c r="IA834" s="1637"/>
      <c r="IB834" s="1637"/>
      <c r="IC834" s="1637"/>
      <c r="ID834" s="1637"/>
      <c r="IK834" s="1641"/>
      <c r="IL834" s="1641"/>
      <c r="JB834" s="1641"/>
    </row>
    <row r="835" spans="1:262" ht="12" customHeight="1">
      <c r="A835" s="1835"/>
      <c r="B835" s="1835"/>
      <c r="C835" s="1485"/>
      <c r="D835" s="1631"/>
      <c r="E835" s="1485" t="s">
        <v>1419</v>
      </c>
      <c r="F835" s="1485"/>
      <c r="H835" s="521" t="s">
        <v>1432</v>
      </c>
      <c r="J835" s="1833">
        <f>EH805</f>
        <v>0</v>
      </c>
      <c r="K835" s="1833">
        <f>EI805</f>
        <v>0</v>
      </c>
      <c r="L835" s="1833">
        <f>EJ805</f>
        <v>0</v>
      </c>
      <c r="M835" s="1833">
        <f>EK805</f>
        <v>0</v>
      </c>
      <c r="N835" s="1833">
        <f>EL805</f>
        <v>0</v>
      </c>
      <c r="O835" s="1833">
        <f t="shared" si="263"/>
        <v>0</v>
      </c>
      <c r="R835" s="1838"/>
      <c r="S835" s="1838"/>
      <c r="T835" s="1838"/>
      <c r="U835" s="1838"/>
      <c r="V835" s="1838"/>
      <c r="W835" s="1631"/>
      <c r="Z835" s="1631"/>
      <c r="AA835" s="521"/>
      <c r="AB835" s="522"/>
      <c r="AC835" s="522"/>
      <c r="AD835" s="522"/>
      <c r="AE835" s="522"/>
      <c r="AF835" s="522"/>
      <c r="AG835" s="522"/>
      <c r="IK835" s="1641"/>
      <c r="IL835" s="1641"/>
      <c r="JB835" s="1641"/>
    </row>
    <row r="836" spans="1:262" ht="12" customHeight="1">
      <c r="A836" s="1835"/>
      <c r="B836" s="1835"/>
      <c r="C836" s="1485"/>
      <c r="D836" s="1631"/>
      <c r="E836" s="1485"/>
      <c r="F836" s="1485"/>
      <c r="H836" s="521" t="s">
        <v>303</v>
      </c>
      <c r="J836" s="1833">
        <f>EM805</f>
        <v>0</v>
      </c>
      <c r="K836" s="1833">
        <f>EN805</f>
        <v>0</v>
      </c>
      <c r="L836" s="1833">
        <f>EO805</f>
        <v>0</v>
      </c>
      <c r="M836" s="1833">
        <f>EP805</f>
        <v>0</v>
      </c>
      <c r="N836" s="1833">
        <f>EQ805</f>
        <v>0</v>
      </c>
      <c r="O836" s="1833">
        <f t="shared" si="263"/>
        <v>0</v>
      </c>
      <c r="R836" s="1838"/>
      <c r="S836" s="1838"/>
      <c r="T836" s="1838"/>
      <c r="U836" s="1838"/>
      <c r="V836" s="1838"/>
      <c r="W836" s="1631"/>
      <c r="Z836" s="1631"/>
      <c r="AA836" s="521"/>
      <c r="AB836" s="522"/>
      <c r="AC836" s="522"/>
      <c r="AD836" s="522"/>
      <c r="AE836" s="522"/>
      <c r="AF836" s="522"/>
      <c r="AG836" s="522"/>
      <c r="AH836" s="1216"/>
      <c r="AI836" s="1631"/>
      <c r="GT836" s="1637"/>
      <c r="GY836" s="1637"/>
      <c r="GZ836" s="1637"/>
      <c r="HA836" s="1637"/>
      <c r="HB836" s="1637"/>
      <c r="HC836" s="1637"/>
      <c r="HD836" s="1637"/>
      <c r="HE836" s="1637"/>
      <c r="HF836" s="1637"/>
      <c r="HG836" s="1637"/>
      <c r="HH836" s="1637"/>
      <c r="HI836" s="1637"/>
      <c r="HJ836" s="1637"/>
      <c r="HK836" s="1637"/>
      <c r="HL836" s="1637"/>
      <c r="HM836" s="1637"/>
      <c r="HN836" s="1637"/>
      <c r="HO836" s="1637"/>
      <c r="HP836" s="1637"/>
      <c r="HQ836" s="1637"/>
      <c r="HR836" s="1637"/>
      <c r="HS836" s="1637"/>
      <c r="HT836" s="1637"/>
      <c r="HU836" s="1637"/>
      <c r="HV836" s="1637"/>
      <c r="HW836" s="1637"/>
      <c r="HX836" s="1637"/>
      <c r="HY836" s="1637"/>
      <c r="HZ836" s="1637"/>
      <c r="IA836" s="1637"/>
      <c r="IB836" s="1637"/>
      <c r="IC836" s="1637"/>
      <c r="ID836" s="1637"/>
      <c r="IK836" s="1641"/>
      <c r="IL836" s="1641"/>
      <c r="JB836" s="1641"/>
    </row>
    <row r="837" spans="1:262" ht="12" customHeight="1">
      <c r="A837" s="1835"/>
      <c r="B837" s="1835"/>
      <c r="C837" s="1485"/>
      <c r="D837" s="1631"/>
      <c r="E837" s="1634"/>
      <c r="F837" s="1631"/>
      <c r="H837" s="521" t="s">
        <v>32</v>
      </c>
      <c r="J837" s="1833">
        <f>SUM(J835:J836)+ER805</f>
        <v>0</v>
      </c>
      <c r="K837" s="1833">
        <f>SUM(K835:K836)+ES805</f>
        <v>0</v>
      </c>
      <c r="L837" s="1833">
        <f>SUM(L835:L836)+ET805</f>
        <v>0</v>
      </c>
      <c r="M837" s="1833">
        <f>SUM(M835:M836)+EU805</f>
        <v>0</v>
      </c>
      <c r="N837" s="1833">
        <f>SUM(N835:N836)+EV805</f>
        <v>0</v>
      </c>
      <c r="O837" s="1833">
        <f t="shared" si="263"/>
        <v>0</v>
      </c>
      <c r="R837" s="1838"/>
      <c r="S837" s="1838"/>
      <c r="T837" s="1838"/>
      <c r="U837" s="1838"/>
      <c r="V837" s="1838"/>
      <c r="W837" s="1629"/>
      <c r="Z837" s="1631"/>
      <c r="AA837" s="521"/>
      <c r="AB837" s="522"/>
      <c r="AC837" s="522"/>
      <c r="AD837" s="522"/>
      <c r="AE837" s="522"/>
      <c r="AF837" s="522"/>
      <c r="AG837" s="522"/>
      <c r="AH837" s="521"/>
      <c r="AI837" s="1631"/>
      <c r="GT837" s="1637"/>
      <c r="GY837" s="1637"/>
      <c r="GZ837" s="1637"/>
      <c r="HA837" s="1637"/>
      <c r="HB837" s="1637"/>
      <c r="HC837" s="1637"/>
      <c r="HD837" s="1637"/>
      <c r="HE837" s="1637"/>
      <c r="HF837" s="1637"/>
      <c r="HG837" s="1637"/>
      <c r="HH837" s="1637"/>
      <c r="HI837" s="1637"/>
      <c r="HJ837" s="1637"/>
      <c r="HK837" s="1637"/>
      <c r="HL837" s="1637"/>
      <c r="HM837" s="1637"/>
      <c r="HN837" s="1637"/>
      <c r="HO837" s="1637"/>
      <c r="HP837" s="1637"/>
      <c r="HQ837" s="1637"/>
      <c r="HR837" s="1637"/>
      <c r="HS837" s="1637"/>
      <c r="HT837" s="1637"/>
      <c r="HU837" s="1637"/>
      <c r="HV837" s="1637"/>
      <c r="HW837" s="1637"/>
      <c r="HX837" s="1637"/>
      <c r="HY837" s="1637"/>
      <c r="HZ837" s="1637"/>
      <c r="IA837" s="1637"/>
      <c r="IB837" s="1637"/>
      <c r="IC837" s="1637"/>
      <c r="ID837" s="1637"/>
      <c r="IK837" s="1641"/>
      <c r="IL837" s="1641"/>
      <c r="JB837" s="1641"/>
    </row>
    <row r="838" spans="1:262" ht="12" customHeight="1">
      <c r="A838" s="1835"/>
      <c r="B838" s="1835"/>
      <c r="C838" s="1485"/>
      <c r="D838" s="1631"/>
      <c r="E838" s="1634" t="s">
        <v>365</v>
      </c>
      <c r="F838" s="1631"/>
      <c r="G838" s="1652"/>
      <c r="J838" s="1833">
        <f>'Part VI-Revenues &amp; Expenses'!J110</f>
        <v>0</v>
      </c>
      <c r="K838" s="1833">
        <f>'Part VI-Revenues &amp; Expenses'!K110</f>
        <v>0</v>
      </c>
      <c r="L838" s="1833">
        <f>'Part VI-Revenues &amp; Expenses'!L110</f>
        <v>0</v>
      </c>
      <c r="M838" s="1833">
        <f>'Part VI-Revenues &amp; Expenses'!M110</f>
        <v>0</v>
      </c>
      <c r="N838" s="1833">
        <f>'Part VI-Revenues &amp; Expenses'!N110</f>
        <v>0</v>
      </c>
      <c r="O838" s="1833">
        <f t="shared" si="263"/>
        <v>0</v>
      </c>
      <c r="R838" s="1838"/>
      <c r="S838" s="1838"/>
      <c r="T838" s="1838"/>
      <c r="U838" s="1838"/>
      <c r="V838" s="1838"/>
      <c r="W838" s="1631"/>
      <c r="Z838" s="1631"/>
      <c r="AA838" s="521"/>
      <c r="AB838" s="522"/>
      <c r="AC838" s="522"/>
      <c r="AD838" s="522"/>
      <c r="AE838" s="522"/>
      <c r="AF838" s="522"/>
      <c r="AG838" s="522"/>
      <c r="AH838" s="1216"/>
      <c r="AI838" s="1631"/>
      <c r="GT838" s="1637"/>
      <c r="GY838" s="1637"/>
      <c r="GZ838" s="1637"/>
      <c r="HA838" s="1637"/>
      <c r="HB838" s="1637"/>
      <c r="HC838" s="1637"/>
      <c r="HD838" s="1637"/>
      <c r="HE838" s="1637"/>
      <c r="HF838" s="1637"/>
      <c r="HG838" s="1637"/>
      <c r="HH838" s="1637"/>
      <c r="HI838" s="1637"/>
      <c r="HJ838" s="1637"/>
      <c r="HK838" s="1637"/>
      <c r="HL838" s="1637"/>
      <c r="HM838" s="1637"/>
      <c r="HN838" s="1637"/>
      <c r="HO838" s="1637"/>
      <c r="HP838" s="1637"/>
      <c r="HQ838" s="1637"/>
      <c r="HR838" s="1637"/>
      <c r="HS838" s="1637"/>
      <c r="HT838" s="1637"/>
      <c r="HU838" s="1637"/>
      <c r="HV838" s="1637"/>
      <c r="HW838" s="1637"/>
      <c r="HX838" s="1637"/>
      <c r="HY838" s="1637"/>
      <c r="HZ838" s="1637"/>
      <c r="IA838" s="1637"/>
      <c r="IB838" s="1637"/>
      <c r="IC838" s="1637"/>
      <c r="ID838" s="1637"/>
      <c r="IK838" s="1641"/>
      <c r="IL838" s="1641"/>
      <c r="JB838" s="1641"/>
    </row>
    <row r="839" spans="1:262" ht="12" customHeight="1">
      <c r="A839" s="1839" t="str">
        <f>IF(AND('Part IV-A-Uses of Funds'!$T$165="Yes",'Part IX Scoring Criteria'!$O$420&gt;0,O839&lt;1),"SHOW HISTORIC UNITS HERE &gt;&gt;&gt;&gt;","")</f>
        <v/>
      </c>
      <c r="B839" s="1839"/>
      <c r="C839" s="1839"/>
      <c r="D839" s="1839"/>
      <c r="E839" s="1634" t="s">
        <v>4531</v>
      </c>
      <c r="F839" s="1631"/>
      <c r="G839" s="1652"/>
      <c r="J839" s="1833">
        <f>'Part VI-Revenues &amp; Expenses'!J111</f>
        <v>0</v>
      </c>
      <c r="K839" s="1833">
        <f>'Part VI-Revenues &amp; Expenses'!K111</f>
        <v>0</v>
      </c>
      <c r="L839" s="1833">
        <f>'Part VI-Revenues &amp; Expenses'!L111</f>
        <v>0</v>
      </c>
      <c r="M839" s="1833">
        <f>'Part VI-Revenues &amp; Expenses'!M111</f>
        <v>0</v>
      </c>
      <c r="N839" s="1833">
        <f>'Part VI-Revenues &amp; Expenses'!N111</f>
        <v>0</v>
      </c>
      <c r="O839" s="1833">
        <f t="shared" si="263"/>
        <v>0</v>
      </c>
      <c r="R839" s="1838"/>
      <c r="S839" s="1838"/>
      <c r="T839" s="1838"/>
      <c r="U839" s="1838"/>
      <c r="V839" s="1838"/>
      <c r="W839" s="1631"/>
      <c r="Z839" s="1631"/>
      <c r="AA839" s="521"/>
      <c r="AB839" s="522"/>
      <c r="AC839" s="522"/>
      <c r="AD839" s="522"/>
      <c r="AE839" s="522"/>
      <c r="AF839" s="522"/>
      <c r="AG839" s="522"/>
      <c r="AH839" s="1216"/>
      <c r="AI839" s="1631"/>
      <c r="GT839" s="1637"/>
      <c r="GY839" s="1637"/>
      <c r="GZ839" s="1637"/>
      <c r="HA839" s="1637"/>
      <c r="HB839" s="1637"/>
      <c r="HC839" s="1637"/>
      <c r="HD839" s="1637"/>
      <c r="HE839" s="1637"/>
      <c r="HF839" s="1637"/>
      <c r="HG839" s="1637"/>
      <c r="HH839" s="1637"/>
      <c r="HI839" s="1637"/>
      <c r="HJ839" s="1637"/>
      <c r="HK839" s="1637"/>
      <c r="HL839" s="1637"/>
      <c r="HM839" s="1637"/>
      <c r="HN839" s="1637"/>
      <c r="HO839" s="1637"/>
      <c r="HP839" s="1637"/>
      <c r="HQ839" s="1637"/>
      <c r="HR839" s="1637"/>
      <c r="HS839" s="1637"/>
      <c r="HT839" s="1637"/>
      <c r="HU839" s="1637"/>
      <c r="HV839" s="1637"/>
      <c r="HW839" s="1637"/>
      <c r="HX839" s="1637"/>
      <c r="HY839" s="1637"/>
      <c r="HZ839" s="1637"/>
      <c r="IA839" s="1637"/>
      <c r="IB839" s="1637"/>
      <c r="IC839" s="1637"/>
      <c r="ID839" s="1637"/>
      <c r="IK839" s="1641"/>
      <c r="IL839" s="1641"/>
      <c r="JB839" s="1641"/>
    </row>
    <row r="840" spans="1:262" ht="9" customHeight="1">
      <c r="A840" s="1840"/>
      <c r="B840" s="1840"/>
      <c r="C840" s="1840"/>
      <c r="D840" s="1840"/>
      <c r="E840" s="1634"/>
      <c r="F840" s="1631"/>
      <c r="G840" s="1652"/>
      <c r="J840" s="521"/>
      <c r="K840" s="521"/>
      <c r="L840" s="521"/>
      <c r="M840" s="521"/>
      <c r="N840" s="521"/>
      <c r="O840" s="521"/>
      <c r="R840" s="1838"/>
      <c r="S840" s="1838"/>
      <c r="T840" s="1838"/>
      <c r="U840" s="1838"/>
      <c r="V840" s="1838"/>
      <c r="W840" s="1631"/>
      <c r="Z840" s="1631"/>
      <c r="AA840" s="521"/>
      <c r="AB840" s="522"/>
      <c r="AC840" s="522"/>
      <c r="AD840" s="522"/>
      <c r="AE840" s="522"/>
      <c r="AF840" s="522"/>
      <c r="AG840" s="522"/>
      <c r="AH840" s="1216"/>
      <c r="AI840" s="1631"/>
      <c r="GT840" s="1637"/>
      <c r="GY840" s="1637"/>
      <c r="GZ840" s="1637"/>
      <c r="HA840" s="1637"/>
      <c r="HB840" s="1637"/>
      <c r="HC840" s="1637"/>
      <c r="HD840" s="1637"/>
      <c r="HE840" s="1637"/>
      <c r="HF840" s="1637"/>
      <c r="HG840" s="1637"/>
      <c r="HH840" s="1637"/>
      <c r="HI840" s="1637"/>
      <c r="HJ840" s="1637"/>
      <c r="HK840" s="1637"/>
      <c r="HL840" s="1637"/>
      <c r="HM840" s="1637"/>
      <c r="HN840" s="1637"/>
      <c r="HO840" s="1637"/>
      <c r="HP840" s="1637"/>
      <c r="HQ840" s="1637"/>
      <c r="HR840" s="1637"/>
      <c r="HS840" s="1637"/>
      <c r="HT840" s="1637"/>
      <c r="HU840" s="1637"/>
      <c r="HV840" s="1637"/>
      <c r="HW840" s="1637"/>
      <c r="HX840" s="1637"/>
      <c r="HY840" s="1637"/>
      <c r="HZ840" s="1637"/>
      <c r="IA840" s="1637"/>
      <c r="IB840" s="1637"/>
      <c r="IC840" s="1637"/>
      <c r="ID840" s="1637"/>
      <c r="IK840" s="1641"/>
      <c r="IL840" s="1641"/>
      <c r="JB840" s="1641"/>
    </row>
    <row r="841" spans="1:262" ht="12" customHeight="1">
      <c r="A841" s="1840"/>
      <c r="B841" s="1840"/>
      <c r="C841" s="1840"/>
      <c r="D841" s="1840"/>
      <c r="E841" s="1634" t="s">
        <v>3357</v>
      </c>
      <c r="F841" s="1631"/>
      <c r="G841" s="1652"/>
      <c r="J841" s="1833">
        <f>J845+J847+J849+J851+J853+J855+J857+J859</f>
        <v>0</v>
      </c>
      <c r="K841" s="1833">
        <f>K845+K847+K849+K851+K853+K855+K857+K859</f>
        <v>0</v>
      </c>
      <c r="L841" s="1833">
        <f>L845+L847+L849+L851+L853+L855+L857+L859</f>
        <v>0</v>
      </c>
      <c r="M841" s="1833">
        <f>M845+M847+M849+M851+M853+M855+M857+M859</f>
        <v>0</v>
      </c>
      <c r="N841" s="1833">
        <f>N845+N847+N849+N851+N853+N855+N857+N859</f>
        <v>0</v>
      </c>
      <c r="O841" s="1833">
        <f>SUM(J841:N841)</f>
        <v>0</v>
      </c>
      <c r="R841" s="1838"/>
      <c r="S841" s="1838"/>
      <c r="T841" s="1838"/>
      <c r="U841" s="1838"/>
      <c r="V841" s="1838"/>
      <c r="W841" s="1631"/>
      <c r="Z841" s="1631"/>
      <c r="AA841" s="521"/>
      <c r="AB841" s="522"/>
      <c r="AC841" s="522"/>
      <c r="AD841" s="522"/>
      <c r="AE841" s="522"/>
      <c r="AF841" s="522"/>
      <c r="AG841" s="522"/>
      <c r="AH841" s="1216"/>
      <c r="AI841" s="1631"/>
      <c r="GT841" s="1637"/>
      <c r="GY841" s="1637"/>
      <c r="GZ841" s="1637"/>
      <c r="HA841" s="1637"/>
      <c r="HB841" s="1637"/>
      <c r="HC841" s="1637"/>
      <c r="HD841" s="1637"/>
      <c r="HE841" s="1637"/>
      <c r="HF841" s="1637"/>
      <c r="HG841" s="1637"/>
      <c r="HH841" s="1637"/>
      <c r="HI841" s="1637"/>
      <c r="HJ841" s="1637"/>
      <c r="HK841" s="1637"/>
      <c r="HL841" s="1637"/>
      <c r="HM841" s="1637"/>
      <c r="HN841" s="1637"/>
      <c r="HO841" s="1637"/>
      <c r="HP841" s="1637"/>
      <c r="HQ841" s="1637"/>
      <c r="HR841" s="1637"/>
      <c r="HS841" s="1637"/>
      <c r="HT841" s="1637"/>
      <c r="HU841" s="1637"/>
      <c r="HV841" s="1637"/>
      <c r="HW841" s="1637"/>
      <c r="HX841" s="1637"/>
      <c r="HY841" s="1637"/>
      <c r="HZ841" s="1637"/>
      <c r="IA841" s="1637"/>
      <c r="IB841" s="1637"/>
      <c r="IC841" s="1637"/>
      <c r="ID841" s="1637"/>
      <c r="IK841" s="1641"/>
      <c r="IL841" s="1641"/>
      <c r="JB841" s="1641"/>
    </row>
    <row r="842" spans="1:262" ht="9.75" customHeight="1">
      <c r="D842" s="1631"/>
      <c r="E842" s="1634"/>
      <c r="F842" s="1631"/>
      <c r="G842" s="1652"/>
      <c r="J842" s="1836"/>
      <c r="K842" s="1836"/>
      <c r="L842" s="1836"/>
      <c r="M842" s="1836"/>
      <c r="N842" s="1836"/>
      <c r="O842" s="1836"/>
      <c r="R842" s="1658" t="str">
        <f>C843</f>
        <v>Building Type: (for Utility Allowance, Monitoring Fees and other purposes)</v>
      </c>
      <c r="T842" s="1837"/>
      <c r="W842" s="1631"/>
      <c r="Z842" s="1631"/>
      <c r="AA842" s="521"/>
      <c r="AB842" s="1631"/>
      <c r="AC842" s="1631"/>
      <c r="AD842" s="1631"/>
      <c r="AE842" s="1631"/>
      <c r="AF842" s="1631"/>
      <c r="AG842" s="1631"/>
      <c r="AI842" s="1631"/>
      <c r="GT842" s="1637"/>
      <c r="GY842" s="1637"/>
      <c r="GZ842" s="1637"/>
      <c r="HA842" s="1637"/>
      <c r="HB842" s="1637"/>
      <c r="HC842" s="1637"/>
      <c r="HD842" s="1637"/>
      <c r="HE842" s="1637"/>
      <c r="HF842" s="1637"/>
      <c r="HG842" s="1637"/>
      <c r="HH842" s="1637"/>
      <c r="HI842" s="1637"/>
      <c r="HJ842" s="1637"/>
      <c r="HK842" s="1637"/>
      <c r="HL842" s="1637"/>
      <c r="HM842" s="1637"/>
      <c r="HN842" s="1637"/>
      <c r="HO842" s="1637"/>
      <c r="HP842" s="1637"/>
      <c r="HQ842" s="1637"/>
      <c r="HR842" s="1637"/>
      <c r="HS842" s="1637"/>
      <c r="HT842" s="1637"/>
      <c r="HU842" s="1637"/>
      <c r="HV842" s="1637"/>
      <c r="HW842" s="1637"/>
      <c r="HX842" s="1637"/>
      <c r="HY842" s="1637"/>
      <c r="HZ842" s="1637"/>
      <c r="IA842" s="1637"/>
      <c r="IB842" s="1637"/>
      <c r="IC842" s="1637"/>
      <c r="ID842" s="1637"/>
      <c r="IK842" s="1641"/>
      <c r="IL842" s="1641"/>
      <c r="JB842" s="1641"/>
    </row>
    <row r="843" spans="1:262" ht="12" customHeight="1">
      <c r="C843" s="1838" t="s">
        <v>4532</v>
      </c>
      <c r="D843" s="1838"/>
      <c r="E843" s="1634" t="s">
        <v>39</v>
      </c>
      <c r="F843" s="1631"/>
      <c r="G843" s="1652"/>
      <c r="J843" s="1833">
        <f t="shared" ref="J843:O843" si="264">SUM(J844:J851)</f>
        <v>0</v>
      </c>
      <c r="K843" s="1833">
        <f t="shared" si="264"/>
        <v>12</v>
      </c>
      <c r="L843" s="1833">
        <f t="shared" si="264"/>
        <v>56</v>
      </c>
      <c r="M843" s="1833">
        <f t="shared" si="264"/>
        <v>8</v>
      </c>
      <c r="N843" s="1833">
        <f t="shared" si="264"/>
        <v>8</v>
      </c>
      <c r="O843" s="1833">
        <f t="shared" si="264"/>
        <v>84</v>
      </c>
      <c r="R843" s="1838"/>
      <c r="S843" s="1838"/>
      <c r="T843" s="1838"/>
      <c r="U843" s="1838"/>
      <c r="V843" s="1838"/>
      <c r="W843" s="1631"/>
      <c r="Z843" s="1631"/>
      <c r="AA843" s="521"/>
      <c r="AB843" s="522"/>
      <c r="AC843" s="522"/>
      <c r="AD843" s="522"/>
      <c r="AE843" s="522"/>
      <c r="AF843" s="522"/>
      <c r="AG843" s="522"/>
      <c r="IK843" s="1641"/>
      <c r="IL843" s="1641"/>
      <c r="JB843" s="1641"/>
    </row>
    <row r="844" spans="1:262" ht="12" customHeight="1">
      <c r="C844" s="1838"/>
      <c r="D844" s="1838"/>
      <c r="E844" s="1634"/>
      <c r="F844" s="1631"/>
      <c r="H844" s="1841" t="s">
        <v>2604</v>
      </c>
      <c r="J844" s="1833">
        <f>GP805</f>
        <v>0</v>
      </c>
      <c r="K844" s="1833">
        <f>GQ805</f>
        <v>0</v>
      </c>
      <c r="L844" s="1833">
        <f>GR805</f>
        <v>0</v>
      </c>
      <c r="M844" s="1833">
        <f>GS805</f>
        <v>0</v>
      </c>
      <c r="N844" s="1833">
        <f>GT805</f>
        <v>0</v>
      </c>
      <c r="O844" s="1833">
        <f t="shared" ref="O844:O859" si="265">SUM(J844:N844)</f>
        <v>0</v>
      </c>
      <c r="R844" s="1838"/>
      <c r="S844" s="1838"/>
      <c r="T844" s="1838"/>
      <c r="U844" s="1838"/>
      <c r="V844" s="1838"/>
      <c r="W844" s="1631"/>
      <c r="Z844" s="1631"/>
      <c r="AA844" s="521"/>
      <c r="AB844" s="522"/>
      <c r="AC844" s="522"/>
      <c r="AD844" s="522"/>
      <c r="AE844" s="522"/>
      <c r="AF844" s="522"/>
      <c r="AG844" s="522"/>
      <c r="IK844" s="1641"/>
      <c r="IL844" s="1641"/>
      <c r="JB844" s="1641"/>
    </row>
    <row r="845" spans="1:262" ht="12" customHeight="1">
      <c r="C845" s="1838"/>
      <c r="D845" s="1838"/>
      <c r="E845" s="1634"/>
      <c r="F845" s="1631"/>
      <c r="H845" s="1842" t="s">
        <v>3357</v>
      </c>
      <c r="J845" s="1833">
        <f>GU805</f>
        <v>0</v>
      </c>
      <c r="K845" s="1833">
        <f>GV805</f>
        <v>0</v>
      </c>
      <c r="L845" s="1833">
        <f>GW805</f>
        <v>0</v>
      </c>
      <c r="M845" s="1833">
        <f>GX805</f>
        <v>0</v>
      </c>
      <c r="N845" s="1833">
        <f>GY805</f>
        <v>0</v>
      </c>
      <c r="O845" s="1833">
        <f t="shared" si="265"/>
        <v>0</v>
      </c>
      <c r="R845" s="1838"/>
      <c r="S845" s="1838"/>
      <c r="T845" s="1838"/>
      <c r="U845" s="1838"/>
      <c r="V845" s="1838"/>
      <c r="W845" s="1631"/>
      <c r="Z845" s="1631"/>
      <c r="AA845" s="521"/>
      <c r="AB845" s="522"/>
      <c r="AC845" s="522"/>
      <c r="AD845" s="522"/>
      <c r="AE845" s="522"/>
      <c r="AF845" s="522"/>
      <c r="AG845" s="522"/>
      <c r="IK845" s="1641"/>
      <c r="IL845" s="1641"/>
      <c r="JB845" s="1641"/>
    </row>
    <row r="846" spans="1:262" ht="12" customHeight="1">
      <c r="C846" s="1838"/>
      <c r="D846" s="1838"/>
      <c r="E846" s="1634"/>
      <c r="F846" s="1631"/>
      <c r="H846" s="1841" t="s">
        <v>2605</v>
      </c>
      <c r="J846" s="1833">
        <f>GZ805</f>
        <v>0</v>
      </c>
      <c r="K846" s="1833">
        <f>HA805</f>
        <v>0</v>
      </c>
      <c r="L846" s="1833">
        <f>HB805</f>
        <v>0</v>
      </c>
      <c r="M846" s="1833">
        <f>HC805</f>
        <v>0</v>
      </c>
      <c r="N846" s="1833">
        <f>HD805</f>
        <v>0</v>
      </c>
      <c r="O846" s="1833">
        <f t="shared" si="265"/>
        <v>0</v>
      </c>
      <c r="R846" s="1838"/>
      <c r="S846" s="1838"/>
      <c r="T846" s="1838"/>
      <c r="U846" s="1838"/>
      <c r="V846" s="1838"/>
      <c r="W846" s="1631"/>
      <c r="Z846" s="1631"/>
      <c r="AA846" s="521"/>
      <c r="AB846" s="522"/>
      <c r="AC846" s="522"/>
      <c r="AD846" s="522"/>
      <c r="AE846" s="522"/>
      <c r="AF846" s="522"/>
      <c r="AG846" s="522"/>
      <c r="IK846" s="1641"/>
      <c r="IL846" s="1641"/>
      <c r="JB846" s="1641"/>
    </row>
    <row r="847" spans="1:262" ht="12" customHeight="1">
      <c r="C847" s="1838"/>
      <c r="D847" s="1838"/>
      <c r="E847" s="1634"/>
      <c r="F847" s="1631"/>
      <c r="H847" s="1842" t="s">
        <v>3357</v>
      </c>
      <c r="J847" s="1833">
        <f>HE805</f>
        <v>0</v>
      </c>
      <c r="K847" s="1833">
        <f>HF805</f>
        <v>0</v>
      </c>
      <c r="L847" s="1833">
        <f>HG805</f>
        <v>0</v>
      </c>
      <c r="M847" s="1833">
        <f>HH805</f>
        <v>0</v>
      </c>
      <c r="N847" s="1833">
        <f>HI805</f>
        <v>0</v>
      </c>
      <c r="O847" s="1833">
        <f t="shared" si="265"/>
        <v>0</v>
      </c>
      <c r="R847" s="1838"/>
      <c r="S847" s="1838"/>
      <c r="T847" s="1838"/>
      <c r="U847" s="1838"/>
      <c r="V847" s="1838"/>
      <c r="W847" s="1631"/>
      <c r="Z847" s="1631"/>
      <c r="AA847" s="521"/>
      <c r="AB847" s="522"/>
      <c r="AC847" s="522"/>
      <c r="AD847" s="522"/>
      <c r="AE847" s="522"/>
      <c r="AF847" s="522"/>
      <c r="AG847" s="522"/>
      <c r="IK847" s="1641"/>
      <c r="IL847" s="1641"/>
      <c r="JB847" s="1641"/>
    </row>
    <row r="848" spans="1:262" ht="12" customHeight="1">
      <c r="C848" s="1838"/>
      <c r="D848" s="1838"/>
      <c r="E848" s="1634"/>
      <c r="F848" s="1631"/>
      <c r="H848" s="1841" t="s">
        <v>2607</v>
      </c>
      <c r="J848" s="1833">
        <f>HJ805</f>
        <v>0</v>
      </c>
      <c r="K848" s="1833">
        <f>HK805</f>
        <v>0</v>
      </c>
      <c r="L848" s="1833">
        <f>HL805</f>
        <v>0</v>
      </c>
      <c r="M848" s="1833">
        <f>HM805</f>
        <v>0</v>
      </c>
      <c r="N848" s="1833">
        <f>HN805</f>
        <v>0</v>
      </c>
      <c r="O848" s="1833">
        <f t="shared" si="265"/>
        <v>0</v>
      </c>
      <c r="R848" s="1838"/>
      <c r="S848" s="1838"/>
      <c r="T848" s="1838"/>
      <c r="U848" s="1838"/>
      <c r="V848" s="1838"/>
      <c r="W848" s="1631"/>
      <c r="Z848" s="1631"/>
      <c r="AA848" s="521"/>
      <c r="AB848" s="522"/>
      <c r="AC848" s="522"/>
      <c r="AD848" s="522"/>
      <c r="AE848" s="522"/>
      <c r="AF848" s="522"/>
      <c r="AG848" s="522"/>
      <c r="IK848" s="1641"/>
      <c r="IL848" s="1641"/>
      <c r="JB848" s="1641"/>
    </row>
    <row r="849" spans="3:262" ht="12" customHeight="1">
      <c r="C849" s="1838"/>
      <c r="D849" s="1838"/>
      <c r="E849" s="1634"/>
      <c r="F849" s="1631"/>
      <c r="H849" s="1842" t="s">
        <v>3357</v>
      </c>
      <c r="J849" s="1833">
        <f>HO805</f>
        <v>0</v>
      </c>
      <c r="K849" s="1833">
        <f>HP805</f>
        <v>0</v>
      </c>
      <c r="L849" s="1833">
        <f>HQ805</f>
        <v>0</v>
      </c>
      <c r="M849" s="1833">
        <f>HR805</f>
        <v>0</v>
      </c>
      <c r="N849" s="1833">
        <f>HS805</f>
        <v>0</v>
      </c>
      <c r="O849" s="1833">
        <f t="shared" si="265"/>
        <v>0</v>
      </c>
      <c r="R849" s="1838"/>
      <c r="S849" s="1838"/>
      <c r="T849" s="1838"/>
      <c r="U849" s="1838"/>
      <c r="V849" s="1838"/>
      <c r="W849" s="1631"/>
      <c r="Z849" s="1631"/>
      <c r="AA849" s="521"/>
      <c r="AB849" s="522"/>
      <c r="AC849" s="522"/>
      <c r="AD849" s="522"/>
      <c r="AE849" s="522"/>
      <c r="AF849" s="522"/>
      <c r="AG849" s="522"/>
      <c r="IK849" s="1641"/>
      <c r="IL849" s="1641"/>
      <c r="JB849" s="1641"/>
    </row>
    <row r="850" spans="3:262" ht="12" customHeight="1">
      <c r="C850" s="1838"/>
      <c r="D850" s="1838"/>
      <c r="E850" s="1634"/>
      <c r="F850" s="1631"/>
      <c r="H850" s="1841" t="s">
        <v>2606</v>
      </c>
      <c r="J850" s="1833">
        <f>HT805</f>
        <v>0</v>
      </c>
      <c r="K850" s="1833">
        <f>HU805</f>
        <v>12</v>
      </c>
      <c r="L850" s="1833">
        <f>HV805</f>
        <v>56</v>
      </c>
      <c r="M850" s="1833">
        <f>HW805</f>
        <v>8</v>
      </c>
      <c r="N850" s="1833">
        <f>HX805</f>
        <v>8</v>
      </c>
      <c r="O850" s="1833">
        <f t="shared" si="265"/>
        <v>84</v>
      </c>
      <c r="R850" s="1838"/>
      <c r="S850" s="1838"/>
      <c r="T850" s="1838"/>
      <c r="U850" s="1838"/>
      <c r="V850" s="1838"/>
      <c r="W850" s="1631"/>
      <c r="Z850" s="1631"/>
      <c r="AA850" s="521"/>
      <c r="AB850" s="522"/>
      <c r="AC850" s="522"/>
      <c r="AD850" s="522"/>
      <c r="AE850" s="522"/>
      <c r="AF850" s="522"/>
      <c r="AG850" s="522"/>
      <c r="IK850" s="1641"/>
      <c r="IL850" s="1641"/>
      <c r="JB850" s="1641"/>
    </row>
    <row r="851" spans="3:262" ht="12" customHeight="1">
      <c r="C851" s="1838"/>
      <c r="D851" s="1838"/>
      <c r="E851" s="1634"/>
      <c r="F851" s="1631"/>
      <c r="H851" s="1842" t="s">
        <v>3357</v>
      </c>
      <c r="J851" s="1833">
        <f>HY805</f>
        <v>0</v>
      </c>
      <c r="K851" s="1833">
        <f>HZ805</f>
        <v>0</v>
      </c>
      <c r="L851" s="1833">
        <f>IA805</f>
        <v>0</v>
      </c>
      <c r="M851" s="1833">
        <f>IB805</f>
        <v>0</v>
      </c>
      <c r="N851" s="1833">
        <f>IC805</f>
        <v>0</v>
      </c>
      <c r="O851" s="1833">
        <f t="shared" si="265"/>
        <v>0</v>
      </c>
      <c r="R851" s="1838"/>
      <c r="S851" s="1838"/>
      <c r="T851" s="1838"/>
      <c r="U851" s="1838"/>
      <c r="V851" s="1838"/>
      <c r="W851" s="1631"/>
      <c r="Z851" s="1631"/>
      <c r="AA851" s="521"/>
      <c r="AB851" s="522"/>
      <c r="AC851" s="522"/>
      <c r="AD851" s="522"/>
      <c r="AE851" s="522"/>
      <c r="AF851" s="522"/>
      <c r="AG851" s="522"/>
      <c r="IK851" s="1641"/>
      <c r="IL851" s="1641"/>
      <c r="JB851" s="1641"/>
    </row>
    <row r="852" spans="3:262" ht="12" customHeight="1">
      <c r="E852" s="1634" t="s">
        <v>40</v>
      </c>
      <c r="F852" s="1631"/>
      <c r="H852" s="1841"/>
      <c r="J852" s="1833">
        <f>FB805</f>
        <v>0</v>
      </c>
      <c r="K852" s="1833">
        <f>FC805</f>
        <v>0</v>
      </c>
      <c r="L852" s="1833">
        <f>FD805</f>
        <v>0</v>
      </c>
      <c r="M852" s="1833">
        <f>FE805</f>
        <v>0</v>
      </c>
      <c r="N852" s="1833">
        <f>FF805</f>
        <v>0</v>
      </c>
      <c r="O852" s="1833">
        <f t="shared" si="265"/>
        <v>0</v>
      </c>
      <c r="R852" s="1838"/>
      <c r="S852" s="1838"/>
      <c r="T852" s="1838"/>
      <c r="U852" s="1838"/>
      <c r="V852" s="1838"/>
      <c r="W852" s="1631"/>
      <c r="Z852" s="1631"/>
      <c r="AA852" s="521"/>
      <c r="AB852" s="522"/>
      <c r="AC852" s="522"/>
      <c r="AD852" s="522"/>
      <c r="AE852" s="522"/>
      <c r="AF852" s="522"/>
      <c r="AG852" s="522"/>
      <c r="AH852" s="1216"/>
      <c r="AI852" s="1631"/>
      <c r="GT852" s="1637"/>
      <c r="GY852" s="1637"/>
      <c r="GZ852" s="1637"/>
      <c r="HA852" s="1637"/>
      <c r="HB852" s="1637"/>
      <c r="HC852" s="1637"/>
      <c r="HD852" s="1637"/>
      <c r="HE852" s="1637"/>
      <c r="HF852" s="1637"/>
      <c r="HG852" s="1637"/>
      <c r="HH852" s="1637"/>
      <c r="HI852" s="1637"/>
      <c r="HJ852" s="1637"/>
      <c r="HK852" s="1637"/>
      <c r="HL852" s="1637"/>
      <c r="HM852" s="1637"/>
      <c r="HN852" s="1637"/>
      <c r="HO852" s="1637"/>
      <c r="HP852" s="1637"/>
      <c r="HQ852" s="1637"/>
      <c r="HR852" s="1637"/>
      <c r="HS852" s="1637"/>
      <c r="HT852" s="1637"/>
      <c r="HU852" s="1637"/>
      <c r="HV852" s="1637"/>
      <c r="HW852" s="1637"/>
      <c r="HX852" s="1637"/>
      <c r="HY852" s="1637"/>
      <c r="HZ852" s="1637"/>
      <c r="IA852" s="1637"/>
      <c r="IB852" s="1637"/>
      <c r="IC852" s="1637"/>
      <c r="ID852" s="1637"/>
      <c r="IK852" s="1641"/>
      <c r="IL852" s="1641"/>
      <c r="JB852" s="1641"/>
    </row>
    <row r="853" spans="3:262" ht="12" customHeight="1">
      <c r="E853" s="1634"/>
      <c r="F853" s="1631"/>
      <c r="H853" s="1842" t="s">
        <v>3357</v>
      </c>
      <c r="J853" s="1833">
        <f>FG805</f>
        <v>0</v>
      </c>
      <c r="K853" s="1833">
        <f>FH805</f>
        <v>0</v>
      </c>
      <c r="L853" s="1833">
        <f>FI805</f>
        <v>0</v>
      </c>
      <c r="M853" s="1833">
        <f>FJ805</f>
        <v>0</v>
      </c>
      <c r="N853" s="1833">
        <f>FK805</f>
        <v>0</v>
      </c>
      <c r="O853" s="1833">
        <f t="shared" si="265"/>
        <v>0</v>
      </c>
      <c r="R853" s="1838"/>
      <c r="S853" s="1838"/>
      <c r="T853" s="1838"/>
      <c r="U853" s="1838"/>
      <c r="V853" s="1838"/>
      <c r="W853" s="1631"/>
      <c r="Z853" s="1631"/>
      <c r="AA853" s="521"/>
      <c r="AB853" s="522"/>
      <c r="AC853" s="522"/>
      <c r="AD853" s="522"/>
      <c r="AE853" s="522"/>
      <c r="AF853" s="522"/>
      <c r="AG853" s="522"/>
      <c r="AH853" s="1216"/>
      <c r="AI853" s="1631"/>
      <c r="GT853" s="1637"/>
      <c r="GY853" s="1637"/>
      <c r="GZ853" s="1637"/>
      <c r="HA853" s="1637"/>
      <c r="HB853" s="1637"/>
      <c r="HC853" s="1637"/>
      <c r="HD853" s="1637"/>
      <c r="HE853" s="1637"/>
      <c r="HF853" s="1637"/>
      <c r="HG853" s="1637"/>
      <c r="HH853" s="1637"/>
      <c r="HI853" s="1637"/>
      <c r="HJ853" s="1637"/>
      <c r="HK853" s="1637"/>
      <c r="HL853" s="1637"/>
      <c r="HM853" s="1637"/>
      <c r="HN853" s="1637"/>
      <c r="HO853" s="1637"/>
      <c r="HP853" s="1637"/>
      <c r="HQ853" s="1637"/>
      <c r="HR853" s="1637"/>
      <c r="HS853" s="1637"/>
      <c r="HT853" s="1637"/>
      <c r="HU853" s="1637"/>
      <c r="HV853" s="1637"/>
      <c r="HW853" s="1637"/>
      <c r="HX853" s="1637"/>
      <c r="HY853" s="1637"/>
      <c r="HZ853" s="1637"/>
      <c r="IA853" s="1637"/>
      <c r="IB853" s="1637"/>
      <c r="IC853" s="1637"/>
      <c r="ID853" s="1637"/>
      <c r="IK853" s="1641"/>
      <c r="IL853" s="1641"/>
      <c r="JB853" s="1641"/>
    </row>
    <row r="854" spans="3:262" ht="12" customHeight="1">
      <c r="C854" s="1631"/>
      <c r="D854" s="1631"/>
      <c r="E854" s="1634" t="s">
        <v>41</v>
      </c>
      <c r="F854" s="1631"/>
      <c r="H854" s="1841"/>
      <c r="J854" s="1833">
        <f>GF805</f>
        <v>0</v>
      </c>
      <c r="K854" s="1833">
        <f>GG805</f>
        <v>0</v>
      </c>
      <c r="L854" s="1833">
        <f>GH805</f>
        <v>0</v>
      </c>
      <c r="M854" s="1833">
        <f>GI805</f>
        <v>0</v>
      </c>
      <c r="N854" s="1833">
        <f>GJ805</f>
        <v>0</v>
      </c>
      <c r="O854" s="1833">
        <f t="shared" si="265"/>
        <v>0</v>
      </c>
      <c r="R854" s="1838"/>
      <c r="S854" s="1838"/>
      <c r="T854" s="1838"/>
      <c r="U854" s="1838"/>
      <c r="V854" s="1838"/>
      <c r="W854" s="1631"/>
      <c r="Z854" s="1631"/>
      <c r="AA854" s="521"/>
      <c r="AB854" s="522"/>
      <c r="AC854" s="522"/>
      <c r="AD854" s="522"/>
      <c r="AE854" s="522"/>
      <c r="AF854" s="522"/>
      <c r="AG854" s="522"/>
      <c r="IK854" s="1641"/>
      <c r="IL854" s="1641"/>
      <c r="JB854" s="1641"/>
    </row>
    <row r="855" spans="3:262" ht="12" customHeight="1">
      <c r="C855" s="1631"/>
      <c r="D855" s="1631"/>
      <c r="E855" s="1634"/>
      <c r="F855" s="1631"/>
      <c r="H855" s="1842" t="s">
        <v>3357</v>
      </c>
      <c r="J855" s="1833">
        <f>GK805</f>
        <v>0</v>
      </c>
      <c r="K855" s="1833">
        <f>GL805</f>
        <v>0</v>
      </c>
      <c r="L855" s="1833">
        <f>GM805</f>
        <v>0</v>
      </c>
      <c r="M855" s="1833">
        <f>GN805</f>
        <v>0</v>
      </c>
      <c r="N855" s="1833">
        <f>GO805</f>
        <v>0</v>
      </c>
      <c r="O855" s="1833">
        <f t="shared" si="265"/>
        <v>0</v>
      </c>
      <c r="R855" s="1838"/>
      <c r="S855" s="1838"/>
      <c r="T855" s="1838"/>
      <c r="U855" s="1838"/>
      <c r="V855" s="1838"/>
      <c r="W855" s="1631"/>
      <c r="Z855" s="1631"/>
      <c r="AA855" s="521"/>
      <c r="AB855" s="522"/>
      <c r="AC855" s="522"/>
      <c r="AD855" s="522"/>
      <c r="AE855" s="522"/>
      <c r="AF855" s="522"/>
      <c r="AG855" s="522"/>
      <c r="IK855" s="1641"/>
      <c r="IL855" s="1641"/>
      <c r="JB855" s="1641"/>
    </row>
    <row r="856" spans="3:262" ht="12" customHeight="1">
      <c r="C856" s="1631"/>
      <c r="D856" s="1631"/>
      <c r="E856" s="1634" t="s">
        <v>565</v>
      </c>
      <c r="F856" s="1631"/>
      <c r="H856" s="1841"/>
      <c r="J856" s="1833">
        <f>FV805</f>
        <v>0</v>
      </c>
      <c r="K856" s="1833">
        <f>FW805</f>
        <v>0</v>
      </c>
      <c r="L856" s="1833">
        <f>FX805</f>
        <v>0</v>
      </c>
      <c r="M856" s="1833">
        <f>FY805</f>
        <v>0</v>
      </c>
      <c r="N856" s="1833">
        <f>FZ805</f>
        <v>0</v>
      </c>
      <c r="O856" s="1833">
        <f t="shared" si="265"/>
        <v>0</v>
      </c>
      <c r="R856" s="1838"/>
      <c r="S856" s="1838"/>
      <c r="T856" s="1838"/>
      <c r="U856" s="1838"/>
      <c r="V856" s="1838"/>
      <c r="W856" s="1631"/>
      <c r="Z856" s="1631"/>
      <c r="AA856" s="521"/>
      <c r="AB856" s="522"/>
      <c r="AC856" s="522"/>
      <c r="AD856" s="522"/>
      <c r="AE856" s="522"/>
      <c r="AF856" s="522"/>
      <c r="AG856" s="522"/>
      <c r="AH856" s="1216"/>
      <c r="AI856" s="1631"/>
      <c r="GT856" s="1637"/>
      <c r="GY856" s="1637"/>
      <c r="GZ856" s="1637"/>
      <c r="HA856" s="1637"/>
      <c r="HB856" s="1637"/>
      <c r="HC856" s="1637"/>
      <c r="HD856" s="1637"/>
      <c r="HE856" s="1637"/>
      <c r="HF856" s="1637"/>
      <c r="HG856" s="1637"/>
      <c r="HH856" s="1637"/>
      <c r="HI856" s="1637"/>
      <c r="HJ856" s="1637"/>
      <c r="HK856" s="1637"/>
      <c r="HL856" s="1637"/>
      <c r="HM856" s="1637"/>
      <c r="HN856" s="1637"/>
      <c r="HO856" s="1637"/>
      <c r="HP856" s="1637"/>
      <c r="HQ856" s="1637"/>
      <c r="HR856" s="1637"/>
      <c r="HS856" s="1637"/>
      <c r="HT856" s="1637"/>
      <c r="HU856" s="1637"/>
      <c r="HV856" s="1637"/>
      <c r="HW856" s="1637"/>
      <c r="HX856" s="1637"/>
      <c r="HY856" s="1637"/>
      <c r="HZ856" s="1637"/>
      <c r="IA856" s="1637"/>
      <c r="IB856" s="1637"/>
      <c r="IC856" s="1637"/>
      <c r="ID856" s="1637"/>
      <c r="IK856" s="1641"/>
      <c r="IL856" s="1641"/>
      <c r="JB856" s="1641"/>
    </row>
    <row r="857" spans="3:262" ht="12" customHeight="1">
      <c r="C857" s="1631"/>
      <c r="D857" s="1631"/>
      <c r="E857" s="1634"/>
      <c r="F857" s="1631"/>
      <c r="H857" s="1842" t="s">
        <v>3357</v>
      </c>
      <c r="J857" s="1833">
        <f>GA805</f>
        <v>0</v>
      </c>
      <c r="K857" s="1833">
        <f>GB805</f>
        <v>0</v>
      </c>
      <c r="L857" s="1833">
        <f>GC805</f>
        <v>0</v>
      </c>
      <c r="M857" s="1833">
        <f>GD805</f>
        <v>0</v>
      </c>
      <c r="N857" s="1833">
        <f>GE805</f>
        <v>0</v>
      </c>
      <c r="O857" s="1833">
        <f t="shared" si="265"/>
        <v>0</v>
      </c>
      <c r="R857" s="1838"/>
      <c r="S857" s="1838"/>
      <c r="T857" s="1838"/>
      <c r="U857" s="1838"/>
      <c r="V857" s="1838"/>
      <c r="W857" s="1631"/>
      <c r="Z857" s="1631"/>
      <c r="AA857" s="521"/>
      <c r="AB857" s="522"/>
      <c r="AC857" s="522"/>
      <c r="AD857" s="522"/>
      <c r="AE857" s="522"/>
      <c r="AF857" s="522"/>
      <c r="AG857" s="522"/>
      <c r="AH857" s="1216"/>
      <c r="AI857" s="1631"/>
      <c r="GT857" s="1637"/>
      <c r="GY857" s="1637"/>
      <c r="GZ857" s="1637"/>
      <c r="HA857" s="1637"/>
      <c r="HB857" s="1637"/>
      <c r="HC857" s="1637"/>
      <c r="HD857" s="1637"/>
      <c r="HE857" s="1637"/>
      <c r="HF857" s="1637"/>
      <c r="HG857" s="1637"/>
      <c r="HH857" s="1637"/>
      <c r="HI857" s="1637"/>
      <c r="HJ857" s="1637"/>
      <c r="HK857" s="1637"/>
      <c r="HL857" s="1637"/>
      <c r="HM857" s="1637"/>
      <c r="HN857" s="1637"/>
      <c r="HO857" s="1637"/>
      <c r="HP857" s="1637"/>
      <c r="HQ857" s="1637"/>
      <c r="HR857" s="1637"/>
      <c r="HS857" s="1637"/>
      <c r="HT857" s="1637"/>
      <c r="HU857" s="1637"/>
      <c r="HV857" s="1637"/>
      <c r="HW857" s="1637"/>
      <c r="HX857" s="1637"/>
      <c r="HY857" s="1637"/>
      <c r="HZ857" s="1637"/>
      <c r="IA857" s="1637"/>
      <c r="IB857" s="1637"/>
      <c r="IC857" s="1637"/>
      <c r="ID857" s="1637"/>
      <c r="IK857" s="1641"/>
      <c r="IL857" s="1641"/>
      <c r="JB857" s="1641"/>
    </row>
    <row r="858" spans="3:262" ht="12" customHeight="1">
      <c r="C858" s="1631"/>
      <c r="D858" s="1631"/>
      <c r="E858" s="1486" t="s">
        <v>566</v>
      </c>
      <c r="F858" s="1631"/>
      <c r="H858" s="1841"/>
      <c r="J858" s="1833">
        <f>FL805</f>
        <v>0</v>
      </c>
      <c r="K858" s="1833">
        <f>FM805</f>
        <v>0</v>
      </c>
      <c r="L858" s="1833">
        <f>FN805</f>
        <v>0</v>
      </c>
      <c r="M858" s="1833">
        <f>FO805</f>
        <v>0</v>
      </c>
      <c r="N858" s="1833">
        <f>FP805</f>
        <v>0</v>
      </c>
      <c r="O858" s="1833">
        <f t="shared" si="265"/>
        <v>0</v>
      </c>
      <c r="R858" s="1838"/>
      <c r="S858" s="1838"/>
      <c r="T858" s="1838"/>
      <c r="U858" s="1838"/>
      <c r="V858" s="1838"/>
      <c r="W858" s="1631"/>
      <c r="Z858" s="1631"/>
      <c r="AA858" s="521"/>
      <c r="AB858" s="522"/>
      <c r="AC858" s="522"/>
      <c r="AD858" s="522"/>
      <c r="AE858" s="522"/>
      <c r="AF858" s="522"/>
      <c r="AG858" s="522"/>
      <c r="IK858" s="1641"/>
      <c r="IL858" s="1641"/>
      <c r="JB858" s="1641"/>
    </row>
    <row r="859" spans="3:262" ht="12" customHeight="1">
      <c r="C859" s="1631"/>
      <c r="D859" s="1631"/>
      <c r="E859" s="1486"/>
      <c r="F859" s="1631"/>
      <c r="H859" s="1842" t="s">
        <v>3357</v>
      </c>
      <c r="J859" s="1833">
        <f>FQ805</f>
        <v>0</v>
      </c>
      <c r="K859" s="1833">
        <f>FR805</f>
        <v>0</v>
      </c>
      <c r="L859" s="1833">
        <f>FS805</f>
        <v>0</v>
      </c>
      <c r="M859" s="1833">
        <f>FT805</f>
        <v>0</v>
      </c>
      <c r="N859" s="1833">
        <f>FU805</f>
        <v>0</v>
      </c>
      <c r="O859" s="1833">
        <f t="shared" si="265"/>
        <v>0</v>
      </c>
      <c r="R859" s="1838"/>
      <c r="S859" s="1838"/>
      <c r="T859" s="1838"/>
      <c r="U859" s="1838"/>
      <c r="V859" s="1838"/>
      <c r="W859" s="1631"/>
      <c r="Z859" s="1631"/>
      <c r="AA859" s="521"/>
      <c r="AB859" s="522"/>
      <c r="AC859" s="522"/>
      <c r="AD859" s="522"/>
      <c r="AE859" s="522"/>
      <c r="AF859" s="522"/>
      <c r="AG859" s="522"/>
      <c r="IK859" s="1641"/>
      <c r="IL859" s="1641"/>
      <c r="JB859" s="1641"/>
    </row>
    <row r="860" spans="3:262" ht="10.5" customHeight="1">
      <c r="C860" s="1631"/>
      <c r="H860" s="1843"/>
      <c r="J860" s="1844"/>
      <c r="K860" s="1844"/>
      <c r="L860" s="1844"/>
      <c r="M860" s="1844"/>
      <c r="N860" s="1844"/>
      <c r="O860" s="1844"/>
      <c r="R860" s="1653" t="str">
        <f>C861</f>
        <v>Building Type:
(for Cost Limit purposes only)</v>
      </c>
      <c r="GT860" s="1637"/>
      <c r="GY860" s="1637"/>
      <c r="GZ860" s="1637"/>
      <c r="HA860" s="1637"/>
      <c r="HB860" s="1637"/>
      <c r="HC860" s="1637"/>
      <c r="HD860" s="1637"/>
      <c r="HE860" s="1637"/>
      <c r="HF860" s="1637"/>
      <c r="HG860" s="1637"/>
      <c r="HH860" s="1637"/>
      <c r="HI860" s="1637"/>
      <c r="HJ860" s="1637"/>
      <c r="HK860" s="1637"/>
      <c r="HL860" s="1637"/>
      <c r="HM860" s="1637"/>
      <c r="HN860" s="1637"/>
      <c r="HO860" s="1637"/>
      <c r="HP860" s="1637"/>
      <c r="HQ860" s="1637"/>
      <c r="HR860" s="1637"/>
      <c r="HS860" s="1637"/>
      <c r="HT860" s="1637"/>
      <c r="HU860" s="1637"/>
      <c r="HV860" s="1637"/>
      <c r="HW860" s="1637"/>
      <c r="HX860" s="1637"/>
      <c r="HY860" s="1637"/>
      <c r="HZ860" s="1637"/>
      <c r="IA860" s="1637"/>
      <c r="IB860" s="1637"/>
      <c r="IC860" s="1637"/>
      <c r="ID860" s="1637"/>
      <c r="IK860" s="1641"/>
      <c r="JA860" s="1641"/>
      <c r="JB860" s="1641"/>
    </row>
    <row r="861" spans="3:262" ht="12" customHeight="1">
      <c r="C861" s="1838" t="s">
        <v>4533</v>
      </c>
      <c r="D861" s="1838"/>
      <c r="E861" s="1634" t="s">
        <v>3352</v>
      </c>
      <c r="F861" s="1652"/>
      <c r="H861" s="1841"/>
      <c r="J861" s="1833">
        <f t="shared" ref="J861:N862" si="266">J852+J856+J858</f>
        <v>0</v>
      </c>
      <c r="K861" s="1833">
        <f t="shared" si="266"/>
        <v>0</v>
      </c>
      <c r="L861" s="1833">
        <f t="shared" si="266"/>
        <v>0</v>
      </c>
      <c r="M861" s="1833">
        <f t="shared" si="266"/>
        <v>0</v>
      </c>
      <c r="N861" s="1833">
        <f t="shared" si="266"/>
        <v>0</v>
      </c>
      <c r="O861" s="1833">
        <f t="shared" ref="O861:O868" si="267">SUM(J861:N861)</f>
        <v>0</v>
      </c>
      <c r="R861" s="1838"/>
      <c r="S861" s="1838"/>
      <c r="T861" s="1838"/>
      <c r="U861" s="1838"/>
      <c r="V861" s="1838"/>
      <c r="W861" s="1631"/>
      <c r="Z861" s="1631"/>
      <c r="AA861" s="521"/>
      <c r="AB861" s="522"/>
      <c r="AC861" s="522"/>
      <c r="AD861" s="522"/>
      <c r="AE861" s="522"/>
      <c r="AF861" s="522"/>
      <c r="AG861" s="522"/>
      <c r="IK861" s="1641"/>
      <c r="IL861" s="1641"/>
      <c r="JB861" s="1641"/>
    </row>
    <row r="862" spans="3:262" ht="12" customHeight="1">
      <c r="C862" s="1838"/>
      <c r="D862" s="1838"/>
      <c r="E862" s="1634"/>
      <c r="F862" s="1652"/>
      <c r="H862" s="1842" t="s">
        <v>3357</v>
      </c>
      <c r="J862" s="1833">
        <f t="shared" si="266"/>
        <v>0</v>
      </c>
      <c r="K862" s="1833">
        <f t="shared" si="266"/>
        <v>0</v>
      </c>
      <c r="L862" s="1833">
        <f t="shared" si="266"/>
        <v>0</v>
      </c>
      <c r="M862" s="1833">
        <f t="shared" si="266"/>
        <v>0</v>
      </c>
      <c r="N862" s="1833">
        <f t="shared" si="266"/>
        <v>0</v>
      </c>
      <c r="O862" s="1833">
        <f t="shared" si="267"/>
        <v>0</v>
      </c>
      <c r="R862" s="1838"/>
      <c r="S862" s="1838"/>
      <c r="T862" s="1838"/>
      <c r="U862" s="1838"/>
      <c r="V862" s="1838"/>
      <c r="W862" s="1631"/>
      <c r="Z862" s="1631"/>
      <c r="AA862" s="521"/>
      <c r="AB862" s="522"/>
      <c r="AC862" s="522"/>
      <c r="AD862" s="522"/>
      <c r="AE862" s="522"/>
      <c r="AF862" s="522"/>
      <c r="AG862" s="522"/>
      <c r="IK862" s="1641"/>
      <c r="IL862" s="1641"/>
      <c r="JB862" s="1641"/>
    </row>
    <row r="863" spans="3:262" ht="12" customHeight="1">
      <c r="C863" s="1838"/>
      <c r="D863" s="1838"/>
      <c r="E863" s="1634" t="s">
        <v>3353</v>
      </c>
      <c r="F863" s="1652"/>
      <c r="H863" s="1652"/>
      <c r="J863" s="1833">
        <f>J844+J854</f>
        <v>0</v>
      </c>
      <c r="K863" s="1833">
        <f t="shared" ref="K863:N864" si="268">K844+K854</f>
        <v>0</v>
      </c>
      <c r="L863" s="1833">
        <f t="shared" si="268"/>
        <v>0</v>
      </c>
      <c r="M863" s="1833">
        <f t="shared" si="268"/>
        <v>0</v>
      </c>
      <c r="N863" s="1833">
        <f t="shared" si="268"/>
        <v>0</v>
      </c>
      <c r="O863" s="1833">
        <f t="shared" si="267"/>
        <v>0</v>
      </c>
      <c r="R863" s="1838"/>
      <c r="S863" s="1838"/>
      <c r="T863" s="1838"/>
      <c r="U863" s="1838"/>
      <c r="V863" s="1838"/>
      <c r="W863" s="1631"/>
      <c r="Z863" s="1631"/>
      <c r="AA863" s="521"/>
      <c r="AB863" s="522"/>
      <c r="AC863" s="522"/>
      <c r="AD863" s="522"/>
      <c r="AE863" s="522"/>
      <c r="AF863" s="522"/>
      <c r="AG863" s="522"/>
      <c r="IK863" s="1641"/>
      <c r="IL863" s="1641"/>
      <c r="JB863" s="1641"/>
    </row>
    <row r="864" spans="3:262" ht="12" customHeight="1">
      <c r="C864" s="1838"/>
      <c r="D864" s="1838"/>
      <c r="E864" s="1634"/>
      <c r="F864" s="1652"/>
      <c r="H864" s="1842" t="s">
        <v>3357</v>
      </c>
      <c r="J864" s="1833">
        <f>J845+J855</f>
        <v>0</v>
      </c>
      <c r="K864" s="1833">
        <f t="shared" si="268"/>
        <v>0</v>
      </c>
      <c r="L864" s="1833">
        <f t="shared" si="268"/>
        <v>0</v>
      </c>
      <c r="M864" s="1833">
        <f t="shared" si="268"/>
        <v>0</v>
      </c>
      <c r="N864" s="1833">
        <f t="shared" si="268"/>
        <v>0</v>
      </c>
      <c r="O864" s="1833">
        <f t="shared" si="267"/>
        <v>0</v>
      </c>
      <c r="R864" s="1838"/>
      <c r="S864" s="1838"/>
      <c r="T864" s="1838"/>
      <c r="U864" s="1838"/>
      <c r="V864" s="1838"/>
      <c r="W864" s="1631"/>
      <c r="Z864" s="1631"/>
      <c r="AA864" s="521"/>
      <c r="AB864" s="522"/>
      <c r="AC864" s="522"/>
      <c r="AD864" s="522"/>
      <c r="AE864" s="522"/>
      <c r="AF864" s="522"/>
      <c r="AG864" s="522"/>
      <c r="IK864" s="1641"/>
      <c r="IL864" s="1641"/>
      <c r="JB864" s="1641"/>
    </row>
    <row r="865" spans="1:263" ht="12" customHeight="1">
      <c r="C865" s="1838"/>
      <c r="D865" s="1838"/>
      <c r="E865" s="1634" t="s">
        <v>3354</v>
      </c>
      <c r="F865" s="1652"/>
      <c r="H865" s="1841"/>
      <c r="J865" s="1833">
        <f>J848</f>
        <v>0</v>
      </c>
      <c r="K865" s="1833">
        <f t="shared" ref="K865:N866" si="269">K848</f>
        <v>0</v>
      </c>
      <c r="L865" s="1833">
        <f t="shared" si="269"/>
        <v>0</v>
      </c>
      <c r="M865" s="1833">
        <f t="shared" si="269"/>
        <v>0</v>
      </c>
      <c r="N865" s="1833">
        <f t="shared" si="269"/>
        <v>0</v>
      </c>
      <c r="O865" s="1833">
        <f t="shared" si="267"/>
        <v>0</v>
      </c>
      <c r="R865" s="1838"/>
      <c r="S865" s="1838"/>
      <c r="T865" s="1838"/>
      <c r="U865" s="1838"/>
      <c r="V865" s="1838"/>
      <c r="W865" s="1631"/>
      <c r="Z865" s="1631"/>
      <c r="AA865" s="521"/>
      <c r="AB865" s="522"/>
      <c r="AC865" s="522"/>
      <c r="AD865" s="522"/>
      <c r="AE865" s="522"/>
      <c r="AF865" s="522"/>
      <c r="AG865" s="522"/>
      <c r="IK865" s="1641"/>
      <c r="IL865" s="1641"/>
      <c r="JB865" s="1641"/>
    </row>
    <row r="866" spans="1:263" ht="12" customHeight="1">
      <c r="C866" s="1838"/>
      <c r="D866" s="1838"/>
      <c r="E866" s="1634"/>
      <c r="F866" s="1652"/>
      <c r="H866" s="1842" t="s">
        <v>3357</v>
      </c>
      <c r="J866" s="1833">
        <f>J849</f>
        <v>0</v>
      </c>
      <c r="K866" s="1833">
        <f t="shared" si="269"/>
        <v>0</v>
      </c>
      <c r="L866" s="1833">
        <f t="shared" si="269"/>
        <v>0</v>
      </c>
      <c r="M866" s="1833">
        <f t="shared" si="269"/>
        <v>0</v>
      </c>
      <c r="N866" s="1833">
        <f t="shared" si="269"/>
        <v>0</v>
      </c>
      <c r="O866" s="1833">
        <f t="shared" si="267"/>
        <v>0</v>
      </c>
      <c r="R866" s="1838"/>
      <c r="S866" s="1838"/>
      <c r="T866" s="1838"/>
      <c r="U866" s="1838"/>
      <c r="V866" s="1838"/>
      <c r="W866" s="1631"/>
      <c r="Z866" s="1631"/>
      <c r="AA866" s="521"/>
      <c r="AB866" s="522"/>
      <c r="AC866" s="522"/>
      <c r="AD866" s="522"/>
      <c r="AE866" s="522"/>
      <c r="AF866" s="522"/>
      <c r="AG866" s="522"/>
      <c r="IK866" s="1641"/>
      <c r="IL866" s="1641"/>
      <c r="JB866" s="1641"/>
    </row>
    <row r="867" spans="1:263" ht="12" customHeight="1">
      <c r="C867" s="1838"/>
      <c r="D867" s="1838"/>
      <c r="E867" s="1634" t="s">
        <v>3355</v>
      </c>
      <c r="F867" s="1652"/>
      <c r="H867" s="1841"/>
      <c r="J867" s="1833">
        <f>J846+J850</f>
        <v>0</v>
      </c>
      <c r="K867" s="1833">
        <f t="shared" ref="K867:N868" si="270">K846+K850</f>
        <v>12</v>
      </c>
      <c r="L867" s="1833">
        <f t="shared" si="270"/>
        <v>56</v>
      </c>
      <c r="M867" s="1833">
        <f t="shared" si="270"/>
        <v>8</v>
      </c>
      <c r="N867" s="1833">
        <f t="shared" si="270"/>
        <v>8</v>
      </c>
      <c r="O867" s="1833">
        <f t="shared" si="267"/>
        <v>84</v>
      </c>
      <c r="R867" s="1838"/>
      <c r="S867" s="1838"/>
      <c r="T867" s="1838"/>
      <c r="U867" s="1838"/>
      <c r="V867" s="1838"/>
      <c r="W867" s="1631"/>
      <c r="Z867" s="1631"/>
      <c r="AA867" s="521"/>
      <c r="AB867" s="522"/>
      <c r="AC867" s="522"/>
      <c r="AD867" s="522"/>
      <c r="AE867" s="522"/>
      <c r="AF867" s="522"/>
      <c r="AG867" s="522"/>
      <c r="IK867" s="1641"/>
      <c r="IL867" s="1641"/>
      <c r="JB867" s="1641"/>
    </row>
    <row r="868" spans="1:263" ht="12" customHeight="1">
      <c r="C868" s="1631"/>
      <c r="D868" s="1631"/>
      <c r="E868" s="1845"/>
      <c r="F868" s="1652"/>
      <c r="H868" s="1842" t="s">
        <v>3357</v>
      </c>
      <c r="J868" s="1833">
        <f>J847+J851</f>
        <v>0</v>
      </c>
      <c r="K868" s="1833">
        <f t="shared" si="270"/>
        <v>0</v>
      </c>
      <c r="L868" s="1833">
        <f t="shared" si="270"/>
        <v>0</v>
      </c>
      <c r="M868" s="1833">
        <f t="shared" si="270"/>
        <v>0</v>
      </c>
      <c r="N868" s="1833">
        <f t="shared" si="270"/>
        <v>0</v>
      </c>
      <c r="O868" s="1833">
        <f t="shared" si="267"/>
        <v>0</v>
      </c>
      <c r="R868" s="1838"/>
      <c r="S868" s="1838"/>
      <c r="T868" s="1838"/>
      <c r="U868" s="1838"/>
      <c r="V868" s="1838"/>
      <c r="W868" s="1631"/>
      <c r="Z868" s="1631"/>
      <c r="AA868" s="521"/>
      <c r="AB868" s="522"/>
      <c r="AC868" s="522"/>
      <c r="AD868" s="522"/>
      <c r="AE868" s="522"/>
      <c r="AF868" s="522"/>
      <c r="AG868" s="522"/>
      <c r="IK868" s="1641"/>
      <c r="IL868" s="1641"/>
      <c r="JB868" s="1641"/>
    </row>
    <row r="869" spans="1:263" ht="12" customHeight="1">
      <c r="A869" s="1641"/>
      <c r="B869" s="1641" t="s">
        <v>2165</v>
      </c>
      <c r="C869" s="1631"/>
      <c r="D869" s="1631"/>
      <c r="E869" s="1631"/>
      <c r="F869" s="1631"/>
      <c r="H869" s="1841"/>
      <c r="J869" s="1846"/>
      <c r="K869" s="1846"/>
      <c r="L869" s="1846"/>
      <c r="M869" s="1846"/>
      <c r="N869" s="1846"/>
      <c r="O869" s="1846"/>
      <c r="R869" s="1665" t="str">
        <f>B869</f>
        <v>Unit Square Footage:</v>
      </c>
      <c r="S869" s="1665"/>
      <c r="T869" s="1665"/>
      <c r="W869" s="1631"/>
      <c r="Z869" s="1631"/>
      <c r="AA869" s="521"/>
      <c r="AB869" s="1631"/>
      <c r="AC869" s="1631"/>
      <c r="AD869" s="1631"/>
      <c r="AE869" s="1631"/>
      <c r="AF869" s="1631"/>
      <c r="AG869" s="1631"/>
      <c r="AI869" s="1631"/>
      <c r="GT869" s="1637"/>
      <c r="GY869" s="1637"/>
      <c r="GZ869" s="1637"/>
      <c r="HA869" s="1637"/>
      <c r="HB869" s="1637"/>
      <c r="HC869" s="1637"/>
      <c r="HD869" s="1637"/>
      <c r="HE869" s="1637"/>
      <c r="HF869" s="1637"/>
      <c r="HG869" s="1637"/>
      <c r="HH869" s="1637"/>
      <c r="HI869" s="1637"/>
      <c r="HJ869" s="1637"/>
      <c r="HK869" s="1637"/>
      <c r="HL869" s="1637"/>
      <c r="HM869" s="1637"/>
      <c r="HN869" s="1637"/>
      <c r="HO869" s="1637"/>
      <c r="HP869" s="1637"/>
      <c r="HQ869" s="1637"/>
      <c r="HR869" s="1637"/>
      <c r="HS869" s="1637"/>
      <c r="HT869" s="1637"/>
      <c r="HU869" s="1637"/>
      <c r="HV869" s="1637"/>
      <c r="HW869" s="1637"/>
      <c r="HX869" s="1637"/>
      <c r="HY869" s="1637"/>
      <c r="HZ869" s="1637"/>
      <c r="IA869" s="1637"/>
      <c r="IB869" s="1637"/>
      <c r="IC869" s="1637"/>
      <c r="ID869" s="1637"/>
      <c r="IK869" s="1641"/>
      <c r="IL869" s="1641"/>
      <c r="JB869" s="1641"/>
    </row>
    <row r="870" spans="1:263" ht="12" customHeight="1">
      <c r="C870" s="1631" t="s">
        <v>2136</v>
      </c>
      <c r="D870" s="1631"/>
      <c r="E870" s="1631"/>
      <c r="F870" s="1631"/>
      <c r="H870" s="1841" t="s">
        <v>1149</v>
      </c>
      <c r="J870" s="1847">
        <f>BZ805</f>
        <v>0</v>
      </c>
      <c r="K870" s="1847">
        <f>CA805</f>
        <v>0</v>
      </c>
      <c r="L870" s="1847">
        <f>CB805</f>
        <v>0</v>
      </c>
      <c r="M870" s="1847">
        <f>CC805</f>
        <v>0</v>
      </c>
      <c r="N870" s="1847">
        <f>CD805</f>
        <v>0</v>
      </c>
      <c r="O870" s="1847">
        <f t="shared" ref="O870:O876" si="271">SUM(J870:N870)</f>
        <v>0</v>
      </c>
      <c r="R870" s="1838"/>
      <c r="S870" s="1838"/>
      <c r="T870" s="1838"/>
      <c r="U870" s="1838"/>
      <c r="V870" s="1838"/>
      <c r="W870" s="1631"/>
      <c r="Z870" s="1631"/>
      <c r="AA870" s="521"/>
      <c r="AB870" s="522"/>
      <c r="AC870" s="522"/>
      <c r="AD870" s="522"/>
      <c r="AE870" s="522"/>
      <c r="AF870" s="522"/>
      <c r="AG870" s="522"/>
      <c r="AI870" s="1631"/>
      <c r="GT870" s="1637"/>
      <c r="GY870" s="1637"/>
      <c r="GZ870" s="1637"/>
      <c r="HA870" s="1637"/>
      <c r="HB870" s="1637"/>
      <c r="HC870" s="1637"/>
      <c r="HD870" s="1637"/>
      <c r="HE870" s="1637"/>
      <c r="HF870" s="1637"/>
      <c r="HG870" s="1637"/>
      <c r="HH870" s="1637"/>
      <c r="HI870" s="1637"/>
      <c r="HJ870" s="1637"/>
      <c r="HK870" s="1637"/>
      <c r="HL870" s="1637"/>
      <c r="HM870" s="1637"/>
      <c r="HN870" s="1637"/>
      <c r="HO870" s="1637"/>
      <c r="HP870" s="1637"/>
      <c r="HQ870" s="1637"/>
      <c r="HR870" s="1637"/>
      <c r="HS870" s="1637"/>
      <c r="HT870" s="1637"/>
      <c r="HU870" s="1637"/>
      <c r="HV870" s="1637"/>
      <c r="HW870" s="1637"/>
      <c r="HX870" s="1637"/>
      <c r="HY870" s="1637"/>
      <c r="HZ870" s="1637"/>
      <c r="IA870" s="1637"/>
      <c r="IB870" s="1637"/>
      <c r="IC870" s="1637"/>
      <c r="ID870" s="1637"/>
      <c r="IK870" s="1641"/>
      <c r="IL870" s="1641"/>
      <c r="JB870" s="1641"/>
    </row>
    <row r="871" spans="1:263" ht="12" customHeight="1">
      <c r="C871" s="1629"/>
      <c r="D871" s="1631"/>
      <c r="E871" s="1631"/>
      <c r="F871" s="1631"/>
      <c r="H871" s="1841" t="s">
        <v>118</v>
      </c>
      <c r="J871" s="1847">
        <f>CE805</f>
        <v>0</v>
      </c>
      <c r="K871" s="1847">
        <f>CF805</f>
        <v>0</v>
      </c>
      <c r="L871" s="1847">
        <f>CG805</f>
        <v>0</v>
      </c>
      <c r="M871" s="1847">
        <f>CH805</f>
        <v>0</v>
      </c>
      <c r="N871" s="1847">
        <f>CI805</f>
        <v>0</v>
      </c>
      <c r="O871" s="1847">
        <f t="shared" si="271"/>
        <v>0</v>
      </c>
      <c r="R871" s="1838"/>
      <c r="S871" s="1838"/>
      <c r="T871" s="1838"/>
      <c r="U871" s="1838"/>
      <c r="V871" s="1838"/>
      <c r="W871" s="1629"/>
      <c r="Z871" s="1631"/>
      <c r="AA871" s="521"/>
      <c r="AB871" s="522"/>
      <c r="AC871" s="522"/>
      <c r="AD871" s="522"/>
      <c r="AE871" s="522"/>
      <c r="AF871" s="522"/>
      <c r="AG871" s="522"/>
      <c r="AH871" s="1631"/>
      <c r="AI871" s="1631"/>
      <c r="GT871" s="1637"/>
      <c r="GY871" s="1637"/>
      <c r="GZ871" s="1637"/>
      <c r="HA871" s="1637"/>
      <c r="HB871" s="1637"/>
      <c r="HC871" s="1637"/>
      <c r="HD871" s="1637"/>
      <c r="HE871" s="1637"/>
      <c r="HF871" s="1637"/>
      <c r="HG871" s="1637"/>
      <c r="HH871" s="1637"/>
      <c r="HI871" s="1637"/>
      <c r="HJ871" s="1637"/>
      <c r="HK871" s="1637"/>
      <c r="HL871" s="1637"/>
      <c r="HM871" s="1637"/>
      <c r="HN871" s="1637"/>
      <c r="HO871" s="1637"/>
      <c r="HP871" s="1637"/>
      <c r="HQ871" s="1637"/>
      <c r="HR871" s="1637"/>
      <c r="HS871" s="1637"/>
      <c r="HT871" s="1637"/>
      <c r="HU871" s="1637"/>
      <c r="HV871" s="1637"/>
      <c r="HW871" s="1637"/>
      <c r="HX871" s="1637"/>
      <c r="HY871" s="1637"/>
      <c r="HZ871" s="1637"/>
      <c r="IA871" s="1637"/>
      <c r="IB871" s="1637"/>
      <c r="IC871" s="1637"/>
      <c r="ID871" s="1637"/>
      <c r="IK871" s="1641"/>
      <c r="IL871" s="1641"/>
      <c r="JB871" s="1641"/>
    </row>
    <row r="872" spans="1:263" ht="12" customHeight="1">
      <c r="C872" s="1629"/>
      <c r="D872" s="1631"/>
      <c r="E872" s="1631"/>
      <c r="F872" s="1631"/>
      <c r="H872" s="1841" t="s">
        <v>539</v>
      </c>
      <c r="J872" s="1847">
        <f>SUM(J870:J871)</f>
        <v>0</v>
      </c>
      <c r="K872" s="1847">
        <f>SUM(K870:K871)</f>
        <v>0</v>
      </c>
      <c r="L872" s="1847">
        <f>SUM(L870:L871)</f>
        <v>0</v>
      </c>
      <c r="M872" s="1847">
        <f>SUM(M870:M871)</f>
        <v>0</v>
      </c>
      <c r="N872" s="1847">
        <f>SUM(N870:N871)</f>
        <v>0</v>
      </c>
      <c r="O872" s="1847">
        <f t="shared" si="271"/>
        <v>0</v>
      </c>
      <c r="R872" s="1838"/>
      <c r="S872" s="1838"/>
      <c r="T872" s="1838"/>
      <c r="U872" s="1838"/>
      <c r="V872" s="1838"/>
      <c r="W872" s="1629"/>
      <c r="Z872" s="1631"/>
      <c r="AA872" s="521"/>
      <c r="AB872" s="522"/>
      <c r="AC872" s="522"/>
      <c r="AD872" s="522"/>
      <c r="AE872" s="522"/>
      <c r="AF872" s="522"/>
      <c r="AG872" s="522"/>
      <c r="AH872" s="1631"/>
      <c r="AI872" s="1631"/>
      <c r="GT872" s="1637"/>
      <c r="GY872" s="1637"/>
      <c r="GZ872" s="1637"/>
      <c r="HA872" s="1637"/>
      <c r="HB872" s="1637"/>
      <c r="HC872" s="1637"/>
      <c r="HD872" s="1637"/>
      <c r="HE872" s="1637"/>
      <c r="HF872" s="1637"/>
      <c r="HG872" s="1637"/>
      <c r="HH872" s="1637"/>
      <c r="HI872" s="1637"/>
      <c r="HJ872" s="1637"/>
      <c r="HK872" s="1637"/>
      <c r="HL872" s="1637"/>
      <c r="HM872" s="1637"/>
      <c r="HN872" s="1637"/>
      <c r="HO872" s="1637"/>
      <c r="HP872" s="1637"/>
      <c r="HQ872" s="1637"/>
      <c r="HR872" s="1637"/>
      <c r="HS872" s="1637"/>
      <c r="HT872" s="1637"/>
      <c r="HU872" s="1637"/>
      <c r="HV872" s="1637"/>
      <c r="HW872" s="1637"/>
      <c r="HX872" s="1637"/>
      <c r="HY872" s="1637"/>
      <c r="HZ872" s="1637"/>
      <c r="IA872" s="1637"/>
      <c r="IB872" s="1637"/>
      <c r="IC872" s="1637"/>
      <c r="ID872" s="1637"/>
      <c r="IK872" s="1641"/>
      <c r="IL872" s="1641"/>
      <c r="JB872" s="1641"/>
    </row>
    <row r="873" spans="1:263" ht="12" customHeight="1">
      <c r="C873" s="1631" t="s">
        <v>303</v>
      </c>
      <c r="D873" s="1631"/>
      <c r="E873" s="1631"/>
      <c r="F873" s="1631"/>
      <c r="G873" s="1631"/>
      <c r="J873" s="1847">
        <f>CO805</f>
        <v>0</v>
      </c>
      <c r="K873" s="1847">
        <f>CP805</f>
        <v>0</v>
      </c>
      <c r="L873" s="1847">
        <f>CQ805</f>
        <v>0</v>
      </c>
      <c r="M873" s="1847">
        <f>CR805</f>
        <v>0</v>
      </c>
      <c r="N873" s="1847">
        <f>CS805</f>
        <v>0</v>
      </c>
      <c r="O873" s="1847">
        <f t="shared" si="271"/>
        <v>0</v>
      </c>
      <c r="R873" s="1838"/>
      <c r="S873" s="1838"/>
      <c r="T873" s="1838"/>
      <c r="U873" s="1838"/>
      <c r="V873" s="1838"/>
      <c r="W873" s="1631"/>
      <c r="Z873" s="1631"/>
      <c r="AA873" s="1631"/>
      <c r="AB873" s="522"/>
      <c r="AC873" s="522"/>
      <c r="AD873" s="522"/>
      <c r="AE873" s="522"/>
      <c r="AF873" s="522"/>
      <c r="AG873" s="522"/>
      <c r="AI873" s="1631"/>
      <c r="GT873" s="1637"/>
      <c r="GY873" s="1637"/>
      <c r="GZ873" s="1637"/>
      <c r="HA873" s="1637"/>
      <c r="HB873" s="1637"/>
      <c r="HC873" s="1637"/>
      <c r="HD873" s="1637"/>
      <c r="HE873" s="1637"/>
      <c r="HF873" s="1637"/>
      <c r="HG873" s="1637"/>
      <c r="HH873" s="1637"/>
      <c r="HI873" s="1637"/>
      <c r="HJ873" s="1637"/>
      <c r="HK873" s="1637"/>
      <c r="HL873" s="1637"/>
      <c r="HM873" s="1637"/>
      <c r="HN873" s="1637"/>
      <c r="HO873" s="1637"/>
      <c r="HP873" s="1637"/>
      <c r="HQ873" s="1637"/>
      <c r="HR873" s="1637"/>
      <c r="HS873" s="1637"/>
      <c r="HT873" s="1637"/>
      <c r="HU873" s="1637"/>
      <c r="HV873" s="1637"/>
      <c r="HW873" s="1637"/>
      <c r="HX873" s="1637"/>
      <c r="HY873" s="1637"/>
      <c r="HZ873" s="1637"/>
      <c r="IA873" s="1637"/>
      <c r="IB873" s="1637"/>
      <c r="IC873" s="1637"/>
      <c r="ID873" s="1637"/>
      <c r="IK873" s="1641"/>
      <c r="IL873" s="1641"/>
      <c r="JB873" s="1641"/>
    </row>
    <row r="874" spans="1:263" ht="12" customHeight="1">
      <c r="C874" s="1631" t="s">
        <v>1138</v>
      </c>
      <c r="D874" s="1631"/>
      <c r="E874" s="1631"/>
      <c r="F874" s="1631"/>
      <c r="G874" s="1631"/>
      <c r="J874" s="1847">
        <f>SUM(J872:J873)</f>
        <v>0</v>
      </c>
      <c r="K874" s="1847">
        <f>SUM(K872:K873)</f>
        <v>0</v>
      </c>
      <c r="L874" s="1847">
        <f>SUM(L872:L873)</f>
        <v>0</v>
      </c>
      <c r="M874" s="1847">
        <f>SUM(M872:M873)</f>
        <v>0</v>
      </c>
      <c r="N874" s="1847">
        <f>SUM(N872:N873)</f>
        <v>0</v>
      </c>
      <c r="O874" s="1847">
        <f t="shared" si="271"/>
        <v>0</v>
      </c>
      <c r="R874" s="1838"/>
      <c r="S874" s="1838"/>
      <c r="T874" s="1838"/>
      <c r="U874" s="1838"/>
      <c r="V874" s="1838"/>
      <c r="W874" s="1631"/>
      <c r="Z874" s="1631"/>
      <c r="AA874" s="1631"/>
      <c r="AB874" s="522"/>
      <c r="AC874" s="522"/>
      <c r="AD874" s="522"/>
      <c r="AE874" s="522"/>
      <c r="AF874" s="522"/>
      <c r="AG874" s="522"/>
      <c r="AI874" s="1631"/>
      <c r="GT874" s="1637"/>
      <c r="GY874" s="1637"/>
      <c r="GZ874" s="1637"/>
      <c r="HA874" s="1637"/>
      <c r="HB874" s="1637"/>
      <c r="HC874" s="1637"/>
      <c r="HD874" s="1637"/>
      <c r="HE874" s="1637"/>
      <c r="HF874" s="1637"/>
      <c r="HG874" s="1637"/>
      <c r="HH874" s="1637"/>
      <c r="HI874" s="1637"/>
      <c r="HJ874" s="1637"/>
      <c r="HK874" s="1637"/>
      <c r="HL874" s="1637"/>
      <c r="HM874" s="1637"/>
      <c r="HN874" s="1637"/>
      <c r="HO874" s="1637"/>
      <c r="HP874" s="1637"/>
      <c r="HQ874" s="1637"/>
      <c r="HR874" s="1637"/>
      <c r="HS874" s="1637"/>
      <c r="HT874" s="1637"/>
      <c r="HU874" s="1637"/>
      <c r="HV874" s="1637"/>
      <c r="HW874" s="1637"/>
      <c r="HX874" s="1637"/>
      <c r="HY874" s="1637"/>
      <c r="HZ874" s="1637"/>
      <c r="IA874" s="1637"/>
      <c r="IB874" s="1637"/>
      <c r="IC874" s="1637"/>
      <c r="ID874" s="1637"/>
      <c r="IK874" s="1641"/>
      <c r="IL874" s="1641"/>
      <c r="JB874" s="1641"/>
    </row>
    <row r="875" spans="1:263" ht="12" customHeight="1">
      <c r="C875" s="1631" t="s">
        <v>2511</v>
      </c>
      <c r="D875" s="1631"/>
      <c r="E875" s="1631"/>
      <c r="F875" s="1631"/>
      <c r="G875" s="1631"/>
      <c r="J875" s="1847">
        <f>CY805</f>
        <v>0</v>
      </c>
      <c r="K875" s="1847">
        <f>CZ805</f>
        <v>0</v>
      </c>
      <c r="L875" s="1847">
        <f>DA805</f>
        <v>0</v>
      </c>
      <c r="M875" s="1847">
        <f>DB805</f>
        <v>0</v>
      </c>
      <c r="N875" s="1847">
        <f>DC805</f>
        <v>0</v>
      </c>
      <c r="O875" s="1847">
        <f t="shared" si="271"/>
        <v>0</v>
      </c>
      <c r="R875" s="1838"/>
      <c r="S875" s="1838"/>
      <c r="T875" s="1838"/>
      <c r="U875" s="1838"/>
      <c r="V875" s="1838"/>
      <c r="W875" s="1631"/>
      <c r="Z875" s="1631"/>
      <c r="AA875" s="1631"/>
      <c r="AB875" s="522"/>
      <c r="AC875" s="522"/>
      <c r="AD875" s="522"/>
      <c r="AE875" s="522"/>
      <c r="AF875" s="522"/>
      <c r="AG875" s="522"/>
      <c r="AI875" s="1631"/>
      <c r="GT875" s="1637"/>
      <c r="GY875" s="1637"/>
      <c r="GZ875" s="1637"/>
      <c r="HA875" s="1637"/>
      <c r="HB875" s="1637"/>
      <c r="HC875" s="1637"/>
      <c r="HD875" s="1637"/>
      <c r="HE875" s="1637"/>
      <c r="HF875" s="1637"/>
      <c r="HG875" s="1637"/>
      <c r="HH875" s="1637"/>
      <c r="HI875" s="1637"/>
      <c r="HJ875" s="1637"/>
      <c r="HK875" s="1637"/>
      <c r="HL875" s="1637"/>
      <c r="HM875" s="1637"/>
      <c r="HN875" s="1637"/>
      <c r="HO875" s="1637"/>
      <c r="HP875" s="1637"/>
      <c r="HQ875" s="1637"/>
      <c r="HR875" s="1637"/>
      <c r="HS875" s="1637"/>
      <c r="HT875" s="1637"/>
      <c r="HU875" s="1637"/>
      <c r="HV875" s="1637"/>
      <c r="HW875" s="1637"/>
      <c r="HX875" s="1637"/>
      <c r="HY875" s="1637"/>
      <c r="HZ875" s="1637"/>
      <c r="IA875" s="1637"/>
      <c r="IB875" s="1637"/>
      <c r="IC875" s="1637"/>
      <c r="ID875" s="1637"/>
      <c r="IK875" s="1641"/>
      <c r="IL875" s="1641"/>
      <c r="JB875" s="1641"/>
    </row>
    <row r="876" spans="1:263" ht="12" customHeight="1">
      <c r="C876" s="1631" t="s">
        <v>539</v>
      </c>
      <c r="D876" s="1631"/>
      <c r="E876" s="1631"/>
      <c r="F876" s="1631"/>
      <c r="G876" s="1631"/>
      <c r="J876" s="1847">
        <f>SUM(J874:J875)</f>
        <v>0</v>
      </c>
      <c r="K876" s="1847">
        <f>SUM(K874:K875)</f>
        <v>0</v>
      </c>
      <c r="L876" s="1847">
        <f>SUM(L874:L875)</f>
        <v>0</v>
      </c>
      <c r="M876" s="1847">
        <f>SUM(M874:M875)</f>
        <v>0</v>
      </c>
      <c r="N876" s="1847">
        <f>SUM(N874:N875)</f>
        <v>0</v>
      </c>
      <c r="O876" s="1847">
        <f t="shared" si="271"/>
        <v>0</v>
      </c>
      <c r="R876" s="1838"/>
      <c r="S876" s="1838"/>
      <c r="T876" s="1838"/>
      <c r="U876" s="1838"/>
      <c r="V876" s="1838"/>
      <c r="W876" s="1631"/>
      <c r="Z876" s="1631"/>
      <c r="AA876" s="1631"/>
      <c r="AB876" s="522"/>
      <c r="AC876" s="522"/>
      <c r="AD876" s="522"/>
      <c r="AE876" s="522"/>
      <c r="AF876" s="522"/>
      <c r="AG876" s="522"/>
      <c r="AI876" s="1631"/>
      <c r="GT876" s="1637"/>
      <c r="GY876" s="1637"/>
      <c r="GZ876" s="1637"/>
      <c r="HA876" s="1637"/>
      <c r="HB876" s="1637"/>
      <c r="HC876" s="1637"/>
      <c r="HD876" s="1637"/>
      <c r="HE876" s="1637"/>
      <c r="HF876" s="1637"/>
      <c r="HG876" s="1637"/>
      <c r="HH876" s="1637"/>
      <c r="HI876" s="1637"/>
      <c r="HJ876" s="1637"/>
      <c r="HK876" s="1637"/>
      <c r="HL876" s="1637"/>
      <c r="HM876" s="1637"/>
      <c r="HN876" s="1637"/>
      <c r="HO876" s="1637"/>
      <c r="HP876" s="1637"/>
      <c r="HQ876" s="1637"/>
      <c r="HR876" s="1637"/>
      <c r="HS876" s="1637"/>
      <c r="HT876" s="1637"/>
      <c r="HU876" s="1637"/>
      <c r="HV876" s="1637"/>
      <c r="HW876" s="1637"/>
      <c r="HX876" s="1637"/>
      <c r="HY876" s="1637"/>
      <c r="HZ876" s="1637"/>
      <c r="IA876" s="1637"/>
      <c r="IB876" s="1637"/>
      <c r="IC876" s="1637"/>
      <c r="ID876" s="1637"/>
      <c r="IK876" s="1641"/>
      <c r="IL876" s="1641"/>
      <c r="JB876" s="1641"/>
    </row>
    <row r="877" spans="1:263" ht="14.1" customHeight="1">
      <c r="A877" s="1641" t="s">
        <v>742</v>
      </c>
      <c r="B877" s="1641" t="s">
        <v>4534</v>
      </c>
      <c r="R877" s="1641" t="s">
        <v>1845</v>
      </c>
      <c r="T877" s="1631"/>
      <c r="GZ877" s="1637"/>
      <c r="HA877" s="1637"/>
      <c r="HB877" s="1637"/>
      <c r="HC877" s="1637"/>
      <c r="HD877" s="1637"/>
      <c r="HE877" s="1637"/>
      <c r="HF877" s="1637"/>
      <c r="HG877" s="1637"/>
      <c r="HH877" s="1637"/>
      <c r="HI877" s="1637"/>
      <c r="HJ877" s="1637"/>
      <c r="HK877" s="1637"/>
      <c r="HL877" s="1637"/>
      <c r="HM877" s="1637"/>
      <c r="HN877" s="1637"/>
      <c r="HO877" s="1637"/>
      <c r="HP877" s="1637"/>
      <c r="HQ877" s="1637"/>
      <c r="HR877" s="1637"/>
      <c r="HS877" s="1637"/>
      <c r="HT877" s="1637"/>
      <c r="HU877" s="1637"/>
      <c r="HV877" s="1637"/>
      <c r="HW877" s="1637"/>
      <c r="HX877" s="1637"/>
      <c r="HY877" s="1637"/>
      <c r="HZ877" s="1637"/>
      <c r="IA877" s="1637"/>
      <c r="IB877" s="1637"/>
      <c r="IC877" s="1637"/>
      <c r="ID877" s="1637"/>
      <c r="IE877" s="1637"/>
      <c r="IL877" s="1641"/>
      <c r="JB877" s="1641"/>
      <c r="JC877" s="1641"/>
    </row>
    <row r="878" spans="1:263" ht="2.25" customHeight="1">
      <c r="P878" s="1631"/>
      <c r="Q878" s="1631"/>
      <c r="GT878" s="1637"/>
      <c r="GY878" s="1637"/>
      <c r="GZ878" s="1637"/>
      <c r="HA878" s="1637"/>
      <c r="HB878" s="1637"/>
      <c r="HC878" s="1637"/>
      <c r="HD878" s="1637"/>
      <c r="HE878" s="1637"/>
      <c r="HF878" s="1637"/>
      <c r="HG878" s="1637"/>
      <c r="HH878" s="1637"/>
      <c r="HI878" s="1637"/>
      <c r="HJ878" s="1637"/>
      <c r="HK878" s="1637"/>
      <c r="HL878" s="1637"/>
      <c r="HM878" s="1637"/>
      <c r="HN878" s="1637"/>
      <c r="HO878" s="1637"/>
      <c r="HP878" s="1637"/>
      <c r="HQ878" s="1637"/>
      <c r="HR878" s="1637"/>
      <c r="HS878" s="1637"/>
      <c r="HT878" s="1637"/>
      <c r="HU878" s="1637"/>
      <c r="HV878" s="1637"/>
      <c r="HW878" s="1637"/>
      <c r="HX878" s="1637"/>
      <c r="HY878" s="1637"/>
      <c r="HZ878" s="1637"/>
      <c r="IA878" s="1637"/>
      <c r="IB878" s="1637"/>
      <c r="IC878" s="1637"/>
      <c r="ID878" s="1637"/>
      <c r="IK878" s="1641"/>
      <c r="JA878" s="1641"/>
      <c r="JB878" s="1641"/>
    </row>
    <row r="879" spans="1:263" ht="11.25" customHeight="1">
      <c r="B879" s="1848" t="s">
        <v>1016</v>
      </c>
      <c r="C879" s="1486"/>
      <c r="D879" s="1634"/>
      <c r="E879" s="1486"/>
      <c r="F879" s="1486"/>
      <c r="G879" s="1486"/>
      <c r="H879" s="2151">
        <f>'Part VI-Revenues &amp; Expenses'!H173</f>
        <v>18681.600000000002</v>
      </c>
      <c r="I879" s="2151">
        <f>'Part VI-Revenues &amp; Expenses'!I173</f>
        <v>0</v>
      </c>
      <c r="J879" s="1486"/>
      <c r="K879" s="1849" t="s">
        <v>4535</v>
      </c>
      <c r="L879" s="1486"/>
      <c r="M879" s="1486"/>
      <c r="N879" s="1486"/>
      <c r="O879" s="1850">
        <f>H879/L806</f>
        <v>2.0000000000000004E-2</v>
      </c>
      <c r="P879" s="1634"/>
      <c r="Q879" s="1634"/>
      <c r="R879" s="1629" t="str">
        <f>B879</f>
        <v>Ancillary Income</v>
      </c>
      <c r="GT879" s="1637"/>
      <c r="GY879" s="1637"/>
      <c r="GZ879" s="1637"/>
      <c r="HA879" s="1637"/>
      <c r="HB879" s="1637"/>
      <c r="HC879" s="1637"/>
      <c r="HD879" s="1637"/>
      <c r="HE879" s="1637"/>
      <c r="HF879" s="1637"/>
      <c r="HG879" s="1637"/>
      <c r="HH879" s="1637"/>
      <c r="HI879" s="1637"/>
      <c r="HJ879" s="1637"/>
      <c r="HK879" s="1637"/>
      <c r="HL879" s="1637"/>
      <c r="HM879" s="1637"/>
      <c r="HN879" s="1637"/>
      <c r="HO879" s="1637"/>
      <c r="HP879" s="1637"/>
      <c r="HQ879" s="1637"/>
      <c r="HR879" s="1637"/>
      <c r="HS879" s="1637"/>
      <c r="HT879" s="1637"/>
      <c r="HU879" s="1637"/>
      <c r="HV879" s="1637"/>
      <c r="HW879" s="1637"/>
      <c r="HX879" s="1637"/>
      <c r="HY879" s="1637"/>
      <c r="HZ879" s="1637"/>
      <c r="IA879" s="1637"/>
      <c r="IB879" s="1637"/>
      <c r="IC879" s="1637"/>
      <c r="ID879" s="1637"/>
      <c r="IK879" s="1641"/>
      <c r="JA879" s="1641"/>
      <c r="JB879" s="1641"/>
    </row>
    <row r="880" spans="1:263" ht="2.25" customHeight="1">
      <c r="B880" s="1848"/>
      <c r="C880" s="1486"/>
      <c r="D880" s="1634"/>
      <c r="E880" s="1851"/>
      <c r="F880" s="1486"/>
      <c r="G880" s="1486"/>
      <c r="H880" s="1486"/>
      <c r="I880" s="1852"/>
      <c r="J880" s="1486"/>
      <c r="K880" s="1486"/>
      <c r="L880" s="1486"/>
      <c r="M880" s="1486"/>
      <c r="N880" s="1486"/>
      <c r="O880" s="1486"/>
      <c r="P880" s="1634"/>
      <c r="Q880" s="1634"/>
      <c r="GT880" s="1637"/>
      <c r="GY880" s="1637"/>
      <c r="GZ880" s="1637"/>
      <c r="HA880" s="1637"/>
      <c r="HB880" s="1637"/>
      <c r="HC880" s="1637"/>
      <c r="HD880" s="1637"/>
      <c r="HE880" s="1637"/>
      <c r="HF880" s="1637"/>
      <c r="HG880" s="1637"/>
      <c r="HH880" s="1637"/>
      <c r="HI880" s="1637"/>
      <c r="HJ880" s="1637"/>
      <c r="HK880" s="1637"/>
      <c r="HL880" s="1637"/>
      <c r="HM880" s="1637"/>
      <c r="HN880" s="1637"/>
      <c r="HO880" s="1637"/>
      <c r="HP880" s="1637"/>
      <c r="HQ880" s="1637"/>
      <c r="HR880" s="1637"/>
      <c r="HS880" s="1637"/>
      <c r="HT880" s="1637"/>
      <c r="HU880" s="1637"/>
      <c r="HV880" s="1637"/>
      <c r="HW880" s="1637"/>
      <c r="HX880" s="1637"/>
      <c r="HY880" s="1637"/>
      <c r="HZ880" s="1637"/>
      <c r="IA880" s="1637"/>
      <c r="IB880" s="1637"/>
      <c r="IC880" s="1637"/>
      <c r="ID880" s="1637"/>
      <c r="IK880" s="1641"/>
      <c r="JA880" s="1641"/>
      <c r="JB880" s="1641"/>
    </row>
    <row r="881" spans="2:262" ht="11.25" customHeight="1">
      <c r="B881" s="1848" t="s">
        <v>1445</v>
      </c>
      <c r="C881" s="1486"/>
      <c r="D881" s="1486"/>
      <c r="E881" s="1486"/>
      <c r="F881" s="1486"/>
      <c r="G881" s="1486"/>
      <c r="H881" s="1486"/>
      <c r="I881" s="1848"/>
      <c r="J881" s="1486"/>
      <c r="K881" s="1853"/>
      <c r="L881" s="1486"/>
      <c r="M881" s="1486"/>
      <c r="N881" s="1486"/>
      <c r="O881" s="1486"/>
      <c r="P881" s="1486"/>
      <c r="R881" s="1813" t="str">
        <f>B881</f>
        <v>Other Income (OI) by Year:</v>
      </c>
      <c r="GT881" s="1637"/>
      <c r="GY881" s="1637"/>
      <c r="GZ881" s="1637"/>
      <c r="HA881" s="1637"/>
      <c r="HB881" s="1637"/>
      <c r="HC881" s="1637"/>
      <c r="HD881" s="1637"/>
      <c r="HE881" s="1637"/>
      <c r="HF881" s="1637"/>
      <c r="HG881" s="1637"/>
      <c r="HH881" s="1637"/>
      <c r="HI881" s="1637"/>
      <c r="HJ881" s="1637"/>
      <c r="HK881" s="1637"/>
      <c r="HL881" s="1637"/>
      <c r="HM881" s="1637"/>
      <c r="HN881" s="1637"/>
      <c r="HO881" s="1637"/>
      <c r="HP881" s="1637"/>
      <c r="HQ881" s="1637"/>
      <c r="HR881" s="1637"/>
      <c r="HS881" s="1637"/>
      <c r="HT881" s="1637"/>
      <c r="HU881" s="1637"/>
      <c r="HV881" s="1637"/>
      <c r="HW881" s="1637"/>
      <c r="HX881" s="1637"/>
      <c r="HY881" s="1637"/>
      <c r="HZ881" s="1637"/>
      <c r="IA881" s="1637"/>
      <c r="IB881" s="1637"/>
      <c r="IC881" s="1637"/>
      <c r="ID881" s="1637"/>
      <c r="IK881" s="1641"/>
      <c r="JA881" s="1641"/>
      <c r="JB881" s="1641"/>
    </row>
    <row r="882" spans="2:262" ht="11.25" customHeight="1">
      <c r="B882" s="1854" t="s">
        <v>2286</v>
      </c>
      <c r="C882" s="1486"/>
      <c r="D882" s="1486"/>
      <c r="E882" s="1486"/>
      <c r="F882" s="1486"/>
      <c r="G882" s="1855">
        <v>1</v>
      </c>
      <c r="H882" s="1855">
        <v>2</v>
      </c>
      <c r="I882" s="1855">
        <v>3</v>
      </c>
      <c r="J882" s="1855">
        <v>4</v>
      </c>
      <c r="K882" s="1855">
        <v>5</v>
      </c>
      <c r="L882" s="1855">
        <v>6</v>
      </c>
      <c r="M882" s="1855">
        <v>7</v>
      </c>
      <c r="N882" s="1855">
        <v>8</v>
      </c>
      <c r="O882" s="1855">
        <v>9</v>
      </c>
      <c r="P882" s="1855">
        <v>10</v>
      </c>
      <c r="Q882" s="1856"/>
      <c r="R882" s="1631" t="str">
        <f>B882</f>
        <v>Included in Mgt Fee:</v>
      </c>
      <c r="GT882" s="1637"/>
      <c r="GY882" s="1637"/>
      <c r="GZ882" s="1637"/>
      <c r="HA882" s="1637"/>
      <c r="HB882" s="1637"/>
      <c r="HC882" s="1637"/>
      <c r="HD882" s="1637"/>
      <c r="HE882" s="1637"/>
      <c r="HF882" s="1637"/>
      <c r="HG882" s="1637"/>
      <c r="HH882" s="1637"/>
      <c r="HI882" s="1637"/>
      <c r="HJ882" s="1637"/>
      <c r="HK882" s="1637"/>
      <c r="HL882" s="1637"/>
      <c r="HM882" s="1637"/>
      <c r="HN882" s="1637"/>
      <c r="HO882" s="1637"/>
      <c r="HP882" s="1637"/>
      <c r="HQ882" s="1637"/>
      <c r="HR882" s="1637"/>
      <c r="HS882" s="1637"/>
      <c r="HT882" s="1637"/>
      <c r="HU882" s="1637"/>
      <c r="HV882" s="1637"/>
      <c r="HW882" s="1637"/>
      <c r="HX882" s="1637"/>
      <c r="HY882" s="1637"/>
      <c r="HZ882" s="1637"/>
      <c r="IA882" s="1637"/>
      <c r="IB882" s="1637"/>
      <c r="IC882" s="1637"/>
      <c r="ID882" s="1637"/>
      <c r="IK882" s="1641"/>
      <c r="JA882" s="1641"/>
      <c r="JB882" s="1641"/>
    </row>
    <row r="883" spans="2:262" ht="11.25" customHeight="1">
      <c r="B883" s="1634" t="s">
        <v>1017</v>
      </c>
      <c r="C883" s="1634"/>
      <c r="D883" s="1634"/>
      <c r="E883" s="1634"/>
      <c r="F883" s="1634"/>
      <c r="G883" s="2152">
        <f>'Part VI-Revenues &amp; Expenses'!G177</f>
        <v>0</v>
      </c>
      <c r="H883" s="2152">
        <f>'Part VI-Revenues &amp; Expenses'!H177</f>
        <v>0</v>
      </c>
      <c r="I883" s="2152">
        <f>'Part VI-Revenues &amp; Expenses'!I177</f>
        <v>0</v>
      </c>
      <c r="J883" s="2152">
        <f>'Part VI-Revenues &amp; Expenses'!J177</f>
        <v>0</v>
      </c>
      <c r="K883" s="2152">
        <f>'Part VI-Revenues &amp; Expenses'!K177</f>
        <v>0</v>
      </c>
      <c r="L883" s="2152">
        <f>'Part VI-Revenues &amp; Expenses'!L177</f>
        <v>0</v>
      </c>
      <c r="M883" s="2152">
        <f>'Part VI-Revenues &amp; Expenses'!M177</f>
        <v>0</v>
      </c>
      <c r="N883" s="2152">
        <f>'Part VI-Revenues &amp; Expenses'!N177</f>
        <v>0</v>
      </c>
      <c r="O883" s="2152">
        <f>'Part VI-Revenues &amp; Expenses'!O177</f>
        <v>0</v>
      </c>
      <c r="P883" s="2152">
        <f>'Part VI-Revenues &amp; Expenses'!P177</f>
        <v>0</v>
      </c>
      <c r="Q883" s="1862"/>
      <c r="R883" s="1838"/>
      <c r="S883" s="1838"/>
      <c r="T883" s="1838"/>
      <c r="U883" s="1838"/>
      <c r="V883" s="1838"/>
      <c r="GT883" s="1637"/>
      <c r="GY883" s="1637"/>
      <c r="GZ883" s="1637"/>
      <c r="HA883" s="1637"/>
      <c r="HB883" s="1637"/>
      <c r="HC883" s="1637"/>
      <c r="HD883" s="1637"/>
      <c r="HE883" s="1637"/>
      <c r="HF883" s="1637"/>
      <c r="HG883" s="1637"/>
      <c r="HH883" s="1637"/>
      <c r="HI883" s="1637"/>
      <c r="HJ883" s="1637"/>
      <c r="HK883" s="1637"/>
      <c r="HL883" s="1637"/>
      <c r="HM883" s="1637"/>
      <c r="HN883" s="1637"/>
      <c r="HO883" s="1637"/>
      <c r="HP883" s="1637"/>
      <c r="HQ883" s="1637"/>
      <c r="HR883" s="1637"/>
      <c r="HS883" s="1637"/>
      <c r="HT883" s="1637"/>
      <c r="HU883" s="1637"/>
      <c r="HV883" s="1637"/>
      <c r="HW883" s="1637"/>
      <c r="HX883" s="1637"/>
      <c r="HY883" s="1637"/>
      <c r="HZ883" s="1637"/>
      <c r="IA883" s="1637"/>
      <c r="IB883" s="1637"/>
      <c r="IC883" s="1637"/>
      <c r="ID883" s="1637"/>
      <c r="IK883" s="1641"/>
      <c r="JA883" s="1641"/>
      <c r="JB883" s="1641"/>
    </row>
    <row r="884" spans="2:262" ht="11.25" customHeight="1">
      <c r="B884" s="1634" t="s">
        <v>741</v>
      </c>
      <c r="C884" s="1634">
        <f>'Part VI-Revenues &amp; Expenses'!C178</f>
        <v>0</v>
      </c>
      <c r="D884" s="1634">
        <f>'Part VI-Revenues &amp; Expenses'!D178</f>
        <v>0</v>
      </c>
      <c r="E884" s="1634">
        <f>'Part VI-Revenues &amp; Expenses'!E178</f>
        <v>0</v>
      </c>
      <c r="F884" s="1634">
        <f>'Part VI-Revenues &amp; Expenses'!F178</f>
        <v>0</v>
      </c>
      <c r="G884" s="2152">
        <f>'Part VI-Revenues &amp; Expenses'!G178</f>
        <v>0</v>
      </c>
      <c r="H884" s="2152">
        <f>'Part VI-Revenues &amp; Expenses'!H178</f>
        <v>0</v>
      </c>
      <c r="I884" s="2152">
        <f>'Part VI-Revenues &amp; Expenses'!I178</f>
        <v>0</v>
      </c>
      <c r="J884" s="2152">
        <f>'Part VI-Revenues &amp; Expenses'!J178</f>
        <v>0</v>
      </c>
      <c r="K884" s="2152">
        <f>'Part VI-Revenues &amp; Expenses'!K178</f>
        <v>0</v>
      </c>
      <c r="L884" s="2152">
        <f>'Part VI-Revenues &amp; Expenses'!L178</f>
        <v>0</v>
      </c>
      <c r="M884" s="2152">
        <f>'Part VI-Revenues &amp; Expenses'!M178</f>
        <v>0</v>
      </c>
      <c r="N884" s="2152">
        <f>'Part VI-Revenues &amp; Expenses'!N178</f>
        <v>0</v>
      </c>
      <c r="O884" s="2152">
        <f>'Part VI-Revenues &amp; Expenses'!O178</f>
        <v>0</v>
      </c>
      <c r="P884" s="2152">
        <f>'Part VI-Revenues &amp; Expenses'!P178</f>
        <v>0</v>
      </c>
      <c r="Q884" s="1862"/>
      <c r="R884" s="1838"/>
      <c r="S884" s="1838"/>
      <c r="T884" s="1838"/>
      <c r="U884" s="1838"/>
      <c r="V884" s="1838"/>
      <c r="GT884" s="1637"/>
      <c r="GY884" s="1637"/>
      <c r="GZ884" s="1637"/>
      <c r="HA884" s="1637"/>
      <c r="HB884" s="1637"/>
      <c r="HC884" s="1637"/>
      <c r="HD884" s="1637"/>
      <c r="HE884" s="1637"/>
      <c r="HF884" s="1637"/>
      <c r="HG884" s="1637"/>
      <c r="HH884" s="1637"/>
      <c r="HI884" s="1637"/>
      <c r="HJ884" s="1637"/>
      <c r="HK884" s="1637"/>
      <c r="HL884" s="1637"/>
      <c r="HM884" s="1637"/>
      <c r="HN884" s="1637"/>
      <c r="HO884" s="1637"/>
      <c r="HP884" s="1637"/>
      <c r="HQ884" s="1637"/>
      <c r="HR884" s="1637"/>
      <c r="HS884" s="1637"/>
      <c r="HT884" s="1637"/>
      <c r="HU884" s="1637"/>
      <c r="HV884" s="1637"/>
      <c r="HW884" s="1637"/>
      <c r="HX884" s="1637"/>
      <c r="HY884" s="1637"/>
      <c r="HZ884" s="1637"/>
      <c r="IA884" s="1637"/>
      <c r="IB884" s="1637"/>
      <c r="IC884" s="1637"/>
      <c r="ID884" s="1637"/>
      <c r="IK884" s="1641"/>
      <c r="JA884" s="1641"/>
      <c r="JB884" s="1641"/>
    </row>
    <row r="885" spans="2:262" ht="11.25" customHeight="1">
      <c r="B885" s="1634"/>
      <c r="C885" s="1634" t="s">
        <v>928</v>
      </c>
      <c r="D885" s="1634"/>
      <c r="E885" s="1634"/>
      <c r="F885" s="1634"/>
      <c r="G885" s="1857">
        <f t="shared" ref="G885:P885" si="272">SUM(G883:G884)</f>
        <v>0</v>
      </c>
      <c r="H885" s="1857">
        <f t="shared" si="272"/>
        <v>0</v>
      </c>
      <c r="I885" s="1857">
        <f t="shared" si="272"/>
        <v>0</v>
      </c>
      <c r="J885" s="1857">
        <f t="shared" si="272"/>
        <v>0</v>
      </c>
      <c r="K885" s="1857">
        <f t="shared" si="272"/>
        <v>0</v>
      </c>
      <c r="L885" s="1857">
        <f t="shared" si="272"/>
        <v>0</v>
      </c>
      <c r="M885" s="1857">
        <f t="shared" si="272"/>
        <v>0</v>
      </c>
      <c r="N885" s="1857">
        <f t="shared" si="272"/>
        <v>0</v>
      </c>
      <c r="O885" s="1857">
        <f t="shared" si="272"/>
        <v>0</v>
      </c>
      <c r="P885" s="1857">
        <f t="shared" si="272"/>
        <v>0</v>
      </c>
      <c r="Q885" s="522"/>
      <c r="R885" s="1838"/>
      <c r="S885" s="1838"/>
      <c r="T885" s="1838"/>
      <c r="U885" s="1838"/>
      <c r="V885" s="1838"/>
      <c r="GT885" s="1637"/>
      <c r="GY885" s="1637"/>
      <c r="GZ885" s="1637"/>
      <c r="HA885" s="1637"/>
      <c r="HB885" s="1637"/>
      <c r="HC885" s="1637"/>
      <c r="HD885" s="1637"/>
      <c r="HE885" s="1637"/>
      <c r="HF885" s="1637"/>
      <c r="HG885" s="1637"/>
      <c r="HH885" s="1637"/>
      <c r="HI885" s="1637"/>
      <c r="HJ885" s="1637"/>
      <c r="HK885" s="1637"/>
      <c r="HL885" s="1637"/>
      <c r="HM885" s="1637"/>
      <c r="HN885" s="1637"/>
      <c r="HO885" s="1637"/>
      <c r="HP885" s="1637"/>
      <c r="HQ885" s="1637"/>
      <c r="HR885" s="1637"/>
      <c r="HS885" s="1637"/>
      <c r="HT885" s="1637"/>
      <c r="HU885" s="1637"/>
      <c r="HV885" s="1637"/>
      <c r="HW885" s="1637"/>
      <c r="HX885" s="1637"/>
      <c r="HY885" s="1637"/>
      <c r="HZ885" s="1637"/>
      <c r="IA885" s="1637"/>
      <c r="IB885" s="1637"/>
      <c r="IC885" s="1637"/>
      <c r="ID885" s="1637"/>
      <c r="IK885" s="1641"/>
      <c r="JA885" s="1641"/>
      <c r="JB885" s="1641"/>
    </row>
    <row r="886" spans="2:262" ht="11.25" customHeight="1">
      <c r="B886" s="1854" t="s">
        <v>4536</v>
      </c>
      <c r="C886" s="1486"/>
      <c r="D886" s="1486"/>
      <c r="E886" s="1486"/>
      <c r="F886" s="1486"/>
      <c r="G886" s="1858"/>
      <c r="H886" s="1486"/>
      <c r="I886" s="1486"/>
      <c r="J886" s="1486"/>
      <c r="K886" s="1486"/>
      <c r="L886" s="1486"/>
      <c r="M886" s="1486"/>
      <c r="N886" s="1486"/>
      <c r="O886" s="1486"/>
      <c r="P886" s="1486"/>
      <c r="R886" s="1631" t="str">
        <f>B886</f>
        <v>NOT Included in Mgt Fee:</v>
      </c>
      <c r="GT886" s="1637"/>
      <c r="GY886" s="1637"/>
      <c r="GZ886" s="1637"/>
      <c r="HA886" s="1637"/>
      <c r="HB886" s="1637"/>
      <c r="HC886" s="1637"/>
      <c r="HD886" s="1637"/>
      <c r="HE886" s="1637"/>
      <c r="HF886" s="1637"/>
      <c r="HG886" s="1637"/>
      <c r="HH886" s="1637"/>
      <c r="HI886" s="1637"/>
      <c r="HJ886" s="1637"/>
      <c r="HK886" s="1637"/>
      <c r="HL886" s="1637"/>
      <c r="HM886" s="1637"/>
      <c r="HN886" s="1637"/>
      <c r="HO886" s="1637"/>
      <c r="HP886" s="1637"/>
      <c r="HQ886" s="1637"/>
      <c r="HR886" s="1637"/>
      <c r="HS886" s="1637"/>
      <c r="HT886" s="1637"/>
      <c r="HU886" s="1637"/>
      <c r="HV886" s="1637"/>
      <c r="HW886" s="1637"/>
      <c r="HX886" s="1637"/>
      <c r="HY886" s="1637"/>
      <c r="HZ886" s="1637"/>
      <c r="IA886" s="1637"/>
      <c r="IB886" s="1637"/>
      <c r="IC886" s="1637"/>
      <c r="ID886" s="1637"/>
      <c r="IK886" s="1641"/>
      <c r="JA886" s="1641"/>
      <c r="JB886" s="1641"/>
    </row>
    <row r="887" spans="2:262" ht="11.25" customHeight="1">
      <c r="B887" s="1634" t="s">
        <v>533</v>
      </c>
      <c r="C887" s="1634"/>
      <c r="D887" s="1634"/>
      <c r="E887" s="1634"/>
      <c r="F887" s="1634"/>
      <c r="G887" s="2152">
        <f>'Part VI-Revenues &amp; Expenses'!G181</f>
        <v>0</v>
      </c>
      <c r="H887" s="2152">
        <f>'Part VI-Revenues &amp; Expenses'!H181</f>
        <v>0</v>
      </c>
      <c r="I887" s="2152">
        <f>'Part VI-Revenues &amp; Expenses'!I181</f>
        <v>0</v>
      </c>
      <c r="J887" s="2152">
        <f>'Part VI-Revenues &amp; Expenses'!J181</f>
        <v>0</v>
      </c>
      <c r="K887" s="2152">
        <f>'Part VI-Revenues &amp; Expenses'!K181</f>
        <v>0</v>
      </c>
      <c r="L887" s="2152">
        <f>'Part VI-Revenues &amp; Expenses'!L181</f>
        <v>0</v>
      </c>
      <c r="M887" s="2152">
        <f>'Part VI-Revenues &amp; Expenses'!M181</f>
        <v>0</v>
      </c>
      <c r="N887" s="2152">
        <f>'Part VI-Revenues &amp; Expenses'!N181</f>
        <v>0</v>
      </c>
      <c r="O887" s="2152">
        <f>'Part VI-Revenues &amp; Expenses'!O181</f>
        <v>0</v>
      </c>
      <c r="P887" s="2152">
        <f>'Part VI-Revenues &amp; Expenses'!P181</f>
        <v>0</v>
      </c>
      <c r="Q887" s="1862"/>
      <c r="R887" s="1838"/>
      <c r="S887" s="1838"/>
      <c r="T887" s="1838"/>
      <c r="U887" s="1838"/>
      <c r="V887" s="1838"/>
      <c r="GT887" s="1637"/>
      <c r="GY887" s="1637"/>
      <c r="GZ887" s="1637"/>
      <c r="HA887" s="1637"/>
      <c r="HB887" s="1637"/>
      <c r="HC887" s="1637"/>
      <c r="HD887" s="1637"/>
      <c r="HE887" s="1637"/>
      <c r="HF887" s="1637"/>
      <c r="HG887" s="1637"/>
      <c r="HH887" s="1637"/>
      <c r="HI887" s="1637"/>
      <c r="HJ887" s="1637"/>
      <c r="HK887" s="1637"/>
      <c r="HL887" s="1637"/>
      <c r="HM887" s="1637"/>
      <c r="HN887" s="1637"/>
      <c r="HO887" s="1637"/>
      <c r="HP887" s="1637"/>
      <c r="HQ887" s="1637"/>
      <c r="HR887" s="1637"/>
      <c r="HS887" s="1637"/>
      <c r="HT887" s="1637"/>
      <c r="HU887" s="1637"/>
      <c r="HV887" s="1637"/>
      <c r="HW887" s="1637"/>
      <c r="HX887" s="1637"/>
      <c r="HY887" s="1637"/>
      <c r="HZ887" s="1637"/>
      <c r="IA887" s="1637"/>
      <c r="IB887" s="1637"/>
      <c r="IC887" s="1637"/>
      <c r="ID887" s="1637"/>
      <c r="IK887" s="1641"/>
      <c r="JA887" s="1641"/>
      <c r="JB887" s="1641"/>
    </row>
    <row r="888" spans="2:262" ht="11.25" customHeight="1">
      <c r="B888" s="1634" t="s">
        <v>741</v>
      </c>
      <c r="C888" s="1634">
        <f>'Part VI-Revenues &amp; Expenses'!C182</f>
        <v>0</v>
      </c>
      <c r="D888" s="1634">
        <f>'Part VI-Revenues &amp; Expenses'!D182</f>
        <v>0</v>
      </c>
      <c r="E888" s="1634">
        <f>'Part VI-Revenues &amp; Expenses'!E182</f>
        <v>0</v>
      </c>
      <c r="F888" s="1634">
        <f>'Part VI-Revenues &amp; Expenses'!F182</f>
        <v>0</v>
      </c>
      <c r="G888" s="2152">
        <f>'Part VI-Revenues &amp; Expenses'!G182</f>
        <v>0</v>
      </c>
      <c r="H888" s="2152">
        <f>'Part VI-Revenues &amp; Expenses'!H182</f>
        <v>0</v>
      </c>
      <c r="I888" s="2152">
        <f>'Part VI-Revenues &amp; Expenses'!I182</f>
        <v>0</v>
      </c>
      <c r="J888" s="2152">
        <f>'Part VI-Revenues &amp; Expenses'!J182</f>
        <v>0</v>
      </c>
      <c r="K888" s="2152">
        <f>'Part VI-Revenues &amp; Expenses'!K182</f>
        <v>0</v>
      </c>
      <c r="L888" s="2152">
        <f>'Part VI-Revenues &amp; Expenses'!L182</f>
        <v>0</v>
      </c>
      <c r="M888" s="2152">
        <f>'Part VI-Revenues &amp; Expenses'!M182</f>
        <v>0</v>
      </c>
      <c r="N888" s="2152">
        <f>'Part VI-Revenues &amp; Expenses'!N182</f>
        <v>0</v>
      </c>
      <c r="O888" s="2152">
        <f>'Part VI-Revenues &amp; Expenses'!O182</f>
        <v>0</v>
      </c>
      <c r="P888" s="2152">
        <f>'Part VI-Revenues &amp; Expenses'!P182</f>
        <v>0</v>
      </c>
      <c r="Q888" s="1862"/>
      <c r="R888" s="1838"/>
      <c r="S888" s="1838"/>
      <c r="T888" s="1838"/>
      <c r="U888" s="1838"/>
      <c r="V888" s="1838"/>
      <c r="GT888" s="1637"/>
      <c r="GY888" s="1637"/>
      <c r="GZ888" s="1637"/>
      <c r="HA888" s="1637"/>
      <c r="HB888" s="1637"/>
      <c r="HC888" s="1637"/>
      <c r="HD888" s="1637"/>
      <c r="HE888" s="1637"/>
      <c r="HF888" s="1637"/>
      <c r="HG888" s="1637"/>
      <c r="HH888" s="1637"/>
      <c r="HI888" s="1637"/>
      <c r="HJ888" s="1637"/>
      <c r="HK888" s="1637"/>
      <c r="HL888" s="1637"/>
      <c r="HM888" s="1637"/>
      <c r="HN888" s="1637"/>
      <c r="HO888" s="1637"/>
      <c r="HP888" s="1637"/>
      <c r="HQ888" s="1637"/>
      <c r="HR888" s="1637"/>
      <c r="HS888" s="1637"/>
      <c r="HT888" s="1637"/>
      <c r="HU888" s="1637"/>
      <c r="HV888" s="1637"/>
      <c r="HW888" s="1637"/>
      <c r="HX888" s="1637"/>
      <c r="HY888" s="1637"/>
      <c r="HZ888" s="1637"/>
      <c r="IA888" s="1637"/>
      <c r="IB888" s="1637"/>
      <c r="IC888" s="1637"/>
      <c r="ID888" s="1637"/>
      <c r="IK888" s="1641"/>
      <c r="JA888" s="1641"/>
      <c r="JB888" s="1641"/>
    </row>
    <row r="889" spans="2:262" ht="11.25" customHeight="1">
      <c r="B889" s="1634"/>
      <c r="C889" s="1634" t="s">
        <v>4537</v>
      </c>
      <c r="D889" s="1634"/>
      <c r="E889" s="1634"/>
      <c r="F889" s="1634"/>
      <c r="G889" s="1857">
        <f t="shared" ref="G889:P889" si="273">SUM(G887:G888)</f>
        <v>0</v>
      </c>
      <c r="H889" s="1857">
        <f t="shared" si="273"/>
        <v>0</v>
      </c>
      <c r="I889" s="1857">
        <f t="shared" si="273"/>
        <v>0</v>
      </c>
      <c r="J889" s="1857">
        <f t="shared" si="273"/>
        <v>0</v>
      </c>
      <c r="K889" s="1857">
        <f t="shared" si="273"/>
        <v>0</v>
      </c>
      <c r="L889" s="1857">
        <f t="shared" si="273"/>
        <v>0</v>
      </c>
      <c r="M889" s="1857">
        <f t="shared" si="273"/>
        <v>0</v>
      </c>
      <c r="N889" s="1857">
        <f t="shared" si="273"/>
        <v>0</v>
      </c>
      <c r="O889" s="1857">
        <f t="shared" si="273"/>
        <v>0</v>
      </c>
      <c r="P889" s="1857">
        <f t="shared" si="273"/>
        <v>0</v>
      </c>
      <c r="Q889" s="522"/>
      <c r="R889" s="1838"/>
      <c r="S889" s="1838"/>
      <c r="T889" s="1838"/>
      <c r="U889" s="1838"/>
      <c r="V889" s="1838"/>
      <c r="GT889" s="1637"/>
      <c r="GY889" s="1637"/>
      <c r="GZ889" s="1637"/>
      <c r="HA889" s="1637"/>
      <c r="HB889" s="1637"/>
      <c r="HC889" s="1637"/>
      <c r="HD889" s="1637"/>
      <c r="HE889" s="1637"/>
      <c r="HF889" s="1637"/>
      <c r="HG889" s="1637"/>
      <c r="HH889" s="1637"/>
      <c r="HI889" s="1637"/>
      <c r="HJ889" s="1637"/>
      <c r="HK889" s="1637"/>
      <c r="HL889" s="1637"/>
      <c r="HM889" s="1637"/>
      <c r="HN889" s="1637"/>
      <c r="HO889" s="1637"/>
      <c r="HP889" s="1637"/>
      <c r="HQ889" s="1637"/>
      <c r="HR889" s="1637"/>
      <c r="HS889" s="1637"/>
      <c r="HT889" s="1637"/>
      <c r="HU889" s="1637"/>
      <c r="HV889" s="1637"/>
      <c r="HW889" s="1637"/>
      <c r="HX889" s="1637"/>
      <c r="HY889" s="1637"/>
      <c r="HZ889" s="1637"/>
      <c r="IA889" s="1637"/>
      <c r="IB889" s="1637"/>
      <c r="IC889" s="1637"/>
      <c r="ID889" s="1637"/>
      <c r="IK889" s="1641"/>
      <c r="JA889" s="1641"/>
      <c r="JB889" s="1641"/>
    </row>
    <row r="890" spans="2:262" ht="3" customHeight="1">
      <c r="B890" s="1848"/>
      <c r="C890" s="1486"/>
      <c r="D890" s="1486"/>
      <c r="E890" s="1486"/>
      <c r="F890" s="1486"/>
      <c r="G890" s="1858"/>
      <c r="H890" s="1486"/>
      <c r="I890" s="1486"/>
      <c r="J890" s="1486"/>
      <c r="K890" s="1486"/>
      <c r="L890" s="1486"/>
      <c r="M890" s="1486"/>
      <c r="N890" s="1486"/>
      <c r="O890" s="1486"/>
      <c r="P890" s="1486"/>
      <c r="GT890" s="1637"/>
      <c r="GY890" s="1637"/>
      <c r="GZ890" s="1637"/>
      <c r="HA890" s="1637"/>
      <c r="HB890" s="1637"/>
      <c r="HC890" s="1637"/>
      <c r="HD890" s="1637"/>
      <c r="HE890" s="1637"/>
      <c r="HF890" s="1637"/>
      <c r="HG890" s="1637"/>
      <c r="HH890" s="1637"/>
      <c r="HI890" s="1637"/>
      <c r="HJ890" s="1637"/>
      <c r="HK890" s="1637"/>
      <c r="HL890" s="1637"/>
      <c r="HM890" s="1637"/>
      <c r="HN890" s="1637"/>
      <c r="HO890" s="1637"/>
      <c r="HP890" s="1637"/>
      <c r="HQ890" s="1637"/>
      <c r="HR890" s="1637"/>
      <c r="HS890" s="1637"/>
      <c r="HT890" s="1637"/>
      <c r="HU890" s="1637"/>
      <c r="HV890" s="1637"/>
      <c r="HW890" s="1637"/>
      <c r="HX890" s="1637"/>
      <c r="HY890" s="1637"/>
      <c r="HZ890" s="1637"/>
      <c r="IA890" s="1637"/>
      <c r="IB890" s="1637"/>
      <c r="IC890" s="1637"/>
      <c r="ID890" s="1637"/>
      <c r="IK890" s="1641"/>
      <c r="JA890" s="1641"/>
      <c r="JB890" s="1641"/>
    </row>
    <row r="891" spans="2:262" ht="11.25" customHeight="1">
      <c r="B891" s="1854" t="s">
        <v>2286</v>
      </c>
      <c r="C891" s="1486"/>
      <c r="D891" s="1486"/>
      <c r="E891" s="1486"/>
      <c r="F891" s="1486"/>
      <c r="G891" s="1855">
        <v>11</v>
      </c>
      <c r="H891" s="1855">
        <v>12</v>
      </c>
      <c r="I891" s="1855">
        <v>13</v>
      </c>
      <c r="J891" s="1855">
        <v>14</v>
      </c>
      <c r="K891" s="1855">
        <v>15</v>
      </c>
      <c r="L891" s="1855">
        <v>16</v>
      </c>
      <c r="M891" s="1855">
        <v>17</v>
      </c>
      <c r="N891" s="1855">
        <v>18</v>
      </c>
      <c r="O891" s="1855">
        <v>19</v>
      </c>
      <c r="P891" s="1855">
        <v>20</v>
      </c>
      <c r="R891" s="1825" t="s">
        <v>2622</v>
      </c>
      <c r="S891" s="1631" t="str">
        <f>B891</f>
        <v>Included in Mgt Fee:</v>
      </c>
      <c r="GT891" s="1637"/>
      <c r="GY891" s="1637"/>
      <c r="GZ891" s="1637"/>
      <c r="HA891" s="1637"/>
      <c r="HB891" s="1637"/>
      <c r="HC891" s="1637"/>
      <c r="HD891" s="1637"/>
      <c r="HE891" s="1637"/>
      <c r="HF891" s="1637"/>
      <c r="HG891" s="1637"/>
      <c r="HH891" s="1637"/>
      <c r="HI891" s="1637"/>
      <c r="HJ891" s="1637"/>
      <c r="HK891" s="1637"/>
      <c r="HL891" s="1637"/>
      <c r="HM891" s="1637"/>
      <c r="HN891" s="1637"/>
      <c r="HO891" s="1637"/>
      <c r="HP891" s="1637"/>
      <c r="HQ891" s="1637"/>
      <c r="HR891" s="1637"/>
      <c r="HS891" s="1637"/>
      <c r="HT891" s="1637"/>
      <c r="HU891" s="1637"/>
      <c r="HV891" s="1637"/>
      <c r="HW891" s="1637"/>
      <c r="HX891" s="1637"/>
      <c r="HY891" s="1637"/>
      <c r="HZ891" s="1637"/>
      <c r="IA891" s="1637"/>
      <c r="IB891" s="1637"/>
      <c r="IC891" s="1637"/>
      <c r="ID891" s="1637"/>
      <c r="IK891" s="1641"/>
      <c r="JA891" s="1641"/>
      <c r="JB891" s="1641"/>
    </row>
    <row r="892" spans="2:262" ht="11.25" customHeight="1">
      <c r="B892" s="1634" t="s">
        <v>1017</v>
      </c>
      <c r="C892" s="1634"/>
      <c r="D892" s="1634"/>
      <c r="E892" s="1634"/>
      <c r="F892" s="1634"/>
      <c r="G892" s="2152">
        <f>'Part VI-Revenues &amp; Expenses'!G186</f>
        <v>0</v>
      </c>
      <c r="H892" s="2152">
        <f>'Part VI-Revenues &amp; Expenses'!H186</f>
        <v>0</v>
      </c>
      <c r="I892" s="2152">
        <f>'Part VI-Revenues &amp; Expenses'!I186</f>
        <v>0</v>
      </c>
      <c r="J892" s="2152">
        <f>'Part VI-Revenues &amp; Expenses'!J186</f>
        <v>0</v>
      </c>
      <c r="K892" s="2152">
        <f>'Part VI-Revenues &amp; Expenses'!K186</f>
        <v>0</v>
      </c>
      <c r="L892" s="2152">
        <f>'Part VI-Revenues &amp; Expenses'!L186</f>
        <v>0</v>
      </c>
      <c r="M892" s="2152">
        <f>'Part VI-Revenues &amp; Expenses'!M186</f>
        <v>0</v>
      </c>
      <c r="N892" s="2152">
        <f>'Part VI-Revenues &amp; Expenses'!N186</f>
        <v>0</v>
      </c>
      <c r="O892" s="2152">
        <f>'Part VI-Revenues &amp; Expenses'!O186</f>
        <v>0</v>
      </c>
      <c r="P892" s="2152">
        <f>'Part VI-Revenues &amp; Expenses'!P186</f>
        <v>0</v>
      </c>
      <c r="Q892" s="1862"/>
      <c r="R892" s="1838"/>
      <c r="S892" s="1838"/>
      <c r="T892" s="1838"/>
      <c r="U892" s="1838"/>
      <c r="V892" s="1838"/>
      <c r="GT892" s="1637"/>
      <c r="GY892" s="1637"/>
      <c r="GZ892" s="1637"/>
      <c r="HA892" s="1637"/>
      <c r="HB892" s="1637"/>
      <c r="HC892" s="1637"/>
      <c r="HD892" s="1637"/>
      <c r="HE892" s="1637"/>
      <c r="HF892" s="1637"/>
      <c r="HG892" s="1637"/>
      <c r="HH892" s="1637"/>
      <c r="HI892" s="1637"/>
      <c r="HJ892" s="1637"/>
      <c r="HK892" s="1637"/>
      <c r="HL892" s="1637"/>
      <c r="HM892" s="1637"/>
      <c r="HN892" s="1637"/>
      <c r="HO892" s="1637"/>
      <c r="HP892" s="1637"/>
      <c r="HQ892" s="1637"/>
      <c r="HR892" s="1637"/>
      <c r="HS892" s="1637"/>
      <c r="HT892" s="1637"/>
      <c r="HU892" s="1637"/>
      <c r="HV892" s="1637"/>
      <c r="HW892" s="1637"/>
      <c r="HX892" s="1637"/>
      <c r="HY892" s="1637"/>
      <c r="HZ892" s="1637"/>
      <c r="IA892" s="1637"/>
      <c r="IB892" s="1637"/>
      <c r="IC892" s="1637"/>
      <c r="ID892" s="1637"/>
      <c r="IK892" s="1641"/>
      <c r="JA892" s="1641"/>
      <c r="JB892" s="1641"/>
    </row>
    <row r="893" spans="2:262" ht="11.25" customHeight="1">
      <c r="B893" s="1634" t="s">
        <v>741</v>
      </c>
      <c r="C893" s="1634">
        <f>'Part VI-Revenues &amp; Expenses'!C187</f>
        <v>0</v>
      </c>
      <c r="D893" s="1634">
        <f>'Part VI-Revenues &amp; Expenses'!D187</f>
        <v>0</v>
      </c>
      <c r="E893" s="1634">
        <f>'Part VI-Revenues &amp; Expenses'!E187</f>
        <v>0</v>
      </c>
      <c r="F893" s="1634">
        <f>'Part VI-Revenues &amp; Expenses'!F187</f>
        <v>0</v>
      </c>
      <c r="G893" s="2152">
        <f>'Part VI-Revenues &amp; Expenses'!G187</f>
        <v>0</v>
      </c>
      <c r="H893" s="2152">
        <f>'Part VI-Revenues &amp; Expenses'!H187</f>
        <v>0</v>
      </c>
      <c r="I893" s="2152">
        <f>'Part VI-Revenues &amp; Expenses'!I187</f>
        <v>0</v>
      </c>
      <c r="J893" s="2152">
        <f>'Part VI-Revenues &amp; Expenses'!J187</f>
        <v>0</v>
      </c>
      <c r="K893" s="2152">
        <f>'Part VI-Revenues &amp; Expenses'!K187</f>
        <v>0</v>
      </c>
      <c r="L893" s="2152">
        <f>'Part VI-Revenues &amp; Expenses'!L187</f>
        <v>0</v>
      </c>
      <c r="M893" s="2152">
        <f>'Part VI-Revenues &amp; Expenses'!M187</f>
        <v>0</v>
      </c>
      <c r="N893" s="2152">
        <f>'Part VI-Revenues &amp; Expenses'!N187</f>
        <v>0</v>
      </c>
      <c r="O893" s="2152">
        <f>'Part VI-Revenues &amp; Expenses'!O187</f>
        <v>0</v>
      </c>
      <c r="P893" s="2152">
        <f>'Part VI-Revenues &amp; Expenses'!P187</f>
        <v>0</v>
      </c>
      <c r="Q893" s="1862"/>
      <c r="R893" s="1838"/>
      <c r="S893" s="1838"/>
      <c r="T893" s="1838"/>
      <c r="U893" s="1838"/>
      <c r="V893" s="1838"/>
      <c r="GT893" s="1637"/>
      <c r="GY893" s="1637"/>
      <c r="GZ893" s="1637"/>
      <c r="HA893" s="1637"/>
      <c r="HB893" s="1637"/>
      <c r="HC893" s="1637"/>
      <c r="HD893" s="1637"/>
      <c r="HE893" s="1637"/>
      <c r="HF893" s="1637"/>
      <c r="HG893" s="1637"/>
      <c r="HH893" s="1637"/>
      <c r="HI893" s="1637"/>
      <c r="HJ893" s="1637"/>
      <c r="HK893" s="1637"/>
      <c r="HL893" s="1637"/>
      <c r="HM893" s="1637"/>
      <c r="HN893" s="1637"/>
      <c r="HO893" s="1637"/>
      <c r="HP893" s="1637"/>
      <c r="HQ893" s="1637"/>
      <c r="HR893" s="1637"/>
      <c r="HS893" s="1637"/>
      <c r="HT893" s="1637"/>
      <c r="HU893" s="1637"/>
      <c r="HV893" s="1637"/>
      <c r="HW893" s="1637"/>
      <c r="HX893" s="1637"/>
      <c r="HY893" s="1637"/>
      <c r="HZ893" s="1637"/>
      <c r="IA893" s="1637"/>
      <c r="IB893" s="1637"/>
      <c r="IC893" s="1637"/>
      <c r="ID893" s="1637"/>
      <c r="IK893" s="1641"/>
      <c r="JA893" s="1641"/>
      <c r="JB893" s="1641"/>
    </row>
    <row r="894" spans="2:262" ht="11.25" customHeight="1">
      <c r="B894" s="1634"/>
      <c r="C894" s="1634" t="s">
        <v>928</v>
      </c>
      <c r="D894" s="1634"/>
      <c r="E894" s="1634"/>
      <c r="F894" s="1634"/>
      <c r="G894" s="1857">
        <f t="shared" ref="G894:P894" si="274">SUM(G892:G893)</f>
        <v>0</v>
      </c>
      <c r="H894" s="1857">
        <f t="shared" si="274"/>
        <v>0</v>
      </c>
      <c r="I894" s="1857">
        <f t="shared" si="274"/>
        <v>0</v>
      </c>
      <c r="J894" s="1857">
        <f t="shared" si="274"/>
        <v>0</v>
      </c>
      <c r="K894" s="1857">
        <f t="shared" si="274"/>
        <v>0</v>
      </c>
      <c r="L894" s="1857">
        <f t="shared" si="274"/>
        <v>0</v>
      </c>
      <c r="M894" s="1857">
        <f t="shared" si="274"/>
        <v>0</v>
      </c>
      <c r="N894" s="1857">
        <f t="shared" si="274"/>
        <v>0</v>
      </c>
      <c r="O894" s="1857">
        <f t="shared" si="274"/>
        <v>0</v>
      </c>
      <c r="P894" s="1857">
        <f t="shared" si="274"/>
        <v>0</v>
      </c>
      <c r="Q894" s="522"/>
      <c r="R894" s="1838"/>
      <c r="S894" s="1838"/>
      <c r="T894" s="1838"/>
      <c r="U894" s="1838"/>
      <c r="V894" s="1838"/>
      <c r="GT894" s="1637"/>
      <c r="GY894" s="1637"/>
      <c r="GZ894" s="1637"/>
      <c r="HA894" s="1637"/>
      <c r="HB894" s="1637"/>
      <c r="HC894" s="1637"/>
      <c r="HD894" s="1637"/>
      <c r="HE894" s="1637"/>
      <c r="HF894" s="1637"/>
      <c r="HG894" s="1637"/>
      <c r="HH894" s="1637"/>
      <c r="HI894" s="1637"/>
      <c r="HJ894" s="1637"/>
      <c r="HK894" s="1637"/>
      <c r="HL894" s="1637"/>
      <c r="HM894" s="1637"/>
      <c r="HN894" s="1637"/>
      <c r="HO894" s="1637"/>
      <c r="HP894" s="1637"/>
      <c r="HQ894" s="1637"/>
      <c r="HR894" s="1637"/>
      <c r="HS894" s="1637"/>
      <c r="HT894" s="1637"/>
      <c r="HU894" s="1637"/>
      <c r="HV894" s="1637"/>
      <c r="HW894" s="1637"/>
      <c r="HX894" s="1637"/>
      <c r="HY894" s="1637"/>
      <c r="HZ894" s="1637"/>
      <c r="IA894" s="1637"/>
      <c r="IB894" s="1637"/>
      <c r="IC894" s="1637"/>
      <c r="ID894" s="1637"/>
      <c r="IK894" s="1641"/>
      <c r="JA894" s="1641"/>
      <c r="JB894" s="1641"/>
    </row>
    <row r="895" spans="2:262" ht="11.25" customHeight="1">
      <c r="B895" s="1854" t="s">
        <v>4536</v>
      </c>
      <c r="C895" s="1486"/>
      <c r="D895" s="1486"/>
      <c r="E895" s="1486"/>
      <c r="F895" s="1486"/>
      <c r="G895" s="1858"/>
      <c r="H895" s="1486"/>
      <c r="I895" s="1486"/>
      <c r="J895" s="1486"/>
      <c r="K895" s="1486"/>
      <c r="L895" s="1486"/>
      <c r="M895" s="1486"/>
      <c r="N895" s="1486"/>
      <c r="O895" s="1486"/>
      <c r="P895" s="1486"/>
      <c r="R895" s="1631" t="str">
        <f>B895</f>
        <v>NOT Included in Mgt Fee:</v>
      </c>
      <c r="GT895" s="1637"/>
      <c r="GY895" s="1637"/>
      <c r="GZ895" s="1637"/>
      <c r="HA895" s="1637"/>
      <c r="HB895" s="1637"/>
      <c r="HC895" s="1637"/>
      <c r="HD895" s="1637"/>
      <c r="HE895" s="1637"/>
      <c r="HF895" s="1637"/>
      <c r="HG895" s="1637"/>
      <c r="HH895" s="1637"/>
      <c r="HI895" s="1637"/>
      <c r="HJ895" s="1637"/>
      <c r="HK895" s="1637"/>
      <c r="HL895" s="1637"/>
      <c r="HM895" s="1637"/>
      <c r="HN895" s="1637"/>
      <c r="HO895" s="1637"/>
      <c r="HP895" s="1637"/>
      <c r="HQ895" s="1637"/>
      <c r="HR895" s="1637"/>
      <c r="HS895" s="1637"/>
      <c r="HT895" s="1637"/>
      <c r="HU895" s="1637"/>
      <c r="HV895" s="1637"/>
      <c r="HW895" s="1637"/>
      <c r="HX895" s="1637"/>
      <c r="HY895" s="1637"/>
      <c r="HZ895" s="1637"/>
      <c r="IA895" s="1637"/>
      <c r="IB895" s="1637"/>
      <c r="IC895" s="1637"/>
      <c r="ID895" s="1637"/>
      <c r="IK895" s="1641"/>
      <c r="JA895" s="1641"/>
      <c r="JB895" s="1641"/>
    </row>
    <row r="896" spans="2:262" ht="11.25" customHeight="1">
      <c r="B896" s="1634" t="s">
        <v>533</v>
      </c>
      <c r="C896" s="1634"/>
      <c r="D896" s="1634"/>
      <c r="E896" s="1634"/>
      <c r="F896" s="1634"/>
      <c r="G896" s="2152">
        <f>'Part VI-Revenues &amp; Expenses'!G190</f>
        <v>0</v>
      </c>
      <c r="H896" s="2152">
        <f>'Part VI-Revenues &amp; Expenses'!H190</f>
        <v>0</v>
      </c>
      <c r="I896" s="2152">
        <f>'Part VI-Revenues &amp; Expenses'!I190</f>
        <v>0</v>
      </c>
      <c r="J896" s="2152">
        <f>'Part VI-Revenues &amp; Expenses'!J190</f>
        <v>0</v>
      </c>
      <c r="K896" s="2152">
        <f>'Part VI-Revenues &amp; Expenses'!K190</f>
        <v>0</v>
      </c>
      <c r="L896" s="2152">
        <f>'Part VI-Revenues &amp; Expenses'!L190</f>
        <v>0</v>
      </c>
      <c r="M896" s="2152">
        <f>'Part VI-Revenues &amp; Expenses'!M190</f>
        <v>0</v>
      </c>
      <c r="N896" s="2152">
        <f>'Part VI-Revenues &amp; Expenses'!N190</f>
        <v>0</v>
      </c>
      <c r="O896" s="2152">
        <f>'Part VI-Revenues &amp; Expenses'!O190</f>
        <v>0</v>
      </c>
      <c r="P896" s="2152">
        <f>'Part VI-Revenues &amp; Expenses'!P190</f>
        <v>0</v>
      </c>
      <c r="Q896" s="1862"/>
      <c r="R896" s="1838"/>
      <c r="S896" s="1838"/>
      <c r="T896" s="1838"/>
      <c r="U896" s="1838"/>
      <c r="V896" s="1838"/>
      <c r="GT896" s="1637"/>
      <c r="GY896" s="1637"/>
      <c r="GZ896" s="1637"/>
      <c r="HA896" s="1637"/>
      <c r="HB896" s="1637"/>
      <c r="HC896" s="1637"/>
      <c r="HD896" s="1637"/>
      <c r="HE896" s="1637"/>
      <c r="HF896" s="1637"/>
      <c r="HG896" s="1637"/>
      <c r="HH896" s="1637"/>
      <c r="HI896" s="1637"/>
      <c r="HJ896" s="1637"/>
      <c r="HK896" s="1637"/>
      <c r="HL896" s="1637"/>
      <c r="HM896" s="1637"/>
      <c r="HN896" s="1637"/>
      <c r="HO896" s="1637"/>
      <c r="HP896" s="1637"/>
      <c r="HQ896" s="1637"/>
      <c r="HR896" s="1637"/>
      <c r="HS896" s="1637"/>
      <c r="HT896" s="1637"/>
      <c r="HU896" s="1637"/>
      <c r="HV896" s="1637"/>
      <c r="HW896" s="1637"/>
      <c r="HX896" s="1637"/>
      <c r="HY896" s="1637"/>
      <c r="HZ896" s="1637"/>
      <c r="IA896" s="1637"/>
      <c r="IB896" s="1637"/>
      <c r="IC896" s="1637"/>
      <c r="ID896" s="1637"/>
      <c r="IK896" s="1641"/>
      <c r="JA896" s="1641"/>
      <c r="JB896" s="1641"/>
    </row>
    <row r="897" spans="2:262" ht="11.25" customHeight="1">
      <c r="B897" s="1634" t="s">
        <v>741</v>
      </c>
      <c r="C897" s="1634">
        <f>'Part VI-Revenues &amp; Expenses'!C191</f>
        <v>0</v>
      </c>
      <c r="D897" s="1634">
        <f>'Part VI-Revenues &amp; Expenses'!D191</f>
        <v>0</v>
      </c>
      <c r="E897" s="1634">
        <f>'Part VI-Revenues &amp; Expenses'!E191</f>
        <v>0</v>
      </c>
      <c r="F897" s="1634">
        <f>'Part VI-Revenues &amp; Expenses'!F191</f>
        <v>0</v>
      </c>
      <c r="G897" s="2152">
        <f>'Part VI-Revenues &amp; Expenses'!G191</f>
        <v>0</v>
      </c>
      <c r="H897" s="2152">
        <f>'Part VI-Revenues &amp; Expenses'!H191</f>
        <v>0</v>
      </c>
      <c r="I897" s="2152">
        <f>'Part VI-Revenues &amp; Expenses'!I191</f>
        <v>0</v>
      </c>
      <c r="J897" s="2152">
        <f>'Part VI-Revenues &amp; Expenses'!J191</f>
        <v>0</v>
      </c>
      <c r="K897" s="2152">
        <f>'Part VI-Revenues &amp; Expenses'!K191</f>
        <v>0</v>
      </c>
      <c r="L897" s="2152">
        <f>'Part VI-Revenues &amp; Expenses'!L191</f>
        <v>0</v>
      </c>
      <c r="M897" s="2152">
        <f>'Part VI-Revenues &amp; Expenses'!M191</f>
        <v>0</v>
      </c>
      <c r="N897" s="2152">
        <f>'Part VI-Revenues &amp; Expenses'!N191</f>
        <v>0</v>
      </c>
      <c r="O897" s="2152">
        <f>'Part VI-Revenues &amp; Expenses'!O191</f>
        <v>0</v>
      </c>
      <c r="P897" s="2152">
        <f>'Part VI-Revenues &amp; Expenses'!P191</f>
        <v>0</v>
      </c>
      <c r="Q897" s="1862"/>
      <c r="R897" s="1838"/>
      <c r="S897" s="1838"/>
      <c r="T897" s="1838"/>
      <c r="U897" s="1838"/>
      <c r="V897" s="1838"/>
      <c r="GT897" s="1637"/>
      <c r="GY897" s="1637"/>
      <c r="GZ897" s="1637"/>
      <c r="HA897" s="1637"/>
      <c r="HB897" s="1637"/>
      <c r="HC897" s="1637"/>
      <c r="HD897" s="1637"/>
      <c r="HE897" s="1637"/>
      <c r="HF897" s="1637"/>
      <c r="HG897" s="1637"/>
      <c r="HH897" s="1637"/>
      <c r="HI897" s="1637"/>
      <c r="HJ897" s="1637"/>
      <c r="HK897" s="1637"/>
      <c r="HL897" s="1637"/>
      <c r="HM897" s="1637"/>
      <c r="HN897" s="1637"/>
      <c r="HO897" s="1637"/>
      <c r="HP897" s="1637"/>
      <c r="HQ897" s="1637"/>
      <c r="HR897" s="1637"/>
      <c r="HS897" s="1637"/>
      <c r="HT897" s="1637"/>
      <c r="HU897" s="1637"/>
      <c r="HV897" s="1637"/>
      <c r="HW897" s="1637"/>
      <c r="HX897" s="1637"/>
      <c r="HY897" s="1637"/>
      <c r="HZ897" s="1637"/>
      <c r="IA897" s="1637"/>
      <c r="IB897" s="1637"/>
      <c r="IC897" s="1637"/>
      <c r="ID897" s="1637"/>
      <c r="IK897" s="1641"/>
      <c r="JA897" s="1641"/>
      <c r="JB897" s="1641"/>
    </row>
    <row r="898" spans="2:262" ht="11.25" customHeight="1">
      <c r="B898" s="1634"/>
      <c r="C898" s="1634" t="s">
        <v>4537</v>
      </c>
      <c r="D898" s="1634"/>
      <c r="E898" s="1634"/>
      <c r="F898" s="1634"/>
      <c r="G898" s="1857">
        <f t="shared" ref="G898:P898" si="275">SUM(G896:G897)</f>
        <v>0</v>
      </c>
      <c r="H898" s="1857">
        <f t="shared" si="275"/>
        <v>0</v>
      </c>
      <c r="I898" s="1857">
        <f t="shared" si="275"/>
        <v>0</v>
      </c>
      <c r="J898" s="1857">
        <f t="shared" si="275"/>
        <v>0</v>
      </c>
      <c r="K898" s="1857">
        <f t="shared" si="275"/>
        <v>0</v>
      </c>
      <c r="L898" s="1857">
        <f t="shared" si="275"/>
        <v>0</v>
      </c>
      <c r="M898" s="1857">
        <f t="shared" si="275"/>
        <v>0</v>
      </c>
      <c r="N898" s="1857">
        <f t="shared" si="275"/>
        <v>0</v>
      </c>
      <c r="O898" s="1857">
        <f t="shared" si="275"/>
        <v>0</v>
      </c>
      <c r="P898" s="1857">
        <f t="shared" si="275"/>
        <v>0</v>
      </c>
      <c r="Q898" s="522"/>
      <c r="R898" s="1838"/>
      <c r="S898" s="1838"/>
      <c r="T898" s="1838"/>
      <c r="U898" s="1838"/>
      <c r="V898" s="1838"/>
      <c r="GT898" s="1637"/>
      <c r="GY898" s="1637"/>
      <c r="GZ898" s="1637"/>
      <c r="HA898" s="1637"/>
      <c r="HB898" s="1637"/>
      <c r="HC898" s="1637"/>
      <c r="HD898" s="1637"/>
      <c r="HE898" s="1637"/>
      <c r="HF898" s="1637"/>
      <c r="HG898" s="1637"/>
      <c r="HH898" s="1637"/>
      <c r="HI898" s="1637"/>
      <c r="HJ898" s="1637"/>
      <c r="HK898" s="1637"/>
      <c r="HL898" s="1637"/>
      <c r="HM898" s="1637"/>
      <c r="HN898" s="1637"/>
      <c r="HO898" s="1637"/>
      <c r="HP898" s="1637"/>
      <c r="HQ898" s="1637"/>
      <c r="HR898" s="1637"/>
      <c r="HS898" s="1637"/>
      <c r="HT898" s="1637"/>
      <c r="HU898" s="1637"/>
      <c r="HV898" s="1637"/>
      <c r="HW898" s="1637"/>
      <c r="HX898" s="1637"/>
      <c r="HY898" s="1637"/>
      <c r="HZ898" s="1637"/>
      <c r="IA898" s="1637"/>
      <c r="IB898" s="1637"/>
      <c r="IC898" s="1637"/>
      <c r="ID898" s="1637"/>
      <c r="IK898" s="1641"/>
      <c r="JA898" s="1641"/>
      <c r="JB898" s="1641"/>
    </row>
    <row r="899" spans="2:262" ht="3" customHeight="1">
      <c r="B899" s="1848"/>
      <c r="C899" s="1486"/>
      <c r="D899" s="1486"/>
      <c r="E899" s="1486"/>
      <c r="F899" s="1486"/>
      <c r="G899" s="1858"/>
      <c r="H899" s="1486"/>
      <c r="I899" s="1486"/>
      <c r="J899" s="1486"/>
      <c r="K899" s="1486"/>
      <c r="L899" s="1486"/>
      <c r="M899" s="1486"/>
      <c r="N899" s="1486"/>
      <c r="O899" s="1486"/>
      <c r="P899" s="1486"/>
      <c r="GT899" s="1637"/>
      <c r="GY899" s="1637"/>
      <c r="GZ899" s="1637"/>
      <c r="HA899" s="1637"/>
      <c r="HB899" s="1637"/>
      <c r="HC899" s="1637"/>
      <c r="HD899" s="1637"/>
      <c r="HE899" s="1637"/>
      <c r="HF899" s="1637"/>
      <c r="HG899" s="1637"/>
      <c r="HH899" s="1637"/>
      <c r="HI899" s="1637"/>
      <c r="HJ899" s="1637"/>
      <c r="HK899" s="1637"/>
      <c r="HL899" s="1637"/>
      <c r="HM899" s="1637"/>
      <c r="HN899" s="1637"/>
      <c r="HO899" s="1637"/>
      <c r="HP899" s="1637"/>
      <c r="HQ899" s="1637"/>
      <c r="HR899" s="1637"/>
      <c r="HS899" s="1637"/>
      <c r="HT899" s="1637"/>
      <c r="HU899" s="1637"/>
      <c r="HV899" s="1637"/>
      <c r="HW899" s="1637"/>
      <c r="HX899" s="1637"/>
      <c r="HY899" s="1637"/>
      <c r="HZ899" s="1637"/>
      <c r="IA899" s="1637"/>
      <c r="IB899" s="1637"/>
      <c r="IC899" s="1637"/>
      <c r="ID899" s="1637"/>
      <c r="IK899" s="1641"/>
      <c r="JA899" s="1641"/>
      <c r="JB899" s="1641"/>
    </row>
    <row r="900" spans="2:262" ht="11.25" customHeight="1">
      <c r="B900" s="1854" t="s">
        <v>2286</v>
      </c>
      <c r="C900" s="1486"/>
      <c r="D900" s="1486"/>
      <c r="E900" s="1486"/>
      <c r="F900" s="1486"/>
      <c r="G900" s="1855">
        <v>21</v>
      </c>
      <c r="H900" s="1855">
        <v>22</v>
      </c>
      <c r="I900" s="1855">
        <v>23</v>
      </c>
      <c r="J900" s="1855">
        <v>24</v>
      </c>
      <c r="K900" s="1855">
        <v>25</v>
      </c>
      <c r="L900" s="1855">
        <v>26</v>
      </c>
      <c r="M900" s="1855">
        <v>27</v>
      </c>
      <c r="N900" s="1855">
        <v>28</v>
      </c>
      <c r="O900" s="1855">
        <v>29</v>
      </c>
      <c r="P900" s="1855">
        <v>30</v>
      </c>
      <c r="Q900" s="1856"/>
      <c r="R900" s="1825" t="s">
        <v>2623</v>
      </c>
      <c r="S900" s="1631" t="str">
        <f>B900</f>
        <v>Included in Mgt Fee:</v>
      </c>
      <c r="GT900" s="1637"/>
      <c r="GY900" s="1637"/>
      <c r="GZ900" s="1637"/>
      <c r="HA900" s="1637"/>
      <c r="HB900" s="1637"/>
      <c r="HC900" s="1637"/>
      <c r="HD900" s="1637"/>
      <c r="HE900" s="1637"/>
      <c r="HF900" s="1637"/>
      <c r="HG900" s="1637"/>
      <c r="HH900" s="1637"/>
      <c r="HI900" s="1637"/>
      <c r="HJ900" s="1637"/>
      <c r="HK900" s="1637"/>
      <c r="HL900" s="1637"/>
      <c r="HM900" s="1637"/>
      <c r="HN900" s="1637"/>
      <c r="HO900" s="1637"/>
      <c r="HP900" s="1637"/>
      <c r="HQ900" s="1637"/>
      <c r="HR900" s="1637"/>
      <c r="HS900" s="1637"/>
      <c r="HT900" s="1637"/>
      <c r="HU900" s="1637"/>
      <c r="HV900" s="1637"/>
      <c r="HW900" s="1637"/>
      <c r="HX900" s="1637"/>
      <c r="HY900" s="1637"/>
      <c r="HZ900" s="1637"/>
      <c r="IA900" s="1637"/>
      <c r="IB900" s="1637"/>
      <c r="IC900" s="1637"/>
      <c r="ID900" s="1637"/>
      <c r="IK900" s="1641"/>
      <c r="JA900" s="1641"/>
      <c r="JB900" s="1641"/>
    </row>
    <row r="901" spans="2:262" ht="11.25" customHeight="1">
      <c r="B901" s="1634" t="s">
        <v>1017</v>
      </c>
      <c r="C901" s="1634"/>
      <c r="D901" s="1634"/>
      <c r="E901" s="1634"/>
      <c r="F901" s="1634"/>
      <c r="G901" s="2152">
        <f>'Part VI-Revenues &amp; Expenses'!G195</f>
        <v>0</v>
      </c>
      <c r="H901" s="2152">
        <f>'Part VI-Revenues &amp; Expenses'!H195</f>
        <v>0</v>
      </c>
      <c r="I901" s="2152">
        <f>'Part VI-Revenues &amp; Expenses'!I195</f>
        <v>0</v>
      </c>
      <c r="J901" s="2152">
        <f>'Part VI-Revenues &amp; Expenses'!J195</f>
        <v>0</v>
      </c>
      <c r="K901" s="2152">
        <f>'Part VI-Revenues &amp; Expenses'!K195</f>
        <v>0</v>
      </c>
      <c r="L901" s="2152">
        <f>'Part VI-Revenues &amp; Expenses'!L195</f>
        <v>0</v>
      </c>
      <c r="M901" s="2152">
        <f>'Part VI-Revenues &amp; Expenses'!M195</f>
        <v>0</v>
      </c>
      <c r="N901" s="2152">
        <f>'Part VI-Revenues &amp; Expenses'!N195</f>
        <v>0</v>
      </c>
      <c r="O901" s="2152">
        <f>'Part VI-Revenues &amp; Expenses'!O195</f>
        <v>0</v>
      </c>
      <c r="P901" s="2152">
        <f>'Part VI-Revenues &amp; Expenses'!P195</f>
        <v>0</v>
      </c>
      <c r="Q901" s="1862"/>
      <c r="R901" s="1838"/>
      <c r="S901" s="1838"/>
      <c r="T901" s="1838"/>
      <c r="U901" s="1838"/>
      <c r="V901" s="1838"/>
      <c r="GT901" s="1637"/>
      <c r="GY901" s="1637"/>
      <c r="GZ901" s="1637"/>
      <c r="HA901" s="1637"/>
      <c r="HB901" s="1637"/>
      <c r="HC901" s="1637"/>
      <c r="HD901" s="1637"/>
      <c r="HE901" s="1637"/>
      <c r="HF901" s="1637"/>
      <c r="HG901" s="1637"/>
      <c r="HH901" s="1637"/>
      <c r="HI901" s="1637"/>
      <c r="HJ901" s="1637"/>
      <c r="HK901" s="1637"/>
      <c r="HL901" s="1637"/>
      <c r="HM901" s="1637"/>
      <c r="HN901" s="1637"/>
      <c r="HO901" s="1637"/>
      <c r="HP901" s="1637"/>
      <c r="HQ901" s="1637"/>
      <c r="HR901" s="1637"/>
      <c r="HS901" s="1637"/>
      <c r="HT901" s="1637"/>
      <c r="HU901" s="1637"/>
      <c r="HV901" s="1637"/>
      <c r="HW901" s="1637"/>
      <c r="HX901" s="1637"/>
      <c r="HY901" s="1637"/>
      <c r="HZ901" s="1637"/>
      <c r="IA901" s="1637"/>
      <c r="IB901" s="1637"/>
      <c r="IC901" s="1637"/>
      <c r="ID901" s="1637"/>
      <c r="IK901" s="1641"/>
      <c r="JA901" s="1641"/>
      <c r="JB901" s="1641"/>
    </row>
    <row r="902" spans="2:262" ht="11.25" customHeight="1">
      <c r="B902" s="1634" t="s">
        <v>741</v>
      </c>
      <c r="C902" s="1634">
        <f>'Part VI-Revenues &amp; Expenses'!C196</f>
        <v>0</v>
      </c>
      <c r="D902" s="1634">
        <f>'Part VI-Revenues &amp; Expenses'!D196</f>
        <v>0</v>
      </c>
      <c r="E902" s="1634">
        <f>'Part VI-Revenues &amp; Expenses'!E196</f>
        <v>0</v>
      </c>
      <c r="F902" s="1634">
        <f>'Part VI-Revenues &amp; Expenses'!F196</f>
        <v>0</v>
      </c>
      <c r="G902" s="2152">
        <f>'Part VI-Revenues &amp; Expenses'!G196</f>
        <v>0</v>
      </c>
      <c r="H902" s="2152">
        <f>'Part VI-Revenues &amp; Expenses'!H196</f>
        <v>0</v>
      </c>
      <c r="I902" s="2152">
        <f>'Part VI-Revenues &amp; Expenses'!I196</f>
        <v>0</v>
      </c>
      <c r="J902" s="2152">
        <f>'Part VI-Revenues &amp; Expenses'!J196</f>
        <v>0</v>
      </c>
      <c r="K902" s="2152">
        <f>'Part VI-Revenues &amp; Expenses'!K196</f>
        <v>0</v>
      </c>
      <c r="L902" s="2152">
        <f>'Part VI-Revenues &amp; Expenses'!L196</f>
        <v>0</v>
      </c>
      <c r="M902" s="2152">
        <f>'Part VI-Revenues &amp; Expenses'!M196</f>
        <v>0</v>
      </c>
      <c r="N902" s="2152">
        <f>'Part VI-Revenues &amp; Expenses'!N196</f>
        <v>0</v>
      </c>
      <c r="O902" s="2152">
        <f>'Part VI-Revenues &amp; Expenses'!O196</f>
        <v>0</v>
      </c>
      <c r="P902" s="2152">
        <f>'Part VI-Revenues &amp; Expenses'!P196</f>
        <v>0</v>
      </c>
      <c r="Q902" s="1862"/>
      <c r="R902" s="1838"/>
      <c r="S902" s="1838"/>
      <c r="T902" s="1838"/>
      <c r="U902" s="1838"/>
      <c r="V902" s="1838"/>
      <c r="GT902" s="1637"/>
      <c r="GY902" s="1637"/>
      <c r="GZ902" s="1637"/>
      <c r="HA902" s="1637"/>
      <c r="HB902" s="1637"/>
      <c r="HC902" s="1637"/>
      <c r="HD902" s="1637"/>
      <c r="HE902" s="1637"/>
      <c r="HF902" s="1637"/>
      <c r="HG902" s="1637"/>
      <c r="HH902" s="1637"/>
      <c r="HI902" s="1637"/>
      <c r="HJ902" s="1637"/>
      <c r="HK902" s="1637"/>
      <c r="HL902" s="1637"/>
      <c r="HM902" s="1637"/>
      <c r="HN902" s="1637"/>
      <c r="HO902" s="1637"/>
      <c r="HP902" s="1637"/>
      <c r="HQ902" s="1637"/>
      <c r="HR902" s="1637"/>
      <c r="HS902" s="1637"/>
      <c r="HT902" s="1637"/>
      <c r="HU902" s="1637"/>
      <c r="HV902" s="1637"/>
      <c r="HW902" s="1637"/>
      <c r="HX902" s="1637"/>
      <c r="HY902" s="1637"/>
      <c r="HZ902" s="1637"/>
      <c r="IA902" s="1637"/>
      <c r="IB902" s="1637"/>
      <c r="IC902" s="1637"/>
      <c r="ID902" s="1637"/>
      <c r="IK902" s="1641"/>
      <c r="JA902" s="1641"/>
      <c r="JB902" s="1641"/>
    </row>
    <row r="903" spans="2:262" ht="11.25" customHeight="1">
      <c r="B903" s="1634"/>
      <c r="C903" s="1634" t="s">
        <v>928</v>
      </c>
      <c r="D903" s="1634"/>
      <c r="E903" s="1634"/>
      <c r="F903" s="1634"/>
      <c r="G903" s="1857">
        <f t="shared" ref="G903:P903" si="276">SUM(G901:G902)</f>
        <v>0</v>
      </c>
      <c r="H903" s="1857">
        <f t="shared" si="276"/>
        <v>0</v>
      </c>
      <c r="I903" s="1857">
        <f t="shared" si="276"/>
        <v>0</v>
      </c>
      <c r="J903" s="1857">
        <f t="shared" si="276"/>
        <v>0</v>
      </c>
      <c r="K903" s="1857">
        <f t="shared" si="276"/>
        <v>0</v>
      </c>
      <c r="L903" s="1857">
        <f t="shared" si="276"/>
        <v>0</v>
      </c>
      <c r="M903" s="1857">
        <f t="shared" si="276"/>
        <v>0</v>
      </c>
      <c r="N903" s="1857">
        <f t="shared" si="276"/>
        <v>0</v>
      </c>
      <c r="O903" s="1857">
        <f t="shared" si="276"/>
        <v>0</v>
      </c>
      <c r="P903" s="1857">
        <f t="shared" si="276"/>
        <v>0</v>
      </c>
      <c r="Q903" s="522"/>
      <c r="R903" s="1838"/>
      <c r="S903" s="1838"/>
      <c r="T903" s="1838"/>
      <c r="U903" s="1838"/>
      <c r="V903" s="1838"/>
      <c r="GT903" s="1637"/>
      <c r="GY903" s="1637"/>
      <c r="GZ903" s="1637"/>
      <c r="HA903" s="1637"/>
      <c r="HB903" s="1637"/>
      <c r="HC903" s="1637"/>
      <c r="HD903" s="1637"/>
      <c r="HE903" s="1637"/>
      <c r="HF903" s="1637"/>
      <c r="HG903" s="1637"/>
      <c r="HH903" s="1637"/>
      <c r="HI903" s="1637"/>
      <c r="HJ903" s="1637"/>
      <c r="HK903" s="1637"/>
      <c r="HL903" s="1637"/>
      <c r="HM903" s="1637"/>
      <c r="HN903" s="1637"/>
      <c r="HO903" s="1637"/>
      <c r="HP903" s="1637"/>
      <c r="HQ903" s="1637"/>
      <c r="HR903" s="1637"/>
      <c r="HS903" s="1637"/>
      <c r="HT903" s="1637"/>
      <c r="HU903" s="1637"/>
      <c r="HV903" s="1637"/>
      <c r="HW903" s="1637"/>
      <c r="HX903" s="1637"/>
      <c r="HY903" s="1637"/>
      <c r="HZ903" s="1637"/>
      <c r="IA903" s="1637"/>
      <c r="IB903" s="1637"/>
      <c r="IC903" s="1637"/>
      <c r="ID903" s="1637"/>
      <c r="IK903" s="1641"/>
      <c r="JA903" s="1641"/>
      <c r="JB903" s="1641"/>
    </row>
    <row r="904" spans="2:262" ht="11.25" customHeight="1">
      <c r="B904" s="1854" t="s">
        <v>4536</v>
      </c>
      <c r="C904" s="1486"/>
      <c r="D904" s="1486"/>
      <c r="E904" s="1486"/>
      <c r="F904" s="1486"/>
      <c r="G904" s="1858"/>
      <c r="H904" s="1486"/>
      <c r="I904" s="1486"/>
      <c r="J904" s="1486"/>
      <c r="K904" s="1486"/>
      <c r="L904" s="1486"/>
      <c r="M904" s="1486"/>
      <c r="N904" s="1486"/>
      <c r="O904" s="1486"/>
      <c r="P904" s="1486"/>
      <c r="R904" s="1631" t="str">
        <f>B904</f>
        <v>NOT Included in Mgt Fee:</v>
      </c>
      <c r="GT904" s="1637"/>
      <c r="GY904" s="1637"/>
      <c r="GZ904" s="1637"/>
      <c r="HA904" s="1637"/>
      <c r="HB904" s="1637"/>
      <c r="HC904" s="1637"/>
      <c r="HD904" s="1637"/>
      <c r="HE904" s="1637"/>
      <c r="HF904" s="1637"/>
      <c r="HG904" s="1637"/>
      <c r="HH904" s="1637"/>
      <c r="HI904" s="1637"/>
      <c r="HJ904" s="1637"/>
      <c r="HK904" s="1637"/>
      <c r="HL904" s="1637"/>
      <c r="HM904" s="1637"/>
      <c r="HN904" s="1637"/>
      <c r="HO904" s="1637"/>
      <c r="HP904" s="1637"/>
      <c r="HQ904" s="1637"/>
      <c r="HR904" s="1637"/>
      <c r="HS904" s="1637"/>
      <c r="HT904" s="1637"/>
      <c r="HU904" s="1637"/>
      <c r="HV904" s="1637"/>
      <c r="HW904" s="1637"/>
      <c r="HX904" s="1637"/>
      <c r="HY904" s="1637"/>
      <c r="HZ904" s="1637"/>
      <c r="IA904" s="1637"/>
      <c r="IB904" s="1637"/>
      <c r="IC904" s="1637"/>
      <c r="ID904" s="1637"/>
      <c r="IK904" s="1641"/>
      <c r="JA904" s="1641"/>
      <c r="JB904" s="1641"/>
    </row>
    <row r="905" spans="2:262" ht="11.25" customHeight="1">
      <c r="B905" s="1634" t="s">
        <v>533</v>
      </c>
      <c r="C905" s="1634"/>
      <c r="D905" s="1634"/>
      <c r="E905" s="1634"/>
      <c r="F905" s="1634"/>
      <c r="G905" s="2152">
        <f>'Part VI-Revenues &amp; Expenses'!G199</f>
        <v>0</v>
      </c>
      <c r="H905" s="2152">
        <f>'Part VI-Revenues &amp; Expenses'!H199</f>
        <v>0</v>
      </c>
      <c r="I905" s="2152">
        <f>'Part VI-Revenues &amp; Expenses'!I199</f>
        <v>0</v>
      </c>
      <c r="J905" s="2152">
        <f>'Part VI-Revenues &amp; Expenses'!J199</f>
        <v>0</v>
      </c>
      <c r="K905" s="2152">
        <f>'Part VI-Revenues &amp; Expenses'!K199</f>
        <v>0</v>
      </c>
      <c r="L905" s="2152">
        <f>'Part VI-Revenues &amp; Expenses'!L199</f>
        <v>0</v>
      </c>
      <c r="M905" s="2152">
        <f>'Part VI-Revenues &amp; Expenses'!M199</f>
        <v>0</v>
      </c>
      <c r="N905" s="2152">
        <f>'Part VI-Revenues &amp; Expenses'!N199</f>
        <v>0</v>
      </c>
      <c r="O905" s="2152">
        <f>'Part VI-Revenues &amp; Expenses'!O199</f>
        <v>0</v>
      </c>
      <c r="P905" s="2152">
        <f>'Part VI-Revenues &amp; Expenses'!P199</f>
        <v>0</v>
      </c>
      <c r="Q905" s="1862"/>
      <c r="R905" s="1838"/>
      <c r="S905" s="1838"/>
      <c r="T905" s="1838"/>
      <c r="U905" s="1838"/>
      <c r="V905" s="1838"/>
      <c r="GT905" s="1637"/>
      <c r="GY905" s="1637"/>
      <c r="GZ905" s="1637"/>
      <c r="HA905" s="1637"/>
      <c r="HB905" s="1637"/>
      <c r="HC905" s="1637"/>
      <c r="HD905" s="1637"/>
      <c r="HE905" s="1637"/>
      <c r="HF905" s="1637"/>
      <c r="HG905" s="1637"/>
      <c r="HH905" s="1637"/>
      <c r="HI905" s="1637"/>
      <c r="HJ905" s="1637"/>
      <c r="HK905" s="1637"/>
      <c r="HL905" s="1637"/>
      <c r="HM905" s="1637"/>
      <c r="HN905" s="1637"/>
      <c r="HO905" s="1637"/>
      <c r="HP905" s="1637"/>
      <c r="HQ905" s="1637"/>
      <c r="HR905" s="1637"/>
      <c r="HS905" s="1637"/>
      <c r="HT905" s="1637"/>
      <c r="HU905" s="1637"/>
      <c r="HV905" s="1637"/>
      <c r="HW905" s="1637"/>
      <c r="HX905" s="1637"/>
      <c r="HY905" s="1637"/>
      <c r="HZ905" s="1637"/>
      <c r="IA905" s="1637"/>
      <c r="IB905" s="1637"/>
      <c r="IC905" s="1637"/>
      <c r="ID905" s="1637"/>
      <c r="IK905" s="1641"/>
      <c r="JA905" s="1641"/>
      <c r="JB905" s="1641"/>
    </row>
    <row r="906" spans="2:262" ht="11.25" customHeight="1">
      <c r="B906" s="1634" t="s">
        <v>741</v>
      </c>
      <c r="C906" s="1634">
        <f>'Part VI-Revenues &amp; Expenses'!C200</f>
        <v>0</v>
      </c>
      <c r="D906" s="1634">
        <f>'Part VI-Revenues &amp; Expenses'!D200</f>
        <v>0</v>
      </c>
      <c r="E906" s="1634">
        <f>'Part VI-Revenues &amp; Expenses'!E200</f>
        <v>0</v>
      </c>
      <c r="F906" s="1634">
        <f>'Part VI-Revenues &amp; Expenses'!F200</f>
        <v>0</v>
      </c>
      <c r="G906" s="2152">
        <f>'Part VI-Revenues &amp; Expenses'!G200</f>
        <v>0</v>
      </c>
      <c r="H906" s="2152">
        <f>'Part VI-Revenues &amp; Expenses'!H200</f>
        <v>0</v>
      </c>
      <c r="I906" s="2152">
        <f>'Part VI-Revenues &amp; Expenses'!I200</f>
        <v>0</v>
      </c>
      <c r="J906" s="2152">
        <f>'Part VI-Revenues &amp; Expenses'!J200</f>
        <v>0</v>
      </c>
      <c r="K906" s="2152">
        <f>'Part VI-Revenues &amp; Expenses'!K200</f>
        <v>0</v>
      </c>
      <c r="L906" s="2152">
        <f>'Part VI-Revenues &amp; Expenses'!L200</f>
        <v>0</v>
      </c>
      <c r="M906" s="2152">
        <f>'Part VI-Revenues &amp; Expenses'!M200</f>
        <v>0</v>
      </c>
      <c r="N906" s="2152">
        <f>'Part VI-Revenues &amp; Expenses'!N200</f>
        <v>0</v>
      </c>
      <c r="O906" s="2152">
        <f>'Part VI-Revenues &amp; Expenses'!O200</f>
        <v>0</v>
      </c>
      <c r="P906" s="2152">
        <f>'Part VI-Revenues &amp; Expenses'!P200</f>
        <v>0</v>
      </c>
      <c r="Q906" s="1862"/>
      <c r="R906" s="1838"/>
      <c r="S906" s="1838"/>
      <c r="T906" s="1838"/>
      <c r="U906" s="1838"/>
      <c r="V906" s="1838"/>
      <c r="GT906" s="1637"/>
      <c r="GY906" s="1637"/>
      <c r="GZ906" s="1637"/>
      <c r="HA906" s="1637"/>
      <c r="HB906" s="1637"/>
      <c r="HC906" s="1637"/>
      <c r="HD906" s="1637"/>
      <c r="HE906" s="1637"/>
      <c r="HF906" s="1637"/>
      <c r="HG906" s="1637"/>
      <c r="HH906" s="1637"/>
      <c r="HI906" s="1637"/>
      <c r="HJ906" s="1637"/>
      <c r="HK906" s="1637"/>
      <c r="HL906" s="1637"/>
      <c r="HM906" s="1637"/>
      <c r="HN906" s="1637"/>
      <c r="HO906" s="1637"/>
      <c r="HP906" s="1637"/>
      <c r="HQ906" s="1637"/>
      <c r="HR906" s="1637"/>
      <c r="HS906" s="1637"/>
      <c r="HT906" s="1637"/>
      <c r="HU906" s="1637"/>
      <c r="HV906" s="1637"/>
      <c r="HW906" s="1637"/>
      <c r="HX906" s="1637"/>
      <c r="HY906" s="1637"/>
      <c r="HZ906" s="1637"/>
      <c r="IA906" s="1637"/>
      <c r="IB906" s="1637"/>
      <c r="IC906" s="1637"/>
      <c r="ID906" s="1637"/>
      <c r="IK906" s="1641"/>
      <c r="JA906" s="1641"/>
      <c r="JB906" s="1641"/>
    </row>
    <row r="907" spans="2:262" ht="11.25" customHeight="1">
      <c r="B907" s="1634"/>
      <c r="C907" s="1634" t="s">
        <v>4537</v>
      </c>
      <c r="D907" s="1634"/>
      <c r="E907" s="1634"/>
      <c r="F907" s="1634"/>
      <c r="G907" s="1857">
        <f t="shared" ref="G907:P907" si="277">SUM(G905:G906)</f>
        <v>0</v>
      </c>
      <c r="H907" s="1857">
        <f t="shared" si="277"/>
        <v>0</v>
      </c>
      <c r="I907" s="1857">
        <f t="shared" si="277"/>
        <v>0</v>
      </c>
      <c r="J907" s="1857">
        <f t="shared" si="277"/>
        <v>0</v>
      </c>
      <c r="K907" s="1857">
        <f t="shared" si="277"/>
        <v>0</v>
      </c>
      <c r="L907" s="1857">
        <f t="shared" si="277"/>
        <v>0</v>
      </c>
      <c r="M907" s="1857">
        <f t="shared" si="277"/>
        <v>0</v>
      </c>
      <c r="N907" s="1857">
        <f t="shared" si="277"/>
        <v>0</v>
      </c>
      <c r="O907" s="1857">
        <f t="shared" si="277"/>
        <v>0</v>
      </c>
      <c r="P907" s="1857">
        <f t="shared" si="277"/>
        <v>0</v>
      </c>
      <c r="Q907" s="522"/>
      <c r="R907" s="1838"/>
      <c r="S907" s="1838"/>
      <c r="T907" s="1838"/>
      <c r="U907" s="1838"/>
      <c r="V907" s="1838"/>
      <c r="GT907" s="1637"/>
      <c r="GY907" s="1637"/>
      <c r="GZ907" s="1637"/>
      <c r="HA907" s="1637"/>
      <c r="HB907" s="1637"/>
      <c r="HC907" s="1637"/>
      <c r="HD907" s="1637"/>
      <c r="HE907" s="1637"/>
      <c r="HF907" s="1637"/>
      <c r="HG907" s="1637"/>
      <c r="HH907" s="1637"/>
      <c r="HI907" s="1637"/>
      <c r="HJ907" s="1637"/>
      <c r="HK907" s="1637"/>
      <c r="HL907" s="1637"/>
      <c r="HM907" s="1637"/>
      <c r="HN907" s="1637"/>
      <c r="HO907" s="1637"/>
      <c r="HP907" s="1637"/>
      <c r="HQ907" s="1637"/>
      <c r="HR907" s="1637"/>
      <c r="HS907" s="1637"/>
      <c r="HT907" s="1637"/>
      <c r="HU907" s="1637"/>
      <c r="HV907" s="1637"/>
      <c r="HW907" s="1637"/>
      <c r="HX907" s="1637"/>
      <c r="HY907" s="1637"/>
      <c r="HZ907" s="1637"/>
      <c r="IA907" s="1637"/>
      <c r="IB907" s="1637"/>
      <c r="IC907" s="1637"/>
      <c r="ID907" s="1637"/>
      <c r="IK907" s="1641"/>
      <c r="JA907" s="1641"/>
      <c r="JB907" s="1641"/>
    </row>
    <row r="908" spans="2:262" ht="3" customHeight="1">
      <c r="B908" s="1848"/>
      <c r="C908" s="1486"/>
      <c r="D908" s="1486"/>
      <c r="E908" s="1486"/>
      <c r="F908" s="1486"/>
      <c r="G908" s="1858"/>
      <c r="H908" s="1486"/>
      <c r="I908" s="1486"/>
      <c r="J908" s="1486"/>
      <c r="K908" s="1486"/>
      <c r="L908" s="1486"/>
      <c r="M908" s="1486"/>
      <c r="N908" s="1486"/>
      <c r="O908" s="1486"/>
      <c r="P908" s="1486"/>
      <c r="GT908" s="1637"/>
      <c r="GY908" s="1637"/>
      <c r="GZ908" s="1637"/>
      <c r="HA908" s="1637"/>
      <c r="HB908" s="1637"/>
      <c r="HC908" s="1637"/>
      <c r="HD908" s="1637"/>
      <c r="HE908" s="1637"/>
      <c r="HF908" s="1637"/>
      <c r="HG908" s="1637"/>
      <c r="HH908" s="1637"/>
      <c r="HI908" s="1637"/>
      <c r="HJ908" s="1637"/>
      <c r="HK908" s="1637"/>
      <c r="HL908" s="1637"/>
      <c r="HM908" s="1637"/>
      <c r="HN908" s="1637"/>
      <c r="HO908" s="1637"/>
      <c r="HP908" s="1637"/>
      <c r="HQ908" s="1637"/>
      <c r="HR908" s="1637"/>
      <c r="HS908" s="1637"/>
      <c r="HT908" s="1637"/>
      <c r="HU908" s="1637"/>
      <c r="HV908" s="1637"/>
      <c r="HW908" s="1637"/>
      <c r="HX908" s="1637"/>
      <c r="HY908" s="1637"/>
      <c r="HZ908" s="1637"/>
      <c r="IA908" s="1637"/>
      <c r="IB908" s="1637"/>
      <c r="IC908" s="1637"/>
      <c r="ID908" s="1637"/>
      <c r="IK908" s="1641"/>
      <c r="JA908" s="1641"/>
      <c r="JB908" s="1641"/>
    </row>
    <row r="909" spans="2:262" ht="11.25" customHeight="1">
      <c r="B909" s="1854" t="s">
        <v>2286</v>
      </c>
      <c r="C909" s="1486"/>
      <c r="D909" s="1486"/>
      <c r="E909" s="1486"/>
      <c r="F909" s="1486"/>
      <c r="G909" s="1855">
        <v>31</v>
      </c>
      <c r="H909" s="1855">
        <v>32</v>
      </c>
      <c r="I909" s="1855">
        <v>33</v>
      </c>
      <c r="J909" s="1855">
        <v>34</v>
      </c>
      <c r="K909" s="1855">
        <v>35</v>
      </c>
      <c r="L909" s="1486"/>
      <c r="M909" s="1486"/>
      <c r="N909" s="1486"/>
      <c r="O909" s="1486"/>
      <c r="P909" s="1486"/>
      <c r="R909" s="1825" t="s">
        <v>2623</v>
      </c>
      <c r="S909" s="1631" t="str">
        <f>B909</f>
        <v>Included in Mgt Fee:</v>
      </c>
      <c r="GT909" s="1637"/>
      <c r="GY909" s="1637"/>
      <c r="GZ909" s="1637"/>
      <c r="HA909" s="1637"/>
      <c r="HB909" s="1637"/>
      <c r="HC909" s="1637"/>
      <c r="HD909" s="1637"/>
      <c r="HE909" s="1637"/>
      <c r="HF909" s="1637"/>
      <c r="HG909" s="1637"/>
      <c r="HH909" s="1637"/>
      <c r="HI909" s="1637"/>
      <c r="HJ909" s="1637"/>
      <c r="HK909" s="1637"/>
      <c r="HL909" s="1637"/>
      <c r="HM909" s="1637"/>
      <c r="HN909" s="1637"/>
      <c r="HO909" s="1637"/>
      <c r="HP909" s="1637"/>
      <c r="HQ909" s="1637"/>
      <c r="HR909" s="1637"/>
      <c r="HS909" s="1637"/>
      <c r="HT909" s="1637"/>
      <c r="HU909" s="1637"/>
      <c r="HV909" s="1637"/>
      <c r="HW909" s="1637"/>
      <c r="HX909" s="1637"/>
      <c r="HY909" s="1637"/>
      <c r="HZ909" s="1637"/>
      <c r="IA909" s="1637"/>
      <c r="IB909" s="1637"/>
      <c r="IC909" s="1637"/>
      <c r="ID909" s="1637"/>
      <c r="IK909" s="1641"/>
      <c r="JA909" s="1641"/>
      <c r="JB909" s="1641"/>
    </row>
    <row r="910" spans="2:262" ht="11.25" customHeight="1">
      <c r="B910" s="1634" t="s">
        <v>1017</v>
      </c>
      <c r="C910" s="1634"/>
      <c r="D910" s="1634"/>
      <c r="E910" s="1634"/>
      <c r="F910" s="1634"/>
      <c r="G910" s="2152">
        <f>'Part VI-Revenues &amp; Expenses'!G204</f>
        <v>0</v>
      </c>
      <c r="H910" s="2152">
        <f>'Part VI-Revenues &amp; Expenses'!H204</f>
        <v>0</v>
      </c>
      <c r="I910" s="2152">
        <f>'Part VI-Revenues &amp; Expenses'!I204</f>
        <v>0</v>
      </c>
      <c r="J910" s="2152">
        <f>'Part VI-Revenues &amp; Expenses'!J204</f>
        <v>0</v>
      </c>
      <c r="K910" s="2152">
        <f>'Part VI-Revenues &amp; Expenses'!K204</f>
        <v>0</v>
      </c>
      <c r="L910" s="1486"/>
      <c r="M910" s="1486"/>
      <c r="N910" s="1486"/>
      <c r="O910" s="1486"/>
      <c r="P910" s="1486"/>
      <c r="R910" s="1838"/>
      <c r="S910" s="1838"/>
      <c r="T910" s="1838"/>
      <c r="U910" s="1838"/>
      <c r="V910" s="1838"/>
      <c r="GT910" s="1637"/>
      <c r="GY910" s="1637"/>
      <c r="GZ910" s="1637"/>
      <c r="HA910" s="1637"/>
      <c r="HB910" s="1637"/>
      <c r="HC910" s="1637"/>
      <c r="HD910" s="1637"/>
      <c r="HE910" s="1637"/>
      <c r="HF910" s="1637"/>
      <c r="HG910" s="1637"/>
      <c r="HH910" s="1637"/>
      <c r="HI910" s="1637"/>
      <c r="HJ910" s="1637"/>
      <c r="HK910" s="1637"/>
      <c r="HL910" s="1637"/>
      <c r="HM910" s="1637"/>
      <c r="HN910" s="1637"/>
      <c r="HO910" s="1637"/>
      <c r="HP910" s="1637"/>
      <c r="HQ910" s="1637"/>
      <c r="HR910" s="1637"/>
      <c r="HS910" s="1637"/>
      <c r="HT910" s="1637"/>
      <c r="HU910" s="1637"/>
      <c r="HV910" s="1637"/>
      <c r="HW910" s="1637"/>
      <c r="HX910" s="1637"/>
      <c r="HY910" s="1637"/>
      <c r="HZ910" s="1637"/>
      <c r="IA910" s="1637"/>
      <c r="IB910" s="1637"/>
      <c r="IC910" s="1637"/>
      <c r="ID910" s="1637"/>
      <c r="IK910" s="1641"/>
      <c r="JA910" s="1641"/>
      <c r="JB910" s="1641"/>
    </row>
    <row r="911" spans="2:262" ht="11.25" customHeight="1">
      <c r="B911" s="1634" t="s">
        <v>741</v>
      </c>
      <c r="C911" s="1634">
        <f>'Part VI-Revenues &amp; Expenses'!C205</f>
        <v>0</v>
      </c>
      <c r="D911" s="1634">
        <f>'Part VI-Revenues &amp; Expenses'!D205</f>
        <v>0</v>
      </c>
      <c r="E911" s="1634">
        <f>'Part VI-Revenues &amp; Expenses'!E205</f>
        <v>0</v>
      </c>
      <c r="F911" s="1634">
        <f>'Part VI-Revenues &amp; Expenses'!F205</f>
        <v>0</v>
      </c>
      <c r="G911" s="2152">
        <f>'Part VI-Revenues &amp; Expenses'!G205</f>
        <v>0</v>
      </c>
      <c r="H911" s="2152">
        <f>'Part VI-Revenues &amp; Expenses'!H205</f>
        <v>0</v>
      </c>
      <c r="I911" s="2152">
        <f>'Part VI-Revenues &amp; Expenses'!I205</f>
        <v>0</v>
      </c>
      <c r="J911" s="2152">
        <f>'Part VI-Revenues &amp; Expenses'!J205</f>
        <v>0</v>
      </c>
      <c r="K911" s="2152">
        <f>'Part VI-Revenues &amp; Expenses'!K205</f>
        <v>0</v>
      </c>
      <c r="L911" s="1486"/>
      <c r="M911" s="1486"/>
      <c r="N911" s="1486"/>
      <c r="O911" s="1486"/>
      <c r="P911" s="1486"/>
      <c r="R911" s="1838"/>
      <c r="S911" s="1838"/>
      <c r="T911" s="1838"/>
      <c r="U911" s="1838"/>
      <c r="V911" s="1838"/>
      <c r="GT911" s="1637"/>
      <c r="GY911" s="1637"/>
      <c r="GZ911" s="1637"/>
      <c r="HA911" s="1637"/>
      <c r="HB911" s="1637"/>
      <c r="HC911" s="1637"/>
      <c r="HD911" s="1637"/>
      <c r="HE911" s="1637"/>
      <c r="HF911" s="1637"/>
      <c r="HG911" s="1637"/>
      <c r="HH911" s="1637"/>
      <c r="HI911" s="1637"/>
      <c r="HJ911" s="1637"/>
      <c r="HK911" s="1637"/>
      <c r="HL911" s="1637"/>
      <c r="HM911" s="1637"/>
      <c r="HN911" s="1637"/>
      <c r="HO911" s="1637"/>
      <c r="HP911" s="1637"/>
      <c r="HQ911" s="1637"/>
      <c r="HR911" s="1637"/>
      <c r="HS911" s="1637"/>
      <c r="HT911" s="1637"/>
      <c r="HU911" s="1637"/>
      <c r="HV911" s="1637"/>
      <c r="HW911" s="1637"/>
      <c r="HX911" s="1637"/>
      <c r="HY911" s="1637"/>
      <c r="HZ911" s="1637"/>
      <c r="IA911" s="1637"/>
      <c r="IB911" s="1637"/>
      <c r="IC911" s="1637"/>
      <c r="ID911" s="1637"/>
      <c r="IK911" s="1641"/>
      <c r="JA911" s="1641"/>
      <c r="JB911" s="1641"/>
    </row>
    <row r="912" spans="2:262" ht="11.25" customHeight="1">
      <c r="B912" s="1634"/>
      <c r="C912" s="1634" t="s">
        <v>928</v>
      </c>
      <c r="D912" s="1634"/>
      <c r="E912" s="1634"/>
      <c r="F912" s="1634"/>
      <c r="G912" s="1857">
        <f>SUM(G910:G911)</f>
        <v>0</v>
      </c>
      <c r="H912" s="1857">
        <f>SUM(H910:H911)</f>
        <v>0</v>
      </c>
      <c r="I912" s="1857">
        <f>SUM(I910:I911)</f>
        <v>0</v>
      </c>
      <c r="J912" s="1857">
        <f>SUM(J910:J911)</f>
        <v>0</v>
      </c>
      <c r="K912" s="1857">
        <f>SUM(K910:K911)</f>
        <v>0</v>
      </c>
      <c r="L912" s="1486"/>
      <c r="M912" s="1486"/>
      <c r="N912" s="1486"/>
      <c r="O912" s="1486"/>
      <c r="P912" s="1486"/>
      <c r="R912" s="1838"/>
      <c r="S912" s="1838"/>
      <c r="T912" s="1838"/>
      <c r="U912" s="1838"/>
      <c r="V912" s="1838"/>
      <c r="GT912" s="1637"/>
      <c r="GY912" s="1637"/>
      <c r="GZ912" s="1637"/>
      <c r="HA912" s="1637"/>
      <c r="HB912" s="1637"/>
      <c r="HC912" s="1637"/>
      <c r="HD912" s="1637"/>
      <c r="HE912" s="1637"/>
      <c r="HF912" s="1637"/>
      <c r="HG912" s="1637"/>
      <c r="HH912" s="1637"/>
      <c r="HI912" s="1637"/>
      <c r="HJ912" s="1637"/>
      <c r="HK912" s="1637"/>
      <c r="HL912" s="1637"/>
      <c r="HM912" s="1637"/>
      <c r="HN912" s="1637"/>
      <c r="HO912" s="1637"/>
      <c r="HP912" s="1637"/>
      <c r="HQ912" s="1637"/>
      <c r="HR912" s="1637"/>
      <c r="HS912" s="1637"/>
      <c r="HT912" s="1637"/>
      <c r="HU912" s="1637"/>
      <c r="HV912" s="1637"/>
      <c r="HW912" s="1637"/>
      <c r="HX912" s="1637"/>
      <c r="HY912" s="1637"/>
      <c r="HZ912" s="1637"/>
      <c r="IA912" s="1637"/>
      <c r="IB912" s="1637"/>
      <c r="IC912" s="1637"/>
      <c r="ID912" s="1637"/>
      <c r="IK912" s="1641"/>
      <c r="JA912" s="1641"/>
      <c r="JB912" s="1641"/>
    </row>
    <row r="913" spans="1:262" ht="11.25" customHeight="1">
      <c r="B913" s="1854" t="s">
        <v>4536</v>
      </c>
      <c r="C913" s="1486"/>
      <c r="D913" s="1486"/>
      <c r="E913" s="1486"/>
      <c r="F913" s="1486"/>
      <c r="G913" s="1858"/>
      <c r="H913" s="1486"/>
      <c r="I913" s="1486"/>
      <c r="J913" s="1486"/>
      <c r="K913" s="1486"/>
      <c r="L913" s="1486"/>
      <c r="M913" s="1486"/>
      <c r="N913" s="1486"/>
      <c r="O913" s="1486"/>
      <c r="P913" s="1486"/>
      <c r="R913" s="1631" t="str">
        <f>B913</f>
        <v>NOT Included in Mgt Fee:</v>
      </c>
      <c r="GT913" s="1637"/>
      <c r="GY913" s="1637"/>
      <c r="GZ913" s="1637"/>
      <c r="HA913" s="1637"/>
      <c r="HB913" s="1637"/>
      <c r="HC913" s="1637"/>
      <c r="HD913" s="1637"/>
      <c r="HE913" s="1637"/>
      <c r="HF913" s="1637"/>
      <c r="HG913" s="1637"/>
      <c r="HH913" s="1637"/>
      <c r="HI913" s="1637"/>
      <c r="HJ913" s="1637"/>
      <c r="HK913" s="1637"/>
      <c r="HL913" s="1637"/>
      <c r="HM913" s="1637"/>
      <c r="HN913" s="1637"/>
      <c r="HO913" s="1637"/>
      <c r="HP913" s="1637"/>
      <c r="HQ913" s="1637"/>
      <c r="HR913" s="1637"/>
      <c r="HS913" s="1637"/>
      <c r="HT913" s="1637"/>
      <c r="HU913" s="1637"/>
      <c r="HV913" s="1637"/>
      <c r="HW913" s="1637"/>
      <c r="HX913" s="1637"/>
      <c r="HY913" s="1637"/>
      <c r="HZ913" s="1637"/>
      <c r="IA913" s="1637"/>
      <c r="IB913" s="1637"/>
      <c r="IC913" s="1637"/>
      <c r="ID913" s="1637"/>
      <c r="IK913" s="1641"/>
      <c r="JA913" s="1641"/>
      <c r="JB913" s="1641"/>
    </row>
    <row r="914" spans="1:262" ht="11.25" customHeight="1">
      <c r="B914" s="1634" t="s">
        <v>533</v>
      </c>
      <c r="C914" s="1634"/>
      <c r="D914" s="1634"/>
      <c r="E914" s="1634"/>
      <c r="F914" s="1634"/>
      <c r="G914" s="2152">
        <f>'Part VI-Revenues &amp; Expenses'!G208</f>
        <v>0</v>
      </c>
      <c r="H914" s="2152">
        <f>'Part VI-Revenues &amp; Expenses'!H208</f>
        <v>0</v>
      </c>
      <c r="I914" s="2152">
        <f>'Part VI-Revenues &amp; Expenses'!I208</f>
        <v>0</v>
      </c>
      <c r="J914" s="2152">
        <f>'Part VI-Revenues &amp; Expenses'!J208</f>
        <v>0</v>
      </c>
      <c r="K914" s="2153">
        <f>'Part VI-Revenues &amp; Expenses'!K208</f>
        <v>0</v>
      </c>
      <c r="L914" s="1486"/>
      <c r="M914" s="1486"/>
      <c r="N914" s="1486"/>
      <c r="O914" s="1486"/>
      <c r="P914" s="1486"/>
      <c r="R914" s="1838"/>
      <c r="S914" s="1838"/>
      <c r="T914" s="1838"/>
      <c r="U914" s="1838"/>
      <c r="V914" s="1838"/>
      <c r="GT914" s="1637"/>
      <c r="GY914" s="1637"/>
      <c r="GZ914" s="1637"/>
      <c r="HA914" s="1637"/>
      <c r="HB914" s="1637"/>
      <c r="HC914" s="1637"/>
      <c r="HD914" s="1637"/>
      <c r="HE914" s="1637"/>
      <c r="HF914" s="1637"/>
      <c r="HG914" s="1637"/>
      <c r="HH914" s="1637"/>
      <c r="HI914" s="1637"/>
      <c r="HJ914" s="1637"/>
      <c r="HK914" s="1637"/>
      <c r="HL914" s="1637"/>
      <c r="HM914" s="1637"/>
      <c r="HN914" s="1637"/>
      <c r="HO914" s="1637"/>
      <c r="HP914" s="1637"/>
      <c r="HQ914" s="1637"/>
      <c r="HR914" s="1637"/>
      <c r="HS914" s="1637"/>
      <c r="HT914" s="1637"/>
      <c r="HU914" s="1637"/>
      <c r="HV914" s="1637"/>
      <c r="HW914" s="1637"/>
      <c r="HX914" s="1637"/>
      <c r="HY914" s="1637"/>
      <c r="HZ914" s="1637"/>
      <c r="IA914" s="1637"/>
      <c r="IB914" s="1637"/>
      <c r="IC914" s="1637"/>
      <c r="ID914" s="1637"/>
      <c r="IK914" s="1641"/>
      <c r="JA914" s="1641"/>
      <c r="JB914" s="1641"/>
    </row>
    <row r="915" spans="1:262" ht="11.25" customHeight="1">
      <c r="B915" s="1634" t="s">
        <v>741</v>
      </c>
      <c r="C915" s="1634">
        <f>'Part VI-Revenues &amp; Expenses'!C209</f>
        <v>0</v>
      </c>
      <c r="D915" s="1634">
        <f>'Part VI-Revenues &amp; Expenses'!D209</f>
        <v>0</v>
      </c>
      <c r="E915" s="1634">
        <f>'Part VI-Revenues &amp; Expenses'!E209</f>
        <v>0</v>
      </c>
      <c r="F915" s="1634">
        <f>'Part VI-Revenues &amp; Expenses'!F209</f>
        <v>0</v>
      </c>
      <c r="G915" s="2152">
        <f>'Part VI-Revenues &amp; Expenses'!G209</f>
        <v>0</v>
      </c>
      <c r="H915" s="2152">
        <f>'Part VI-Revenues &amp; Expenses'!H209</f>
        <v>0</v>
      </c>
      <c r="I915" s="2152">
        <f>'Part VI-Revenues &amp; Expenses'!I209</f>
        <v>0</v>
      </c>
      <c r="J915" s="2152">
        <f>'Part VI-Revenues &amp; Expenses'!J209</f>
        <v>0</v>
      </c>
      <c r="K915" s="2153">
        <f>'Part VI-Revenues &amp; Expenses'!K209</f>
        <v>0</v>
      </c>
      <c r="L915" s="1486"/>
      <c r="M915" s="1486"/>
      <c r="N915" s="1486"/>
      <c r="O915" s="1486"/>
      <c r="P915" s="1486"/>
      <c r="R915" s="1838"/>
      <c r="S915" s="1838"/>
      <c r="T915" s="1838"/>
      <c r="U915" s="1838"/>
      <c r="V915" s="1838"/>
      <c r="GT915" s="1637"/>
      <c r="GY915" s="1637"/>
      <c r="GZ915" s="1637"/>
      <c r="HA915" s="1637"/>
      <c r="HB915" s="1637"/>
      <c r="HC915" s="1637"/>
      <c r="HD915" s="1637"/>
      <c r="HE915" s="1637"/>
      <c r="HF915" s="1637"/>
      <c r="HG915" s="1637"/>
      <c r="HH915" s="1637"/>
      <c r="HI915" s="1637"/>
      <c r="HJ915" s="1637"/>
      <c r="HK915" s="1637"/>
      <c r="HL915" s="1637"/>
      <c r="HM915" s="1637"/>
      <c r="HN915" s="1637"/>
      <c r="HO915" s="1637"/>
      <c r="HP915" s="1637"/>
      <c r="HQ915" s="1637"/>
      <c r="HR915" s="1637"/>
      <c r="HS915" s="1637"/>
      <c r="HT915" s="1637"/>
      <c r="HU915" s="1637"/>
      <c r="HV915" s="1637"/>
      <c r="HW915" s="1637"/>
      <c r="HX915" s="1637"/>
      <c r="HY915" s="1637"/>
      <c r="HZ915" s="1637"/>
      <c r="IA915" s="1637"/>
      <c r="IB915" s="1637"/>
      <c r="IC915" s="1637"/>
      <c r="ID915" s="1637"/>
      <c r="IK915" s="1641"/>
      <c r="JA915" s="1641"/>
      <c r="JB915" s="1641"/>
    </row>
    <row r="916" spans="1:262" ht="11.25" customHeight="1">
      <c r="B916" s="1634"/>
      <c r="C916" s="1634" t="s">
        <v>4537</v>
      </c>
      <c r="D916" s="1634"/>
      <c r="E916" s="1634"/>
      <c r="F916" s="1634"/>
      <c r="G916" s="1857">
        <f>SUM(G914:G915)</f>
        <v>0</v>
      </c>
      <c r="H916" s="1857">
        <f>SUM(H914:H915)</f>
        <v>0</v>
      </c>
      <c r="I916" s="1857">
        <f>SUM(I914:I915)</f>
        <v>0</v>
      </c>
      <c r="J916" s="1857">
        <f>SUM(J914:J915)</f>
        <v>0</v>
      </c>
      <c r="K916" s="1857">
        <f>SUM(K914:K915)</f>
        <v>0</v>
      </c>
      <c r="L916" s="1486"/>
      <c r="M916" s="1486"/>
      <c r="N916" s="1486"/>
      <c r="O916" s="1486"/>
      <c r="P916" s="1486"/>
      <c r="R916" s="1838"/>
      <c r="S916" s="1838"/>
      <c r="T916" s="1838"/>
      <c r="U916" s="1838"/>
      <c r="V916" s="1838"/>
      <c r="GT916" s="1637"/>
      <c r="GY916" s="1637"/>
      <c r="GZ916" s="1637"/>
      <c r="HA916" s="1637"/>
      <c r="HB916" s="1637"/>
      <c r="HC916" s="1637"/>
      <c r="HD916" s="1637"/>
      <c r="HE916" s="1637"/>
      <c r="HF916" s="1637"/>
      <c r="HG916" s="1637"/>
      <c r="HH916" s="1637"/>
      <c r="HI916" s="1637"/>
      <c r="HJ916" s="1637"/>
      <c r="HK916" s="1637"/>
      <c r="HL916" s="1637"/>
      <c r="HM916" s="1637"/>
      <c r="HN916" s="1637"/>
      <c r="HO916" s="1637"/>
      <c r="HP916" s="1637"/>
      <c r="HQ916" s="1637"/>
      <c r="HR916" s="1637"/>
      <c r="HS916" s="1637"/>
      <c r="HT916" s="1637"/>
      <c r="HU916" s="1637"/>
      <c r="HV916" s="1637"/>
      <c r="HW916" s="1637"/>
      <c r="HX916" s="1637"/>
      <c r="HY916" s="1637"/>
      <c r="HZ916" s="1637"/>
      <c r="IA916" s="1637"/>
      <c r="IB916" s="1637"/>
      <c r="IC916" s="1637"/>
      <c r="ID916" s="1637"/>
      <c r="IK916" s="1641"/>
      <c r="JA916" s="1641"/>
      <c r="JB916" s="1641"/>
    </row>
    <row r="917" spans="1:262" ht="2.25" customHeight="1">
      <c r="B917" s="1641"/>
      <c r="F917" s="1859"/>
      <c r="G917" s="1859"/>
      <c r="GT917" s="1637"/>
      <c r="GY917" s="1637"/>
      <c r="GZ917" s="1637"/>
      <c r="HA917" s="1637"/>
      <c r="HB917" s="1637"/>
      <c r="HC917" s="1637"/>
      <c r="HD917" s="1637"/>
      <c r="HE917" s="1637"/>
      <c r="HF917" s="1637"/>
      <c r="HG917" s="1637"/>
      <c r="HH917" s="1637"/>
      <c r="HI917" s="1637"/>
      <c r="HJ917" s="1637"/>
      <c r="HK917" s="1637"/>
      <c r="HL917" s="1637"/>
      <c r="HM917" s="1637"/>
      <c r="HN917" s="1637"/>
      <c r="HO917" s="1637"/>
      <c r="HP917" s="1637"/>
      <c r="HQ917" s="1637"/>
      <c r="HR917" s="1637"/>
      <c r="HS917" s="1637"/>
      <c r="HT917" s="1637"/>
      <c r="HU917" s="1637"/>
      <c r="HV917" s="1637"/>
      <c r="HW917" s="1637"/>
      <c r="HX917" s="1637"/>
      <c r="HY917" s="1637"/>
      <c r="HZ917" s="1637"/>
      <c r="IA917" s="1637"/>
      <c r="IB917" s="1637"/>
      <c r="IC917" s="1637"/>
      <c r="ID917" s="1637"/>
      <c r="IK917" s="1641"/>
      <c r="JA917" s="1641"/>
      <c r="JB917" s="1641"/>
    </row>
    <row r="918" spans="1:262" s="1631" customFormat="1" ht="11.25" customHeight="1">
      <c r="A918" s="1629" t="s">
        <v>1792</v>
      </c>
      <c r="B918" s="1805" t="s">
        <v>1019</v>
      </c>
      <c r="C918" s="1805"/>
      <c r="D918" s="1805"/>
      <c r="E918" s="1805"/>
      <c r="F918" s="1805"/>
      <c r="G918" s="1805"/>
      <c r="H918" s="1805"/>
      <c r="I918" s="1805"/>
      <c r="J918" s="1805"/>
      <c r="K918" s="1805"/>
      <c r="M918" s="1829"/>
      <c r="N918" s="1630"/>
      <c r="O918" s="1630"/>
      <c r="R918" s="1629" t="str">
        <f>B918</f>
        <v>ANNUAL OPERATING EXPENSE BUDGET</v>
      </c>
      <c r="S918" s="742"/>
      <c r="W918" s="742"/>
      <c r="GT918" s="1630"/>
      <c r="GY918" s="1630"/>
      <c r="GZ918" s="1630"/>
      <c r="HA918" s="1630"/>
      <c r="HB918" s="1630"/>
      <c r="HC918" s="1630"/>
      <c r="HD918" s="1630"/>
      <c r="HE918" s="1630"/>
      <c r="HF918" s="1630"/>
      <c r="HG918" s="1630"/>
      <c r="HH918" s="1630"/>
      <c r="HI918" s="1630"/>
      <c r="HJ918" s="1630"/>
      <c r="HK918" s="1630"/>
      <c r="HL918" s="1630"/>
      <c r="HM918" s="1630"/>
      <c r="HN918" s="1630"/>
      <c r="HO918" s="1630"/>
      <c r="HP918" s="1630"/>
      <c r="HQ918" s="1630"/>
      <c r="HR918" s="1630"/>
      <c r="HS918" s="1630"/>
      <c r="HT918" s="1630"/>
      <c r="HU918" s="1630"/>
      <c r="HV918" s="1630"/>
      <c r="HW918" s="1630"/>
      <c r="HX918" s="1630"/>
      <c r="HY918" s="1630"/>
      <c r="HZ918" s="1630"/>
      <c r="IA918" s="1630"/>
      <c r="IB918" s="1630"/>
      <c r="IC918" s="1630"/>
      <c r="ID918" s="1630"/>
      <c r="IK918" s="1629"/>
      <c r="JA918" s="1629"/>
      <c r="JB918" s="1629"/>
    </row>
    <row r="919" spans="1:262" s="1631" customFormat="1" ht="9" customHeight="1">
      <c r="B919" s="1805"/>
      <c r="C919" s="1805"/>
      <c r="D919" s="1805"/>
      <c r="E919" s="1805"/>
      <c r="F919" s="1805"/>
      <c r="G919" s="1805"/>
      <c r="H919" s="1805"/>
      <c r="I919" s="1805"/>
      <c r="J919" s="1805"/>
      <c r="R919" s="1860" t="s">
        <v>1845</v>
      </c>
      <c r="S919" s="1860"/>
      <c r="GT919" s="1630"/>
      <c r="GY919" s="1630"/>
      <c r="GZ919" s="1630"/>
      <c r="HA919" s="1630"/>
      <c r="HB919" s="1630"/>
      <c r="HC919" s="1630"/>
      <c r="HD919" s="1630"/>
      <c r="HE919" s="1630"/>
      <c r="HF919" s="1630"/>
      <c r="HG919" s="1630"/>
      <c r="HH919" s="1630"/>
      <c r="HI919" s="1630"/>
      <c r="HJ919" s="1630"/>
      <c r="HK919" s="1630"/>
      <c r="HL919" s="1630"/>
      <c r="HM919" s="1630"/>
      <c r="HN919" s="1630"/>
      <c r="HO919" s="1630"/>
      <c r="HP919" s="1630"/>
      <c r="HQ919" s="1630"/>
      <c r="HR919" s="1630"/>
      <c r="HS919" s="1630"/>
      <c r="HT919" s="1630"/>
      <c r="HU919" s="1630"/>
      <c r="HV919" s="1630"/>
      <c r="HW919" s="1630"/>
      <c r="HX919" s="1630"/>
      <c r="HY919" s="1630"/>
      <c r="HZ919" s="1630"/>
      <c r="IA919" s="1630"/>
      <c r="IB919" s="1630"/>
      <c r="IC919" s="1630"/>
      <c r="ID919" s="1630"/>
      <c r="IK919" s="1629"/>
      <c r="JA919" s="1629"/>
      <c r="JB919" s="1629"/>
    </row>
    <row r="920" spans="1:262" s="1631" customFormat="1" ht="13.35" customHeight="1">
      <c r="B920" s="1629" t="s">
        <v>1290</v>
      </c>
      <c r="F920" s="742"/>
      <c r="G920" s="742"/>
      <c r="I920" s="1629" t="s">
        <v>1377</v>
      </c>
      <c r="N920" s="1629" t="s">
        <v>1376</v>
      </c>
      <c r="R920" s="1838"/>
      <c r="S920" s="1838"/>
      <c r="T920" s="1838"/>
      <c r="U920" s="1838"/>
      <c r="V920" s="1838"/>
      <c r="W920" s="742"/>
      <c r="GT920" s="1630"/>
      <c r="GY920" s="1630"/>
      <c r="GZ920" s="1630"/>
      <c r="HA920" s="1630"/>
      <c r="HB920" s="1630"/>
      <c r="HC920" s="1630"/>
      <c r="HD920" s="1630"/>
      <c r="HE920" s="1630"/>
      <c r="HF920" s="1630"/>
      <c r="HG920" s="1630"/>
      <c r="HH920" s="1630"/>
      <c r="HI920" s="1630"/>
      <c r="HJ920" s="1630"/>
      <c r="HK920" s="1630"/>
      <c r="HL920" s="1630"/>
      <c r="HM920" s="1630"/>
      <c r="HN920" s="1630"/>
      <c r="HO920" s="1630"/>
      <c r="HP920" s="1630"/>
      <c r="HQ920" s="1630"/>
      <c r="HR920" s="1630"/>
      <c r="HS920" s="1630"/>
      <c r="HT920" s="1630"/>
      <c r="HU920" s="1630"/>
      <c r="HV920" s="1630"/>
      <c r="HW920" s="1630"/>
      <c r="HX920" s="1630"/>
      <c r="HY920" s="1630"/>
      <c r="HZ920" s="1630"/>
      <c r="IA920" s="1630"/>
      <c r="IB920" s="1630"/>
      <c r="IC920" s="1630"/>
      <c r="ID920" s="1630"/>
      <c r="IK920" s="1629"/>
      <c r="JA920" s="1629"/>
      <c r="JB920" s="1629"/>
    </row>
    <row r="921" spans="1:262" s="1631" customFormat="1" ht="15.6" customHeight="1">
      <c r="B921" s="1631" t="s">
        <v>2196</v>
      </c>
      <c r="F921" s="1847">
        <f>'Part VI-Revenues &amp; Expenses'!F215</f>
        <v>49140</v>
      </c>
      <c r="G921" s="1847">
        <f>'Part VI-Revenues &amp; Expenses'!G215</f>
        <v>0</v>
      </c>
      <c r="I921" s="1631" t="s">
        <v>1378</v>
      </c>
      <c r="K921" s="1847">
        <f>'Part VI-Revenues &amp; Expenses'!K215</f>
        <v>0</v>
      </c>
      <c r="L921" s="1847">
        <f>'Part VI-Revenues &amp; Expenses'!L215</f>
        <v>0</v>
      </c>
      <c r="N921" s="1631" t="s">
        <v>929</v>
      </c>
      <c r="P921" s="1862">
        <f>'Part VI-Revenues &amp; Expenses'!P215</f>
        <v>85260</v>
      </c>
      <c r="Q921" s="1862"/>
      <c r="R921" s="1838"/>
      <c r="S921" s="1838"/>
      <c r="T921" s="1838"/>
      <c r="U921" s="1838"/>
      <c r="V921" s="1838"/>
      <c r="W921" s="742"/>
      <c r="GT921" s="1630"/>
      <c r="GY921" s="1630"/>
      <c r="GZ921" s="1630"/>
      <c r="HA921" s="1630"/>
      <c r="HB921" s="1630"/>
      <c r="HC921" s="1630"/>
      <c r="HD921" s="1630"/>
      <c r="HE921" s="1630"/>
      <c r="HF921" s="1630"/>
      <c r="HG921" s="1630"/>
      <c r="HH921" s="1630"/>
      <c r="HI921" s="1630"/>
      <c r="HJ921" s="1630"/>
      <c r="HK921" s="1630"/>
      <c r="HL921" s="1630"/>
      <c r="HM921" s="1630"/>
      <c r="HN921" s="1630"/>
      <c r="HO921" s="1630"/>
      <c r="HP921" s="1630"/>
      <c r="HQ921" s="1630"/>
      <c r="HR921" s="1630"/>
      <c r="HS921" s="1630"/>
      <c r="HT921" s="1630"/>
      <c r="HU921" s="1630"/>
      <c r="HV921" s="1630"/>
      <c r="HW921" s="1630"/>
      <c r="HX921" s="1630"/>
      <c r="HY921" s="1630"/>
      <c r="HZ921" s="1630"/>
      <c r="IA921" s="1630"/>
      <c r="IB921" s="1630"/>
      <c r="IC921" s="1630"/>
      <c r="ID921" s="1630"/>
      <c r="IK921" s="1629"/>
      <c r="JA921" s="1629"/>
      <c r="JB921" s="1629"/>
    </row>
    <row r="922" spans="1:262" s="1631" customFormat="1" ht="15.6" customHeight="1">
      <c r="B922" s="1631" t="s">
        <v>1367</v>
      </c>
      <c r="F922" s="1847">
        <f>'Part VI-Revenues &amp; Expenses'!F216</f>
        <v>26460</v>
      </c>
      <c r="G922" s="1847">
        <f>'Part VI-Revenues &amp; Expenses'!G216</f>
        <v>0</v>
      </c>
      <c r="I922" s="1631" t="s">
        <v>1379</v>
      </c>
      <c r="K922" s="1847">
        <f>'Part VI-Revenues &amp; Expenses'!K216</f>
        <v>0</v>
      </c>
      <c r="L922" s="1847">
        <f>'Part VI-Revenues &amp; Expenses'!L216</f>
        <v>0</v>
      </c>
      <c r="N922" s="1631" t="s">
        <v>147</v>
      </c>
      <c r="P922" s="1862">
        <f>'Part VI-Revenues &amp; Expenses'!P216</f>
        <v>25260</v>
      </c>
      <c r="Q922" s="1862"/>
      <c r="R922" s="1838"/>
      <c r="S922" s="1838"/>
      <c r="T922" s="1838"/>
      <c r="U922" s="1838"/>
      <c r="V922" s="1838"/>
      <c r="W922" s="742"/>
      <c r="GT922" s="1630"/>
      <c r="GY922" s="1630"/>
      <c r="GZ922" s="1630"/>
      <c r="HA922" s="1630"/>
      <c r="HB922" s="1630"/>
      <c r="HC922" s="1630"/>
      <c r="HD922" s="1630"/>
      <c r="HE922" s="1630"/>
      <c r="HF922" s="1630"/>
      <c r="HG922" s="1630"/>
      <c r="HH922" s="1630"/>
      <c r="HI922" s="1630"/>
      <c r="HJ922" s="1630"/>
      <c r="HK922" s="1630"/>
      <c r="HL922" s="1630"/>
      <c r="HM922" s="1630"/>
      <c r="HN922" s="1630"/>
      <c r="HO922" s="1630"/>
      <c r="HP922" s="1630"/>
      <c r="HQ922" s="1630"/>
      <c r="HR922" s="1630"/>
      <c r="HS922" s="1630"/>
      <c r="HT922" s="1630"/>
      <c r="HU922" s="1630"/>
      <c r="HV922" s="1630"/>
      <c r="HW922" s="1630"/>
      <c r="HX922" s="1630"/>
      <c r="HY922" s="1630"/>
      <c r="HZ922" s="1630"/>
      <c r="IA922" s="1630"/>
      <c r="IB922" s="1630"/>
      <c r="IC922" s="1630"/>
      <c r="ID922" s="1630"/>
      <c r="IK922" s="1629"/>
      <c r="JA922" s="1629"/>
      <c r="JB922" s="1629"/>
    </row>
    <row r="923" spans="1:262" s="1631" customFormat="1" ht="15.6" customHeight="1">
      <c r="B923" s="1631" t="s">
        <v>1239</v>
      </c>
      <c r="F923" s="1847">
        <f>'Part VI-Revenues &amp; Expenses'!F217</f>
        <v>0</v>
      </c>
      <c r="G923" s="1847">
        <f>'Part VI-Revenues &amp; Expenses'!G217</f>
        <v>0</v>
      </c>
      <c r="J923" s="1861" t="s">
        <v>191</v>
      </c>
      <c r="K923" s="1847">
        <f>SUM(K921:L922)</f>
        <v>0</v>
      </c>
      <c r="L923" s="1847"/>
      <c r="N923" s="2154" t="str">
        <f>'Part VI-Revenues &amp; Expenses'!N217</f>
        <v>Other (describe here)</v>
      </c>
      <c r="O923" s="2154">
        <f>'Part VI-Revenues &amp; Expenses'!O217</f>
        <v>0</v>
      </c>
      <c r="P923" s="1862">
        <f>'Part VI-Revenues &amp; Expenses'!P217</f>
        <v>0</v>
      </c>
      <c r="Q923" s="1862"/>
      <c r="R923" s="1838"/>
      <c r="S923" s="1838"/>
      <c r="T923" s="1838"/>
      <c r="U923" s="1838"/>
      <c r="V923" s="1838"/>
      <c r="W923" s="742"/>
      <c r="GT923" s="1630"/>
      <c r="GY923" s="1630"/>
      <c r="GZ923" s="1630"/>
      <c r="HA923" s="1630"/>
      <c r="HB923" s="1630"/>
      <c r="HC923" s="1630"/>
      <c r="HD923" s="1630"/>
      <c r="HE923" s="1630"/>
      <c r="HF923" s="1630"/>
      <c r="HG923" s="1630"/>
      <c r="HH923" s="1630"/>
      <c r="HI923" s="1630"/>
      <c r="HJ923" s="1630"/>
      <c r="HK923" s="1630"/>
      <c r="HL923" s="1630"/>
      <c r="HM923" s="1630"/>
      <c r="HN923" s="1630"/>
      <c r="HO923" s="1630"/>
      <c r="HP923" s="1630"/>
      <c r="HQ923" s="1630"/>
      <c r="HR923" s="1630"/>
      <c r="HS923" s="1630"/>
      <c r="HT923" s="1630"/>
      <c r="HU923" s="1630"/>
      <c r="HV923" s="1630"/>
      <c r="HW923" s="1630"/>
      <c r="HX923" s="1630"/>
      <c r="HY923" s="1630"/>
      <c r="HZ923" s="1630"/>
      <c r="IA923" s="1630"/>
      <c r="IB923" s="1630"/>
      <c r="IC923" s="1630"/>
      <c r="ID923" s="1630"/>
      <c r="IK923" s="1629"/>
      <c r="JA923" s="1629"/>
      <c r="JB923" s="1629"/>
    </row>
    <row r="924" spans="1:262" s="1631" customFormat="1" ht="15.6" customHeight="1">
      <c r="B924" s="521" t="str">
        <f>'Part VI-Revenues &amp; Expenses'!B218</f>
        <v>Payroll Taxes</v>
      </c>
      <c r="C924" s="521">
        <f>'Part VI-Revenues &amp; Expenses'!C218</f>
        <v>0</v>
      </c>
      <c r="D924" s="521">
        <f>'Part VI-Revenues &amp; Expenses'!D218</f>
        <v>0</v>
      </c>
      <c r="E924" s="521">
        <f>'Part VI-Revenues &amp; Expenses'!E218</f>
        <v>0</v>
      </c>
      <c r="F924" s="1847">
        <f>'Part VI-Revenues &amp; Expenses'!F218</f>
        <v>8400</v>
      </c>
      <c r="G924" s="1847">
        <f>'Part VI-Revenues &amp; Expenses'!G218</f>
        <v>0</v>
      </c>
      <c r="N924" s="1861" t="s">
        <v>191</v>
      </c>
      <c r="P924" s="1862">
        <f>SUM(P921:P923)</f>
        <v>110520</v>
      </c>
      <c r="Q924" s="1862"/>
      <c r="R924" s="1838"/>
      <c r="S924" s="1838"/>
      <c r="T924" s="1838"/>
      <c r="U924" s="1838"/>
      <c r="V924" s="1838"/>
      <c r="W924" s="742"/>
      <c r="GT924" s="1630"/>
      <c r="GY924" s="1630"/>
      <c r="GZ924" s="1630"/>
      <c r="HA924" s="1630"/>
      <c r="HB924" s="1630"/>
      <c r="HC924" s="1630"/>
      <c r="HD924" s="1630"/>
      <c r="HE924" s="1630"/>
      <c r="HF924" s="1630"/>
      <c r="HG924" s="1630"/>
      <c r="HH924" s="1630"/>
      <c r="HI924" s="1630"/>
      <c r="HJ924" s="1630"/>
      <c r="HK924" s="1630"/>
      <c r="HL924" s="1630"/>
      <c r="HM924" s="1630"/>
      <c r="HN924" s="1630"/>
      <c r="HO924" s="1630"/>
      <c r="HP924" s="1630"/>
      <c r="HQ924" s="1630"/>
      <c r="HR924" s="1630"/>
      <c r="HS924" s="1630"/>
      <c r="HT924" s="1630"/>
      <c r="HU924" s="1630"/>
      <c r="HV924" s="1630"/>
      <c r="HW924" s="1630"/>
      <c r="HX924" s="1630"/>
      <c r="HY924" s="1630"/>
      <c r="HZ924" s="1630"/>
      <c r="IA924" s="1630"/>
      <c r="IB924" s="1630"/>
      <c r="IC924" s="1630"/>
      <c r="ID924" s="1630"/>
      <c r="IK924" s="1629"/>
      <c r="JA924" s="1629"/>
      <c r="JB924" s="1629"/>
    </row>
    <row r="925" spans="1:262" s="1631" customFormat="1" ht="15.6" customHeight="1">
      <c r="C925" s="1861" t="s">
        <v>191</v>
      </c>
      <c r="F925" s="1847">
        <f>SUM(F921:G924)</f>
        <v>84000</v>
      </c>
      <c r="G925" s="1847"/>
      <c r="J925" s="1833"/>
      <c r="R925" s="1838"/>
      <c r="S925" s="1838"/>
      <c r="T925" s="1838"/>
      <c r="U925" s="1838"/>
      <c r="V925" s="1838"/>
      <c r="W925" s="742"/>
      <c r="GT925" s="1630"/>
      <c r="GY925" s="1630"/>
      <c r="GZ925" s="1630"/>
      <c r="HA925" s="1630"/>
      <c r="HB925" s="1630"/>
      <c r="HC925" s="1630"/>
      <c r="HD925" s="1630"/>
      <c r="HE925" s="1630"/>
      <c r="HF925" s="1630"/>
      <c r="HG925" s="1630"/>
      <c r="HH925" s="1630"/>
      <c r="HI925" s="1630"/>
      <c r="HJ925" s="1630"/>
      <c r="HK925" s="1630"/>
      <c r="HL925" s="1630"/>
      <c r="HM925" s="1630"/>
      <c r="HN925" s="1630"/>
      <c r="HO925" s="1630"/>
      <c r="HP925" s="1630"/>
      <c r="HQ925" s="1630"/>
      <c r="HR925" s="1630"/>
      <c r="HS925" s="1630"/>
      <c r="HT925" s="1630"/>
      <c r="HU925" s="1630"/>
      <c r="HV925" s="1630"/>
      <c r="HW925" s="1630"/>
      <c r="HX925" s="1630"/>
      <c r="HY925" s="1630"/>
      <c r="HZ925" s="1630"/>
      <c r="IA925" s="1630"/>
      <c r="IB925" s="1630"/>
      <c r="IC925" s="1630"/>
      <c r="ID925" s="1630"/>
      <c r="IK925" s="1629"/>
      <c r="JA925" s="1629"/>
      <c r="JB925" s="1629"/>
    </row>
    <row r="926" spans="1:262" s="1631" customFormat="1" ht="6" customHeight="1">
      <c r="C926" s="1629"/>
      <c r="D926" s="1861"/>
      <c r="F926" s="1833"/>
      <c r="G926" s="1833"/>
      <c r="J926" s="1833"/>
      <c r="M926" s="1629"/>
      <c r="O926" s="1861"/>
      <c r="R926" s="1838"/>
      <c r="S926" s="1838"/>
      <c r="T926" s="1838"/>
      <c r="U926" s="1838"/>
      <c r="V926" s="1838"/>
      <c r="GT926" s="1630"/>
      <c r="GY926" s="1630"/>
      <c r="GZ926" s="1630"/>
      <c r="HA926" s="1630"/>
      <c r="HB926" s="1630"/>
      <c r="HC926" s="1630"/>
      <c r="HD926" s="1630"/>
      <c r="HE926" s="1630"/>
      <c r="HF926" s="1630"/>
      <c r="HG926" s="1630"/>
      <c r="HH926" s="1630"/>
      <c r="HI926" s="1630"/>
      <c r="HJ926" s="1630"/>
      <c r="HK926" s="1630"/>
      <c r="HL926" s="1630"/>
      <c r="HM926" s="1630"/>
      <c r="HN926" s="1630"/>
      <c r="HO926" s="1630"/>
      <c r="HP926" s="1630"/>
      <c r="HQ926" s="1630"/>
      <c r="HR926" s="1630"/>
      <c r="HS926" s="1630"/>
      <c r="HT926" s="1630"/>
      <c r="HU926" s="1630"/>
      <c r="HV926" s="1630"/>
      <c r="HW926" s="1630"/>
      <c r="HX926" s="1630"/>
      <c r="HY926" s="1630"/>
      <c r="HZ926" s="1630"/>
      <c r="IA926" s="1630"/>
      <c r="IB926" s="1630"/>
      <c r="IC926" s="1630"/>
      <c r="ID926" s="1630"/>
      <c r="IK926" s="1629"/>
      <c r="JA926" s="1629"/>
      <c r="JB926" s="1629"/>
    </row>
    <row r="927" spans="1:262" s="1631" customFormat="1" ht="13.35" customHeight="1">
      <c r="B927" s="1629" t="s">
        <v>1291</v>
      </c>
      <c r="D927" s="1863"/>
      <c r="I927" s="1629" t="s">
        <v>1292</v>
      </c>
      <c r="N927" s="1629" t="s">
        <v>1380</v>
      </c>
      <c r="P927" s="1864">
        <f>IF(OR('Part VII-Pro Forma'!$B$21 = "Choose Mgt Fee",'Part VII-Pro Forma'!$B$21 = "Choose One!"), 0,- 'Part VII-Pro Forma'!$B$21)</f>
        <v>39873</v>
      </c>
      <c r="Q927" s="1864"/>
      <c r="R927" s="1838"/>
      <c r="S927" s="1838"/>
      <c r="T927" s="1838"/>
      <c r="U927" s="1838"/>
      <c r="V927" s="1838"/>
      <c r="W927" s="742"/>
      <c r="GT927" s="1630"/>
      <c r="GY927" s="1630"/>
      <c r="GZ927" s="1630"/>
      <c r="HA927" s="1630"/>
      <c r="HB927" s="1630"/>
      <c r="HC927" s="1630"/>
      <c r="HD927" s="1630"/>
      <c r="HE927" s="1630"/>
      <c r="HF927" s="1630"/>
      <c r="HG927" s="1630"/>
      <c r="HH927" s="1630"/>
      <c r="HI927" s="1630"/>
      <c r="HJ927" s="1630"/>
      <c r="HK927" s="1630"/>
      <c r="HL927" s="1630"/>
      <c r="HM927" s="1630"/>
      <c r="HN927" s="1630"/>
      <c r="HO927" s="1630"/>
      <c r="HP927" s="1630"/>
      <c r="HQ927" s="1630"/>
      <c r="HR927" s="1630"/>
      <c r="HS927" s="1630"/>
      <c r="HT927" s="1630"/>
      <c r="HU927" s="1630"/>
      <c r="HV927" s="1630"/>
      <c r="HW927" s="1630"/>
      <c r="HX927" s="1630"/>
      <c r="HY927" s="1630"/>
      <c r="HZ927" s="1630"/>
      <c r="IA927" s="1630"/>
      <c r="IB927" s="1630"/>
      <c r="IC927" s="1630"/>
      <c r="ID927" s="1630"/>
      <c r="IK927" s="1629"/>
      <c r="JA927" s="1629"/>
      <c r="JB927" s="1629"/>
    </row>
    <row r="928" spans="1:262" s="1631" customFormat="1" ht="15.6" customHeight="1">
      <c r="B928" s="1631" t="s">
        <v>1372</v>
      </c>
      <c r="D928" s="1863"/>
      <c r="F928" s="1847">
        <f>'Part VI-Revenues &amp; Expenses'!F222</f>
        <v>2772</v>
      </c>
      <c r="G928" s="1847">
        <f>'Part VI-Revenues &amp; Expenses'!G222</f>
        <v>0</v>
      </c>
      <c r="I928" s="1631" t="s">
        <v>1602</v>
      </c>
      <c r="K928" s="1862">
        <f>'Part VI-Revenues &amp; Expenses'!K222</f>
        <v>840</v>
      </c>
      <c r="L928" s="1862">
        <f>'Part VI-Revenues &amp; Expenses'!L222</f>
        <v>0</v>
      </c>
      <c r="N928" s="1865" t="e">
        <f>+P927/(O819*0.93)</f>
        <v>#DIV/0!</v>
      </c>
      <c r="O928" s="1866" t="s">
        <v>2756</v>
      </c>
      <c r="R928" s="1838"/>
      <c r="S928" s="1838"/>
      <c r="T928" s="1838"/>
      <c r="U928" s="1838"/>
      <c r="V928" s="1838"/>
      <c r="W928" s="742"/>
      <c r="GT928" s="1630"/>
      <c r="GY928" s="1630"/>
      <c r="GZ928" s="1630"/>
      <c r="HA928" s="1630"/>
      <c r="HB928" s="1630"/>
      <c r="HC928" s="1630"/>
      <c r="HD928" s="1630"/>
      <c r="HE928" s="1630"/>
      <c r="HF928" s="1630"/>
      <c r="HG928" s="1630"/>
      <c r="HH928" s="1630"/>
      <c r="HI928" s="1630"/>
      <c r="HJ928" s="1630"/>
      <c r="HK928" s="1630"/>
      <c r="HL928" s="1630"/>
      <c r="HM928" s="1630"/>
      <c r="HN928" s="1630"/>
      <c r="HO928" s="1630"/>
      <c r="HP928" s="1630"/>
      <c r="HQ928" s="1630"/>
      <c r="HR928" s="1630"/>
      <c r="HS928" s="1630"/>
      <c r="HT928" s="1630"/>
      <c r="HU928" s="1630"/>
      <c r="HV928" s="1630"/>
      <c r="HW928" s="1630"/>
      <c r="HX928" s="1630"/>
      <c r="HY928" s="1630"/>
      <c r="HZ928" s="1630"/>
      <c r="IA928" s="1630"/>
      <c r="IB928" s="1630"/>
      <c r="IC928" s="1630"/>
      <c r="ID928" s="1630"/>
      <c r="IK928" s="1629"/>
      <c r="JA928" s="1629"/>
      <c r="JB928" s="1629"/>
    </row>
    <row r="929" spans="2:262" s="1631" customFormat="1" ht="15.6" customHeight="1">
      <c r="B929" s="1631" t="s">
        <v>1373</v>
      </c>
      <c r="D929" s="1863"/>
      <c r="F929" s="1847">
        <f>'Part VI-Revenues &amp; Expenses'!F223</f>
        <v>2352</v>
      </c>
      <c r="G929" s="1847">
        <f>'Part VI-Revenues &amp; Expenses'!G223</f>
        <v>0</v>
      </c>
      <c r="I929" s="1631" t="s">
        <v>2049</v>
      </c>
      <c r="K929" s="1862">
        <f>'Part VI-Revenues &amp; Expenses'!K223</f>
        <v>2520</v>
      </c>
      <c r="L929" s="1862">
        <f>'Part VI-Revenues &amp; Expenses'!L223</f>
        <v>0</v>
      </c>
      <c r="N929" s="1865" t="e">
        <f>+P927/(O819*0.93)/12</f>
        <v>#DIV/0!</v>
      </c>
      <c r="O929" s="1866" t="s">
        <v>2757</v>
      </c>
      <c r="R929" s="1838"/>
      <c r="S929" s="1838"/>
      <c r="T929" s="1838"/>
      <c r="U929" s="1838"/>
      <c r="V929" s="1838"/>
      <c r="W929" s="742"/>
      <c r="GT929" s="1630"/>
      <c r="GY929" s="1630"/>
      <c r="GZ929" s="1630"/>
      <c r="HA929" s="1630"/>
      <c r="HB929" s="1630"/>
      <c r="HC929" s="1630"/>
      <c r="HD929" s="1630"/>
      <c r="HE929" s="1630"/>
      <c r="HF929" s="1630"/>
      <c r="HG929" s="1630"/>
      <c r="HH929" s="1630"/>
      <c r="HI929" s="1630"/>
      <c r="HJ929" s="1630"/>
      <c r="HK929" s="1630"/>
      <c r="HL929" s="1630"/>
      <c r="HM929" s="1630"/>
      <c r="HN929" s="1630"/>
      <c r="HO929" s="1630"/>
      <c r="HP929" s="1630"/>
      <c r="HQ929" s="1630"/>
      <c r="HR929" s="1630"/>
      <c r="HS929" s="1630"/>
      <c r="HT929" s="1630"/>
      <c r="HU929" s="1630"/>
      <c r="HV929" s="1630"/>
      <c r="HW929" s="1630"/>
      <c r="HX929" s="1630"/>
      <c r="HY929" s="1630"/>
      <c r="HZ929" s="1630"/>
      <c r="IA929" s="1630"/>
      <c r="IB929" s="1630"/>
      <c r="IC929" s="1630"/>
      <c r="ID929" s="1630"/>
      <c r="IK929" s="1629"/>
      <c r="JA929" s="1629"/>
      <c r="JB929" s="1629"/>
    </row>
    <row r="930" spans="2:262" s="1631" customFormat="1" ht="15.6" customHeight="1">
      <c r="B930" s="1631" t="s">
        <v>1374</v>
      </c>
      <c r="D930" s="1863"/>
      <c r="F930" s="1847">
        <f>'Part VI-Revenues &amp; Expenses'!F224</f>
        <v>0</v>
      </c>
      <c r="G930" s="1847">
        <f>'Part VI-Revenues &amp; Expenses'!G224</f>
        <v>0</v>
      </c>
      <c r="I930" s="1631" t="s">
        <v>1603</v>
      </c>
      <c r="K930" s="1862">
        <f>'Part VI-Revenues &amp; Expenses'!K224</f>
        <v>2100</v>
      </c>
      <c r="L930" s="1862">
        <f>'Part VI-Revenues &amp; Expenses'!L224</f>
        <v>0</v>
      </c>
      <c r="N930" s="521" t="s">
        <v>3729</v>
      </c>
      <c r="O930" s="1867"/>
      <c r="P930" s="1867"/>
      <c r="Q930" s="1834"/>
      <c r="R930" s="1838"/>
      <c r="S930" s="1838"/>
      <c r="T930" s="1838"/>
      <c r="U930" s="1838"/>
      <c r="V930" s="1838"/>
      <c r="W930" s="742"/>
      <c r="GT930" s="1630"/>
      <c r="GY930" s="1630"/>
      <c r="GZ930" s="1630"/>
      <c r="HA930" s="1630"/>
      <c r="HB930" s="1630"/>
      <c r="HC930" s="1630"/>
      <c r="HD930" s="1630"/>
      <c r="HE930" s="1630"/>
      <c r="HF930" s="1630"/>
      <c r="HG930" s="1630"/>
      <c r="HH930" s="1630"/>
      <c r="HI930" s="1630"/>
      <c r="HJ930" s="1630"/>
      <c r="HK930" s="1630"/>
      <c r="HL930" s="1630"/>
      <c r="HM930" s="1630"/>
      <c r="HN930" s="1630"/>
      <c r="HO930" s="1630"/>
      <c r="HP930" s="1630"/>
      <c r="HQ930" s="1630"/>
      <c r="HR930" s="1630"/>
      <c r="HS930" s="1630"/>
      <c r="HT930" s="1630"/>
      <c r="HU930" s="1630"/>
      <c r="HV930" s="1630"/>
      <c r="HW930" s="1630"/>
      <c r="HX930" s="1630"/>
      <c r="HY930" s="1630"/>
      <c r="HZ930" s="1630"/>
      <c r="IA930" s="1630"/>
      <c r="IB930" s="1630"/>
      <c r="IC930" s="1630"/>
      <c r="ID930" s="1630"/>
      <c r="IK930" s="1629"/>
      <c r="JA930" s="1629"/>
      <c r="JB930" s="1629"/>
    </row>
    <row r="931" spans="2:262" s="1631" customFormat="1" ht="15.6" customHeight="1">
      <c r="B931" s="1631" t="s">
        <v>2341</v>
      </c>
      <c r="D931" s="1863"/>
      <c r="F931" s="1847">
        <f>'Part VI-Revenues &amp; Expenses'!F225</f>
        <v>0</v>
      </c>
      <c r="G931" s="1847">
        <f>'Part VI-Revenues &amp; Expenses'!G225</f>
        <v>0</v>
      </c>
      <c r="I931" s="2154" t="str">
        <f>'Part VI-Revenues &amp; Expenses'!I225</f>
        <v>Professional Fees</v>
      </c>
      <c r="J931" s="2154">
        <f>'Part VI-Revenues &amp; Expenses'!J225</f>
        <v>0</v>
      </c>
      <c r="K931" s="1862">
        <f>'Part VI-Revenues &amp; Expenses'!K225</f>
        <v>4200</v>
      </c>
      <c r="L931" s="1862">
        <f>'Part VI-Revenues &amp; Expenses'!L225</f>
        <v>0</v>
      </c>
      <c r="N931" s="1867"/>
      <c r="O931" s="1867"/>
      <c r="P931" s="1867"/>
      <c r="Q931" s="1834"/>
      <c r="R931" s="1838"/>
      <c r="S931" s="1838"/>
      <c r="T931" s="1838"/>
      <c r="U931" s="1838"/>
      <c r="V931" s="1838"/>
      <c r="W931" s="742"/>
      <c r="GT931" s="1630"/>
      <c r="GY931" s="1630"/>
      <c r="GZ931" s="1630"/>
      <c r="HA931" s="1630"/>
      <c r="HB931" s="1630"/>
      <c r="HC931" s="1630"/>
      <c r="HD931" s="1630"/>
      <c r="HE931" s="1630"/>
      <c r="HF931" s="1630"/>
      <c r="HG931" s="1630"/>
      <c r="HH931" s="1630"/>
      <c r="HI931" s="1630"/>
      <c r="HJ931" s="1630"/>
      <c r="HK931" s="1630"/>
      <c r="HL931" s="1630"/>
      <c r="HM931" s="1630"/>
      <c r="HN931" s="1630"/>
      <c r="HO931" s="1630"/>
      <c r="HP931" s="1630"/>
      <c r="HQ931" s="1630"/>
      <c r="HR931" s="1630"/>
      <c r="HS931" s="1630"/>
      <c r="HT931" s="1630"/>
      <c r="HU931" s="1630"/>
      <c r="HV931" s="1630"/>
      <c r="HW931" s="1630"/>
      <c r="HX931" s="1630"/>
      <c r="HY931" s="1630"/>
      <c r="HZ931" s="1630"/>
      <c r="IA931" s="1630"/>
      <c r="IB931" s="1630"/>
      <c r="IC931" s="1630"/>
      <c r="ID931" s="1630"/>
      <c r="IK931" s="1629"/>
      <c r="JA931" s="1629"/>
      <c r="JB931" s="1629"/>
    </row>
    <row r="932" spans="2:262" s="1631" customFormat="1" ht="15.6" customHeight="1">
      <c r="B932" s="1631" t="s">
        <v>1600</v>
      </c>
      <c r="D932" s="1863"/>
      <c r="F932" s="1847">
        <f>'Part VI-Revenues &amp; Expenses'!F226</f>
        <v>0</v>
      </c>
      <c r="G932" s="1847">
        <f>'Part VI-Revenues &amp; Expenses'!G226</f>
        <v>0</v>
      </c>
      <c r="I932" s="1629"/>
      <c r="J932" s="1861" t="s">
        <v>191</v>
      </c>
      <c r="K932" s="1862">
        <f>SUM(K928:K931)</f>
        <v>9660</v>
      </c>
      <c r="L932" s="1862"/>
      <c r="M932" s="1868" t="str">
        <f>IF(P934="","",IF(P932&lt;P934, "WARNING! OE below required minimum.",""))</f>
        <v/>
      </c>
      <c r="N932" s="1629" t="s">
        <v>2186</v>
      </c>
      <c r="P932" s="1862">
        <f>F925+F934+F945+K923+K932+K942+P924+P927</f>
        <v>394749</v>
      </c>
      <c r="R932" s="1838"/>
      <c r="S932" s="1838"/>
      <c r="T932" s="1838"/>
      <c r="U932" s="1838"/>
      <c r="V932" s="1838"/>
      <c r="W932" s="742"/>
      <c r="GT932" s="1630"/>
      <c r="GY932" s="1630"/>
      <c r="GZ932" s="1630"/>
      <c r="HA932" s="1630"/>
      <c r="HB932" s="1630"/>
      <c r="HC932" s="1630"/>
      <c r="HD932" s="1630"/>
      <c r="HE932" s="1630"/>
      <c r="HF932" s="1630"/>
      <c r="HG932" s="1630"/>
      <c r="HH932" s="1630"/>
      <c r="HI932" s="1630"/>
      <c r="HJ932" s="1630"/>
      <c r="HK932" s="1630"/>
      <c r="HL932" s="1630"/>
      <c r="HM932" s="1630"/>
      <c r="HN932" s="1630"/>
      <c r="HO932" s="1630"/>
      <c r="HP932" s="1630"/>
      <c r="HQ932" s="1630"/>
      <c r="HR932" s="1630"/>
      <c r="HS932" s="1630"/>
      <c r="HT932" s="1630"/>
      <c r="HU932" s="1630"/>
      <c r="HV932" s="1630"/>
      <c r="HW932" s="1630"/>
      <c r="HX932" s="1630"/>
      <c r="HY932" s="1630"/>
      <c r="HZ932" s="1630"/>
      <c r="IA932" s="1630"/>
      <c r="IB932" s="1630"/>
      <c r="IC932" s="1630"/>
      <c r="ID932" s="1630"/>
      <c r="IK932" s="1629"/>
      <c r="JA932" s="1629"/>
      <c r="JB932" s="1629"/>
    </row>
    <row r="933" spans="2:262" s="1631" customFormat="1" ht="15.6" customHeight="1">
      <c r="B933" s="521" t="str">
        <f>'Part VI-Revenues &amp; Expenses'!B227</f>
        <v>Other Administrative</v>
      </c>
      <c r="C933" s="521">
        <f>'Part VI-Revenues &amp; Expenses'!C227</f>
        <v>0</v>
      </c>
      <c r="D933" s="521">
        <f>'Part VI-Revenues &amp; Expenses'!D227</f>
        <v>0</v>
      </c>
      <c r="E933" s="521">
        <f>'Part VI-Revenues &amp; Expenses'!E227</f>
        <v>0</v>
      </c>
      <c r="F933" s="1847">
        <f>'Part VI-Revenues &amp; Expenses'!F227</f>
        <v>4200</v>
      </c>
      <c r="G933" s="1847">
        <f>'Part VI-Revenues &amp; Expenses'!G227</f>
        <v>0</v>
      </c>
      <c r="J933" s="1833"/>
      <c r="M933" s="1868"/>
      <c r="N933" s="1866" t="s">
        <v>2758</v>
      </c>
      <c r="O933" s="1865" t="e">
        <f>+P932/O819</f>
        <v>#DIV/0!</v>
      </c>
      <c r="Q933" s="1862"/>
      <c r="R933" s="1838"/>
      <c r="S933" s="1838"/>
      <c r="T933" s="1838"/>
      <c r="U933" s="1838"/>
      <c r="V933" s="1838"/>
      <c r="W933" s="742"/>
      <c r="GT933" s="1630"/>
      <c r="GY933" s="1630"/>
      <c r="GZ933" s="1630"/>
      <c r="HA933" s="1630"/>
      <c r="HB933" s="1630"/>
      <c r="HC933" s="1630"/>
      <c r="HD933" s="1630"/>
      <c r="HE933" s="1630"/>
      <c r="HF933" s="1630"/>
      <c r="HG933" s="1630"/>
      <c r="HH933" s="1630"/>
      <c r="HI933" s="1630"/>
      <c r="HJ933" s="1630"/>
      <c r="HK933" s="1630"/>
      <c r="HL933" s="1630"/>
      <c r="HM933" s="1630"/>
      <c r="HN933" s="1630"/>
      <c r="HO933" s="1630"/>
      <c r="HP933" s="1630"/>
      <c r="HQ933" s="1630"/>
      <c r="HR933" s="1630"/>
      <c r="HS933" s="1630"/>
      <c r="HT933" s="1630"/>
      <c r="HU933" s="1630"/>
      <c r="HV933" s="1630"/>
      <c r="HW933" s="1630"/>
      <c r="HX933" s="1630"/>
      <c r="HY933" s="1630"/>
      <c r="HZ933" s="1630"/>
      <c r="IA933" s="1630"/>
      <c r="IB933" s="1630"/>
      <c r="IC933" s="1630"/>
      <c r="ID933" s="1630"/>
      <c r="IK933" s="1629"/>
      <c r="JA933" s="1629"/>
      <c r="JB933" s="1629"/>
    </row>
    <row r="934" spans="2:262" s="1631" customFormat="1" ht="15.6" customHeight="1">
      <c r="C934" s="1861" t="s">
        <v>191</v>
      </c>
      <c r="F934" s="1847">
        <f>SUM(F928:G933)</f>
        <v>9324</v>
      </c>
      <c r="G934" s="1847"/>
      <c r="J934" s="1833"/>
      <c r="M934" s="1868"/>
      <c r="O934" s="1866" t="s">
        <v>3730</v>
      </c>
      <c r="P934" s="1862">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8"/>
      <c r="S934" s="1838"/>
      <c r="T934" s="1838"/>
      <c r="U934" s="1838"/>
      <c r="V934" s="1838"/>
      <c r="W934" s="742"/>
      <c r="GT934" s="1630"/>
      <c r="GY934" s="1630"/>
      <c r="GZ934" s="1630"/>
      <c r="HA934" s="1630"/>
      <c r="HB934" s="1630"/>
      <c r="HC934" s="1630"/>
      <c r="HD934" s="1630"/>
      <c r="HE934" s="1630"/>
      <c r="HF934" s="1630"/>
      <c r="HG934" s="1630"/>
      <c r="HH934" s="1630"/>
      <c r="HI934" s="1630"/>
      <c r="HJ934" s="1630"/>
      <c r="HK934" s="1630"/>
      <c r="HL934" s="1630"/>
      <c r="HM934" s="1630"/>
      <c r="HN934" s="1630"/>
      <c r="HO934" s="1630"/>
      <c r="HP934" s="1630"/>
      <c r="HQ934" s="1630"/>
      <c r="HR934" s="1630"/>
      <c r="HS934" s="1630"/>
      <c r="HT934" s="1630"/>
      <c r="HU934" s="1630"/>
      <c r="HV934" s="1630"/>
      <c r="HW934" s="1630"/>
      <c r="HX934" s="1630"/>
      <c r="HY934" s="1630"/>
      <c r="HZ934" s="1630"/>
      <c r="IA934" s="1630"/>
      <c r="IB934" s="1630"/>
      <c r="IC934" s="1630"/>
      <c r="ID934" s="1630"/>
      <c r="IK934" s="1629"/>
      <c r="JA934" s="1629"/>
      <c r="JB934" s="1629"/>
    </row>
    <row r="935" spans="2:262" s="1631" customFormat="1" ht="6" customHeight="1">
      <c r="D935" s="1861"/>
      <c r="F935" s="1833"/>
      <c r="G935" s="1833"/>
      <c r="J935" s="1833"/>
      <c r="M935" s="1868"/>
      <c r="R935" s="1838"/>
      <c r="S935" s="1838"/>
      <c r="T935" s="1838"/>
      <c r="U935" s="1838"/>
      <c r="V935" s="1838"/>
      <c r="GT935" s="1630"/>
      <c r="GY935" s="1630"/>
      <c r="GZ935" s="1630"/>
      <c r="HA935" s="1630"/>
      <c r="HB935" s="1630"/>
      <c r="HC935" s="1630"/>
      <c r="HD935" s="1630"/>
      <c r="HE935" s="1630"/>
      <c r="HF935" s="1630"/>
      <c r="HG935" s="1630"/>
      <c r="HH935" s="1630"/>
      <c r="HI935" s="1630"/>
      <c r="HJ935" s="1630"/>
      <c r="HK935" s="1630"/>
      <c r="HL935" s="1630"/>
      <c r="HM935" s="1630"/>
      <c r="HN935" s="1630"/>
      <c r="HO935" s="1630"/>
      <c r="HP935" s="1630"/>
      <c r="HQ935" s="1630"/>
      <c r="HR935" s="1630"/>
      <c r="HS935" s="1630"/>
      <c r="HT935" s="1630"/>
      <c r="HU935" s="1630"/>
      <c r="HV935" s="1630"/>
      <c r="HW935" s="1630"/>
      <c r="HX935" s="1630"/>
      <c r="HY935" s="1630"/>
      <c r="HZ935" s="1630"/>
      <c r="IA935" s="1630"/>
      <c r="IB935" s="1630"/>
      <c r="IC935" s="1630"/>
      <c r="ID935" s="1630"/>
      <c r="IK935" s="1629"/>
      <c r="JA935" s="1629"/>
      <c r="JB935" s="1629"/>
    </row>
    <row r="936" spans="2:262" s="1631" customFormat="1" ht="15.75" customHeight="1">
      <c r="B936" s="1629" t="s">
        <v>1293</v>
      </c>
      <c r="D936" s="1863"/>
      <c r="I936" s="1629" t="s">
        <v>1375</v>
      </c>
      <c r="J936" s="1651" t="s">
        <v>2755</v>
      </c>
      <c r="N936" s="1629" t="s">
        <v>3481</v>
      </c>
      <c r="O936" s="1629"/>
      <c r="P936" s="2155">
        <f>'Part VI-Revenues &amp; Expenses'!P230</f>
        <v>21000</v>
      </c>
      <c r="Q936" s="1864"/>
      <c r="R936" s="1838"/>
      <c r="S936" s="1838"/>
      <c r="T936" s="1838"/>
      <c r="U936" s="1838"/>
      <c r="V936" s="1838"/>
      <c r="W936" s="742"/>
      <c r="GT936" s="1630"/>
      <c r="GY936" s="1630"/>
      <c r="GZ936" s="1630"/>
      <c r="HA936" s="1630"/>
      <c r="HB936" s="1630"/>
      <c r="HC936" s="1630"/>
      <c r="HD936" s="1630"/>
      <c r="HE936" s="1630"/>
      <c r="HF936" s="1630"/>
      <c r="HG936" s="1630"/>
      <c r="HH936" s="1630"/>
      <c r="HI936" s="1630"/>
      <c r="HJ936" s="1630"/>
      <c r="HK936" s="1630"/>
      <c r="HL936" s="1630"/>
      <c r="HM936" s="1630"/>
      <c r="HN936" s="1630"/>
      <c r="HO936" s="1630"/>
      <c r="HP936" s="1630"/>
      <c r="HQ936" s="1630"/>
      <c r="HR936" s="1630"/>
      <c r="HS936" s="1630"/>
      <c r="HT936" s="1630"/>
      <c r="HU936" s="1630"/>
      <c r="HV936" s="1630"/>
      <c r="HW936" s="1630"/>
      <c r="HX936" s="1630"/>
      <c r="HY936" s="1630"/>
      <c r="HZ936" s="1630"/>
      <c r="IA936" s="1630"/>
      <c r="IB936" s="1630"/>
      <c r="IC936" s="1630"/>
      <c r="ID936" s="1630"/>
      <c r="IK936" s="1629"/>
      <c r="JA936" s="1629"/>
      <c r="JB936" s="1629"/>
    </row>
    <row r="937" spans="2:262" s="1631" customFormat="1" ht="15.6" customHeight="1">
      <c r="B937" s="1631" t="s">
        <v>1604</v>
      </c>
      <c r="D937" s="1863"/>
      <c r="F937" s="1847">
        <f>'Part VI-Revenues &amp; Expenses'!F231</f>
        <v>12600</v>
      </c>
      <c r="G937" s="1847">
        <f>'Part VI-Revenues &amp; Expenses'!G231</f>
        <v>0</v>
      </c>
      <c r="I937" s="1631" t="s">
        <v>1368</v>
      </c>
      <c r="J937" s="1736" t="e">
        <f>K937/12/O819</f>
        <v>#DIV/0!</v>
      </c>
      <c r="K937" s="1862">
        <f>'Part VI-Revenues &amp; Expenses'!K231</f>
        <v>11340</v>
      </c>
      <c r="L937" s="1862">
        <f>'Part VI-Revenues &amp; Expenses'!L231</f>
        <v>0</v>
      </c>
      <c r="M937" s="1868" t="str">
        <f>IF(P936&lt;P945, "WARNING! RR proposed is below the DCA required minimum.","")</f>
        <v/>
      </c>
      <c r="N937" s="521" t="s">
        <v>3740</v>
      </c>
      <c r="P937" s="1869">
        <f>P936/O945</f>
        <v>250</v>
      </c>
      <c r="Q937" s="2155"/>
      <c r="R937" s="1838"/>
      <c r="S937" s="1838"/>
      <c r="T937" s="1838"/>
      <c r="U937" s="1838"/>
      <c r="V937" s="1838"/>
      <c r="W937" s="742"/>
      <c r="GT937" s="1630"/>
      <c r="GY937" s="1630"/>
      <c r="GZ937" s="1630"/>
      <c r="HA937" s="1630"/>
      <c r="HB937" s="1630"/>
      <c r="HC937" s="1630"/>
      <c r="HD937" s="1630"/>
      <c r="HE937" s="1630"/>
      <c r="HF937" s="1630"/>
      <c r="HG937" s="1630"/>
      <c r="HH937" s="1630"/>
      <c r="HI937" s="1630"/>
      <c r="HJ937" s="1630"/>
      <c r="HK937" s="1630"/>
      <c r="HL937" s="1630"/>
      <c r="HM937" s="1630"/>
      <c r="HN937" s="1630"/>
      <c r="HO937" s="1630"/>
      <c r="HP937" s="1630"/>
      <c r="HQ937" s="1630"/>
      <c r="HR937" s="1630"/>
      <c r="HS937" s="1630"/>
      <c r="HT937" s="1630"/>
      <c r="HU937" s="1630"/>
      <c r="HV937" s="1630"/>
      <c r="HW937" s="1630"/>
      <c r="HX937" s="1630"/>
      <c r="HY937" s="1630"/>
      <c r="HZ937" s="1630"/>
      <c r="IA937" s="1630"/>
      <c r="IB937" s="1630"/>
      <c r="IC937" s="1630"/>
      <c r="ID937" s="1630"/>
      <c r="IK937" s="1629"/>
      <c r="JA937" s="1629"/>
      <c r="JB937" s="1629"/>
    </row>
    <row r="938" spans="2:262" s="1631" customFormat="1" ht="15.6" customHeight="1">
      <c r="B938" s="1631" t="s">
        <v>1605</v>
      </c>
      <c r="D938" s="1863"/>
      <c r="F938" s="1847">
        <f>'Part VI-Revenues &amp; Expenses'!F232</f>
        <v>13440</v>
      </c>
      <c r="G938" s="1847">
        <f>'Part VI-Revenues &amp; Expenses'!G232</f>
        <v>0</v>
      </c>
      <c r="I938" s="1631" t="s">
        <v>1369</v>
      </c>
      <c r="J938" s="1736" t="e">
        <f>K938/12/O819</f>
        <v>#DIV/0!</v>
      </c>
      <c r="K938" s="1862">
        <f>'Part VI-Revenues &amp; Expenses'!K232</f>
        <v>0</v>
      </c>
      <c r="L938" s="1862">
        <f>'Part VI-Revenues &amp; Expenses'!L232</f>
        <v>0</v>
      </c>
      <c r="M938" s="1868"/>
      <c r="N938" s="1870" t="s">
        <v>3739</v>
      </c>
      <c r="O938" s="1870"/>
      <c r="P938" s="1870"/>
      <c r="R938" s="1838"/>
      <c r="S938" s="1838"/>
      <c r="T938" s="1838"/>
      <c r="U938" s="1838"/>
      <c r="V938" s="1838"/>
      <c r="W938" s="742"/>
      <c r="GT938" s="1630"/>
      <c r="GY938" s="1630"/>
      <c r="GZ938" s="1630"/>
      <c r="HA938" s="1630"/>
      <c r="HB938" s="1630"/>
      <c r="HC938" s="1630"/>
      <c r="HD938" s="1630"/>
      <c r="HE938" s="1630"/>
      <c r="HF938" s="1630"/>
      <c r="HG938" s="1630"/>
      <c r="HH938" s="1630"/>
      <c r="HI938" s="1630"/>
      <c r="HJ938" s="1630"/>
      <c r="HK938" s="1630"/>
      <c r="HL938" s="1630"/>
      <c r="HM938" s="1630"/>
      <c r="HN938" s="1630"/>
      <c r="HO938" s="1630"/>
      <c r="HP938" s="1630"/>
      <c r="HQ938" s="1630"/>
      <c r="HR938" s="1630"/>
      <c r="HS938" s="1630"/>
      <c r="HT938" s="1630"/>
      <c r="HU938" s="1630"/>
      <c r="HV938" s="1630"/>
      <c r="HW938" s="1630"/>
      <c r="HX938" s="1630"/>
      <c r="HY938" s="1630"/>
      <c r="HZ938" s="1630"/>
      <c r="IA938" s="1630"/>
      <c r="IB938" s="1630"/>
      <c r="IC938" s="1630"/>
      <c r="ID938" s="1630"/>
      <c r="IK938" s="1629"/>
      <c r="JA938" s="1629"/>
      <c r="JB938" s="1629"/>
    </row>
    <row r="939" spans="2:262" s="1631" customFormat="1" ht="15.6" customHeight="1">
      <c r="B939" s="1631" t="s">
        <v>1606</v>
      </c>
      <c r="D939" s="1863"/>
      <c r="F939" s="1847">
        <f>'Part VI-Revenues &amp; Expenses'!F233</f>
        <v>14700</v>
      </c>
      <c r="G939" s="1847">
        <f>'Part VI-Revenues &amp; Expenses'!G233</f>
        <v>0</v>
      </c>
      <c r="I939" s="1631" t="s">
        <v>2352</v>
      </c>
      <c r="J939" s="1736" t="e">
        <f>K939/12/O819</f>
        <v>#DIV/0!</v>
      </c>
      <c r="K939" s="1862">
        <f>'Part VI-Revenues &amp; Expenses'!K233</f>
        <v>56280</v>
      </c>
      <c r="L939" s="1862">
        <f>'Part VI-Revenues &amp; Expenses'!L233</f>
        <v>0</v>
      </c>
      <c r="M939" s="1868"/>
      <c r="N939" s="1871" t="s">
        <v>2714</v>
      </c>
      <c r="O939" s="1872" t="s">
        <v>3851</v>
      </c>
      <c r="P939" s="1872" t="s">
        <v>3438</v>
      </c>
      <c r="Q939" s="1872"/>
      <c r="R939" s="1838"/>
      <c r="S939" s="1838"/>
      <c r="T939" s="1838"/>
      <c r="U939" s="1838"/>
      <c r="V939" s="1838"/>
      <c r="W939" s="742"/>
      <c r="GT939" s="1630"/>
      <c r="GY939" s="1630"/>
      <c r="GZ939" s="1630"/>
      <c r="HA939" s="1630"/>
      <c r="HB939" s="1630"/>
      <c r="HC939" s="1630"/>
      <c r="HD939" s="1630"/>
      <c r="HE939" s="1630"/>
      <c r="HF939" s="1630"/>
      <c r="HG939" s="1630"/>
      <c r="HH939" s="1630"/>
      <c r="HI939" s="1630"/>
      <c r="HJ939" s="1630"/>
      <c r="HK939" s="1630"/>
      <c r="HL939" s="1630"/>
      <c r="HM939" s="1630"/>
      <c r="HN939" s="1630"/>
      <c r="HO939" s="1630"/>
      <c r="HP939" s="1630"/>
      <c r="HQ939" s="1630"/>
      <c r="HR939" s="1630"/>
      <c r="HS939" s="1630"/>
      <c r="HT939" s="1630"/>
      <c r="HU939" s="1630"/>
      <c r="HV939" s="1630"/>
      <c r="HW939" s="1630"/>
      <c r="HX939" s="1630"/>
      <c r="HY939" s="1630"/>
      <c r="HZ939" s="1630"/>
      <c r="IA939" s="1630"/>
      <c r="IB939" s="1630"/>
      <c r="IC939" s="1630"/>
      <c r="ID939" s="1630"/>
      <c r="IK939" s="1629"/>
      <c r="JA939" s="1629"/>
      <c r="JB939" s="1629"/>
    </row>
    <row r="940" spans="2:262" s="1631" customFormat="1" ht="15.6" customHeight="1">
      <c r="B940" s="1631" t="s">
        <v>1003</v>
      </c>
      <c r="D940" s="1863"/>
      <c r="F940" s="1847">
        <f>'Part VI-Revenues &amp; Expenses'!F234</f>
        <v>2352</v>
      </c>
      <c r="G940" s="1847">
        <f>'Part VI-Revenues &amp; Expenses'!G234</f>
        <v>0</v>
      </c>
      <c r="I940" s="1631" t="s">
        <v>1371</v>
      </c>
      <c r="K940" s="1862">
        <f>'Part VI-Revenues &amp; Expenses'!K234</f>
        <v>10500</v>
      </c>
      <c r="L940" s="1862">
        <f>'Part VI-Revenues &amp; Expenses'!L234</f>
        <v>0</v>
      </c>
      <c r="M940" s="1868"/>
      <c r="N940" s="1873" t="s">
        <v>39</v>
      </c>
      <c r="R940" s="1838"/>
      <c r="S940" s="1838"/>
      <c r="T940" s="1838"/>
      <c r="U940" s="1838"/>
      <c r="V940" s="1838"/>
      <c r="W940" s="742"/>
      <c r="GT940" s="1630"/>
      <c r="GY940" s="1630"/>
      <c r="GZ940" s="1630"/>
      <c r="HA940" s="1630"/>
      <c r="HB940" s="1630"/>
      <c r="HC940" s="1630"/>
      <c r="HD940" s="1630"/>
      <c r="HE940" s="1630"/>
      <c r="HF940" s="1630"/>
      <c r="HG940" s="1630"/>
      <c r="HH940" s="1630"/>
      <c r="HI940" s="1630"/>
      <c r="HJ940" s="1630"/>
      <c r="HK940" s="1630"/>
      <c r="HL940" s="1630"/>
      <c r="HM940" s="1630"/>
      <c r="HN940" s="1630"/>
      <c r="HO940" s="1630"/>
      <c r="HP940" s="1630"/>
      <c r="HQ940" s="1630"/>
      <c r="HR940" s="1630"/>
      <c r="HS940" s="1630"/>
      <c r="HT940" s="1630"/>
      <c r="HU940" s="1630"/>
      <c r="HV940" s="1630"/>
      <c r="HW940" s="1630"/>
      <c r="HX940" s="1630"/>
      <c r="HY940" s="1630"/>
      <c r="HZ940" s="1630"/>
      <c r="IA940" s="1630"/>
      <c r="IB940" s="1630"/>
      <c r="IC940" s="1630"/>
      <c r="ID940" s="1630"/>
      <c r="IK940" s="1629"/>
      <c r="JA940" s="1629"/>
      <c r="JB940" s="1629"/>
    </row>
    <row r="941" spans="2:262" s="1631" customFormat="1" ht="15.6" customHeight="1">
      <c r="B941" s="1631" t="s">
        <v>1004</v>
      </c>
      <c r="D941" s="1863"/>
      <c r="F941" s="1847">
        <f>'Part VI-Revenues &amp; Expenses'!F235</f>
        <v>1260</v>
      </c>
      <c r="G941" s="1847">
        <f>'Part VI-Revenues &amp; Expenses'!G235</f>
        <v>0</v>
      </c>
      <c r="I941" s="2154" t="str">
        <f>'Part VI-Revenues &amp; Expenses'!I235</f>
        <v>Other (describe here)</v>
      </c>
      <c r="J941" s="2154">
        <f>'Part VI-Revenues &amp; Expenses'!J235</f>
        <v>0</v>
      </c>
      <c r="K941" s="1862">
        <f>'Part VI-Revenues &amp; Expenses'!K235</f>
        <v>0</v>
      </c>
      <c r="L941" s="1862">
        <f>'Part VI-Revenues &amp; Expenses'!L235</f>
        <v>0</v>
      </c>
      <c r="M941" s="1868"/>
      <c r="N941" s="1652" t="s">
        <v>3430</v>
      </c>
      <c r="O941" s="1874" t="str">
        <f>CONCATENATE(SUM(JC805:JG805)," units x $",'DCA Underwriting Assumptions'!$Q$64," =")</f>
        <v>0 units x $350 =</v>
      </c>
      <c r="P941" s="1874">
        <f>SUM(JC805:JG805)*'DCA Underwriting Assumptions'!$Q$64</f>
        <v>0</v>
      </c>
      <c r="Q941" s="1874"/>
      <c r="R941" s="1838"/>
      <c r="S941" s="1838"/>
      <c r="T941" s="1838"/>
      <c r="U941" s="1838"/>
      <c r="V941" s="1838"/>
      <c r="W941" s="742"/>
      <c r="GT941" s="1630"/>
      <c r="GY941" s="1630"/>
      <c r="GZ941" s="1630"/>
      <c r="HA941" s="1630"/>
      <c r="HB941" s="1630"/>
      <c r="HC941" s="1630"/>
      <c r="HD941" s="1630"/>
      <c r="HE941" s="1630"/>
      <c r="HF941" s="1630"/>
      <c r="HG941" s="1630"/>
      <c r="HH941" s="1630"/>
      <c r="HI941" s="1630"/>
      <c r="HJ941" s="1630"/>
      <c r="HK941" s="1630"/>
      <c r="HL941" s="1630"/>
      <c r="HM941" s="1630"/>
      <c r="HN941" s="1630"/>
      <c r="HO941" s="1630"/>
      <c r="HP941" s="1630"/>
      <c r="HQ941" s="1630"/>
      <c r="HR941" s="1630"/>
      <c r="HS941" s="1630"/>
      <c r="HT941" s="1630"/>
      <c r="HU941" s="1630"/>
      <c r="HV941" s="1630"/>
      <c r="HW941" s="1630"/>
      <c r="HX941" s="1630"/>
      <c r="HY941" s="1630"/>
      <c r="HZ941" s="1630"/>
      <c r="IA941" s="1630"/>
      <c r="IB941" s="1630"/>
      <c r="IC941" s="1630"/>
      <c r="ID941" s="1630"/>
      <c r="IK941" s="1629"/>
      <c r="JA941" s="1629"/>
      <c r="JB941" s="1629"/>
    </row>
    <row r="942" spans="2:262" s="1631" customFormat="1" ht="15.6" customHeight="1">
      <c r="B942" s="1631" t="s">
        <v>1005</v>
      </c>
      <c r="D942" s="1863"/>
      <c r="F942" s="1847">
        <f>'Part VI-Revenues &amp; Expenses'!F236</f>
        <v>0</v>
      </c>
      <c r="G942" s="1847">
        <f>'Part VI-Revenues &amp; Expenses'!G236</f>
        <v>0</v>
      </c>
      <c r="J942" s="1861" t="s">
        <v>191</v>
      </c>
      <c r="K942" s="1862">
        <f>SUM(K937:K941)</f>
        <v>78120</v>
      </c>
      <c r="L942" s="1862"/>
      <c r="M942" s="1868"/>
      <c r="N942" s="1652" t="s">
        <v>3429</v>
      </c>
      <c r="O942" s="1874" t="str">
        <f>CONCATENATE(SUM(JH805:JL805)," units x $",'DCA Underwriting Assumptions'!$Q$65," =")</f>
        <v>84 units x $250 =</v>
      </c>
      <c r="P942" s="1874">
        <f>SUM(JH805:JL805)*'DCA Underwriting Assumptions'!$Q$65</f>
        <v>21000</v>
      </c>
      <c r="Q942" s="1874"/>
      <c r="R942" s="1838"/>
      <c r="S942" s="1838"/>
      <c r="T942" s="1838"/>
      <c r="U942" s="1838"/>
      <c r="V942" s="1838"/>
      <c r="W942" s="742"/>
      <c r="GT942" s="1630"/>
      <c r="GY942" s="1630"/>
      <c r="GZ942" s="1630"/>
      <c r="HA942" s="1630"/>
      <c r="HB942" s="1630"/>
      <c r="HC942" s="1630"/>
      <c r="HD942" s="1630"/>
      <c r="HE942" s="1630"/>
      <c r="HF942" s="1630"/>
      <c r="HG942" s="1630"/>
      <c r="HH942" s="1630"/>
      <c r="HI942" s="1630"/>
      <c r="HJ942" s="1630"/>
      <c r="HK942" s="1630"/>
      <c r="HL942" s="1630"/>
      <c r="HM942" s="1630"/>
      <c r="HN942" s="1630"/>
      <c r="HO942" s="1630"/>
      <c r="HP942" s="1630"/>
      <c r="HQ942" s="1630"/>
      <c r="HR942" s="1630"/>
      <c r="HS942" s="1630"/>
      <c r="HT942" s="1630"/>
      <c r="HU942" s="1630"/>
      <c r="HV942" s="1630"/>
      <c r="HW942" s="1630"/>
      <c r="HX942" s="1630"/>
      <c r="HY942" s="1630"/>
      <c r="HZ942" s="1630"/>
      <c r="IA942" s="1630"/>
      <c r="IB942" s="1630"/>
      <c r="IC942" s="1630"/>
      <c r="ID942" s="1630"/>
      <c r="IK942" s="1629"/>
      <c r="JA942" s="1629"/>
      <c r="JB942" s="1629"/>
    </row>
    <row r="943" spans="2:262" s="1631" customFormat="1" ht="15.6" customHeight="1">
      <c r="B943" s="1631" t="s">
        <v>868</v>
      </c>
      <c r="D943" s="1863"/>
      <c r="F943" s="1847">
        <f>'Part VI-Revenues &amp; Expenses'!F237</f>
        <v>10500</v>
      </c>
      <c r="G943" s="1847">
        <f>'Part VI-Revenues &amp; Expenses'!G237</f>
        <v>0</v>
      </c>
      <c r="J943" s="1833"/>
      <c r="M943" s="1868"/>
      <c r="N943" s="1741" t="s">
        <v>3433</v>
      </c>
      <c r="O943" s="1874" t="str">
        <f>CONCATENATE(SUM(JM805:JQ805)," units x $",'DCA Underwriting Assumptions'!$Q$66," =")</f>
        <v>0 units x $420 =</v>
      </c>
      <c r="P943" s="1874">
        <f>SUM(JM805:JQ805)*'DCA Underwriting Assumptions'!$Q$66</f>
        <v>0</v>
      </c>
      <c r="Q943" s="1874"/>
      <c r="R943" s="1838"/>
      <c r="S943" s="1838"/>
      <c r="T943" s="1838"/>
      <c r="U943" s="1838"/>
      <c r="V943" s="1838"/>
      <c r="W943" s="742"/>
      <c r="GT943" s="1630"/>
      <c r="GY943" s="1630"/>
      <c r="GZ943" s="1630"/>
      <c r="HA943" s="1630"/>
      <c r="HB943" s="1630"/>
      <c r="HC943" s="1630"/>
      <c r="HD943" s="1630"/>
      <c r="HE943" s="1630"/>
      <c r="HF943" s="1630"/>
      <c r="HG943" s="1630"/>
      <c r="HH943" s="1630"/>
      <c r="HI943" s="1630"/>
      <c r="HJ943" s="1630"/>
      <c r="HK943" s="1630"/>
      <c r="HL943" s="1630"/>
      <c r="HM943" s="1630"/>
      <c r="HN943" s="1630"/>
      <c r="HO943" s="1630"/>
      <c r="HP943" s="1630"/>
      <c r="HQ943" s="1630"/>
      <c r="HR943" s="1630"/>
      <c r="HS943" s="1630"/>
      <c r="HT943" s="1630"/>
      <c r="HU943" s="1630"/>
      <c r="HV943" s="1630"/>
      <c r="HW943" s="1630"/>
      <c r="HX943" s="1630"/>
      <c r="HY943" s="1630"/>
      <c r="HZ943" s="1630"/>
      <c r="IA943" s="1630"/>
      <c r="IB943" s="1630"/>
      <c r="IC943" s="1630"/>
      <c r="ID943" s="1630"/>
      <c r="IK943" s="1629"/>
      <c r="JA943" s="1629"/>
      <c r="JB943" s="1629"/>
    </row>
    <row r="944" spans="2:262" s="1631" customFormat="1" ht="15.6" customHeight="1">
      <c r="B944" s="521" t="str">
        <f>'Part VI-Revenues &amp; Expenses'!B238</f>
        <v>Pool Maintenance</v>
      </c>
      <c r="C944" s="521">
        <f>'Part VI-Revenues &amp; Expenses'!C238</f>
        <v>0</v>
      </c>
      <c r="D944" s="521">
        <f>'Part VI-Revenues &amp; Expenses'!D238</f>
        <v>0</v>
      </c>
      <c r="E944" s="521">
        <f>'Part VI-Revenues &amp; Expenses'!E238</f>
        <v>0</v>
      </c>
      <c r="F944" s="1847">
        <f>'Part VI-Revenues &amp; Expenses'!F238</f>
        <v>8400</v>
      </c>
      <c r="G944" s="1847">
        <f>'Part VI-Revenues &amp; Expenses'!G238</f>
        <v>0</v>
      </c>
      <c r="J944" s="1833"/>
      <c r="N944" s="1741" t="s">
        <v>3428</v>
      </c>
      <c r="O944" s="1874" t="str">
        <f>CONCATENATE(O841," units x $",'DCA Underwriting Assumptions'!$Q$66," =")</f>
        <v>0 units x $420 =</v>
      </c>
      <c r="P944" s="1874">
        <f>O841*'DCA Underwriting Assumptions'!$Q$66</f>
        <v>0</v>
      </c>
      <c r="Q944" s="1874"/>
      <c r="R944" s="1838"/>
      <c r="S944" s="1838"/>
      <c r="T944" s="1838"/>
      <c r="U944" s="1838"/>
      <c r="V944" s="1838"/>
      <c r="W944" s="742"/>
      <c r="GT944" s="1630"/>
      <c r="GY944" s="1630"/>
      <c r="GZ944" s="1630"/>
      <c r="HA944" s="1630"/>
      <c r="HB944" s="1630"/>
      <c r="HC944" s="1630"/>
      <c r="HD944" s="1630"/>
      <c r="HE944" s="1630"/>
      <c r="HF944" s="1630"/>
      <c r="HG944" s="1630"/>
      <c r="HH944" s="1630"/>
      <c r="HI944" s="1630"/>
      <c r="HJ944" s="1630"/>
      <c r="HK944" s="1630"/>
      <c r="HL944" s="1630"/>
      <c r="HM944" s="1630"/>
      <c r="HN944" s="1630"/>
      <c r="HO944" s="1630"/>
      <c r="HP944" s="1630"/>
      <c r="HQ944" s="1630"/>
      <c r="HR944" s="1630"/>
      <c r="HS944" s="1630"/>
      <c r="HT944" s="1630"/>
      <c r="HU944" s="1630"/>
      <c r="HV944" s="1630"/>
      <c r="HW944" s="1630"/>
      <c r="HX944" s="1630"/>
      <c r="HY944" s="1630"/>
      <c r="HZ944" s="1630"/>
      <c r="IA944" s="1630"/>
      <c r="IB944" s="1630"/>
      <c r="IC944" s="1630"/>
      <c r="ID944" s="1630"/>
      <c r="IK944" s="1629"/>
      <c r="JA944" s="1629"/>
      <c r="JB944" s="1629"/>
    </row>
    <row r="945" spans="1:262" s="1631" customFormat="1" ht="15.6" customHeight="1">
      <c r="B945" s="1629"/>
      <c r="C945" s="1861" t="s">
        <v>191</v>
      </c>
      <c r="F945" s="1847">
        <f>SUM(F937:G944)</f>
        <v>63252</v>
      </c>
      <c r="G945" s="1847"/>
      <c r="J945" s="1833"/>
      <c r="N945" s="1828" t="s">
        <v>2717</v>
      </c>
      <c r="O945" s="1823">
        <f>SUM(JC805:JG805)+SUM(JH805:JL805)+SUM(JM805:JQ805)+O841</f>
        <v>84</v>
      </c>
      <c r="P945" s="1875">
        <f>SUM(P941:P944)</f>
        <v>21000</v>
      </c>
      <c r="Q945" s="1874"/>
      <c r="R945" s="1838"/>
      <c r="S945" s="1838"/>
      <c r="T945" s="1838"/>
      <c r="U945" s="1838"/>
      <c r="V945" s="1838"/>
      <c r="W945" s="742"/>
      <c r="GT945" s="1630"/>
      <c r="GY945" s="1630"/>
      <c r="GZ945" s="1630"/>
      <c r="HA945" s="1630"/>
      <c r="HB945" s="1630"/>
      <c r="HC945" s="1630"/>
      <c r="HD945" s="1630"/>
      <c r="HE945" s="1630"/>
      <c r="HF945" s="1630"/>
      <c r="HG945" s="1630"/>
      <c r="HH945" s="1630"/>
      <c r="HI945" s="1630"/>
      <c r="HJ945" s="1630"/>
      <c r="HK945" s="1630"/>
      <c r="HL945" s="1630"/>
      <c r="HM945" s="1630"/>
      <c r="HN945" s="1630"/>
      <c r="HO945" s="1630"/>
      <c r="HP945" s="1630"/>
      <c r="HQ945" s="1630"/>
      <c r="HR945" s="1630"/>
      <c r="HS945" s="1630"/>
      <c r="HT945" s="1630"/>
      <c r="HU945" s="1630"/>
      <c r="HV945" s="1630"/>
      <c r="HW945" s="1630"/>
      <c r="HX945" s="1630"/>
      <c r="HY945" s="1630"/>
      <c r="HZ945" s="1630"/>
      <c r="IA945" s="1630"/>
      <c r="IB945" s="1630"/>
      <c r="IC945" s="1630"/>
      <c r="ID945" s="1630"/>
      <c r="IK945" s="1629"/>
      <c r="JA945" s="1629"/>
      <c r="JB945" s="1629"/>
    </row>
    <row r="946" spans="1:262" s="1631" customFormat="1" ht="6" customHeight="1">
      <c r="B946" s="1629"/>
      <c r="C946" s="1861"/>
      <c r="F946" s="1833"/>
      <c r="G946" s="1833"/>
      <c r="J946" s="1833"/>
      <c r="W946" s="742"/>
      <c r="GT946" s="1630"/>
      <c r="GY946" s="1630"/>
      <c r="GZ946" s="1630"/>
      <c r="HA946" s="1630"/>
      <c r="HB946" s="1630"/>
      <c r="HC946" s="1630"/>
      <c r="HD946" s="1630"/>
      <c r="HE946" s="1630"/>
      <c r="HF946" s="1630"/>
      <c r="HG946" s="1630"/>
      <c r="HH946" s="1630"/>
      <c r="HI946" s="1630"/>
      <c r="HJ946" s="1630"/>
      <c r="HK946" s="1630"/>
      <c r="HL946" s="1630"/>
      <c r="HM946" s="1630"/>
      <c r="HN946" s="1630"/>
      <c r="HO946" s="1630"/>
      <c r="HP946" s="1630"/>
      <c r="HQ946" s="1630"/>
      <c r="HR946" s="1630"/>
      <c r="HS946" s="1630"/>
      <c r="HT946" s="1630"/>
      <c r="HU946" s="1630"/>
      <c r="HV946" s="1630"/>
      <c r="HW946" s="1630"/>
      <c r="HX946" s="1630"/>
      <c r="HY946" s="1630"/>
      <c r="HZ946" s="1630"/>
      <c r="IA946" s="1630"/>
      <c r="IB946" s="1630"/>
      <c r="IC946" s="1630"/>
      <c r="ID946" s="1630"/>
      <c r="IK946" s="1629"/>
      <c r="JA946" s="1629"/>
      <c r="JB946" s="1629"/>
    </row>
    <row r="947" spans="1:262" s="1631" customFormat="1" ht="15.6" customHeight="1">
      <c r="B947" s="1629"/>
      <c r="C947" s="1861"/>
      <c r="F947" s="1833"/>
      <c r="G947" s="1833"/>
      <c r="J947" s="1833"/>
      <c r="N947" s="1629" t="s">
        <v>2187</v>
      </c>
      <c r="P947" s="1862">
        <f>P932+P936</f>
        <v>415749</v>
      </c>
      <c r="Q947" s="1862"/>
      <c r="W947" s="742"/>
      <c r="GT947" s="1630"/>
      <c r="GY947" s="1630"/>
      <c r="GZ947" s="1630"/>
      <c r="HA947" s="1630"/>
      <c r="HB947" s="1630"/>
      <c r="HC947" s="1630"/>
      <c r="HD947" s="1630"/>
      <c r="HE947" s="1630"/>
      <c r="HF947" s="1630"/>
      <c r="HG947" s="1630"/>
      <c r="HH947" s="1630"/>
      <c r="HI947" s="1630"/>
      <c r="HJ947" s="1630"/>
      <c r="HK947" s="1630"/>
      <c r="HL947" s="1630"/>
      <c r="HM947" s="1630"/>
      <c r="HN947" s="1630"/>
      <c r="HO947" s="1630"/>
      <c r="HP947" s="1630"/>
      <c r="HQ947" s="1630"/>
      <c r="HR947" s="1630"/>
      <c r="HS947" s="1630"/>
      <c r="HT947" s="1630"/>
      <c r="HU947" s="1630"/>
      <c r="HV947" s="1630"/>
      <c r="HW947" s="1630"/>
      <c r="HX947" s="1630"/>
      <c r="HY947" s="1630"/>
      <c r="HZ947" s="1630"/>
      <c r="IA947" s="1630"/>
      <c r="IB947" s="1630"/>
      <c r="IC947" s="1630"/>
      <c r="ID947" s="1630"/>
      <c r="IK947" s="1629"/>
      <c r="JA947" s="1629"/>
      <c r="JB947" s="1629"/>
    </row>
    <row r="948" spans="1:262" s="1631" customFormat="1" ht="8.25" customHeight="1">
      <c r="B948" s="1629"/>
      <c r="C948" s="1861"/>
      <c r="F948" s="1833"/>
      <c r="G948" s="1833"/>
      <c r="J948" s="1833"/>
      <c r="N948" s="1629"/>
      <c r="P948" s="1862"/>
      <c r="Q948" s="1862"/>
      <c r="W948" s="742"/>
      <c r="GT948" s="1630"/>
      <c r="GY948" s="1630"/>
      <c r="GZ948" s="1630"/>
      <c r="HA948" s="1630"/>
      <c r="HB948" s="1630"/>
      <c r="HC948" s="1630"/>
      <c r="HD948" s="1630"/>
      <c r="HE948" s="1630"/>
      <c r="HF948" s="1630"/>
      <c r="HG948" s="1630"/>
      <c r="HH948" s="1630"/>
      <c r="HI948" s="1630"/>
      <c r="HJ948" s="1630"/>
      <c r="HK948" s="1630"/>
      <c r="HL948" s="1630"/>
      <c r="HM948" s="1630"/>
      <c r="HN948" s="1630"/>
      <c r="HO948" s="1630"/>
      <c r="HP948" s="1630"/>
      <c r="HQ948" s="1630"/>
      <c r="HR948" s="1630"/>
      <c r="HS948" s="1630"/>
      <c r="HT948" s="1630"/>
      <c r="HU948" s="1630"/>
      <c r="HV948" s="1630"/>
      <c r="HW948" s="1630"/>
      <c r="HX948" s="1630"/>
      <c r="HY948" s="1630"/>
      <c r="HZ948" s="1630"/>
      <c r="IA948" s="1630"/>
      <c r="IB948" s="1630"/>
      <c r="IC948" s="1630"/>
      <c r="ID948" s="1630"/>
      <c r="IK948" s="1629"/>
      <c r="JA948" s="1629"/>
      <c r="JB948" s="1629"/>
    </row>
    <row r="949" spans="1:262" ht="12" customHeight="1">
      <c r="A949" s="1641" t="s">
        <v>1794</v>
      </c>
      <c r="B949" s="1641" t="s">
        <v>572</v>
      </c>
      <c r="M949" s="1641" t="s">
        <v>4109</v>
      </c>
      <c r="N949" s="1641"/>
      <c r="GT949" s="1637"/>
      <c r="GY949" s="1637"/>
      <c r="GZ949" s="1637"/>
      <c r="HA949" s="1637"/>
      <c r="HB949" s="1637"/>
      <c r="HC949" s="1637"/>
      <c r="HD949" s="1637"/>
      <c r="HE949" s="1637"/>
      <c r="HF949" s="1637"/>
      <c r="HG949" s="1637"/>
      <c r="HH949" s="1637"/>
      <c r="HI949" s="1637"/>
      <c r="HJ949" s="1637"/>
      <c r="HK949" s="1637"/>
      <c r="HL949" s="1637"/>
      <c r="HM949" s="1637"/>
      <c r="HN949" s="1637"/>
      <c r="HO949" s="1637"/>
      <c r="HP949" s="1637"/>
      <c r="HQ949" s="1637"/>
      <c r="HR949" s="1637"/>
      <c r="HS949" s="1637"/>
      <c r="HT949" s="1637"/>
      <c r="HU949" s="1637"/>
      <c r="HV949" s="1637"/>
      <c r="HW949" s="1637"/>
      <c r="HX949" s="1637"/>
      <c r="HY949" s="1637"/>
      <c r="HZ949" s="1637"/>
      <c r="IA949" s="1637"/>
      <c r="IB949" s="1637"/>
      <c r="IC949" s="1637"/>
      <c r="ID949" s="1637"/>
      <c r="IK949" s="1641"/>
      <c r="JA949" s="1641"/>
      <c r="JB949" s="1641"/>
    </row>
    <row r="950" spans="1:262" ht="186.75" customHeight="1">
      <c r="A950" s="1708"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950" s="1708">
        <f>'Part VI-Revenues &amp; Expenses'!B248</f>
        <v>0</v>
      </c>
      <c r="C950" s="1708">
        <f>'Part VI-Revenues &amp; Expenses'!C248</f>
        <v>0</v>
      </c>
      <c r="D950" s="1708">
        <f>'Part VI-Revenues &amp; Expenses'!D248</f>
        <v>0</v>
      </c>
      <c r="E950" s="1708">
        <f>'Part VI-Revenues &amp; Expenses'!E248</f>
        <v>0</v>
      </c>
      <c r="F950" s="1708">
        <f>'Part VI-Revenues &amp; Expenses'!F248</f>
        <v>0</v>
      </c>
      <c r="G950" s="1708">
        <f>'Part VI-Revenues &amp; Expenses'!G248</f>
        <v>0</v>
      </c>
      <c r="H950" s="1708">
        <f>'Part VI-Revenues &amp; Expenses'!H248</f>
        <v>0</v>
      </c>
      <c r="I950" s="1708">
        <f>'Part VI-Revenues &amp; Expenses'!I248</f>
        <v>0</v>
      </c>
      <c r="J950" s="1708">
        <f>'Part VI-Revenues &amp; Expenses'!J248</f>
        <v>0</v>
      </c>
      <c r="K950" s="1708">
        <f>'Part VI-Revenues &amp; Expenses'!K248</f>
        <v>0</v>
      </c>
      <c r="L950" s="1708">
        <f>'Part VI-Revenues &amp; Expenses'!L248</f>
        <v>0</v>
      </c>
      <c r="M950" s="1708">
        <f>'Part VI-Revenues &amp; Expenses'!M248</f>
        <v>0</v>
      </c>
      <c r="N950" s="1708">
        <f>'Part VI-Revenues &amp; Expenses'!N248</f>
        <v>0</v>
      </c>
      <c r="O950" s="1708">
        <f>'Part VI-Revenues &amp; Expenses'!O248</f>
        <v>0</v>
      </c>
      <c r="P950" s="1708">
        <f>'Part VI-Revenues &amp; Expenses'!P248</f>
        <v>0</v>
      </c>
      <c r="Q950" s="1790" t="s">
        <v>4108</v>
      </c>
      <c r="R950" s="1790"/>
      <c r="S950" s="1790"/>
      <c r="T950" s="1790"/>
      <c r="GT950" s="1637"/>
      <c r="GY950" s="1637"/>
      <c r="GZ950" s="1637"/>
      <c r="HA950" s="1637"/>
      <c r="HB950" s="1637"/>
      <c r="HC950" s="1637"/>
      <c r="HD950" s="1637"/>
      <c r="HE950" s="1637"/>
      <c r="HF950" s="1637"/>
      <c r="HG950" s="1637"/>
      <c r="HH950" s="1637"/>
      <c r="HI950" s="1637"/>
      <c r="HJ950" s="1637"/>
      <c r="HK950" s="1637"/>
      <c r="HL950" s="1637"/>
      <c r="HM950" s="1637"/>
      <c r="HN950" s="1637"/>
      <c r="HO950" s="1637"/>
      <c r="HP950" s="1637"/>
      <c r="HQ950" s="1637"/>
      <c r="HR950" s="1637"/>
      <c r="HS950" s="1637"/>
      <c r="HT950" s="1637"/>
      <c r="HU950" s="1637"/>
      <c r="HV950" s="1637"/>
      <c r="HW950" s="1637"/>
      <c r="HX950" s="1637"/>
      <c r="HY950" s="1637"/>
      <c r="HZ950" s="1637"/>
      <c r="IA950" s="1637"/>
      <c r="IB950" s="1637"/>
      <c r="IC950" s="1637"/>
      <c r="ID950" s="1637"/>
      <c r="IK950" s="1641"/>
      <c r="JA950" s="1641"/>
      <c r="JB950" s="1641"/>
    </row>
    <row r="957" spans="1:262">
      <c r="A957" s="1629" t="str">
        <f>CONCATENATE("PART SEVEN - OPERATING PRO FORMA","  -  ",'Part I-Project Information'!$O$6," ",'Part I-Project Information'!$F$34,", ",'Part I-Project Information'!F1001,", ",'Part I-Project Information'!J1002," County")</f>
        <v>PART SEVEN - OPERATING PRO FORMA  -  2019-5 Stone Terrace Phase II, ,  County</v>
      </c>
      <c r="B957" s="2111"/>
      <c r="C957" s="2111"/>
      <c r="D957" s="2111"/>
      <c r="E957" s="2111"/>
      <c r="F957" s="2111"/>
      <c r="G957" s="2111"/>
      <c r="H957" s="2111"/>
      <c r="I957" s="2111"/>
      <c r="J957" s="2111"/>
      <c r="K957" s="2111"/>
    </row>
    <row r="958" spans="1:262">
      <c r="A958" s="1807"/>
      <c r="B958" s="1807"/>
      <c r="C958" s="1807"/>
      <c r="D958" s="1807"/>
      <c r="E958" s="1807"/>
      <c r="F958" s="1807"/>
      <c r="G958" s="1807"/>
      <c r="H958" s="1807"/>
      <c r="I958" s="1807"/>
      <c r="J958" s="1807"/>
      <c r="K958" s="1807"/>
    </row>
    <row r="959" spans="1:262" ht="13.5">
      <c r="A959" s="1641" t="s">
        <v>90</v>
      </c>
      <c r="D959" s="1641" t="s">
        <v>80</v>
      </c>
      <c r="E959" s="1813"/>
      <c r="F959" s="1649" t="s">
        <v>4538</v>
      </c>
    </row>
    <row r="961" spans="1:19" ht="12.75" customHeight="1">
      <c r="A961" s="742" t="s">
        <v>2188</v>
      </c>
      <c r="B961" s="1876">
        <v>0.02</v>
      </c>
      <c r="D961" s="1838" t="s">
        <v>4539</v>
      </c>
      <c r="E961" s="1838"/>
      <c r="F961" s="1838"/>
      <c r="G961" s="2156">
        <f>'Part VII-Pro Forma'!G5</f>
        <v>0</v>
      </c>
      <c r="H961" s="1843" t="s">
        <v>1907</v>
      </c>
      <c r="K961" s="1877" t="e">
        <f>IF(($B$14+$B$15+$B$16+$B$17)=0,"",B984/($B$14+$B$15+$B$16+$B$17))</f>
        <v>#VALUE!</v>
      </c>
    </row>
    <row r="962" spans="1:19">
      <c r="A962" s="742" t="s">
        <v>2189</v>
      </c>
      <c r="B962" s="1876">
        <v>0.03</v>
      </c>
      <c r="D962" s="1838"/>
      <c r="E962" s="1838"/>
      <c r="F962" s="1838"/>
      <c r="G962" s="1878">
        <f>IF(OR('Part III-Sources of Funds'!B967="Yes",'Part III-Sources of Funds'!E967&gt;0),'DCA Underwriting Assumptions'!$Q$96,0)</f>
        <v>0</v>
      </c>
    </row>
    <row r="963" spans="1:19">
      <c r="A963" s="742" t="s">
        <v>2191</v>
      </c>
      <c r="B963" s="1876">
        <v>0.03</v>
      </c>
      <c r="D963" s="1631" t="s">
        <v>270</v>
      </c>
      <c r="G963" s="1879"/>
      <c r="H963" s="1843" t="s">
        <v>2374</v>
      </c>
      <c r="K963" s="1877" t="e">
        <f>IF(($B$14+$B$15+$B$16+$B$17)=0,"",-B976/($B$14+$B$15+$B$16+$B$17))</f>
        <v>#VALUE!</v>
      </c>
    </row>
    <row r="964" spans="1:19">
      <c r="A964" s="742" t="s">
        <v>2190</v>
      </c>
      <c r="B964" s="1876">
        <f>'Part VII-Pro Forma'!B8</f>
        <v>7.0000000000000007E-2</v>
      </c>
      <c r="D964" s="1631" t="s">
        <v>2508</v>
      </c>
      <c r="G964" s="2157" t="str">
        <f>'Part VII-Pro Forma'!G8</f>
        <v>No</v>
      </c>
      <c r="H964" s="1880" t="s">
        <v>1444</v>
      </c>
      <c r="K964" s="2158">
        <f>'Part VII-Pro Forma'!K8</f>
        <v>0</v>
      </c>
    </row>
    <row r="965" spans="1:19">
      <c r="A965" s="742" t="s">
        <v>1418</v>
      </c>
      <c r="B965" s="1876">
        <v>0.02</v>
      </c>
      <c r="D965" s="1631" t="s">
        <v>1718</v>
      </c>
      <c r="G965" s="2157" t="str">
        <f>'Part VII-Pro Forma'!G9</f>
        <v>Yes</v>
      </c>
      <c r="H965" s="1880" t="s">
        <v>2356</v>
      </c>
      <c r="K965" s="2159">
        <f>'Part VII-Pro Forma'!K9</f>
        <v>4.4999999999999998E-2</v>
      </c>
    </row>
    <row r="967" spans="1:19">
      <c r="A967" s="1641" t="s">
        <v>91</v>
      </c>
      <c r="D967" s="1805"/>
    </row>
    <row r="969" spans="1:19">
      <c r="A969" s="1641" t="s">
        <v>2480</v>
      </c>
      <c r="B969" s="1641">
        <v>1</v>
      </c>
      <c r="C969" s="1641">
        <f t="shared" ref="C969:K969" si="278">B969+1</f>
        <v>2</v>
      </c>
      <c r="D969" s="1641">
        <f t="shared" si="278"/>
        <v>3</v>
      </c>
      <c r="E969" s="1641">
        <f t="shared" si="278"/>
        <v>4</v>
      </c>
      <c r="F969" s="1641">
        <f t="shared" si="278"/>
        <v>5</v>
      </c>
      <c r="G969" s="1641">
        <f t="shared" si="278"/>
        <v>6</v>
      </c>
      <c r="H969" s="1641">
        <f t="shared" si="278"/>
        <v>7</v>
      </c>
      <c r="I969" s="1641">
        <f t="shared" si="278"/>
        <v>8</v>
      </c>
      <c r="J969" s="1641">
        <f t="shared" si="278"/>
        <v>9</v>
      </c>
      <c r="K969" s="1641">
        <f t="shared" si="278"/>
        <v>10</v>
      </c>
    </row>
    <row r="970" spans="1:19">
      <c r="A970" s="742" t="s">
        <v>2404</v>
      </c>
      <c r="B970" s="1881">
        <f>'Part VI-Revenues &amp; Expenses'!$L$49</f>
        <v>934080</v>
      </c>
      <c r="C970" s="1881">
        <f t="shared" ref="C970:K970" si="279">$B$14*(1+$B$5)^(C969-1)</f>
        <v>0</v>
      </c>
      <c r="D970" s="1881">
        <f t="shared" si="279"/>
        <v>0</v>
      </c>
      <c r="E970" s="1881">
        <f t="shared" si="279"/>
        <v>0</v>
      </c>
      <c r="F970" s="1881">
        <f t="shared" si="279"/>
        <v>0</v>
      </c>
      <c r="G970" s="1881">
        <f t="shared" si="279"/>
        <v>0</v>
      </c>
      <c r="H970" s="1881">
        <f t="shared" si="279"/>
        <v>0</v>
      </c>
      <c r="I970" s="1881">
        <f t="shared" si="279"/>
        <v>0</v>
      </c>
      <c r="J970" s="1881">
        <f t="shared" si="279"/>
        <v>0</v>
      </c>
      <c r="K970" s="1881">
        <f t="shared" si="279"/>
        <v>0</v>
      </c>
      <c r="S970" s="4320" t="s">
        <v>4190</v>
      </c>
    </row>
    <row r="971" spans="1:19">
      <c r="A971" s="742" t="s">
        <v>1016</v>
      </c>
      <c r="B971" s="1881">
        <f>MIN(B970*B965,'Part VI-Revenues &amp; Expenses'!$H$173)</f>
        <v>18681.600000000002</v>
      </c>
      <c r="C971" s="1881">
        <f t="shared" ref="C971:K971" si="280">$B$15*(1+$B$5)^(C969-1)</f>
        <v>0</v>
      </c>
      <c r="D971" s="1881">
        <f t="shared" si="280"/>
        <v>0</v>
      </c>
      <c r="E971" s="1881">
        <f t="shared" si="280"/>
        <v>0</v>
      </c>
      <c r="F971" s="1881">
        <f t="shared" si="280"/>
        <v>0</v>
      </c>
      <c r="G971" s="1881">
        <f t="shared" si="280"/>
        <v>0</v>
      </c>
      <c r="H971" s="1881">
        <f t="shared" si="280"/>
        <v>0</v>
      </c>
      <c r="I971" s="1881">
        <f t="shared" si="280"/>
        <v>0</v>
      </c>
      <c r="J971" s="1881">
        <f t="shared" si="280"/>
        <v>0</v>
      </c>
      <c r="K971" s="1881">
        <f t="shared" si="280"/>
        <v>0</v>
      </c>
      <c r="S971" s="4320"/>
    </row>
    <row r="972" spans="1:19">
      <c r="A972" s="742" t="s">
        <v>2405</v>
      </c>
      <c r="B972" s="1881">
        <f t="shared" ref="B972:K972" si="281">-(B970+B971)*$B$8</f>
        <v>0</v>
      </c>
      <c r="C972" s="1881">
        <f t="shared" si="281"/>
        <v>0</v>
      </c>
      <c r="D972" s="1881">
        <f t="shared" si="281"/>
        <v>0</v>
      </c>
      <c r="E972" s="1881">
        <f t="shared" si="281"/>
        <v>0</v>
      </c>
      <c r="F972" s="1881">
        <f t="shared" si="281"/>
        <v>0</v>
      </c>
      <c r="G972" s="1881">
        <f t="shared" si="281"/>
        <v>0</v>
      </c>
      <c r="H972" s="1881">
        <f t="shared" si="281"/>
        <v>0</v>
      </c>
      <c r="I972" s="1881">
        <f t="shared" si="281"/>
        <v>0</v>
      </c>
      <c r="J972" s="1881">
        <f t="shared" si="281"/>
        <v>0</v>
      </c>
      <c r="K972" s="1881">
        <f t="shared" si="281"/>
        <v>0</v>
      </c>
      <c r="Q972" s="4320" t="s">
        <v>3886</v>
      </c>
      <c r="R972" s="4320" t="s">
        <v>4189</v>
      </c>
      <c r="S972" s="4320"/>
    </row>
    <row r="973" spans="1:19">
      <c r="A973" s="742" t="s">
        <v>52</v>
      </c>
      <c r="B973" s="1881">
        <f>+'Part VI-Revenues &amp; Expenses'!G1139</f>
        <v>0</v>
      </c>
      <c r="C973" s="1881">
        <f>+'Part VI-Revenues &amp; Expenses'!H1139</f>
        <v>0</v>
      </c>
      <c r="D973" s="1881">
        <f>+'Part VI-Revenues &amp; Expenses'!I1139</f>
        <v>0</v>
      </c>
      <c r="E973" s="1881">
        <f>+'Part VI-Revenues &amp; Expenses'!J1139</f>
        <v>0</v>
      </c>
      <c r="F973" s="1881">
        <f>+'Part VI-Revenues &amp; Expenses'!K1139</f>
        <v>0</v>
      </c>
      <c r="G973" s="1881">
        <f>+'Part VI-Revenues &amp; Expenses'!L1139</f>
        <v>0</v>
      </c>
      <c r="H973" s="1881">
        <f>+'Part VI-Revenues &amp; Expenses'!M1139</f>
        <v>0</v>
      </c>
      <c r="I973" s="1881">
        <f>+'Part VI-Revenues &amp; Expenses'!N1139</f>
        <v>0</v>
      </c>
      <c r="J973" s="1881">
        <f>+'Part VI-Revenues &amp; Expenses'!O1139</f>
        <v>0</v>
      </c>
      <c r="K973" s="1881">
        <f>+'Part VI-Revenues &amp; Expenses'!P1139</f>
        <v>0</v>
      </c>
      <c r="Q973" s="4320"/>
      <c r="R973" s="4320"/>
      <c r="S973" s="4320"/>
    </row>
    <row r="974" spans="1:19">
      <c r="A974" s="742" t="s">
        <v>53</v>
      </c>
      <c r="B974" s="1881">
        <f>'Part VI-Revenues &amp; Expenses'!G1143</f>
        <v>0</v>
      </c>
      <c r="C974" s="1881">
        <f>'Part VI-Revenues &amp; Expenses'!H1143</f>
        <v>0</v>
      </c>
      <c r="D974" s="1881">
        <f>'Part VI-Revenues &amp; Expenses'!I1143</f>
        <v>0</v>
      </c>
      <c r="E974" s="1881">
        <f>'Part VI-Revenues &amp; Expenses'!J1143</f>
        <v>0</v>
      </c>
      <c r="F974" s="1881">
        <f>'Part VI-Revenues &amp; Expenses'!K1143</f>
        <v>0</v>
      </c>
      <c r="G974" s="1881">
        <f>'Part VI-Revenues &amp; Expenses'!L1143</f>
        <v>0</v>
      </c>
      <c r="H974" s="1881">
        <f>'Part VI-Revenues &amp; Expenses'!M1143</f>
        <v>0</v>
      </c>
      <c r="I974" s="1881">
        <f>'Part VI-Revenues &amp; Expenses'!N1143</f>
        <v>0</v>
      </c>
      <c r="J974" s="1881">
        <f>'Part VI-Revenues &amp; Expenses'!O1143</f>
        <v>0</v>
      </c>
      <c r="K974" s="1881">
        <f>'Part VI-Revenues &amp; Expenses'!P1143</f>
        <v>0</v>
      </c>
      <c r="Q974" s="512"/>
      <c r="R974" s="512"/>
      <c r="S974" s="512"/>
    </row>
    <row r="975" spans="1:19">
      <c r="A975" s="742" t="s">
        <v>614</v>
      </c>
      <c r="B975" s="1881">
        <f>-('Part VI-Revenues &amp; Expenses'!$P$226-'Part VI-Revenues &amp; Expenses'!$P$221)</f>
        <v>-354876</v>
      </c>
      <c r="C975" s="1881">
        <f t="shared" ref="C975:K975" si="282">$B$19*(1+$B$6)^(C969-1)</f>
        <v>0</v>
      </c>
      <c r="D975" s="1881">
        <f t="shared" si="282"/>
        <v>0</v>
      </c>
      <c r="E975" s="1881">
        <f t="shared" si="282"/>
        <v>0</v>
      </c>
      <c r="F975" s="1881">
        <f t="shared" si="282"/>
        <v>0</v>
      </c>
      <c r="G975" s="1881">
        <f t="shared" si="282"/>
        <v>0</v>
      </c>
      <c r="H975" s="1881">
        <f t="shared" si="282"/>
        <v>0</v>
      </c>
      <c r="I975" s="1881">
        <f t="shared" si="282"/>
        <v>0</v>
      </c>
      <c r="J975" s="1881">
        <f t="shared" si="282"/>
        <v>0</v>
      </c>
      <c r="K975" s="1881">
        <f t="shared" si="282"/>
        <v>0</v>
      </c>
      <c r="Q975" s="517">
        <v>1</v>
      </c>
      <c r="R975" s="518">
        <f>-B985</f>
        <v>46211.9</v>
      </c>
      <c r="S975" s="518">
        <f>B986+R975</f>
        <v>149228.77779629221</v>
      </c>
    </row>
    <row r="976" spans="1:19">
      <c r="A976" s="742" t="s">
        <v>1115</v>
      </c>
      <c r="B976" s="1881">
        <f>IF(AND('Part VII-Pro Forma'!$G$8="Yes",'Part VII-Pro Forma'!$G$9="Yes"),"Choose One!",IF('Part VII-Pro Forma'!$G$8="Yes",ROUND((-$K$8*(1+'Part VII-Pro Forma'!$B$6)^('Part VII-Pro Forma'!B977-1)),),IF('Part VII-Pro Forma'!$G$9="Yes",ROUND((-(SUM(B970:B973)*'Part VII-Pro Forma'!$K$9)),),"Choose mgt fee")))</f>
        <v>-42874</v>
      </c>
      <c r="C976" s="1881">
        <f>IF(AND('Part VII-Pro Forma'!$G$8="Yes",'Part VII-Pro Forma'!$G$9="Yes"),"Choose One!",IF('Part VII-Pro Forma'!$G$8="Yes",ROUND((-$K$8*(1+'Part VII-Pro Forma'!$B$6)^('Part VII-Pro Forma'!C977-1)),),IF('Part VII-Pro Forma'!$G$9="Yes",ROUND((-(SUM(C970:C973)*'Part VII-Pro Forma'!$K$9)),),"Choose mgt fee")))</f>
        <v>0</v>
      </c>
      <c r="D976" s="1881">
        <f>IF(AND('Part VII-Pro Forma'!$G$8="Yes",'Part VII-Pro Forma'!$G$9="Yes"),"Choose One!",IF('Part VII-Pro Forma'!$G$8="Yes",ROUND((-$K$8*(1+'Part VII-Pro Forma'!$B$6)^('Part VII-Pro Forma'!D977-1)),),IF('Part VII-Pro Forma'!$G$9="Yes",ROUND((-(SUM(D970:D973)*'Part VII-Pro Forma'!$K$9)),),"Choose mgt fee")))</f>
        <v>0</v>
      </c>
      <c r="E976" s="1881">
        <f>IF(AND('Part VII-Pro Forma'!$G$8="Yes",'Part VII-Pro Forma'!$G$9="Yes"),"Choose One!",IF('Part VII-Pro Forma'!$G$8="Yes",ROUND((-$K$8*(1+'Part VII-Pro Forma'!$B$6)^('Part VII-Pro Forma'!E977-1)),),IF('Part VII-Pro Forma'!$G$9="Yes",ROUND((-(SUM(E970:E973)*'Part VII-Pro Forma'!$K$9)),),"Choose mgt fee")))</f>
        <v>0</v>
      </c>
      <c r="F976" s="1881">
        <f>IF(AND('Part VII-Pro Forma'!$G$8="Yes",'Part VII-Pro Forma'!$G$9="Yes"),"Choose One!",IF('Part VII-Pro Forma'!$G$8="Yes",ROUND((-$K$8*(1+'Part VII-Pro Forma'!$B$6)^('Part VII-Pro Forma'!F977-1)),),IF('Part VII-Pro Forma'!$G$9="Yes",ROUND((-(SUM(F970:F973)*'Part VII-Pro Forma'!$K$9)),),"Choose mgt fee")))</f>
        <v>0</v>
      </c>
      <c r="G976" s="1881">
        <f>IF(AND('Part VII-Pro Forma'!$G$8="Yes",'Part VII-Pro Forma'!$G$9="Yes"),"Choose One!",IF('Part VII-Pro Forma'!$G$8="Yes",ROUND((-$K$8*(1+'Part VII-Pro Forma'!$B$6)^('Part VII-Pro Forma'!G977-1)),),IF('Part VII-Pro Forma'!$G$9="Yes",ROUND((-(SUM(G970:G973)*'Part VII-Pro Forma'!$K$9)),),"Choose mgt fee")))</f>
        <v>0</v>
      </c>
      <c r="H976" s="1881">
        <f>IF(AND('Part VII-Pro Forma'!$G$8="Yes",'Part VII-Pro Forma'!$G$9="Yes"),"Choose One!",IF('Part VII-Pro Forma'!$G$8="Yes",ROUND((-$K$8*(1+'Part VII-Pro Forma'!$B$6)^('Part VII-Pro Forma'!H977-1)),),IF('Part VII-Pro Forma'!$G$9="Yes",ROUND((-(SUM(H970:H973)*'Part VII-Pro Forma'!$K$9)),),"Choose mgt fee")))</f>
        <v>0</v>
      </c>
      <c r="I976" s="1881">
        <f>IF(AND('Part VII-Pro Forma'!$G$8="Yes",'Part VII-Pro Forma'!$G$9="Yes"),"Choose One!",IF('Part VII-Pro Forma'!$G$8="Yes",ROUND((-$K$8*(1+'Part VII-Pro Forma'!$B$6)^('Part VII-Pro Forma'!I977-1)),),IF('Part VII-Pro Forma'!$G$9="Yes",ROUND((-(SUM(I970:I973)*'Part VII-Pro Forma'!$K$9)),),"Choose mgt fee")))</f>
        <v>0</v>
      </c>
      <c r="J976" s="1881">
        <f>IF(AND('Part VII-Pro Forma'!$G$8="Yes",'Part VII-Pro Forma'!$G$9="Yes"),"Choose One!",IF('Part VII-Pro Forma'!$G$8="Yes",ROUND((-$K$8*(1+'Part VII-Pro Forma'!$B$6)^('Part VII-Pro Forma'!J977-1)),),IF('Part VII-Pro Forma'!$G$9="Yes",ROUND((-(SUM(J970:J973)*'Part VII-Pro Forma'!$K$9)),),"Choose mgt fee")))</f>
        <v>0</v>
      </c>
      <c r="K976" s="1881">
        <f>IF(AND('Part VII-Pro Forma'!$G$8="Yes",'Part VII-Pro Forma'!$G$9="Yes"),"Choose One!",IF('Part VII-Pro Forma'!$G$8="Yes",ROUND((-$K$8*(1+'Part VII-Pro Forma'!$B$6)^('Part VII-Pro Forma'!K977-1)),),IF('Part VII-Pro Forma'!$G$9="Yes",ROUND((-(SUM(K970:K973)*'Part VII-Pro Forma'!$K$9)),),"Choose mgt fee")))</f>
        <v>0</v>
      </c>
      <c r="Q976" s="517">
        <v>2</v>
      </c>
      <c r="R976" s="518">
        <f>-SUM(B985:C985)</f>
        <v>92423.8</v>
      </c>
      <c r="S976" s="518">
        <f>SUM(B986:C986)+R976</f>
        <v>-235554.04440741561</v>
      </c>
    </row>
    <row r="977" spans="1:19">
      <c r="A977" s="742" t="s">
        <v>1202</v>
      </c>
      <c r="B977" s="1881">
        <f>-('Part VI-Revenues &amp; Expenses'!$P$230)</f>
        <v>-21000</v>
      </c>
      <c r="C977" s="1881">
        <f t="shared" ref="C977:K977" si="283">$B$21*(1+$B$7)^(C969-1)</f>
        <v>0</v>
      </c>
      <c r="D977" s="1881">
        <f t="shared" si="283"/>
        <v>0</v>
      </c>
      <c r="E977" s="1881">
        <f t="shared" si="283"/>
        <v>0</v>
      </c>
      <c r="F977" s="1881">
        <f t="shared" si="283"/>
        <v>0</v>
      </c>
      <c r="G977" s="1881">
        <f t="shared" si="283"/>
        <v>0</v>
      </c>
      <c r="H977" s="1881">
        <f t="shared" si="283"/>
        <v>0</v>
      </c>
      <c r="I977" s="1881">
        <f t="shared" si="283"/>
        <v>0</v>
      </c>
      <c r="J977" s="1881">
        <f t="shared" si="283"/>
        <v>0</v>
      </c>
      <c r="K977" s="1881">
        <f t="shared" si="283"/>
        <v>0</v>
      </c>
      <c r="Q977" s="517">
        <v>3</v>
      </c>
      <c r="R977" s="518">
        <f>-SUM(B985:D985)</f>
        <v>138635.70000000001</v>
      </c>
      <c r="S977" s="518">
        <f>SUM(B986:D986)+R977</f>
        <v>-620336.86661112332</v>
      </c>
    </row>
    <row r="978" spans="1:19">
      <c r="A978" s="742" t="s">
        <v>1203</v>
      </c>
      <c r="B978" s="1881">
        <f t="shared" ref="B978:K978" si="284">SUM(B970:B977)</f>
        <v>534011.6</v>
      </c>
      <c r="C978" s="1881">
        <f t="shared" si="284"/>
        <v>0</v>
      </c>
      <c r="D978" s="1881">
        <f t="shared" si="284"/>
        <v>0</v>
      </c>
      <c r="E978" s="1881">
        <f t="shared" si="284"/>
        <v>0</v>
      </c>
      <c r="F978" s="1881">
        <f t="shared" si="284"/>
        <v>0</v>
      </c>
      <c r="G978" s="1881">
        <f t="shared" si="284"/>
        <v>0</v>
      </c>
      <c r="H978" s="1881">
        <f t="shared" si="284"/>
        <v>0</v>
      </c>
      <c r="I978" s="1881">
        <f t="shared" si="284"/>
        <v>0</v>
      </c>
      <c r="J978" s="1881">
        <f t="shared" si="284"/>
        <v>0</v>
      </c>
      <c r="K978" s="1881">
        <f t="shared" si="284"/>
        <v>0</v>
      </c>
      <c r="Q978" s="517">
        <v>4</v>
      </c>
      <c r="R978" s="518">
        <f>-SUM(B985:E985)</f>
        <v>184847.6</v>
      </c>
      <c r="S978" s="518">
        <f>SUM(B986:E986)+R978</f>
        <v>-1005119.6888148311</v>
      </c>
    </row>
    <row r="979" spans="1:19">
      <c r="A979" s="742" t="s">
        <v>1591</v>
      </c>
      <c r="B979" s="1881">
        <f>'Part VII-Pro Forma'!B25</f>
        <v>-384782.82220370776</v>
      </c>
      <c r="C979" s="1881">
        <f>'Part VII-Pro Forma'!C25</f>
        <v>-384782.82220370776</v>
      </c>
      <c r="D979" s="1881">
        <f>'Part VII-Pro Forma'!D25</f>
        <v>-384782.82220370776</v>
      </c>
      <c r="E979" s="1881">
        <f>'Part VII-Pro Forma'!E25</f>
        <v>-384782.82220370776</v>
      </c>
      <c r="F979" s="1881">
        <f>'Part VII-Pro Forma'!F25</f>
        <v>-384782.82220370776</v>
      </c>
      <c r="G979" s="1881">
        <f>'Part VII-Pro Forma'!G25</f>
        <v>-384782.82220370776</v>
      </c>
      <c r="H979" s="1881">
        <f>'Part VII-Pro Forma'!H25</f>
        <v>-384782.82220370776</v>
      </c>
      <c r="I979" s="1881">
        <f>'Part VII-Pro Forma'!I25</f>
        <v>-384782.82220370776</v>
      </c>
      <c r="J979" s="1881">
        <f>'Part VII-Pro Forma'!J25</f>
        <v>-384782.82220370776</v>
      </c>
      <c r="K979" s="1881">
        <f>'Part VII-Pro Forma'!K25</f>
        <v>-384782.82220370776</v>
      </c>
      <c r="Q979" s="517">
        <v>5</v>
      </c>
      <c r="R979" s="518">
        <f>-SUM(B985:F985)</f>
        <v>231059.5</v>
      </c>
      <c r="S979" s="518">
        <f>SUM(B986:F986)+R979</f>
        <v>-1389902.5110185388</v>
      </c>
    </row>
    <row r="980" spans="1:19">
      <c r="A980" s="742" t="s">
        <v>1592</v>
      </c>
      <c r="B980" s="1881">
        <f>'Part VII-Pro Forma'!B26</f>
        <v>0</v>
      </c>
      <c r="C980" s="1881">
        <f>'Part VII-Pro Forma'!C26</f>
        <v>0</v>
      </c>
      <c r="D980" s="1881">
        <f>'Part VII-Pro Forma'!D26</f>
        <v>0</v>
      </c>
      <c r="E980" s="1881">
        <f>'Part VII-Pro Forma'!E26</f>
        <v>0</v>
      </c>
      <c r="F980" s="1881">
        <f>'Part VII-Pro Forma'!F26</f>
        <v>0</v>
      </c>
      <c r="G980" s="1881">
        <f>'Part VII-Pro Forma'!G26</f>
        <v>0</v>
      </c>
      <c r="H980" s="1881">
        <f>'Part VII-Pro Forma'!H26</f>
        <v>0</v>
      </c>
      <c r="I980" s="1881">
        <f>'Part VII-Pro Forma'!I26</f>
        <v>0</v>
      </c>
      <c r="J980" s="1881">
        <f>'Part VII-Pro Forma'!J26</f>
        <v>0</v>
      </c>
      <c r="K980" s="1881">
        <f>'Part VII-Pro Forma'!K26</f>
        <v>0</v>
      </c>
      <c r="Q980" s="517">
        <v>6</v>
      </c>
      <c r="R980" s="518">
        <f>-SUM(B985:G985)</f>
        <v>277271.40000000002</v>
      </c>
      <c r="S980" s="518">
        <f>SUM(B986:G986)+R980</f>
        <v>-1774685.3332222467</v>
      </c>
    </row>
    <row r="981" spans="1:19">
      <c r="A981" s="742" t="s">
        <v>1593</v>
      </c>
      <c r="B981" s="1881">
        <f>'Part VII-Pro Forma'!B27</f>
        <v>0</v>
      </c>
      <c r="C981" s="1881">
        <f>'Part VII-Pro Forma'!C27</f>
        <v>0</v>
      </c>
      <c r="D981" s="1881">
        <f>'Part VII-Pro Forma'!D27</f>
        <v>0</v>
      </c>
      <c r="E981" s="1881">
        <f>'Part VII-Pro Forma'!E27</f>
        <v>0</v>
      </c>
      <c r="F981" s="1881">
        <f>'Part VII-Pro Forma'!F27</f>
        <v>0</v>
      </c>
      <c r="G981" s="1881">
        <f>'Part VII-Pro Forma'!G27</f>
        <v>0</v>
      </c>
      <c r="H981" s="1881">
        <f>'Part VII-Pro Forma'!H27</f>
        <v>0</v>
      </c>
      <c r="I981" s="1881">
        <f>'Part VII-Pro Forma'!I27</f>
        <v>0</v>
      </c>
      <c r="J981" s="1881">
        <f>'Part VII-Pro Forma'!J27</f>
        <v>0</v>
      </c>
      <c r="K981" s="1881">
        <f>'Part VII-Pro Forma'!K27</f>
        <v>0</v>
      </c>
      <c r="Q981" s="517">
        <v>7</v>
      </c>
      <c r="R981" s="518">
        <f>-SUM(B985:H985)</f>
        <v>323483.30000000005</v>
      </c>
      <c r="S981" s="518">
        <f>SUM(B986:H986)+R981</f>
        <v>-2159468.1554259546</v>
      </c>
    </row>
    <row r="982" spans="1:19">
      <c r="A982" s="742" t="s">
        <v>3854</v>
      </c>
      <c r="B982" s="1881">
        <f>'Part VII-Pro Forma'!B28</f>
        <v>0</v>
      </c>
      <c r="C982" s="1881">
        <f>'Part VII-Pro Forma'!C28</f>
        <v>0</v>
      </c>
      <c r="D982" s="1881">
        <f>'Part VII-Pro Forma'!D28</f>
        <v>0</v>
      </c>
      <c r="E982" s="1881">
        <f>'Part VII-Pro Forma'!E28</f>
        <v>0</v>
      </c>
      <c r="F982" s="1881">
        <f>'Part VII-Pro Forma'!F28</f>
        <v>0</v>
      </c>
      <c r="G982" s="1881">
        <f>'Part VII-Pro Forma'!G28</f>
        <v>0</v>
      </c>
      <c r="H982" s="1881">
        <f>'Part VII-Pro Forma'!H28</f>
        <v>0</v>
      </c>
      <c r="I982" s="1881">
        <f>'Part VII-Pro Forma'!I28</f>
        <v>0</v>
      </c>
      <c r="J982" s="1881">
        <f>'Part VII-Pro Forma'!J28</f>
        <v>0</v>
      </c>
      <c r="K982" s="1881">
        <f>'Part VII-Pro Forma'!K28</f>
        <v>0</v>
      </c>
      <c r="Q982" s="517">
        <v>8</v>
      </c>
      <c r="R982" s="518">
        <f>-SUM(B985:I985)</f>
        <v>369695.20000000007</v>
      </c>
      <c r="S982" s="518">
        <f>SUM(B986:I986)+R982</f>
        <v>-2544250.977629662</v>
      </c>
    </row>
    <row r="983" spans="1:19">
      <c r="A983" s="742" t="s">
        <v>763</v>
      </c>
      <c r="B983" s="1881">
        <f>'Part VII-Pro Forma'!B29</f>
        <v>0</v>
      </c>
      <c r="C983" s="1881">
        <f>'Part VII-Pro Forma'!C29</f>
        <v>0</v>
      </c>
      <c r="D983" s="1881">
        <f>'Part VII-Pro Forma'!D29</f>
        <v>0</v>
      </c>
      <c r="E983" s="1881">
        <f>'Part VII-Pro Forma'!E29</f>
        <v>0</v>
      </c>
      <c r="F983" s="1881">
        <f>'Part VII-Pro Forma'!F29</f>
        <v>0</v>
      </c>
      <c r="G983" s="1881">
        <f>'Part VII-Pro Forma'!G29</f>
        <v>0</v>
      </c>
      <c r="H983" s="1881">
        <f>'Part VII-Pro Forma'!H29</f>
        <v>0</v>
      </c>
      <c r="I983" s="1881">
        <f>'Part VII-Pro Forma'!I29</f>
        <v>0</v>
      </c>
      <c r="J983" s="1881">
        <f>'Part VII-Pro Forma'!J29</f>
        <v>0</v>
      </c>
      <c r="K983" s="1881">
        <f>'Part VII-Pro Forma'!K29</f>
        <v>0</v>
      </c>
      <c r="Q983" s="517">
        <v>9</v>
      </c>
      <c r="R983" s="518">
        <f>-SUM(B985:J985)</f>
        <v>415907.10000000009</v>
      </c>
      <c r="S983" s="518">
        <f>SUM(B986:J986)+R983</f>
        <v>-2929033.7998333699</v>
      </c>
    </row>
    <row r="984" spans="1:19">
      <c r="A984" s="742" t="s">
        <v>1163</v>
      </c>
      <c r="B984" s="1881">
        <f>'Part VII-Pro Forma'!B30</f>
        <v>0</v>
      </c>
      <c r="C984" s="1881">
        <f>'Part VII-Pro Forma'!C30</f>
        <v>0</v>
      </c>
      <c r="D984" s="1881">
        <f>'Part VII-Pro Forma'!D30</f>
        <v>0</v>
      </c>
      <c r="E984" s="1881">
        <f>'Part VII-Pro Forma'!E30</f>
        <v>0</v>
      </c>
      <c r="F984" s="1881">
        <f>'Part VII-Pro Forma'!F30</f>
        <v>0</v>
      </c>
      <c r="G984" s="1881">
        <f>'Part VII-Pro Forma'!G30</f>
        <v>0</v>
      </c>
      <c r="H984" s="1881">
        <f>'Part VII-Pro Forma'!H30</f>
        <v>0</v>
      </c>
      <c r="I984" s="1881">
        <f>'Part VII-Pro Forma'!I30</f>
        <v>0</v>
      </c>
      <c r="J984" s="1881">
        <f>'Part VII-Pro Forma'!J30</f>
        <v>0</v>
      </c>
      <c r="K984" s="1881">
        <f>'Part VII-Pro Forma'!K30</f>
        <v>0</v>
      </c>
      <c r="Q984" s="517">
        <v>10</v>
      </c>
      <c r="R984" s="518">
        <f>-SUM(B985:K985)</f>
        <v>462119.00000000012</v>
      </c>
      <c r="S984" s="518">
        <f>SUM(B986:K986)+R984</f>
        <v>-3313816.6220370778</v>
      </c>
    </row>
    <row r="985" spans="1:19">
      <c r="A985" s="742" t="s">
        <v>4087</v>
      </c>
      <c r="B985" s="1881">
        <f>'Part VII-Pro Forma'!B31</f>
        <v>-46211.9</v>
      </c>
      <c r="C985" s="1881">
        <f>'Part VII-Pro Forma'!C31</f>
        <v>-46211.9</v>
      </c>
      <c r="D985" s="1881">
        <f>'Part VII-Pro Forma'!D31</f>
        <v>-46211.9</v>
      </c>
      <c r="E985" s="1881">
        <f>'Part VII-Pro Forma'!E31</f>
        <v>-46211.9</v>
      </c>
      <c r="F985" s="1881">
        <f>'Part VII-Pro Forma'!F31</f>
        <v>-46211.9</v>
      </c>
      <c r="G985" s="1881">
        <f>'Part VII-Pro Forma'!G31</f>
        <v>-46211.9</v>
      </c>
      <c r="H985" s="1881">
        <f>'Part VII-Pro Forma'!H31</f>
        <v>-46211.9</v>
      </c>
      <c r="I985" s="1881">
        <f>'Part VII-Pro Forma'!I31</f>
        <v>-46211.9</v>
      </c>
      <c r="J985" s="1881">
        <f>'Part VII-Pro Forma'!J31</f>
        <v>-46211.9</v>
      </c>
      <c r="K985" s="1881">
        <f>'Part VII-Pro Forma'!K31</f>
        <v>-46211.9</v>
      </c>
      <c r="Q985" s="517">
        <v>11</v>
      </c>
      <c r="R985" s="518">
        <f>-SUM(B985:K985)-B1015</f>
        <v>508330.90000000014</v>
      </c>
      <c r="S985" s="518">
        <f>SUM(B986:K986)+B1016+R985</f>
        <v>-3698599.4442407852</v>
      </c>
    </row>
    <row r="986" spans="1:19">
      <c r="A986" s="742" t="s">
        <v>1164</v>
      </c>
      <c r="B986" s="1881">
        <f>SUM(B978:B985)</f>
        <v>103016.87779629222</v>
      </c>
      <c r="C986" s="1881">
        <f t="shared" ref="C986:K986" si="285">SUM(C978:C985)</f>
        <v>-430994.72220370779</v>
      </c>
      <c r="D986" s="1881">
        <f t="shared" si="285"/>
        <v>-430994.72220370779</v>
      </c>
      <c r="E986" s="1881">
        <f t="shared" si="285"/>
        <v>-430994.72220370779</v>
      </c>
      <c r="F986" s="1881">
        <f t="shared" si="285"/>
        <v>-430994.72220370779</v>
      </c>
      <c r="G986" s="1881">
        <f t="shared" si="285"/>
        <v>-430994.72220370779</v>
      </c>
      <c r="H986" s="1881">
        <f t="shared" si="285"/>
        <v>-430994.72220370779</v>
      </c>
      <c r="I986" s="1881">
        <f t="shared" si="285"/>
        <v>-430994.72220370779</v>
      </c>
      <c r="J986" s="1881">
        <f t="shared" si="285"/>
        <v>-430994.72220370779</v>
      </c>
      <c r="K986" s="1881">
        <f t="shared" si="285"/>
        <v>-430994.72220370779</v>
      </c>
      <c r="Q986" s="517">
        <v>12</v>
      </c>
      <c r="R986" s="518">
        <f>-SUM(B985:K985) - SUM(B1015:C1015)</f>
        <v>554542.80000000016</v>
      </c>
      <c r="S986" s="518">
        <f>SUM(B986:K986) + SUM(B60:C60)+R986</f>
        <v>-3221392.8220370775</v>
      </c>
    </row>
    <row r="987" spans="1:19">
      <c r="A987" s="742" t="str">
        <f>IF('Part III-Sources of Funds'!$E$38 = "Neither", "", "DCR Mortgage A")</f>
        <v>DCR Mortgage A</v>
      </c>
      <c r="B987" s="1882">
        <f t="shared" ref="B987:K987" si="286">IF(B979=0,"",-B978/B979)</f>
        <v>1.3878259869856899</v>
      </c>
      <c r="C987" s="1882">
        <f t="shared" si="286"/>
        <v>0</v>
      </c>
      <c r="D987" s="1882">
        <f t="shared" si="286"/>
        <v>0</v>
      </c>
      <c r="E987" s="1882">
        <f t="shared" si="286"/>
        <v>0</v>
      </c>
      <c r="F987" s="1882">
        <f t="shared" si="286"/>
        <v>0</v>
      </c>
      <c r="G987" s="1882">
        <f t="shared" si="286"/>
        <v>0</v>
      </c>
      <c r="H987" s="1882">
        <f t="shared" si="286"/>
        <v>0</v>
      </c>
      <c r="I987" s="1882">
        <f t="shared" si="286"/>
        <v>0</v>
      </c>
      <c r="J987" s="1882">
        <f t="shared" si="286"/>
        <v>0</v>
      </c>
      <c r="K987" s="1882">
        <f t="shared" si="286"/>
        <v>0</v>
      </c>
      <c r="Q987" s="517">
        <v>13</v>
      </c>
      <c r="R987" s="518">
        <f>-SUM(B985:K985) - SUM(B1015:D1015)</f>
        <v>600754.70000000019</v>
      </c>
      <c r="S987" s="518">
        <f>SUM(B986:K986) + SUM(B1016:D1016)+R987</f>
        <v>-4468165.088648201</v>
      </c>
    </row>
    <row r="988" spans="1:19">
      <c r="A988" s="742" t="str">
        <f>IF('Part III-Sources of Funds'!$E$38 = "Neither", "", "DCR Mortgage B")</f>
        <v>DCR Mortgage B</v>
      </c>
      <c r="B988" s="1882" t="str">
        <f t="shared" ref="B988:K988" si="287">IF(B980=0,"",-(B978+B979)/B980)</f>
        <v/>
      </c>
      <c r="C988" s="1882" t="str">
        <f t="shared" si="287"/>
        <v/>
      </c>
      <c r="D988" s="1882" t="str">
        <f t="shared" si="287"/>
        <v/>
      </c>
      <c r="E988" s="1882" t="str">
        <f t="shared" si="287"/>
        <v/>
      </c>
      <c r="F988" s="1882" t="str">
        <f t="shared" si="287"/>
        <v/>
      </c>
      <c r="G988" s="1882" t="str">
        <f t="shared" si="287"/>
        <v/>
      </c>
      <c r="H988" s="1882" t="str">
        <f t="shared" si="287"/>
        <v/>
      </c>
      <c r="I988" s="1882" t="str">
        <f t="shared" si="287"/>
        <v/>
      </c>
      <c r="J988" s="1882" t="str">
        <f t="shared" si="287"/>
        <v/>
      </c>
      <c r="K988" s="1882" t="str">
        <f t="shared" si="287"/>
        <v/>
      </c>
      <c r="Q988" s="517">
        <v>14</v>
      </c>
      <c r="R988" s="518">
        <f>-SUM(B985:K985) - SUM(B1015:E1015)</f>
        <v>646966.60000000009</v>
      </c>
      <c r="S988" s="518">
        <f>SUM(B986:K986) + SUM(B1016:E1016)+R988</f>
        <v>-4852947.9108519088</v>
      </c>
    </row>
    <row r="989" spans="1:19">
      <c r="A989" s="742" t="str">
        <f>IF('Part III-Sources of Funds'!$E$38 = "Neither", "DCR First Mortgage", "DCR Mortgage C")</f>
        <v>DCR Mortgage C</v>
      </c>
      <c r="B989" s="1882" t="str">
        <f t="shared" ref="B989:K989" si="288">IF(B981=0,"",-(B978+B979+B980)/B981)</f>
        <v/>
      </c>
      <c r="C989" s="1882" t="str">
        <f t="shared" si="288"/>
        <v/>
      </c>
      <c r="D989" s="1882" t="str">
        <f t="shared" si="288"/>
        <v/>
      </c>
      <c r="E989" s="1882" t="str">
        <f t="shared" si="288"/>
        <v/>
      </c>
      <c r="F989" s="1882" t="str">
        <f t="shared" si="288"/>
        <v/>
      </c>
      <c r="G989" s="1882" t="str">
        <f t="shared" si="288"/>
        <v/>
      </c>
      <c r="H989" s="1882" t="str">
        <f t="shared" si="288"/>
        <v/>
      </c>
      <c r="I989" s="1882" t="str">
        <f t="shared" si="288"/>
        <v/>
      </c>
      <c r="J989" s="1882" t="str">
        <f t="shared" si="288"/>
        <v/>
      </c>
      <c r="K989" s="1882" t="str">
        <f t="shared" si="288"/>
        <v/>
      </c>
      <c r="Q989" s="517">
        <v>15</v>
      </c>
      <c r="R989" s="518">
        <f>-SUM(B985:K985) - SUM(B1015:F1015)</f>
        <v>693178.50000000012</v>
      </c>
      <c r="S989" s="518">
        <f>SUM(B986:K986) + SUM(B1016:F1016)+R989</f>
        <v>-5237730.7330556167</v>
      </c>
    </row>
    <row r="990" spans="1:19">
      <c r="A990" s="742" t="s">
        <v>783</v>
      </c>
      <c r="B990" s="1882" t="str">
        <f t="shared" ref="B990:K990" si="289">IF(B982=0,"",-(B978+B979+B980+B981)/B982)</f>
        <v/>
      </c>
      <c r="C990" s="1882" t="str">
        <f t="shared" si="289"/>
        <v/>
      </c>
      <c r="D990" s="1882" t="str">
        <f t="shared" si="289"/>
        <v/>
      </c>
      <c r="E990" s="1882" t="str">
        <f t="shared" si="289"/>
        <v/>
      </c>
      <c r="F990" s="1882" t="str">
        <f t="shared" si="289"/>
        <v/>
      </c>
      <c r="G990" s="1882" t="str">
        <f t="shared" si="289"/>
        <v/>
      </c>
      <c r="H990" s="1882" t="str">
        <f t="shared" si="289"/>
        <v/>
      </c>
      <c r="I990" s="1882" t="str">
        <f t="shared" si="289"/>
        <v/>
      </c>
      <c r="J990" s="1882" t="str">
        <f t="shared" si="289"/>
        <v/>
      </c>
      <c r="K990" s="1882" t="str">
        <f t="shared" si="289"/>
        <v/>
      </c>
      <c r="Q990" s="517">
        <v>16</v>
      </c>
      <c r="R990" s="518">
        <f>-SUM(B985:K985) - SUM(B1015:G1015)</f>
        <v>693178.50000000012</v>
      </c>
      <c r="S990" s="518">
        <f>SUM(B986:K986) + SUM(B1016:G1016)+R990</f>
        <v>-5622513.5552593246</v>
      </c>
    </row>
    <row r="991" spans="1:19">
      <c r="A991" s="742" t="s">
        <v>3713</v>
      </c>
      <c r="B991" s="1882">
        <f t="shared" ref="B991:K991" si="290">IF(AND(B979=0,B980=0,B981=0,B982=0),"",-B978/(B979+B980+B981+B982))</f>
        <v>1.3878259869856899</v>
      </c>
      <c r="C991" s="1882">
        <f t="shared" si="290"/>
        <v>0</v>
      </c>
      <c r="D991" s="1882">
        <f t="shared" si="290"/>
        <v>0</v>
      </c>
      <c r="E991" s="1882">
        <f t="shared" si="290"/>
        <v>0</v>
      </c>
      <c r="F991" s="1882">
        <f t="shared" si="290"/>
        <v>0</v>
      </c>
      <c r="G991" s="1882">
        <f t="shared" si="290"/>
        <v>0</v>
      </c>
      <c r="H991" s="1882">
        <f t="shared" si="290"/>
        <v>0</v>
      </c>
      <c r="I991" s="1882">
        <f t="shared" si="290"/>
        <v>0</v>
      </c>
      <c r="J991" s="1882">
        <f t="shared" si="290"/>
        <v>0</v>
      </c>
      <c r="K991" s="1882">
        <f t="shared" si="290"/>
        <v>0</v>
      </c>
      <c r="Q991" s="517">
        <v>17</v>
      </c>
      <c r="R991" s="518">
        <f>-SUM(B985:K985) - SUM(B1015:H1015)</f>
        <v>693178.50000000012</v>
      </c>
      <c r="S991" s="518">
        <f>SUM(B986:K986) + SUM(B1016:H1016)+R991</f>
        <v>-6007296.3774630325</v>
      </c>
    </row>
    <row r="992" spans="1:19">
      <c r="A992" s="742" t="s">
        <v>770</v>
      </c>
      <c r="B992" s="1883">
        <f t="shared" ref="B992:K992" si="291">IF(OR(B976="Choose mgt fee",B976="Choose One!"),"",(B970+B971+B972+B973+B974) / -(B975+B976+B977))</f>
        <v>2.275251582089552</v>
      </c>
      <c r="C992" s="1883" t="e">
        <f t="shared" si="291"/>
        <v>#DIV/0!</v>
      </c>
      <c r="D992" s="1883" t="e">
        <f t="shared" si="291"/>
        <v>#DIV/0!</v>
      </c>
      <c r="E992" s="1883" t="e">
        <f t="shared" si="291"/>
        <v>#DIV/0!</v>
      </c>
      <c r="F992" s="1883" t="e">
        <f t="shared" si="291"/>
        <v>#DIV/0!</v>
      </c>
      <c r="G992" s="1883" t="e">
        <f t="shared" si="291"/>
        <v>#DIV/0!</v>
      </c>
      <c r="H992" s="1883" t="e">
        <f t="shared" si="291"/>
        <v>#DIV/0!</v>
      </c>
      <c r="I992" s="1883" t="e">
        <f t="shared" si="291"/>
        <v>#DIV/0!</v>
      </c>
      <c r="J992" s="1883" t="e">
        <f t="shared" si="291"/>
        <v>#DIV/0!</v>
      </c>
      <c r="K992" s="1883" t="e">
        <f t="shared" si="291"/>
        <v>#DIV/0!</v>
      </c>
      <c r="Q992" s="517">
        <v>18</v>
      </c>
      <c r="R992" s="518">
        <f>-SUM(B985:K985) - SUM(B1015:I1015)</f>
        <v>693178.50000000012</v>
      </c>
      <c r="S992" s="518">
        <f>SUM(B986:K986) + SUM(B1016:I1016)+R992</f>
        <v>-6392079.1996667404</v>
      </c>
    </row>
    <row r="993" spans="1:19">
      <c r="A993" s="742" t="s">
        <v>2617</v>
      </c>
      <c r="B993" s="1881">
        <f>'Part VII-Pro Forma'!B39</f>
        <v>6780588.3753657602</v>
      </c>
      <c r="C993" s="1881">
        <f>'Part VII-Pro Forma'!C39</f>
        <v>6692386.8149426132</v>
      </c>
      <c r="D993" s="1881">
        <f>'Part VII-Pro Forma'!D39</f>
        <v>6600225.1571758408</v>
      </c>
      <c r="E993" s="1881">
        <f>'Part VII-Pro Forma'!E39</f>
        <v>6503925.6005515493</v>
      </c>
      <c r="F993" s="1881">
        <f>'Part VII-Pro Forma'!F39</f>
        <v>6403302.3605757328</v>
      </c>
      <c r="G993" s="1881">
        <f>'Part VII-Pro Forma'!G39</f>
        <v>6298161.3113522846</v>
      </c>
      <c r="H993" s="1881">
        <f>'Part VII-Pro Forma'!H39</f>
        <v>6188299.61106849</v>
      </c>
      <c r="I993" s="1881">
        <f>'Part VII-Pro Forma'!I39</f>
        <v>6073505.3106654594</v>
      </c>
      <c r="J993" s="1881">
        <f>'Part VII-Pro Forma'!J39</f>
        <v>5953556.9449385451</v>
      </c>
      <c r="K993" s="1881">
        <f>'Part VII-Pro Forma'!K39</f>
        <v>5828223.1052788738</v>
      </c>
      <c r="Q993" s="517">
        <v>19</v>
      </c>
      <c r="R993" s="518">
        <f>-SUM(B985:K985) - SUM(B1015:J1015)</f>
        <v>693178.50000000012</v>
      </c>
      <c r="S993" s="518">
        <f>SUM(B986:K986) + SUM(B1016:J1016)+R993</f>
        <v>-6776862.0218704483</v>
      </c>
    </row>
    <row r="994" spans="1:19">
      <c r="A994" s="742" t="s">
        <v>2618</v>
      </c>
      <c r="B994" s="1881" t="str">
        <f>'Part VII-Pro Forma'!B40</f>
        <v/>
      </c>
      <c r="C994" s="1881" t="str">
        <f>'Part VII-Pro Forma'!C40</f>
        <v/>
      </c>
      <c r="D994" s="1881" t="str">
        <f>'Part VII-Pro Forma'!D40</f>
        <v/>
      </c>
      <c r="E994" s="1881" t="str">
        <f>'Part VII-Pro Forma'!E40</f>
        <v/>
      </c>
      <c r="F994" s="1881" t="str">
        <f>'Part VII-Pro Forma'!F40</f>
        <v/>
      </c>
      <c r="G994" s="1881" t="str">
        <f>'Part VII-Pro Forma'!G40</f>
        <v/>
      </c>
      <c r="H994" s="1881" t="str">
        <f>'Part VII-Pro Forma'!H40</f>
        <v/>
      </c>
      <c r="I994" s="1881" t="str">
        <f>'Part VII-Pro Forma'!I40</f>
        <v/>
      </c>
      <c r="J994" s="1881" t="str">
        <f>'Part VII-Pro Forma'!J40</f>
        <v/>
      </c>
      <c r="K994" s="1881" t="str">
        <f>'Part VII-Pro Forma'!K40</f>
        <v/>
      </c>
      <c r="Q994" s="517">
        <v>20</v>
      </c>
      <c r="R994" s="518">
        <f>-SUM(B985:K985) - SUM(B1015:K1015)</f>
        <v>693178.50000000012</v>
      </c>
      <c r="S994" s="518">
        <f>SUM(B986:K986) + SUM(B1016:K1016)+R994</f>
        <v>-7161644.8440741561</v>
      </c>
    </row>
    <row r="995" spans="1:19">
      <c r="A995" s="742" t="s">
        <v>2619</v>
      </c>
      <c r="B995" s="1881" t="str">
        <f>'Part VII-Pro Forma'!B41</f>
        <v/>
      </c>
      <c r="C995" s="1881" t="str">
        <f>'Part VII-Pro Forma'!C41</f>
        <v/>
      </c>
      <c r="D995" s="1881" t="str">
        <f>'Part VII-Pro Forma'!D41</f>
        <v/>
      </c>
      <c r="E995" s="1881" t="str">
        <f>'Part VII-Pro Forma'!E41</f>
        <v/>
      </c>
      <c r="F995" s="1881" t="str">
        <f>'Part VII-Pro Forma'!F41</f>
        <v/>
      </c>
      <c r="G995" s="1881" t="str">
        <f>'Part VII-Pro Forma'!G41</f>
        <v/>
      </c>
      <c r="H995" s="1881" t="str">
        <f>'Part VII-Pro Forma'!H41</f>
        <v/>
      </c>
      <c r="I995" s="1881" t="str">
        <f>'Part VII-Pro Forma'!I41</f>
        <v/>
      </c>
      <c r="J995" s="1881" t="str">
        <f>'Part VII-Pro Forma'!J41</f>
        <v/>
      </c>
      <c r="K995" s="1881" t="str">
        <f>'Part VII-Pro Forma'!K41</f>
        <v/>
      </c>
    </row>
    <row r="996" spans="1:19">
      <c r="A996" s="742" t="s">
        <v>784</v>
      </c>
      <c r="B996" s="1881" t="str">
        <f>'Part VII-Pro Forma'!B42</f>
        <v/>
      </c>
      <c r="C996" s="1881" t="str">
        <f>'Part VII-Pro Forma'!C42</f>
        <v/>
      </c>
      <c r="D996" s="1881" t="str">
        <f>'Part VII-Pro Forma'!D42</f>
        <v/>
      </c>
      <c r="E996" s="1881" t="str">
        <f>'Part VII-Pro Forma'!E42</f>
        <v/>
      </c>
      <c r="F996" s="1881" t="str">
        <f>'Part VII-Pro Forma'!F42</f>
        <v/>
      </c>
      <c r="G996" s="1881" t="str">
        <f>'Part VII-Pro Forma'!G42</f>
        <v/>
      </c>
      <c r="H996" s="1881" t="str">
        <f>'Part VII-Pro Forma'!H42</f>
        <v/>
      </c>
      <c r="I996" s="1881" t="str">
        <f>'Part VII-Pro Forma'!I42</f>
        <v/>
      </c>
      <c r="J996" s="1881" t="str">
        <f>'Part VII-Pro Forma'!J42</f>
        <v/>
      </c>
      <c r="K996" s="1881" t="str">
        <f>'Part VII-Pro Forma'!K42</f>
        <v/>
      </c>
    </row>
    <row r="997" spans="1:19">
      <c r="A997" s="742" t="s">
        <v>4088</v>
      </c>
      <c r="B997" s="1881">
        <f>'Part VII-Pro Forma'!B43</f>
        <v>415907.1</v>
      </c>
      <c r="C997" s="1881">
        <f>'Part VII-Pro Forma'!C43</f>
        <v>369695.19999999995</v>
      </c>
      <c r="D997" s="1881">
        <f>'Part VII-Pro Forma'!D43</f>
        <v>323483.29999999993</v>
      </c>
      <c r="E997" s="1881">
        <f>'Part VII-Pro Forma'!E43</f>
        <v>277271.39999999991</v>
      </c>
      <c r="F997" s="1881">
        <f>'Part VII-Pro Forma'!F43</f>
        <v>231059.49999999991</v>
      </c>
      <c r="G997" s="1881">
        <f>'Part VII-Pro Forma'!G43</f>
        <v>184847.59999999992</v>
      </c>
      <c r="H997" s="1881">
        <f>'Part VII-Pro Forma'!H43</f>
        <v>138635.69999999992</v>
      </c>
      <c r="I997" s="1881">
        <f>'Part VII-Pro Forma'!I43</f>
        <v>92423.79999999993</v>
      </c>
      <c r="J997" s="1881">
        <f>'Part VII-Pro Forma'!J43</f>
        <v>46211.899999999929</v>
      </c>
      <c r="K997" s="1881">
        <f>'Part VII-Pro Forma'!K43</f>
        <v>0</v>
      </c>
    </row>
    <row r="998" spans="1:19">
      <c r="B998" s="1881"/>
      <c r="C998" s="1881"/>
      <c r="D998" s="1881"/>
      <c r="E998" s="1881"/>
      <c r="F998" s="1881"/>
      <c r="G998" s="1881"/>
      <c r="H998" s="1881"/>
      <c r="I998" s="1881"/>
      <c r="J998" s="1881"/>
      <c r="K998" s="1881"/>
    </row>
    <row r="999" spans="1:19">
      <c r="A999" s="1641" t="s">
        <v>2480</v>
      </c>
      <c r="B999" s="1884">
        <f>K969+1</f>
        <v>11</v>
      </c>
      <c r="C999" s="1884">
        <f t="shared" ref="C999:K999" si="292">B999+1</f>
        <v>12</v>
      </c>
      <c r="D999" s="1884">
        <f t="shared" si="292"/>
        <v>13</v>
      </c>
      <c r="E999" s="1884">
        <f t="shared" si="292"/>
        <v>14</v>
      </c>
      <c r="F999" s="1884">
        <f t="shared" si="292"/>
        <v>15</v>
      </c>
      <c r="G999" s="1884">
        <f t="shared" si="292"/>
        <v>16</v>
      </c>
      <c r="H999" s="1884">
        <f t="shared" si="292"/>
        <v>17</v>
      </c>
      <c r="I999" s="1884">
        <f t="shared" si="292"/>
        <v>18</v>
      </c>
      <c r="J999" s="1884">
        <f t="shared" si="292"/>
        <v>19</v>
      </c>
      <c r="K999" s="1884">
        <f t="shared" si="292"/>
        <v>20</v>
      </c>
    </row>
    <row r="1000" spans="1:19">
      <c r="A1000" s="742" t="s">
        <v>2404</v>
      </c>
      <c r="B1000" s="1881">
        <f t="shared" ref="B1000:K1000" si="293">$B$14*(1+$B$5)^(B999-1)</f>
        <v>0</v>
      </c>
      <c r="C1000" s="1881">
        <f t="shared" si="293"/>
        <v>0</v>
      </c>
      <c r="D1000" s="1881">
        <f t="shared" si="293"/>
        <v>0</v>
      </c>
      <c r="E1000" s="1881">
        <f t="shared" si="293"/>
        <v>0</v>
      </c>
      <c r="F1000" s="1881">
        <f t="shared" si="293"/>
        <v>0</v>
      </c>
      <c r="G1000" s="1881">
        <f t="shared" si="293"/>
        <v>0</v>
      </c>
      <c r="H1000" s="1881">
        <f t="shared" si="293"/>
        <v>0</v>
      </c>
      <c r="I1000" s="1881">
        <f t="shared" si="293"/>
        <v>0</v>
      </c>
      <c r="J1000" s="1881">
        <f t="shared" si="293"/>
        <v>0</v>
      </c>
      <c r="K1000" s="1881">
        <f t="shared" si="293"/>
        <v>0</v>
      </c>
    </row>
    <row r="1001" spans="1:19">
      <c r="A1001" s="742" t="s">
        <v>1016</v>
      </c>
      <c r="B1001" s="1881">
        <f t="shared" ref="B1001:K1001" si="294">$B$15*(1+$B$5)^(B999-1)</f>
        <v>0</v>
      </c>
      <c r="C1001" s="1881">
        <f t="shared" si="294"/>
        <v>0</v>
      </c>
      <c r="D1001" s="1881">
        <f t="shared" si="294"/>
        <v>0</v>
      </c>
      <c r="E1001" s="1881">
        <f t="shared" si="294"/>
        <v>0</v>
      </c>
      <c r="F1001" s="1881">
        <f t="shared" si="294"/>
        <v>0</v>
      </c>
      <c r="G1001" s="1881">
        <f t="shared" si="294"/>
        <v>0</v>
      </c>
      <c r="H1001" s="1881">
        <f t="shared" si="294"/>
        <v>0</v>
      </c>
      <c r="I1001" s="1881">
        <f t="shared" si="294"/>
        <v>0</v>
      </c>
      <c r="J1001" s="1881">
        <f t="shared" si="294"/>
        <v>0</v>
      </c>
      <c r="K1001" s="1881">
        <f t="shared" si="294"/>
        <v>0</v>
      </c>
    </row>
    <row r="1002" spans="1:19">
      <c r="A1002" s="742" t="s">
        <v>2405</v>
      </c>
      <c r="B1002" s="1881">
        <f t="shared" ref="B1002:K1002" si="295">-(B1000+B1001)*$B$8</f>
        <v>0</v>
      </c>
      <c r="C1002" s="1881">
        <f t="shared" si="295"/>
        <v>0</v>
      </c>
      <c r="D1002" s="1881">
        <f t="shared" si="295"/>
        <v>0</v>
      </c>
      <c r="E1002" s="1881">
        <f t="shared" si="295"/>
        <v>0</v>
      </c>
      <c r="F1002" s="1881">
        <f t="shared" si="295"/>
        <v>0</v>
      </c>
      <c r="G1002" s="1881">
        <f t="shared" si="295"/>
        <v>0</v>
      </c>
      <c r="H1002" s="1881">
        <f t="shared" si="295"/>
        <v>0</v>
      </c>
      <c r="I1002" s="1881">
        <f t="shared" si="295"/>
        <v>0</v>
      </c>
      <c r="J1002" s="1881">
        <f t="shared" si="295"/>
        <v>0</v>
      </c>
      <c r="K1002" s="1881">
        <f t="shared" si="295"/>
        <v>0</v>
      </c>
    </row>
    <row r="1003" spans="1:19">
      <c r="A1003" s="742" t="s">
        <v>52</v>
      </c>
      <c r="B1003" s="1881">
        <f>'Part VI-Revenues &amp; Expenses'!G1148</f>
        <v>0</v>
      </c>
      <c r="C1003" s="1881">
        <f>'Part VI-Revenues &amp; Expenses'!H1148</f>
        <v>0</v>
      </c>
      <c r="D1003" s="1881">
        <f>'Part VI-Revenues &amp; Expenses'!I1148</f>
        <v>0</v>
      </c>
      <c r="E1003" s="1881">
        <f>'Part VI-Revenues &amp; Expenses'!J1148</f>
        <v>0</v>
      </c>
      <c r="F1003" s="1881">
        <f>'Part VI-Revenues &amp; Expenses'!K1148</f>
        <v>0</v>
      </c>
      <c r="G1003" s="1881">
        <f>'Part VI-Revenues &amp; Expenses'!L1148</f>
        <v>0</v>
      </c>
      <c r="H1003" s="1881">
        <f>'Part VI-Revenues &amp; Expenses'!M1148</f>
        <v>0</v>
      </c>
      <c r="I1003" s="1881">
        <f>'Part VI-Revenues &amp; Expenses'!N1148</f>
        <v>0</v>
      </c>
      <c r="J1003" s="1881">
        <f>'Part VI-Revenues &amp; Expenses'!O1148</f>
        <v>0</v>
      </c>
      <c r="K1003" s="1881">
        <f>'Part VI-Revenues &amp; Expenses'!P1148</f>
        <v>0</v>
      </c>
    </row>
    <row r="1004" spans="1:19">
      <c r="A1004" s="742" t="s">
        <v>53</v>
      </c>
      <c r="B1004" s="1881">
        <f>'Part VI-Revenues &amp; Expenses'!G1152</f>
        <v>0</v>
      </c>
      <c r="C1004" s="1881">
        <f>'Part VI-Revenues &amp; Expenses'!H1152</f>
        <v>0</v>
      </c>
      <c r="D1004" s="1881">
        <f>'Part VI-Revenues &amp; Expenses'!I1152</f>
        <v>0</v>
      </c>
      <c r="E1004" s="1881">
        <f>'Part VI-Revenues &amp; Expenses'!J1152</f>
        <v>0</v>
      </c>
      <c r="F1004" s="1881">
        <f>'Part VI-Revenues &amp; Expenses'!K1152</f>
        <v>0</v>
      </c>
      <c r="G1004" s="1881">
        <f>'Part VI-Revenues &amp; Expenses'!L1152</f>
        <v>0</v>
      </c>
      <c r="H1004" s="1881">
        <f>'Part VI-Revenues &amp; Expenses'!M1152</f>
        <v>0</v>
      </c>
      <c r="I1004" s="1881">
        <f>'Part VI-Revenues &amp; Expenses'!N1152</f>
        <v>0</v>
      </c>
      <c r="J1004" s="1881">
        <f>'Part VI-Revenues &amp; Expenses'!O1152</f>
        <v>0</v>
      </c>
      <c r="K1004" s="1881">
        <f>'Part VI-Revenues &amp; Expenses'!P1152</f>
        <v>0</v>
      </c>
    </row>
    <row r="1005" spans="1:19">
      <c r="A1005" s="742" t="s">
        <v>614</v>
      </c>
      <c r="B1005" s="1881">
        <f t="shared" ref="B1005:K1005" si="296">$B$19*(1+$B$6)^(B999-1)</f>
        <v>0</v>
      </c>
      <c r="C1005" s="1881">
        <f t="shared" si="296"/>
        <v>0</v>
      </c>
      <c r="D1005" s="1881">
        <f t="shared" si="296"/>
        <v>0</v>
      </c>
      <c r="E1005" s="1881">
        <f t="shared" si="296"/>
        <v>0</v>
      </c>
      <c r="F1005" s="1881">
        <f t="shared" si="296"/>
        <v>0</v>
      </c>
      <c r="G1005" s="1881">
        <f t="shared" si="296"/>
        <v>0</v>
      </c>
      <c r="H1005" s="1881">
        <f t="shared" si="296"/>
        <v>0</v>
      </c>
      <c r="I1005" s="1881">
        <f t="shared" si="296"/>
        <v>0</v>
      </c>
      <c r="J1005" s="1881">
        <f t="shared" si="296"/>
        <v>0</v>
      </c>
      <c r="K1005" s="1881">
        <f t="shared" si="296"/>
        <v>0</v>
      </c>
    </row>
    <row r="1006" spans="1:19">
      <c r="A1006" s="742" t="s">
        <v>1115</v>
      </c>
      <c r="B1006" s="1881">
        <f>IF(AND('Part VII-Pro Forma'!$G$8="Yes",'Part VII-Pro Forma'!$G$9="Yes"),"Choose One!",IF('Part VII-Pro Forma'!$G$8="Yes",ROUND((-$K$8*(1+'Part VII-Pro Forma'!$B$6)^('Part VII-Pro Forma'!B1007-1)),),IF('Part VII-Pro Forma'!$G$9="Yes",ROUND((-(SUM(B1000:B1003)*'Part VII-Pro Forma'!$K$9)),),"Choose mgt fee")))</f>
        <v>0</v>
      </c>
      <c r="C1006" s="1881">
        <f>IF(AND('Part VII-Pro Forma'!$G$8="Yes",'Part VII-Pro Forma'!$G$9="Yes"),"Choose One!",IF('Part VII-Pro Forma'!$G$8="Yes",ROUND((-$K$8*(1+'Part VII-Pro Forma'!$B$6)^('Part VII-Pro Forma'!C1007-1)),),IF('Part VII-Pro Forma'!$G$9="Yes",ROUND((-(SUM(C1000:C1003)*'Part VII-Pro Forma'!$K$9)),),"Choose mgt fee")))</f>
        <v>0</v>
      </c>
      <c r="D1006" s="1881">
        <f>IF(AND('Part VII-Pro Forma'!$G$8="Yes",'Part VII-Pro Forma'!$G$9="Yes"),"Choose One!",IF('Part VII-Pro Forma'!$G$8="Yes",ROUND((-$K$8*(1+'Part VII-Pro Forma'!$B$6)^('Part VII-Pro Forma'!D1007-1)),),IF('Part VII-Pro Forma'!$G$9="Yes",ROUND((-(SUM(D1000:D1003)*'Part VII-Pro Forma'!$K$9)),),"Choose mgt fee")))</f>
        <v>0</v>
      </c>
      <c r="E1006" s="1881">
        <f>IF(AND('Part VII-Pro Forma'!$G$8="Yes",'Part VII-Pro Forma'!$G$9="Yes"),"Choose One!",IF('Part VII-Pro Forma'!$G$8="Yes",ROUND((-$K$8*(1+'Part VII-Pro Forma'!$B$6)^('Part VII-Pro Forma'!E1007-1)),),IF('Part VII-Pro Forma'!$G$9="Yes",ROUND((-(SUM(E1000:E1003)*'Part VII-Pro Forma'!$K$9)),),"Choose mgt fee")))</f>
        <v>0</v>
      </c>
      <c r="F1006" s="1881">
        <f>IF(AND('Part VII-Pro Forma'!$G$8="Yes",'Part VII-Pro Forma'!$G$9="Yes"),"Choose One!",IF('Part VII-Pro Forma'!$G$8="Yes",ROUND((-$K$8*(1+'Part VII-Pro Forma'!$B$6)^('Part VII-Pro Forma'!F1007-1)),),IF('Part VII-Pro Forma'!$G$9="Yes",ROUND((-(SUM(F1000:F1003)*'Part VII-Pro Forma'!$K$9)),),"Choose mgt fee")))</f>
        <v>0</v>
      </c>
      <c r="G1006" s="1881">
        <f>IF(AND('Part VII-Pro Forma'!$G$8="Yes",'Part VII-Pro Forma'!$G$9="Yes"),"Choose One!",IF('Part VII-Pro Forma'!$G$8="Yes",ROUND((-$K$8*(1+'Part VII-Pro Forma'!$B$6)^('Part VII-Pro Forma'!G1007-1)),),IF('Part VII-Pro Forma'!$G$9="Yes",ROUND((-(SUM(G1000:G1003)*'Part VII-Pro Forma'!$K$9)),),"Choose mgt fee")))</f>
        <v>0</v>
      </c>
      <c r="H1006" s="1881">
        <f>IF(AND('Part VII-Pro Forma'!$G$8="Yes",'Part VII-Pro Forma'!$G$9="Yes"),"Choose One!",IF('Part VII-Pro Forma'!$G$8="Yes",ROUND((-$K$8*(1+'Part VII-Pro Forma'!$B$6)^('Part VII-Pro Forma'!H1007-1)),),IF('Part VII-Pro Forma'!$G$9="Yes",ROUND((-(SUM(H1000:H1003)*'Part VII-Pro Forma'!$K$9)),),"Choose mgt fee")))</f>
        <v>0</v>
      </c>
      <c r="I1006" s="1881">
        <f>IF(AND('Part VII-Pro Forma'!$G$8="Yes",'Part VII-Pro Forma'!$G$9="Yes"),"Choose One!",IF('Part VII-Pro Forma'!$G$8="Yes",ROUND((-$K$8*(1+'Part VII-Pro Forma'!$B$6)^('Part VII-Pro Forma'!I1007-1)),),IF('Part VII-Pro Forma'!$G$9="Yes",ROUND((-(SUM(I1000:I1003)*'Part VII-Pro Forma'!$K$9)),),"Choose mgt fee")))</f>
        <v>0</v>
      </c>
      <c r="J1006" s="1881">
        <f>IF(AND('Part VII-Pro Forma'!$G$8="Yes",'Part VII-Pro Forma'!$G$9="Yes"),"Choose One!",IF('Part VII-Pro Forma'!$G$8="Yes",ROUND((-$K$8*(1+'Part VII-Pro Forma'!$B$6)^('Part VII-Pro Forma'!J1007-1)),),IF('Part VII-Pro Forma'!$G$9="Yes",ROUND((-(SUM(J1000:J1003)*'Part VII-Pro Forma'!$K$9)),),"Choose mgt fee")))</f>
        <v>0</v>
      </c>
      <c r="K1006" s="1881">
        <f>IF(AND('Part VII-Pro Forma'!$G$8="Yes",'Part VII-Pro Forma'!$G$9="Yes"),"Choose One!",IF('Part VII-Pro Forma'!$G$8="Yes",ROUND((-$K$8*(1+'Part VII-Pro Forma'!$B$6)^('Part VII-Pro Forma'!K1007-1)),),IF('Part VII-Pro Forma'!$G$9="Yes",ROUND((-(SUM(K1000:K1003)*'Part VII-Pro Forma'!$K$9)),),"Choose mgt fee")))</f>
        <v>0</v>
      </c>
    </row>
    <row r="1007" spans="1:19">
      <c r="A1007" s="742" t="s">
        <v>1202</v>
      </c>
      <c r="B1007" s="1881">
        <f t="shared" ref="B1007:K1007" si="297">$B$21*(1+$B$7)^(B999-1)</f>
        <v>0</v>
      </c>
      <c r="C1007" s="1881">
        <f t="shared" si="297"/>
        <v>0</v>
      </c>
      <c r="D1007" s="1881">
        <f t="shared" si="297"/>
        <v>0</v>
      </c>
      <c r="E1007" s="1881">
        <f t="shared" si="297"/>
        <v>0</v>
      </c>
      <c r="F1007" s="1881">
        <f t="shared" si="297"/>
        <v>0</v>
      </c>
      <c r="G1007" s="1881">
        <f t="shared" si="297"/>
        <v>0</v>
      </c>
      <c r="H1007" s="1881">
        <f t="shared" si="297"/>
        <v>0</v>
      </c>
      <c r="I1007" s="1881">
        <f t="shared" si="297"/>
        <v>0</v>
      </c>
      <c r="J1007" s="1881">
        <f t="shared" si="297"/>
        <v>0</v>
      </c>
      <c r="K1007" s="1881">
        <f t="shared" si="297"/>
        <v>0</v>
      </c>
    </row>
    <row r="1008" spans="1:19">
      <c r="A1008" s="742" t="s">
        <v>1203</v>
      </c>
      <c r="B1008" s="1881">
        <f t="shared" ref="B1008:K1008" si="298">SUM(B1000:B1007)</f>
        <v>0</v>
      </c>
      <c r="C1008" s="1881">
        <f t="shared" si="298"/>
        <v>0</v>
      </c>
      <c r="D1008" s="1881">
        <f t="shared" si="298"/>
        <v>0</v>
      </c>
      <c r="E1008" s="1881">
        <f t="shared" si="298"/>
        <v>0</v>
      </c>
      <c r="F1008" s="1881">
        <f t="shared" si="298"/>
        <v>0</v>
      </c>
      <c r="G1008" s="1881">
        <f t="shared" si="298"/>
        <v>0</v>
      </c>
      <c r="H1008" s="1881">
        <f t="shared" si="298"/>
        <v>0</v>
      </c>
      <c r="I1008" s="1881">
        <f t="shared" si="298"/>
        <v>0</v>
      </c>
      <c r="J1008" s="1881">
        <f t="shared" si="298"/>
        <v>0</v>
      </c>
      <c r="K1008" s="1881">
        <f t="shared" si="298"/>
        <v>0</v>
      </c>
    </row>
    <row r="1009" spans="1:11">
      <c r="A1009" s="742" t="str">
        <f>$A979</f>
        <v>Mortgage A</v>
      </c>
      <c r="B1009" s="1881">
        <f>'Part VII-Pro Forma'!B57</f>
        <v>-384782.82220370776</v>
      </c>
      <c r="C1009" s="1881">
        <f>'Part VII-Pro Forma'!C57</f>
        <v>-384782.82220370776</v>
      </c>
      <c r="D1009" s="1881">
        <f>'Part VII-Pro Forma'!D57</f>
        <v>-384782.82220370776</v>
      </c>
      <c r="E1009" s="1881">
        <f>'Part VII-Pro Forma'!E57</f>
        <v>-384782.82220370776</v>
      </c>
      <c r="F1009" s="1881">
        <f>'Part VII-Pro Forma'!F57</f>
        <v>-384782.82220370776</v>
      </c>
      <c r="G1009" s="1881">
        <f>'Part VII-Pro Forma'!G57</f>
        <v>-384782.82220370776</v>
      </c>
      <c r="H1009" s="1881">
        <f>'Part VII-Pro Forma'!H57</f>
        <v>-384782.82220370776</v>
      </c>
      <c r="I1009" s="1881">
        <f>'Part VII-Pro Forma'!I57</f>
        <v>-384782.82220370776</v>
      </c>
      <c r="J1009" s="1881">
        <f>'Part VII-Pro Forma'!J57</f>
        <v>-384782.82220370776</v>
      </c>
      <c r="K1009" s="1881">
        <f>'Part VII-Pro Forma'!K57</f>
        <v>-384782.82220370776</v>
      </c>
    </row>
    <row r="1010" spans="1:11">
      <c r="A1010" s="742" t="str">
        <f>$A980</f>
        <v>Mortgage B</v>
      </c>
      <c r="B1010" s="1881">
        <f>'Part VII-Pro Forma'!B58</f>
        <v>0</v>
      </c>
      <c r="C1010" s="1881">
        <f>'Part VII-Pro Forma'!C58</f>
        <v>0</v>
      </c>
      <c r="D1010" s="1881">
        <f>'Part VII-Pro Forma'!D58</f>
        <v>0</v>
      </c>
      <c r="E1010" s="1881">
        <f>'Part VII-Pro Forma'!E58</f>
        <v>0</v>
      </c>
      <c r="F1010" s="1881">
        <f>'Part VII-Pro Forma'!F58</f>
        <v>0</v>
      </c>
      <c r="G1010" s="1881">
        <f>'Part VII-Pro Forma'!G58</f>
        <v>0</v>
      </c>
      <c r="H1010" s="1881">
        <f>'Part VII-Pro Forma'!H58</f>
        <v>0</v>
      </c>
      <c r="I1010" s="1881">
        <f>'Part VII-Pro Forma'!I58</f>
        <v>0</v>
      </c>
      <c r="J1010" s="1881">
        <f>'Part VII-Pro Forma'!J58</f>
        <v>0</v>
      </c>
      <c r="K1010" s="1881">
        <f>'Part VII-Pro Forma'!K58</f>
        <v>0</v>
      </c>
    </row>
    <row r="1011" spans="1:11">
      <c r="A1011" s="742" t="str">
        <f>$A981</f>
        <v>Mortgage C</v>
      </c>
      <c r="B1011" s="1881">
        <f>'Part VII-Pro Forma'!B59</f>
        <v>0</v>
      </c>
      <c r="C1011" s="1881">
        <f>'Part VII-Pro Forma'!C59</f>
        <v>0</v>
      </c>
      <c r="D1011" s="1881">
        <f>'Part VII-Pro Forma'!D59</f>
        <v>0</v>
      </c>
      <c r="E1011" s="1881">
        <f>'Part VII-Pro Forma'!E59</f>
        <v>0</v>
      </c>
      <c r="F1011" s="1881">
        <f>'Part VII-Pro Forma'!F59</f>
        <v>0</v>
      </c>
      <c r="G1011" s="1881">
        <f>'Part VII-Pro Forma'!G59</f>
        <v>0</v>
      </c>
      <c r="H1011" s="1881">
        <f>'Part VII-Pro Forma'!H59</f>
        <v>0</v>
      </c>
      <c r="I1011" s="1881">
        <f>'Part VII-Pro Forma'!I59</f>
        <v>0</v>
      </c>
      <c r="J1011" s="1881">
        <f>'Part VII-Pro Forma'!J59</f>
        <v>0</v>
      </c>
      <c r="K1011" s="1881">
        <f>'Part VII-Pro Forma'!K59</f>
        <v>0</v>
      </c>
    </row>
    <row r="1012" spans="1:11">
      <c r="A1012" s="742" t="str">
        <f>$A982</f>
        <v>D/S Other Source,not DDF</v>
      </c>
      <c r="B1012" s="1881">
        <f>'Part VII-Pro Forma'!B60</f>
        <v>0</v>
      </c>
      <c r="C1012" s="1881">
        <f>'Part VII-Pro Forma'!C60</f>
        <v>0</v>
      </c>
      <c r="D1012" s="1881">
        <f>'Part VII-Pro Forma'!D60</f>
        <v>0</v>
      </c>
      <c r="E1012" s="1881">
        <f>'Part VII-Pro Forma'!E60</f>
        <v>0</v>
      </c>
      <c r="F1012" s="1881">
        <f>'Part VII-Pro Forma'!F60</f>
        <v>0</v>
      </c>
      <c r="G1012" s="1881">
        <f>'Part VII-Pro Forma'!G60</f>
        <v>0</v>
      </c>
      <c r="H1012" s="1881">
        <f>'Part VII-Pro Forma'!H60</f>
        <v>0</v>
      </c>
      <c r="I1012" s="1881">
        <f>'Part VII-Pro Forma'!I60</f>
        <v>0</v>
      </c>
      <c r="J1012" s="1881">
        <f>'Part VII-Pro Forma'!J60</f>
        <v>0</v>
      </c>
      <c r="K1012" s="1881">
        <f>'Part VII-Pro Forma'!K60</f>
        <v>0</v>
      </c>
    </row>
    <row r="1013" spans="1:11">
      <c r="A1013" s="742" t="s">
        <v>763</v>
      </c>
      <c r="B1013" s="1881">
        <f>'Part VII-Pro Forma'!B61</f>
        <v>0</v>
      </c>
      <c r="C1013" s="1881">
        <f>'Part VII-Pro Forma'!C61</f>
        <v>0</v>
      </c>
      <c r="D1013" s="1881">
        <f>'Part VII-Pro Forma'!D61</f>
        <v>0</v>
      </c>
      <c r="E1013" s="1881">
        <f>'Part VII-Pro Forma'!E61</f>
        <v>0</v>
      </c>
      <c r="F1013" s="1881">
        <f>'Part VII-Pro Forma'!F61</f>
        <v>0</v>
      </c>
      <c r="G1013" s="1881">
        <f>'Part VII-Pro Forma'!G61</f>
        <v>0</v>
      </c>
      <c r="H1013" s="1881">
        <f>'Part VII-Pro Forma'!H61</f>
        <v>0</v>
      </c>
      <c r="I1013" s="1881">
        <f>'Part VII-Pro Forma'!I61</f>
        <v>0</v>
      </c>
      <c r="J1013" s="1881">
        <f>'Part VII-Pro Forma'!J61</f>
        <v>0</v>
      </c>
      <c r="K1013" s="1881">
        <f>'Part VII-Pro Forma'!K61</f>
        <v>0</v>
      </c>
    </row>
    <row r="1014" spans="1:11">
      <c r="A1014" s="742" t="s">
        <v>1163</v>
      </c>
      <c r="B1014" s="1881">
        <f>'Part VII-Pro Forma'!B62</f>
        <v>0</v>
      </c>
      <c r="C1014" s="1881">
        <f>'Part VII-Pro Forma'!C62</f>
        <v>0</v>
      </c>
      <c r="D1014" s="1881">
        <f>'Part VII-Pro Forma'!D62</f>
        <v>0</v>
      </c>
      <c r="E1014" s="1881">
        <f>'Part VII-Pro Forma'!E62</f>
        <v>0</v>
      </c>
      <c r="F1014" s="1881">
        <f>'Part VII-Pro Forma'!F62</f>
        <v>0</v>
      </c>
      <c r="G1014" s="1881">
        <f>'Part VII-Pro Forma'!G62</f>
        <v>0</v>
      </c>
      <c r="H1014" s="1881">
        <f>'Part VII-Pro Forma'!H62</f>
        <v>0</v>
      </c>
      <c r="I1014" s="1881">
        <f>'Part VII-Pro Forma'!I62</f>
        <v>0</v>
      </c>
      <c r="J1014" s="1881">
        <f>'Part VII-Pro Forma'!J62</f>
        <v>0</v>
      </c>
      <c r="K1014" s="1881">
        <f>'Part VII-Pro Forma'!K62</f>
        <v>0</v>
      </c>
    </row>
    <row r="1015" spans="1:11">
      <c r="A1015" s="742" t="s">
        <v>4087</v>
      </c>
      <c r="B1015" s="1881">
        <f>'Part VII-Pro Forma'!B63</f>
        <v>-46211.9</v>
      </c>
      <c r="C1015" s="1881">
        <f>'Part VII-Pro Forma'!C63</f>
        <v>-46211.9</v>
      </c>
      <c r="D1015" s="1881">
        <f>'Part VII-Pro Forma'!D63</f>
        <v>-46211.9</v>
      </c>
      <c r="E1015" s="1881">
        <f>'Part VII-Pro Forma'!E63</f>
        <v>-46211.9</v>
      </c>
      <c r="F1015" s="1881">
        <f>'Part VII-Pro Forma'!F63</f>
        <v>-46211.9</v>
      </c>
      <c r="G1015" s="1881">
        <f>'Part VII-Pro Forma'!G63</f>
        <v>0</v>
      </c>
      <c r="H1015" s="1881">
        <f>'Part VII-Pro Forma'!H63</f>
        <v>0</v>
      </c>
      <c r="I1015" s="1881">
        <f>'Part VII-Pro Forma'!I63</f>
        <v>0</v>
      </c>
      <c r="J1015" s="1881">
        <f>'Part VII-Pro Forma'!J63</f>
        <v>0</v>
      </c>
      <c r="K1015" s="1881">
        <f>'Part VII-Pro Forma'!K63</f>
        <v>0</v>
      </c>
    </row>
    <row r="1016" spans="1:11">
      <c r="A1016" s="742" t="s">
        <v>1164</v>
      </c>
      <c r="B1016" s="1881">
        <f>SUM(B1008:B1015)</f>
        <v>-430994.72220370779</v>
      </c>
      <c r="C1016" s="1881">
        <f t="shared" ref="C1016:K1016" si="299">SUM(C1008:C1015)</f>
        <v>-430994.72220370779</v>
      </c>
      <c r="D1016" s="1881">
        <f t="shared" si="299"/>
        <v>-430994.72220370779</v>
      </c>
      <c r="E1016" s="1881">
        <f t="shared" si="299"/>
        <v>-430994.72220370779</v>
      </c>
      <c r="F1016" s="1881">
        <f t="shared" si="299"/>
        <v>-430994.72220370779</v>
      </c>
      <c r="G1016" s="1881">
        <f t="shared" si="299"/>
        <v>-384782.82220370776</v>
      </c>
      <c r="H1016" s="1881">
        <f t="shared" si="299"/>
        <v>-384782.82220370776</v>
      </c>
      <c r="I1016" s="1881">
        <f t="shared" si="299"/>
        <v>-384782.82220370776</v>
      </c>
      <c r="J1016" s="1881">
        <f t="shared" si="299"/>
        <v>-384782.82220370776</v>
      </c>
      <c r="K1016" s="1881">
        <f t="shared" si="299"/>
        <v>-384782.82220370776</v>
      </c>
    </row>
    <row r="1017" spans="1:11">
      <c r="A1017" s="742" t="str">
        <f>$A987</f>
        <v>DCR Mortgage A</v>
      </c>
      <c r="B1017" s="1882">
        <f t="shared" ref="B1017:K1017" si="300">IF(B1009=0,"",-B1008/B1009)</f>
        <v>0</v>
      </c>
      <c r="C1017" s="1882">
        <f t="shared" si="300"/>
        <v>0</v>
      </c>
      <c r="D1017" s="1882">
        <f t="shared" si="300"/>
        <v>0</v>
      </c>
      <c r="E1017" s="1882">
        <f t="shared" si="300"/>
        <v>0</v>
      </c>
      <c r="F1017" s="1882">
        <f t="shared" si="300"/>
        <v>0</v>
      </c>
      <c r="G1017" s="1882">
        <f t="shared" si="300"/>
        <v>0</v>
      </c>
      <c r="H1017" s="1882">
        <f t="shared" si="300"/>
        <v>0</v>
      </c>
      <c r="I1017" s="1882">
        <f t="shared" si="300"/>
        <v>0</v>
      </c>
      <c r="J1017" s="1882">
        <f t="shared" si="300"/>
        <v>0</v>
      </c>
      <c r="K1017" s="1882">
        <f t="shared" si="300"/>
        <v>0</v>
      </c>
    </row>
    <row r="1018" spans="1:11">
      <c r="A1018" s="742" t="str">
        <f>$A988</f>
        <v>DCR Mortgage B</v>
      </c>
      <c r="B1018" s="1882" t="str">
        <f t="shared" ref="B1018:K1018" si="301">IF(B1010=0,"",-(B1008+B1009)/B1010)</f>
        <v/>
      </c>
      <c r="C1018" s="1882" t="str">
        <f t="shared" si="301"/>
        <v/>
      </c>
      <c r="D1018" s="1882" t="str">
        <f t="shared" si="301"/>
        <v/>
      </c>
      <c r="E1018" s="1882" t="str">
        <f t="shared" si="301"/>
        <v/>
      </c>
      <c r="F1018" s="1882" t="str">
        <f t="shared" si="301"/>
        <v/>
      </c>
      <c r="G1018" s="1882" t="str">
        <f t="shared" si="301"/>
        <v/>
      </c>
      <c r="H1018" s="1882" t="str">
        <f t="shared" si="301"/>
        <v/>
      </c>
      <c r="I1018" s="1882" t="str">
        <f t="shared" si="301"/>
        <v/>
      </c>
      <c r="J1018" s="1882" t="str">
        <f t="shared" si="301"/>
        <v/>
      </c>
      <c r="K1018" s="1882" t="str">
        <f t="shared" si="301"/>
        <v/>
      </c>
    </row>
    <row r="1019" spans="1:11">
      <c r="A1019" s="742" t="str">
        <f>$A989</f>
        <v>DCR Mortgage C</v>
      </c>
      <c r="B1019" s="1882" t="str">
        <f t="shared" ref="B1019:K1019" si="302">IF(B1011=0,"",-(B1008+B1009+B1010)/B1011)</f>
        <v/>
      </c>
      <c r="C1019" s="1882" t="str">
        <f t="shared" si="302"/>
        <v/>
      </c>
      <c r="D1019" s="1882" t="str">
        <f t="shared" si="302"/>
        <v/>
      </c>
      <c r="E1019" s="1882" t="str">
        <f t="shared" si="302"/>
        <v/>
      </c>
      <c r="F1019" s="1882" t="str">
        <f t="shared" si="302"/>
        <v/>
      </c>
      <c r="G1019" s="1882" t="str">
        <f t="shared" si="302"/>
        <v/>
      </c>
      <c r="H1019" s="1882" t="str">
        <f t="shared" si="302"/>
        <v/>
      </c>
      <c r="I1019" s="1882" t="str">
        <f t="shared" si="302"/>
        <v/>
      </c>
      <c r="J1019" s="1882" t="str">
        <f t="shared" si="302"/>
        <v/>
      </c>
      <c r="K1019" s="1882" t="str">
        <f t="shared" si="302"/>
        <v/>
      </c>
    </row>
    <row r="1020" spans="1:11">
      <c r="A1020" s="742" t="str">
        <f>$A990</f>
        <v>DCR Other Source</v>
      </c>
      <c r="B1020" s="1882" t="str">
        <f t="shared" ref="B1020:K1020" si="303">IF(B1012=0,"",-(B1008+B1009+B1010+B1011)/B1012)</f>
        <v/>
      </c>
      <c r="C1020" s="1882" t="str">
        <f t="shared" si="303"/>
        <v/>
      </c>
      <c r="D1020" s="1882" t="str">
        <f t="shared" si="303"/>
        <v/>
      </c>
      <c r="E1020" s="1882" t="str">
        <f t="shared" si="303"/>
        <v/>
      </c>
      <c r="F1020" s="1882" t="str">
        <f t="shared" si="303"/>
        <v/>
      </c>
      <c r="G1020" s="1882" t="str">
        <f t="shared" si="303"/>
        <v/>
      </c>
      <c r="H1020" s="1882" t="str">
        <f t="shared" si="303"/>
        <v/>
      </c>
      <c r="I1020" s="1882" t="str">
        <f t="shared" si="303"/>
        <v/>
      </c>
      <c r="J1020" s="1882" t="str">
        <f t="shared" si="303"/>
        <v/>
      </c>
      <c r="K1020" s="1882" t="str">
        <f t="shared" si="303"/>
        <v/>
      </c>
    </row>
    <row r="1021" spans="1:11">
      <c r="A1021" s="742" t="s">
        <v>3713</v>
      </c>
      <c r="B1021" s="1882">
        <f t="shared" ref="B1021:K1021" si="304">IF(AND(B1009=0,B1010=0,B1011=0,B1012=0),"",-B1008/(B1009+B1010+B1011+B1012))</f>
        <v>0</v>
      </c>
      <c r="C1021" s="1882">
        <f t="shared" si="304"/>
        <v>0</v>
      </c>
      <c r="D1021" s="1882">
        <f t="shared" si="304"/>
        <v>0</v>
      </c>
      <c r="E1021" s="1882">
        <f t="shared" si="304"/>
        <v>0</v>
      </c>
      <c r="F1021" s="1882">
        <f t="shared" si="304"/>
        <v>0</v>
      </c>
      <c r="G1021" s="1882">
        <f t="shared" si="304"/>
        <v>0</v>
      </c>
      <c r="H1021" s="1882">
        <f t="shared" si="304"/>
        <v>0</v>
      </c>
      <c r="I1021" s="1882">
        <f t="shared" si="304"/>
        <v>0</v>
      </c>
      <c r="J1021" s="1882">
        <f t="shared" si="304"/>
        <v>0</v>
      </c>
      <c r="K1021" s="1882">
        <f t="shared" si="304"/>
        <v>0</v>
      </c>
    </row>
    <row r="1022" spans="1:11">
      <c r="A1022" s="742" t="s">
        <v>770</v>
      </c>
      <c r="B1022" s="1883" t="e">
        <f t="shared" ref="B1022:K1022" si="305">IF(OR(B1006="Choose mgt fee",B1006="Choose One!"),"",(B1000+B1001+B1002+B1003+B1004) / -(B1005+B1006+B1007))</f>
        <v>#DIV/0!</v>
      </c>
      <c r="C1022" s="1883" t="e">
        <f t="shared" si="305"/>
        <v>#DIV/0!</v>
      </c>
      <c r="D1022" s="1883" t="e">
        <f t="shared" si="305"/>
        <v>#DIV/0!</v>
      </c>
      <c r="E1022" s="1883" t="e">
        <f t="shared" si="305"/>
        <v>#DIV/0!</v>
      </c>
      <c r="F1022" s="1883" t="e">
        <f t="shared" si="305"/>
        <v>#DIV/0!</v>
      </c>
      <c r="G1022" s="1883" t="e">
        <f t="shared" si="305"/>
        <v>#DIV/0!</v>
      </c>
      <c r="H1022" s="1883" t="e">
        <f t="shared" si="305"/>
        <v>#DIV/0!</v>
      </c>
      <c r="I1022" s="1883" t="e">
        <f t="shared" si="305"/>
        <v>#DIV/0!</v>
      </c>
      <c r="J1022" s="1883" t="e">
        <f t="shared" si="305"/>
        <v>#DIV/0!</v>
      </c>
      <c r="K1022" s="1883" t="e">
        <f t="shared" si="305"/>
        <v>#DIV/0!</v>
      </c>
    </row>
    <row r="1023" spans="1:11">
      <c r="A1023" s="742" t="s">
        <v>2617</v>
      </c>
      <c r="B1023" s="1881">
        <f>'Part VII-Pro Forma'!B71</f>
        <v>5697261.9932317138</v>
      </c>
      <c r="C1023" s="1881">
        <f>'Part VII-Pro Forma'!C71</f>
        <v>5560420.9540103842</v>
      </c>
      <c r="D1023" s="1881">
        <f>'Part VII-Pro Forma'!D71</f>
        <v>5417435.9890657514</v>
      </c>
      <c r="E1023" s="1881">
        <f>'Part VII-Pro Forma'!E71</f>
        <v>5268031.2467709323</v>
      </c>
      <c r="F1023" s="1881">
        <f>'Part VII-Pro Forma'!F71</f>
        <v>5111918.4902386293</v>
      </c>
      <c r="G1023" s="1881">
        <f>'Part VII-Pro Forma'!G71</f>
        <v>4948796.541244383</v>
      </c>
      <c r="H1023" s="1881">
        <f>'Part VII-Pro Forma'!H71</f>
        <v>4778350.6991829388</v>
      </c>
      <c r="I1023" s="1881">
        <f>'Part VII-Pro Forma'!I71</f>
        <v>4600252.1339367656</v>
      </c>
      <c r="J1023" s="1881">
        <f>'Part VII-Pro Forma'!J71</f>
        <v>4414157.2514854185</v>
      </c>
      <c r="K1023" s="1881">
        <f>'Part VII-Pro Forma'!K71</f>
        <v>4219707.03103186</v>
      </c>
    </row>
    <row r="1024" spans="1:11">
      <c r="A1024" s="742" t="s">
        <v>2618</v>
      </c>
      <c r="B1024" s="1881" t="str">
        <f>'Part VII-Pro Forma'!B72</f>
        <v/>
      </c>
      <c r="C1024" s="1881" t="str">
        <f>'Part VII-Pro Forma'!C72</f>
        <v/>
      </c>
      <c r="D1024" s="1881" t="str">
        <f>'Part VII-Pro Forma'!D72</f>
        <v/>
      </c>
      <c r="E1024" s="1881" t="str">
        <f>'Part VII-Pro Forma'!E72</f>
        <v/>
      </c>
      <c r="F1024" s="1881" t="str">
        <f>'Part VII-Pro Forma'!F72</f>
        <v/>
      </c>
      <c r="G1024" s="1881" t="str">
        <f>'Part VII-Pro Forma'!G72</f>
        <v/>
      </c>
      <c r="H1024" s="1881" t="str">
        <f>'Part VII-Pro Forma'!H72</f>
        <v/>
      </c>
      <c r="I1024" s="1881" t="str">
        <f>'Part VII-Pro Forma'!I72</f>
        <v/>
      </c>
      <c r="J1024" s="1881" t="str">
        <f>'Part VII-Pro Forma'!J72</f>
        <v/>
      </c>
      <c r="K1024" s="1881" t="str">
        <f>'Part VII-Pro Forma'!K72</f>
        <v/>
      </c>
    </row>
    <row r="1025" spans="1:11">
      <c r="A1025" s="742" t="s">
        <v>2619</v>
      </c>
      <c r="B1025" s="1881" t="str">
        <f>'Part VII-Pro Forma'!B73</f>
        <v/>
      </c>
      <c r="C1025" s="1881" t="str">
        <f>'Part VII-Pro Forma'!C73</f>
        <v/>
      </c>
      <c r="D1025" s="1881" t="str">
        <f>'Part VII-Pro Forma'!D73</f>
        <v/>
      </c>
      <c r="E1025" s="1881" t="str">
        <f>'Part VII-Pro Forma'!E73</f>
        <v/>
      </c>
      <c r="F1025" s="1881" t="str">
        <f>'Part VII-Pro Forma'!F73</f>
        <v/>
      </c>
      <c r="G1025" s="1881" t="str">
        <f>'Part VII-Pro Forma'!G73</f>
        <v/>
      </c>
      <c r="H1025" s="1881" t="str">
        <f>'Part VII-Pro Forma'!H73</f>
        <v/>
      </c>
      <c r="I1025" s="1881" t="str">
        <f>'Part VII-Pro Forma'!I73</f>
        <v/>
      </c>
      <c r="J1025" s="1881" t="str">
        <f>'Part VII-Pro Forma'!J73</f>
        <v/>
      </c>
      <c r="K1025" s="1881" t="str">
        <f>'Part VII-Pro Forma'!K73</f>
        <v/>
      </c>
    </row>
    <row r="1026" spans="1:11">
      <c r="A1026" s="742" t="s">
        <v>784</v>
      </c>
      <c r="B1026" s="1881" t="str">
        <f>'Part VII-Pro Forma'!B74</f>
        <v/>
      </c>
      <c r="C1026" s="1881" t="str">
        <f>'Part VII-Pro Forma'!C74</f>
        <v/>
      </c>
      <c r="D1026" s="1881" t="str">
        <f>'Part VII-Pro Forma'!D74</f>
        <v/>
      </c>
      <c r="E1026" s="1881" t="str">
        <f>'Part VII-Pro Forma'!E74</f>
        <v/>
      </c>
      <c r="F1026" s="1881" t="str">
        <f>'Part VII-Pro Forma'!F74</f>
        <v/>
      </c>
      <c r="G1026" s="1881" t="str">
        <f>'Part VII-Pro Forma'!G74</f>
        <v/>
      </c>
      <c r="H1026" s="1881" t="str">
        <f>'Part VII-Pro Forma'!H74</f>
        <v/>
      </c>
      <c r="I1026" s="1881" t="str">
        <f>'Part VII-Pro Forma'!I74</f>
        <v/>
      </c>
      <c r="J1026" s="1881" t="str">
        <f>'Part VII-Pro Forma'!J74</f>
        <v/>
      </c>
      <c r="K1026" s="1881" t="str">
        <f>'Part VII-Pro Forma'!K74</f>
        <v/>
      </c>
    </row>
    <row r="1027" spans="1:11">
      <c r="A1027" s="742" t="s">
        <v>4088</v>
      </c>
      <c r="B1027" s="1881">
        <f>'Part VII-Pro Forma'!B75</f>
        <v>0</v>
      </c>
      <c r="C1027" s="1881">
        <f>'Part VII-Pro Forma'!C75</f>
        <v>0</v>
      </c>
      <c r="D1027" s="1881">
        <f>'Part VII-Pro Forma'!D75</f>
        <v>0</v>
      </c>
      <c r="E1027" s="1881">
        <f>'Part VII-Pro Forma'!E75</f>
        <v>0</v>
      </c>
      <c r="F1027" s="1881">
        <f>'Part VII-Pro Forma'!F75</f>
        <v>0</v>
      </c>
      <c r="G1027" s="1881">
        <f>'Part VII-Pro Forma'!G75</f>
        <v>0</v>
      </c>
      <c r="H1027" s="1881" t="str">
        <f>'Part VII-Pro Forma'!H75</f>
        <v/>
      </c>
      <c r="I1027" s="1881" t="str">
        <f>'Part VII-Pro Forma'!I75</f>
        <v/>
      </c>
      <c r="J1027" s="1881" t="str">
        <f>'Part VII-Pro Forma'!J75</f>
        <v/>
      </c>
      <c r="K1027" s="1881" t="str">
        <f>'Part VII-Pro Forma'!K75</f>
        <v/>
      </c>
    </row>
    <row r="1028" spans="1:11">
      <c r="B1028" s="1881"/>
      <c r="C1028" s="1881"/>
      <c r="D1028" s="1881"/>
      <c r="E1028" s="1881"/>
      <c r="F1028" s="1881"/>
      <c r="G1028" s="1881"/>
      <c r="H1028" s="1881"/>
      <c r="I1028" s="1881"/>
      <c r="J1028" s="1881"/>
      <c r="K1028" s="1881"/>
    </row>
    <row r="1029" spans="1:11">
      <c r="A1029" s="1641" t="s">
        <v>2480</v>
      </c>
      <c r="B1029" s="1884">
        <f>K999+1</f>
        <v>21</v>
      </c>
      <c r="C1029" s="1884">
        <f t="shared" ref="C1029:K1029" si="306">B1029+1</f>
        <v>22</v>
      </c>
      <c r="D1029" s="1884">
        <f t="shared" si="306"/>
        <v>23</v>
      </c>
      <c r="E1029" s="1884">
        <f t="shared" si="306"/>
        <v>24</v>
      </c>
      <c r="F1029" s="1884">
        <f t="shared" si="306"/>
        <v>25</v>
      </c>
      <c r="G1029" s="1884">
        <f t="shared" si="306"/>
        <v>26</v>
      </c>
      <c r="H1029" s="1884">
        <f t="shared" si="306"/>
        <v>27</v>
      </c>
      <c r="I1029" s="1884">
        <f t="shared" si="306"/>
        <v>28</v>
      </c>
      <c r="J1029" s="1884">
        <f t="shared" si="306"/>
        <v>29</v>
      </c>
      <c r="K1029" s="1884">
        <f t="shared" si="306"/>
        <v>30</v>
      </c>
    </row>
    <row r="1030" spans="1:11">
      <c r="A1030" s="742" t="s">
        <v>2404</v>
      </c>
      <c r="B1030" s="1881">
        <f t="shared" ref="B1030:K1030" si="307">$B$14*(1+$B$5)^(B1029-1)</f>
        <v>0</v>
      </c>
      <c r="C1030" s="1881">
        <f t="shared" si="307"/>
        <v>0</v>
      </c>
      <c r="D1030" s="1881">
        <f t="shared" si="307"/>
        <v>0</v>
      </c>
      <c r="E1030" s="1881">
        <f t="shared" si="307"/>
        <v>0</v>
      </c>
      <c r="F1030" s="1881">
        <f t="shared" si="307"/>
        <v>0</v>
      </c>
      <c r="G1030" s="1881">
        <f t="shared" si="307"/>
        <v>0</v>
      </c>
      <c r="H1030" s="1881">
        <f t="shared" si="307"/>
        <v>0</v>
      </c>
      <c r="I1030" s="1881">
        <f t="shared" si="307"/>
        <v>0</v>
      </c>
      <c r="J1030" s="1881">
        <f t="shared" si="307"/>
        <v>0</v>
      </c>
      <c r="K1030" s="1881">
        <f t="shared" si="307"/>
        <v>0</v>
      </c>
    </row>
    <row r="1031" spans="1:11">
      <c r="A1031" s="742" t="s">
        <v>1016</v>
      </c>
      <c r="B1031" s="1881">
        <f t="shared" ref="B1031:K1031" si="308">$B$15*(1+$B$5)^(B1029-1)</f>
        <v>0</v>
      </c>
      <c r="C1031" s="1881">
        <f t="shared" si="308"/>
        <v>0</v>
      </c>
      <c r="D1031" s="1881">
        <f t="shared" si="308"/>
        <v>0</v>
      </c>
      <c r="E1031" s="1881">
        <f t="shared" si="308"/>
        <v>0</v>
      </c>
      <c r="F1031" s="1881">
        <f t="shared" si="308"/>
        <v>0</v>
      </c>
      <c r="G1031" s="1881">
        <f t="shared" si="308"/>
        <v>0</v>
      </c>
      <c r="H1031" s="1881">
        <f t="shared" si="308"/>
        <v>0</v>
      </c>
      <c r="I1031" s="1881">
        <f t="shared" si="308"/>
        <v>0</v>
      </c>
      <c r="J1031" s="1881">
        <f t="shared" si="308"/>
        <v>0</v>
      </c>
      <c r="K1031" s="1881">
        <f t="shared" si="308"/>
        <v>0</v>
      </c>
    </row>
    <row r="1032" spans="1:11">
      <c r="A1032" s="742" t="s">
        <v>2405</v>
      </c>
      <c r="B1032" s="1881">
        <f t="shared" ref="B1032:K1032" si="309">-(B1030+B1031)*$B$8</f>
        <v>0</v>
      </c>
      <c r="C1032" s="1881">
        <f t="shared" si="309"/>
        <v>0</v>
      </c>
      <c r="D1032" s="1881">
        <f t="shared" si="309"/>
        <v>0</v>
      </c>
      <c r="E1032" s="1881">
        <f t="shared" si="309"/>
        <v>0</v>
      </c>
      <c r="F1032" s="1881">
        <f t="shared" si="309"/>
        <v>0</v>
      </c>
      <c r="G1032" s="1881">
        <f t="shared" si="309"/>
        <v>0</v>
      </c>
      <c r="H1032" s="1881">
        <f t="shared" si="309"/>
        <v>0</v>
      </c>
      <c r="I1032" s="1881">
        <f t="shared" si="309"/>
        <v>0</v>
      </c>
      <c r="J1032" s="1881">
        <f t="shared" si="309"/>
        <v>0</v>
      </c>
      <c r="K1032" s="1881">
        <f t="shared" si="309"/>
        <v>0</v>
      </c>
    </row>
    <row r="1033" spans="1:11">
      <c r="A1033" s="742" t="s">
        <v>52</v>
      </c>
      <c r="B1033" s="1881">
        <f>'Part VI-Revenues &amp; Expenses'!G1157</f>
        <v>0</v>
      </c>
      <c r="C1033" s="1881">
        <f>'Part VI-Revenues &amp; Expenses'!H1157</f>
        <v>0</v>
      </c>
      <c r="D1033" s="1881">
        <f>'Part VI-Revenues &amp; Expenses'!I1157</f>
        <v>0</v>
      </c>
      <c r="E1033" s="1881">
        <f>'Part VI-Revenues &amp; Expenses'!J1157</f>
        <v>0</v>
      </c>
      <c r="F1033" s="1881">
        <f>'Part VI-Revenues &amp; Expenses'!K1157</f>
        <v>0</v>
      </c>
      <c r="G1033" s="1881">
        <f>'Part VI-Revenues &amp; Expenses'!L1157</f>
        <v>0</v>
      </c>
      <c r="H1033" s="1881">
        <f>'Part VI-Revenues &amp; Expenses'!M1157</f>
        <v>0</v>
      </c>
      <c r="I1033" s="1881">
        <f>'Part VI-Revenues &amp; Expenses'!N1157</f>
        <v>0</v>
      </c>
      <c r="J1033" s="1881">
        <f>'Part VI-Revenues &amp; Expenses'!O1157</f>
        <v>0</v>
      </c>
      <c r="K1033" s="1881">
        <f>'Part VI-Revenues &amp; Expenses'!P1157</f>
        <v>0</v>
      </c>
    </row>
    <row r="1034" spans="1:11">
      <c r="A1034" s="742" t="s">
        <v>53</v>
      </c>
      <c r="B1034" s="1881">
        <f>'Part VI-Revenues &amp; Expenses'!G1161</f>
        <v>0</v>
      </c>
      <c r="C1034" s="1881">
        <f>'Part VI-Revenues &amp; Expenses'!H1161</f>
        <v>0</v>
      </c>
      <c r="D1034" s="1881">
        <f>'Part VI-Revenues &amp; Expenses'!I1161</f>
        <v>0</v>
      </c>
      <c r="E1034" s="1881">
        <f>'Part VI-Revenues &amp; Expenses'!J1161</f>
        <v>0</v>
      </c>
      <c r="F1034" s="1881">
        <f>'Part VI-Revenues &amp; Expenses'!K1161</f>
        <v>0</v>
      </c>
      <c r="G1034" s="1881">
        <f>'Part VI-Revenues &amp; Expenses'!L1161</f>
        <v>0</v>
      </c>
      <c r="H1034" s="1881">
        <f>'Part VI-Revenues &amp; Expenses'!M1161</f>
        <v>0</v>
      </c>
      <c r="I1034" s="1881">
        <f>'Part VI-Revenues &amp; Expenses'!N1161</f>
        <v>0</v>
      </c>
      <c r="J1034" s="1881">
        <f>'Part VI-Revenues &amp; Expenses'!O1161</f>
        <v>0</v>
      </c>
      <c r="K1034" s="1881">
        <f>'Part VI-Revenues &amp; Expenses'!P1161</f>
        <v>0</v>
      </c>
    </row>
    <row r="1035" spans="1:11">
      <c r="A1035" s="742" t="s">
        <v>614</v>
      </c>
      <c r="B1035" s="1881">
        <f t="shared" ref="B1035:K1035" si="310">$B$19*(1+$B$6)^(B1029-1)</f>
        <v>0</v>
      </c>
      <c r="C1035" s="1881">
        <f t="shared" si="310"/>
        <v>0</v>
      </c>
      <c r="D1035" s="1881">
        <f t="shared" si="310"/>
        <v>0</v>
      </c>
      <c r="E1035" s="1881">
        <f t="shared" si="310"/>
        <v>0</v>
      </c>
      <c r="F1035" s="1881">
        <f t="shared" si="310"/>
        <v>0</v>
      </c>
      <c r="G1035" s="1881">
        <f t="shared" si="310"/>
        <v>0</v>
      </c>
      <c r="H1035" s="1881">
        <f t="shared" si="310"/>
        <v>0</v>
      </c>
      <c r="I1035" s="1881">
        <f t="shared" si="310"/>
        <v>0</v>
      </c>
      <c r="J1035" s="1881">
        <f t="shared" si="310"/>
        <v>0</v>
      </c>
      <c r="K1035" s="1881">
        <f t="shared" si="310"/>
        <v>0</v>
      </c>
    </row>
    <row r="1036" spans="1:11">
      <c r="A1036" s="742" t="s">
        <v>1115</v>
      </c>
      <c r="B1036" s="1881">
        <f>IF(AND('Part VII-Pro Forma'!$G$8="Yes",'Part VII-Pro Forma'!$G$9="Yes"),"Choose One!",IF('Part VII-Pro Forma'!$G$8="Yes",ROUND((-$K$8*(1+'Part VII-Pro Forma'!$B$6)^('Part VII-Pro Forma'!B1037-1)),),IF('Part VII-Pro Forma'!$G$9="Yes",ROUND((-(SUM(B1030:B1033)*'Part VII-Pro Forma'!$K$9)),),"Choose mgt fee")))</f>
        <v>0</v>
      </c>
      <c r="C1036" s="1881">
        <f>IF(AND('Part VII-Pro Forma'!$G$8="Yes",'Part VII-Pro Forma'!$G$9="Yes"),"Choose One!",IF('Part VII-Pro Forma'!$G$8="Yes",ROUND((-$K$8*(1+'Part VII-Pro Forma'!$B$6)^('Part VII-Pro Forma'!C1037-1)),),IF('Part VII-Pro Forma'!$G$9="Yes",ROUND((-(SUM(C1030:C1033)*'Part VII-Pro Forma'!$K$9)),),"Choose mgt fee")))</f>
        <v>0</v>
      </c>
      <c r="D1036" s="1881">
        <f>IF(AND('Part VII-Pro Forma'!$G$8="Yes",'Part VII-Pro Forma'!$G$9="Yes"),"Choose One!",IF('Part VII-Pro Forma'!$G$8="Yes",ROUND((-$K$8*(1+'Part VII-Pro Forma'!$B$6)^('Part VII-Pro Forma'!D1037-1)),),IF('Part VII-Pro Forma'!$G$9="Yes",ROUND((-(SUM(D1030:D1033)*'Part VII-Pro Forma'!$K$9)),),"Choose mgt fee")))</f>
        <v>0</v>
      </c>
      <c r="E1036" s="1881">
        <f>IF(AND('Part VII-Pro Forma'!$G$8="Yes",'Part VII-Pro Forma'!$G$9="Yes"),"Choose One!",IF('Part VII-Pro Forma'!$G$8="Yes",ROUND((-$K$8*(1+'Part VII-Pro Forma'!$B$6)^('Part VII-Pro Forma'!E1037-1)),),IF('Part VII-Pro Forma'!$G$9="Yes",ROUND((-(SUM(E1030:E1033)*'Part VII-Pro Forma'!$K$9)),),"Choose mgt fee")))</f>
        <v>0</v>
      </c>
      <c r="F1036" s="1881">
        <f>IF(AND('Part VII-Pro Forma'!$G$8="Yes",'Part VII-Pro Forma'!$G$9="Yes"),"Choose One!",IF('Part VII-Pro Forma'!$G$8="Yes",ROUND((-$K$8*(1+'Part VII-Pro Forma'!$B$6)^('Part VII-Pro Forma'!F1037-1)),),IF('Part VII-Pro Forma'!$G$9="Yes",ROUND((-(SUM(F1030:F1033)*'Part VII-Pro Forma'!$K$9)),),"Choose mgt fee")))</f>
        <v>0</v>
      </c>
      <c r="G1036" s="1881">
        <f>IF(AND('Part VII-Pro Forma'!$G$8="Yes",'Part VII-Pro Forma'!$G$9="Yes"),"Choose One!",IF('Part VII-Pro Forma'!$G$8="Yes",ROUND((-$K$8*(1+'Part VII-Pro Forma'!$B$6)^('Part VII-Pro Forma'!G1037-1)),),IF('Part VII-Pro Forma'!$G$9="Yes",ROUND((-(SUM(G1030:G1033)*'Part VII-Pro Forma'!$K$9)),),"Choose mgt fee")))</f>
        <v>0</v>
      </c>
      <c r="H1036" s="1881">
        <f>IF(AND('Part VII-Pro Forma'!$G$8="Yes",'Part VII-Pro Forma'!$G$9="Yes"),"Choose One!",IF('Part VII-Pro Forma'!$G$8="Yes",ROUND((-$K$8*(1+'Part VII-Pro Forma'!$B$6)^('Part VII-Pro Forma'!H1037-1)),),IF('Part VII-Pro Forma'!$G$9="Yes",ROUND((-(SUM(H1030:H1033)*'Part VII-Pro Forma'!$K$9)),),"Choose mgt fee")))</f>
        <v>0</v>
      </c>
      <c r="I1036" s="1881">
        <f>IF(AND('Part VII-Pro Forma'!$G$8="Yes",'Part VII-Pro Forma'!$G$9="Yes"),"Choose One!",IF('Part VII-Pro Forma'!$G$8="Yes",ROUND((-$K$8*(1+'Part VII-Pro Forma'!$B$6)^('Part VII-Pro Forma'!I1037-1)),),IF('Part VII-Pro Forma'!$G$9="Yes",ROUND((-(SUM(I1030:I1033)*'Part VII-Pro Forma'!$K$9)),),"Choose mgt fee")))</f>
        <v>0</v>
      </c>
      <c r="J1036" s="1881">
        <f>IF(AND('Part VII-Pro Forma'!$G$8="Yes",'Part VII-Pro Forma'!$G$9="Yes"),"Choose One!",IF('Part VII-Pro Forma'!$G$8="Yes",ROUND((-$K$8*(1+'Part VII-Pro Forma'!$B$6)^('Part VII-Pro Forma'!J1037-1)),),IF('Part VII-Pro Forma'!$G$9="Yes",ROUND((-(SUM(J1030:J1033)*'Part VII-Pro Forma'!$K$9)),),"Choose mgt fee")))</f>
        <v>0</v>
      </c>
      <c r="K1036" s="1881">
        <f>IF(AND('Part VII-Pro Forma'!$G$8="Yes",'Part VII-Pro Forma'!$G$9="Yes"),"Choose One!",IF('Part VII-Pro Forma'!$G$8="Yes",ROUND((-$K$8*(1+'Part VII-Pro Forma'!$B$6)^('Part VII-Pro Forma'!K1037-1)),),IF('Part VII-Pro Forma'!$G$9="Yes",ROUND((-(SUM(K1030:K1033)*'Part VII-Pro Forma'!$K$9)),),"Choose mgt fee")))</f>
        <v>0</v>
      </c>
    </row>
    <row r="1037" spans="1:11">
      <c r="A1037" s="742" t="s">
        <v>1202</v>
      </c>
      <c r="B1037" s="1881">
        <f t="shared" ref="B1037:K1037" si="311">$B$21*(1+$B$7)^(B1029-1)</f>
        <v>0</v>
      </c>
      <c r="C1037" s="1881">
        <f t="shared" si="311"/>
        <v>0</v>
      </c>
      <c r="D1037" s="1881">
        <f t="shared" si="311"/>
        <v>0</v>
      </c>
      <c r="E1037" s="1881">
        <f t="shared" si="311"/>
        <v>0</v>
      </c>
      <c r="F1037" s="1881">
        <f t="shared" si="311"/>
        <v>0</v>
      </c>
      <c r="G1037" s="1881">
        <f t="shared" si="311"/>
        <v>0</v>
      </c>
      <c r="H1037" s="1881">
        <f t="shared" si="311"/>
        <v>0</v>
      </c>
      <c r="I1037" s="1881">
        <f t="shared" si="311"/>
        <v>0</v>
      </c>
      <c r="J1037" s="1881">
        <f t="shared" si="311"/>
        <v>0</v>
      </c>
      <c r="K1037" s="1881">
        <f t="shared" si="311"/>
        <v>0</v>
      </c>
    </row>
    <row r="1038" spans="1:11">
      <c r="A1038" s="742" t="s">
        <v>1203</v>
      </c>
      <c r="B1038" s="1881">
        <f t="shared" ref="B1038:K1038" si="312">SUM(B1030:B1037)</f>
        <v>0</v>
      </c>
      <c r="C1038" s="1881">
        <f t="shared" si="312"/>
        <v>0</v>
      </c>
      <c r="D1038" s="1881">
        <f t="shared" si="312"/>
        <v>0</v>
      </c>
      <c r="E1038" s="1881">
        <f t="shared" si="312"/>
        <v>0</v>
      </c>
      <c r="F1038" s="1881">
        <f t="shared" si="312"/>
        <v>0</v>
      </c>
      <c r="G1038" s="1881">
        <f t="shared" si="312"/>
        <v>0</v>
      </c>
      <c r="H1038" s="1881">
        <f t="shared" si="312"/>
        <v>0</v>
      </c>
      <c r="I1038" s="1881">
        <f t="shared" si="312"/>
        <v>0</v>
      </c>
      <c r="J1038" s="1881">
        <f t="shared" si="312"/>
        <v>0</v>
      </c>
      <c r="K1038" s="1881">
        <f t="shared" si="312"/>
        <v>0</v>
      </c>
    </row>
    <row r="1039" spans="1:11">
      <c r="A1039" s="742" t="str">
        <f>$A1009</f>
        <v>Mortgage A</v>
      </c>
      <c r="B1039" s="1881">
        <f>'Part VII-Pro Forma'!B89</f>
        <v>-384782.82220370776</v>
      </c>
      <c r="C1039" s="1881">
        <f>'Part VII-Pro Forma'!C89</f>
        <v>-384782.82220370776</v>
      </c>
      <c r="D1039" s="1881">
        <f>'Part VII-Pro Forma'!D89</f>
        <v>-384782.82220370776</v>
      </c>
      <c r="E1039" s="1881">
        <f>'Part VII-Pro Forma'!E89</f>
        <v>-384782.82220370776</v>
      </c>
      <c r="F1039" s="1881">
        <f>'Part VII-Pro Forma'!F89</f>
        <v>-384782.82220370776</v>
      </c>
      <c r="G1039" s="1881">
        <f>'Part VII-Pro Forma'!G89</f>
        <v>-384782.82220370776</v>
      </c>
      <c r="H1039" s="1881">
        <f>'Part VII-Pro Forma'!H89</f>
        <v>-384782.82220370776</v>
      </c>
      <c r="I1039" s="1881">
        <f>'Part VII-Pro Forma'!I89</f>
        <v>-384782.82220370776</v>
      </c>
      <c r="J1039" s="1881">
        <f>'Part VII-Pro Forma'!J89</f>
        <v>-384782.82220370776</v>
      </c>
      <c r="K1039" s="1881">
        <f>'Part VII-Pro Forma'!K89</f>
        <v>-384782.82220370776</v>
      </c>
    </row>
    <row r="1040" spans="1:11">
      <c r="A1040" s="742" t="str">
        <f>$A1010</f>
        <v>Mortgage B</v>
      </c>
      <c r="B1040" s="1881">
        <f>'Part VII-Pro Forma'!B90</f>
        <v>0</v>
      </c>
      <c r="C1040" s="1881">
        <f>'Part VII-Pro Forma'!C90</f>
        <v>0</v>
      </c>
      <c r="D1040" s="1881">
        <f>'Part VII-Pro Forma'!D90</f>
        <v>0</v>
      </c>
      <c r="E1040" s="1881">
        <f>'Part VII-Pro Forma'!E90</f>
        <v>0</v>
      </c>
      <c r="F1040" s="1881">
        <f>'Part VII-Pro Forma'!F90</f>
        <v>0</v>
      </c>
      <c r="G1040" s="1881">
        <f>'Part VII-Pro Forma'!G90</f>
        <v>0</v>
      </c>
      <c r="H1040" s="1881">
        <f>'Part VII-Pro Forma'!H90</f>
        <v>0</v>
      </c>
      <c r="I1040" s="1881">
        <f>'Part VII-Pro Forma'!I90</f>
        <v>0</v>
      </c>
      <c r="J1040" s="1881">
        <f>'Part VII-Pro Forma'!J90</f>
        <v>0</v>
      </c>
      <c r="K1040" s="1881">
        <f>'Part VII-Pro Forma'!K90</f>
        <v>0</v>
      </c>
    </row>
    <row r="1041" spans="1:11">
      <c r="A1041" s="742" t="str">
        <f>$A1011</f>
        <v>Mortgage C</v>
      </c>
      <c r="B1041" s="1881">
        <f>'Part VII-Pro Forma'!B91</f>
        <v>0</v>
      </c>
      <c r="C1041" s="1881">
        <f>'Part VII-Pro Forma'!C91</f>
        <v>0</v>
      </c>
      <c r="D1041" s="1881">
        <f>'Part VII-Pro Forma'!D91</f>
        <v>0</v>
      </c>
      <c r="E1041" s="1881">
        <f>'Part VII-Pro Forma'!E91</f>
        <v>0</v>
      </c>
      <c r="F1041" s="1881">
        <f>'Part VII-Pro Forma'!F91</f>
        <v>0</v>
      </c>
      <c r="G1041" s="1881">
        <f>'Part VII-Pro Forma'!G91</f>
        <v>0</v>
      </c>
      <c r="H1041" s="1881">
        <f>'Part VII-Pro Forma'!H91</f>
        <v>0</v>
      </c>
      <c r="I1041" s="1881">
        <f>'Part VII-Pro Forma'!I91</f>
        <v>0</v>
      </c>
      <c r="J1041" s="1881">
        <f>'Part VII-Pro Forma'!J91</f>
        <v>0</v>
      </c>
      <c r="K1041" s="1881">
        <f>'Part VII-Pro Forma'!K91</f>
        <v>0</v>
      </c>
    </row>
    <row r="1042" spans="1:11">
      <c r="A1042" s="742" t="str">
        <f>$A1012</f>
        <v>D/S Other Source,not DDF</v>
      </c>
      <c r="B1042" s="1881">
        <f>'Part VII-Pro Forma'!B92</f>
        <v>0</v>
      </c>
      <c r="C1042" s="1881">
        <f>'Part VII-Pro Forma'!C92</f>
        <v>0</v>
      </c>
      <c r="D1042" s="1881">
        <f>'Part VII-Pro Forma'!D92</f>
        <v>0</v>
      </c>
      <c r="E1042" s="1881">
        <f>'Part VII-Pro Forma'!E92</f>
        <v>0</v>
      </c>
      <c r="F1042" s="1881">
        <f>'Part VII-Pro Forma'!F92</f>
        <v>0</v>
      </c>
      <c r="G1042" s="1881">
        <f>'Part VII-Pro Forma'!G92</f>
        <v>0</v>
      </c>
      <c r="H1042" s="1881">
        <f>'Part VII-Pro Forma'!H92</f>
        <v>0</v>
      </c>
      <c r="I1042" s="1881">
        <f>'Part VII-Pro Forma'!I92</f>
        <v>0</v>
      </c>
      <c r="J1042" s="1881">
        <f>'Part VII-Pro Forma'!J92</f>
        <v>0</v>
      </c>
      <c r="K1042" s="1881">
        <f>'Part VII-Pro Forma'!K92</f>
        <v>0</v>
      </c>
    </row>
    <row r="1043" spans="1:11">
      <c r="A1043" s="742" t="s">
        <v>763</v>
      </c>
      <c r="B1043" s="1881">
        <f>'Part VII-Pro Forma'!B93</f>
        <v>0</v>
      </c>
      <c r="C1043" s="1881">
        <f>'Part VII-Pro Forma'!C93</f>
        <v>0</v>
      </c>
      <c r="D1043" s="1881">
        <f>'Part VII-Pro Forma'!D93</f>
        <v>0</v>
      </c>
      <c r="E1043" s="1881">
        <f>'Part VII-Pro Forma'!E93</f>
        <v>0</v>
      </c>
      <c r="F1043" s="1881">
        <f>'Part VII-Pro Forma'!F93</f>
        <v>0</v>
      </c>
      <c r="G1043" s="1881">
        <f>'Part VII-Pro Forma'!G93</f>
        <v>0</v>
      </c>
      <c r="H1043" s="1881">
        <f>'Part VII-Pro Forma'!H93</f>
        <v>0</v>
      </c>
      <c r="I1043" s="1881">
        <f>'Part VII-Pro Forma'!I93</f>
        <v>0</v>
      </c>
      <c r="J1043" s="1881">
        <f>'Part VII-Pro Forma'!J93</f>
        <v>0</v>
      </c>
      <c r="K1043" s="1881">
        <f>'Part VII-Pro Forma'!K93</f>
        <v>0</v>
      </c>
    </row>
    <row r="1044" spans="1:11">
      <c r="A1044" s="742" t="s">
        <v>1163</v>
      </c>
      <c r="B1044" s="1881">
        <f>'Part VII-Pro Forma'!B94</f>
        <v>0</v>
      </c>
      <c r="C1044" s="1881">
        <f>'Part VII-Pro Forma'!C94</f>
        <v>0</v>
      </c>
      <c r="D1044" s="1881">
        <f>'Part VII-Pro Forma'!D94</f>
        <v>0</v>
      </c>
      <c r="E1044" s="1881">
        <f>'Part VII-Pro Forma'!E94</f>
        <v>0</v>
      </c>
      <c r="F1044" s="1881">
        <f>'Part VII-Pro Forma'!F94</f>
        <v>0</v>
      </c>
      <c r="G1044" s="1881">
        <f>'Part VII-Pro Forma'!G94</f>
        <v>0</v>
      </c>
      <c r="H1044" s="1881">
        <f>'Part VII-Pro Forma'!H94</f>
        <v>0</v>
      </c>
      <c r="I1044" s="1881">
        <f>'Part VII-Pro Forma'!I94</f>
        <v>0</v>
      </c>
      <c r="J1044" s="1881">
        <f>'Part VII-Pro Forma'!J94</f>
        <v>0</v>
      </c>
      <c r="K1044" s="1881">
        <f>'Part VII-Pro Forma'!K94</f>
        <v>0</v>
      </c>
    </row>
    <row r="1045" spans="1:11">
      <c r="A1045" s="742" t="s">
        <v>1164</v>
      </c>
      <c r="B1045" s="1881">
        <f t="shared" ref="B1045:K1045" si="313">SUM(B1038:B1044)</f>
        <v>-384782.82220370776</v>
      </c>
      <c r="C1045" s="1881">
        <f t="shared" si="313"/>
        <v>-384782.82220370776</v>
      </c>
      <c r="D1045" s="1881">
        <f t="shared" si="313"/>
        <v>-384782.82220370776</v>
      </c>
      <c r="E1045" s="1881">
        <f t="shared" si="313"/>
        <v>-384782.82220370776</v>
      </c>
      <c r="F1045" s="1881">
        <f t="shared" si="313"/>
        <v>-384782.82220370776</v>
      </c>
      <c r="G1045" s="1881">
        <f t="shared" si="313"/>
        <v>-384782.82220370776</v>
      </c>
      <c r="H1045" s="1881">
        <f t="shared" si="313"/>
        <v>-384782.82220370776</v>
      </c>
      <c r="I1045" s="1881">
        <f t="shared" si="313"/>
        <v>-384782.82220370776</v>
      </c>
      <c r="J1045" s="1881">
        <f t="shared" si="313"/>
        <v>-384782.82220370776</v>
      </c>
      <c r="K1045" s="1881">
        <f t="shared" si="313"/>
        <v>-384782.82220370776</v>
      </c>
    </row>
    <row r="1046" spans="1:11">
      <c r="A1046" s="742" t="str">
        <f>$A1017</f>
        <v>DCR Mortgage A</v>
      </c>
      <c r="B1046" s="1882">
        <f>IF(B1039=0,"",-B1038/B1039)</f>
        <v>0</v>
      </c>
      <c r="C1046" s="1882">
        <f t="shared" ref="C1046:K1046" si="314">IF(C1039=0,"",-C1038/C1039)</f>
        <v>0</v>
      </c>
      <c r="D1046" s="1882">
        <f t="shared" si="314"/>
        <v>0</v>
      </c>
      <c r="E1046" s="1882">
        <f t="shared" si="314"/>
        <v>0</v>
      </c>
      <c r="F1046" s="1882">
        <f t="shared" si="314"/>
        <v>0</v>
      </c>
      <c r="G1046" s="1882">
        <f t="shared" si="314"/>
        <v>0</v>
      </c>
      <c r="H1046" s="1882">
        <f t="shared" si="314"/>
        <v>0</v>
      </c>
      <c r="I1046" s="1882">
        <f t="shared" si="314"/>
        <v>0</v>
      </c>
      <c r="J1046" s="1882">
        <f t="shared" si="314"/>
        <v>0</v>
      </c>
      <c r="K1046" s="1882">
        <f t="shared" si="314"/>
        <v>0</v>
      </c>
    </row>
    <row r="1047" spans="1:11">
      <c r="A1047" s="742" t="str">
        <f>$A1018</f>
        <v>DCR Mortgage B</v>
      </c>
      <c r="B1047" s="1882" t="str">
        <f>IF(B1040=0,"",-(B1038+B1039)/B1040)</f>
        <v/>
      </c>
      <c r="C1047" s="1882" t="str">
        <f t="shared" ref="C1047:K1047" si="315">IF(C1040=0,"",-(C1038+C1039)/C1040)</f>
        <v/>
      </c>
      <c r="D1047" s="1882" t="str">
        <f t="shared" si="315"/>
        <v/>
      </c>
      <c r="E1047" s="1882" t="str">
        <f t="shared" si="315"/>
        <v/>
      </c>
      <c r="F1047" s="1882" t="str">
        <f t="shared" si="315"/>
        <v/>
      </c>
      <c r="G1047" s="1882" t="str">
        <f t="shared" si="315"/>
        <v/>
      </c>
      <c r="H1047" s="1882" t="str">
        <f t="shared" si="315"/>
        <v/>
      </c>
      <c r="I1047" s="1882" t="str">
        <f t="shared" si="315"/>
        <v/>
      </c>
      <c r="J1047" s="1882" t="str">
        <f t="shared" si="315"/>
        <v/>
      </c>
      <c r="K1047" s="1882" t="str">
        <f t="shared" si="315"/>
        <v/>
      </c>
    </row>
    <row r="1048" spans="1:11">
      <c r="A1048" s="742" t="str">
        <f>$A1019</f>
        <v>DCR Mortgage C</v>
      </c>
      <c r="B1048" s="1882" t="str">
        <f>IF(B1041=0,"",-(B1038+B1039+B1040)/B1041)</f>
        <v/>
      </c>
      <c r="C1048" s="1882" t="str">
        <f t="shared" ref="C1048:K1048" si="316">IF(C1041=0,"",-(C1038+C1039+C1040)/C1041)</f>
        <v/>
      </c>
      <c r="D1048" s="1882" t="str">
        <f t="shared" si="316"/>
        <v/>
      </c>
      <c r="E1048" s="1882" t="str">
        <f t="shared" si="316"/>
        <v/>
      </c>
      <c r="F1048" s="1882" t="str">
        <f t="shared" si="316"/>
        <v/>
      </c>
      <c r="G1048" s="1882" t="str">
        <f t="shared" si="316"/>
        <v/>
      </c>
      <c r="H1048" s="1882" t="str">
        <f t="shared" si="316"/>
        <v/>
      </c>
      <c r="I1048" s="1882" t="str">
        <f t="shared" si="316"/>
        <v/>
      </c>
      <c r="J1048" s="1882" t="str">
        <f t="shared" si="316"/>
        <v/>
      </c>
      <c r="K1048" s="1882" t="str">
        <f t="shared" si="316"/>
        <v/>
      </c>
    </row>
    <row r="1049" spans="1:11">
      <c r="A1049" s="742" t="str">
        <f>$A1020</f>
        <v>DCR Other Source</v>
      </c>
      <c r="B1049" s="1882" t="str">
        <f>IF(B1042=0,"",-(B1038+B1039+B1040+B1041)/B1042)</f>
        <v/>
      </c>
      <c r="C1049" s="1882" t="str">
        <f t="shared" ref="C1049:K1049" si="317">IF(C1042=0,"",-(C1038+C1039+C1040+C1041)/C1042)</f>
        <v/>
      </c>
      <c r="D1049" s="1882" t="str">
        <f t="shared" si="317"/>
        <v/>
      </c>
      <c r="E1049" s="1882" t="str">
        <f t="shared" si="317"/>
        <v/>
      </c>
      <c r="F1049" s="1882" t="str">
        <f t="shared" si="317"/>
        <v/>
      </c>
      <c r="G1049" s="1882" t="str">
        <f t="shared" si="317"/>
        <v/>
      </c>
      <c r="H1049" s="1882" t="str">
        <f t="shared" si="317"/>
        <v/>
      </c>
      <c r="I1049" s="1882" t="str">
        <f t="shared" si="317"/>
        <v/>
      </c>
      <c r="J1049" s="1882" t="str">
        <f t="shared" si="317"/>
        <v/>
      </c>
      <c r="K1049" s="1882" t="str">
        <f t="shared" si="317"/>
        <v/>
      </c>
    </row>
    <row r="1050" spans="1:11">
      <c r="A1050" s="742" t="s">
        <v>3713</v>
      </c>
      <c r="B1050" s="1882">
        <f>IF(AND(B1039=0,B1040=0,B1041=0,B1042=0),"",-B1038/(B1039+B1040+B1041+B1042))</f>
        <v>0</v>
      </c>
      <c r="C1050" s="1882">
        <f t="shared" ref="C1050:K1050" si="318">IF(AND(C1039=0,C1040=0,C1041=0,C1042=0),"",-C1038/(C1039+C1040+C1041+C1042))</f>
        <v>0</v>
      </c>
      <c r="D1050" s="1882">
        <f t="shared" si="318"/>
        <v>0</v>
      </c>
      <c r="E1050" s="1882">
        <f t="shared" si="318"/>
        <v>0</v>
      </c>
      <c r="F1050" s="1882">
        <f t="shared" si="318"/>
        <v>0</v>
      </c>
      <c r="G1050" s="1882">
        <f t="shared" si="318"/>
        <v>0</v>
      </c>
      <c r="H1050" s="1882">
        <f t="shared" si="318"/>
        <v>0</v>
      </c>
      <c r="I1050" s="1882">
        <f t="shared" si="318"/>
        <v>0</v>
      </c>
      <c r="J1050" s="1882">
        <f t="shared" si="318"/>
        <v>0</v>
      </c>
      <c r="K1050" s="1882">
        <f t="shared" si="318"/>
        <v>0</v>
      </c>
    </row>
    <row r="1051" spans="1:11">
      <c r="A1051" s="742" t="s">
        <v>770</v>
      </c>
      <c r="B1051" s="1883" t="e">
        <f>IF(OR(B1036="Choose mgt fee",B1036="Choose One!"),"",(B1030+B1031+B1032+B1033+B1034) / -(B1035+B1036+B1037))</f>
        <v>#DIV/0!</v>
      </c>
      <c r="C1051" s="1883" t="e">
        <f t="shared" ref="C1051:K1051" si="319">IF(OR(C1036="Choose mgt fee",C1036="Choose One!"),"",(C1030+C1031+C1032+C1033+C1034) / -(C1035+C1036+C1037))</f>
        <v>#DIV/0!</v>
      </c>
      <c r="D1051" s="1883" t="e">
        <f t="shared" si="319"/>
        <v>#DIV/0!</v>
      </c>
      <c r="E1051" s="1883" t="e">
        <f t="shared" si="319"/>
        <v>#DIV/0!</v>
      </c>
      <c r="F1051" s="1883" t="e">
        <f t="shared" si="319"/>
        <v>#DIV/0!</v>
      </c>
      <c r="G1051" s="1883" t="e">
        <f t="shared" si="319"/>
        <v>#DIV/0!</v>
      </c>
      <c r="H1051" s="1883" t="e">
        <f t="shared" si="319"/>
        <v>#DIV/0!</v>
      </c>
      <c r="I1051" s="1883" t="e">
        <f t="shared" si="319"/>
        <v>#DIV/0!</v>
      </c>
      <c r="J1051" s="1883" t="e">
        <f t="shared" si="319"/>
        <v>#DIV/0!</v>
      </c>
      <c r="K1051" s="1883" t="e">
        <f t="shared" si="319"/>
        <v>#DIV/0!</v>
      </c>
    </row>
    <row r="1052" spans="1:11">
      <c r="A1052" s="742" t="s">
        <v>2617</v>
      </c>
      <c r="B1052" s="1881">
        <f>'Part VII-Pro Forma'!B102</f>
        <v>4016526.3323669042</v>
      </c>
      <c r="C1052" s="1881">
        <f>'Part VII-Pro Forma'!C102</f>
        <v>3804223.1721355217</v>
      </c>
      <c r="D1052" s="1881">
        <f>'Part VII-Pro Forma'!D102</f>
        <v>3582387.9676087541</v>
      </c>
      <c r="E1052" s="1881">
        <f>'Part VII-Pro Forma'!E102</f>
        <v>3350592.746502297</v>
      </c>
      <c r="F1052" s="1881">
        <f>'Part VII-Pro Forma'!F102</f>
        <v>3108390.3213173077</v>
      </c>
      <c r="G1052" s="1881">
        <f>'Part VII-Pro Forma'!G102</f>
        <v>2855313.4266105411</v>
      </c>
      <c r="H1052" s="1881">
        <f>'Part VII-Pro Forma'!H102</f>
        <v>2590873.8175294134</v>
      </c>
      <c r="I1052" s="1881">
        <f>'Part VII-Pro Forma'!I102</f>
        <v>2314561.3278728453</v>
      </c>
      <c r="J1052" s="1881">
        <f>'Part VII-Pro Forma'!J102</f>
        <v>2025842.8858606736</v>
      </c>
      <c r="K1052" s="1881">
        <f>'Part VII-Pro Forma'!K102</f>
        <v>1724161.485712809</v>
      </c>
    </row>
    <row r="1053" spans="1:11">
      <c r="A1053" s="742" t="s">
        <v>2618</v>
      </c>
      <c r="B1053" s="1881" t="str">
        <f>'Part VII-Pro Forma'!B103</f>
        <v/>
      </c>
      <c r="C1053" s="1881" t="str">
        <f>'Part VII-Pro Forma'!C103</f>
        <v/>
      </c>
      <c r="D1053" s="1881" t="str">
        <f>'Part VII-Pro Forma'!D103</f>
        <v/>
      </c>
      <c r="E1053" s="1881" t="str">
        <f>'Part VII-Pro Forma'!E103</f>
        <v/>
      </c>
      <c r="F1053" s="1881" t="str">
        <f>'Part VII-Pro Forma'!F103</f>
        <v/>
      </c>
      <c r="G1053" s="1881" t="str">
        <f>'Part VII-Pro Forma'!G103</f>
        <v/>
      </c>
      <c r="H1053" s="1881" t="str">
        <f>'Part VII-Pro Forma'!H103</f>
        <v/>
      </c>
      <c r="I1053" s="1881" t="str">
        <f>'Part VII-Pro Forma'!I103</f>
        <v/>
      </c>
      <c r="J1053" s="1881" t="str">
        <f>'Part VII-Pro Forma'!J103</f>
        <v/>
      </c>
      <c r="K1053" s="1881" t="str">
        <f>'Part VII-Pro Forma'!K103</f>
        <v/>
      </c>
    </row>
    <row r="1054" spans="1:11">
      <c r="A1054" s="742" t="s">
        <v>2619</v>
      </c>
      <c r="B1054" s="1881" t="str">
        <f>'Part VII-Pro Forma'!B104</f>
        <v/>
      </c>
      <c r="C1054" s="1881" t="str">
        <f>'Part VII-Pro Forma'!C104</f>
        <v/>
      </c>
      <c r="D1054" s="1881" t="str">
        <f>'Part VII-Pro Forma'!D104</f>
        <v/>
      </c>
      <c r="E1054" s="1881" t="str">
        <f>'Part VII-Pro Forma'!E104</f>
        <v/>
      </c>
      <c r="F1054" s="1881" t="str">
        <f>'Part VII-Pro Forma'!F104</f>
        <v/>
      </c>
      <c r="G1054" s="1881" t="str">
        <f>'Part VII-Pro Forma'!G104</f>
        <v/>
      </c>
      <c r="H1054" s="1881" t="str">
        <f>'Part VII-Pro Forma'!H104</f>
        <v/>
      </c>
      <c r="I1054" s="1881" t="str">
        <f>'Part VII-Pro Forma'!I104</f>
        <v/>
      </c>
      <c r="J1054" s="1881" t="str">
        <f>'Part VII-Pro Forma'!J104</f>
        <v/>
      </c>
      <c r="K1054" s="1881" t="str">
        <f>'Part VII-Pro Forma'!K104</f>
        <v/>
      </c>
    </row>
    <row r="1055" spans="1:11">
      <c r="A1055" s="742" t="s">
        <v>784</v>
      </c>
      <c r="B1055" s="1881" t="str">
        <f>'Part VII-Pro Forma'!B105</f>
        <v/>
      </c>
      <c r="C1055" s="1881" t="str">
        <f>'Part VII-Pro Forma'!C105</f>
        <v/>
      </c>
      <c r="D1055" s="1881" t="str">
        <f>'Part VII-Pro Forma'!D105</f>
        <v/>
      </c>
      <c r="E1055" s="1881" t="str">
        <f>'Part VII-Pro Forma'!E105</f>
        <v/>
      </c>
      <c r="F1055" s="1881" t="str">
        <f>'Part VII-Pro Forma'!F105</f>
        <v/>
      </c>
      <c r="G1055" s="1881" t="str">
        <f>'Part VII-Pro Forma'!G105</f>
        <v/>
      </c>
      <c r="H1055" s="1881" t="str">
        <f>'Part VII-Pro Forma'!H105</f>
        <v/>
      </c>
      <c r="I1055" s="1881" t="str">
        <f>'Part VII-Pro Forma'!I105</f>
        <v/>
      </c>
      <c r="J1055" s="1881" t="str">
        <f>'Part VII-Pro Forma'!J105</f>
        <v/>
      </c>
      <c r="K1055" s="1881" t="str">
        <f>'Part VII-Pro Forma'!K105</f>
        <v/>
      </c>
    </row>
    <row r="1056" spans="1:11">
      <c r="B1056" s="1881"/>
      <c r="C1056" s="1881"/>
      <c r="D1056" s="1881"/>
      <c r="E1056" s="1881"/>
      <c r="F1056" s="1881"/>
      <c r="G1056" s="1881"/>
      <c r="H1056" s="1881"/>
      <c r="I1056" s="1881"/>
      <c r="J1056" s="1881"/>
      <c r="K1056" s="1881"/>
    </row>
    <row r="1057" spans="1:11">
      <c r="A1057" s="1641" t="s">
        <v>2480</v>
      </c>
      <c r="B1057" s="1884">
        <f>K1029+1</f>
        <v>31</v>
      </c>
      <c r="C1057" s="1884">
        <f>B1057+1</f>
        <v>32</v>
      </c>
      <c r="D1057" s="1884">
        <f>C1057+1</f>
        <v>33</v>
      </c>
      <c r="E1057" s="1884">
        <f>D1057+1</f>
        <v>34</v>
      </c>
      <c r="F1057" s="1884">
        <f>E1057+1</f>
        <v>35</v>
      </c>
      <c r="G1057" s="1881"/>
      <c r="H1057" s="1881"/>
      <c r="I1057" s="1881"/>
      <c r="J1057" s="1881"/>
      <c r="K1057" s="1881"/>
    </row>
    <row r="1058" spans="1:11">
      <c r="A1058" s="742" t="s">
        <v>2404</v>
      </c>
      <c r="B1058" s="1881">
        <f>$B$14*(1+$B$5)^(B1057-1)</f>
        <v>0</v>
      </c>
      <c r="C1058" s="1881">
        <f>$B$14*(1+$B$5)^(C1057-1)</f>
        <v>0</v>
      </c>
      <c r="D1058" s="1881">
        <f>$B$14*(1+$B$5)^(D1057-1)</f>
        <v>0</v>
      </c>
      <c r="E1058" s="1881">
        <f>$B$14*(1+$B$5)^(E1057-1)</f>
        <v>0</v>
      </c>
      <c r="F1058" s="1881">
        <f>$B$14*(1+$B$5)^(F1057-1)</f>
        <v>0</v>
      </c>
      <c r="G1058" s="1881"/>
      <c r="H1058" s="1881"/>
      <c r="I1058" s="1881"/>
      <c r="J1058" s="1881"/>
      <c r="K1058" s="1881"/>
    </row>
    <row r="1059" spans="1:11">
      <c r="A1059" s="742" t="s">
        <v>1016</v>
      </c>
      <c r="B1059" s="1881">
        <f>$B$15*(1+$B$5)^(B1057-1)</f>
        <v>0</v>
      </c>
      <c r="C1059" s="1881">
        <f>$B$15*(1+$B$5)^(C1057-1)</f>
        <v>0</v>
      </c>
      <c r="D1059" s="1881">
        <f>$B$15*(1+$B$5)^(D1057-1)</f>
        <v>0</v>
      </c>
      <c r="E1059" s="1881">
        <f>$B$15*(1+$B$5)^(E1057-1)</f>
        <v>0</v>
      </c>
      <c r="F1059" s="1881">
        <f>$B$15*(1+$B$5)^(F1057-1)</f>
        <v>0</v>
      </c>
      <c r="G1059" s="1881"/>
      <c r="H1059" s="1881"/>
      <c r="I1059" s="1881"/>
      <c r="J1059" s="1881"/>
      <c r="K1059" s="1881"/>
    </row>
    <row r="1060" spans="1:11">
      <c r="A1060" s="742" t="s">
        <v>2405</v>
      </c>
      <c r="B1060" s="1881">
        <f>-(B1058+B1059)*$B$8</f>
        <v>0</v>
      </c>
      <c r="C1060" s="1881">
        <f>-(C1058+C1059)*$B$8</f>
        <v>0</v>
      </c>
      <c r="D1060" s="1881">
        <f>-(D1058+D1059)*$B$8</f>
        <v>0</v>
      </c>
      <c r="E1060" s="1881">
        <f>-(E1058+E1059)*$B$8</f>
        <v>0</v>
      </c>
      <c r="F1060" s="1881">
        <f>-(F1058+F1059)*$B$8</f>
        <v>0</v>
      </c>
      <c r="G1060" s="1881"/>
      <c r="H1060" s="1881"/>
      <c r="I1060" s="1881"/>
      <c r="J1060" s="1881"/>
      <c r="K1060" s="1881"/>
    </row>
    <row r="1061" spans="1:11">
      <c r="A1061" s="742" t="s">
        <v>52</v>
      </c>
      <c r="B1061" s="1881">
        <f>'Part VI-Revenues &amp; Expenses'!G1166</f>
        <v>0</v>
      </c>
      <c r="C1061" s="1881">
        <f>'Part VI-Revenues &amp; Expenses'!H1166</f>
        <v>0</v>
      </c>
      <c r="D1061" s="1881">
        <f>'Part VI-Revenues &amp; Expenses'!I1166</f>
        <v>0</v>
      </c>
      <c r="E1061" s="1881">
        <f>'Part VI-Revenues &amp; Expenses'!J1166</f>
        <v>0</v>
      </c>
      <c r="F1061" s="1881">
        <f>'Part VI-Revenues &amp; Expenses'!K1166</f>
        <v>0</v>
      </c>
      <c r="G1061" s="1881"/>
      <c r="H1061" s="1881"/>
      <c r="I1061" s="1881"/>
      <c r="J1061" s="1881"/>
      <c r="K1061" s="1881"/>
    </row>
    <row r="1062" spans="1:11">
      <c r="A1062" s="742" t="s">
        <v>53</v>
      </c>
      <c r="B1062" s="1881">
        <f>'Part VI-Revenues &amp; Expenses'!G1170</f>
        <v>0</v>
      </c>
      <c r="C1062" s="1881">
        <f>'Part VI-Revenues &amp; Expenses'!H1170</f>
        <v>0</v>
      </c>
      <c r="D1062" s="1881">
        <f>'Part VI-Revenues &amp; Expenses'!I1170</f>
        <v>0</v>
      </c>
      <c r="E1062" s="1881">
        <f>'Part VI-Revenues &amp; Expenses'!J1170</f>
        <v>0</v>
      </c>
      <c r="F1062" s="1881">
        <f>'Part VI-Revenues &amp; Expenses'!K1170</f>
        <v>0</v>
      </c>
      <c r="G1062" s="1881"/>
      <c r="H1062" s="1881"/>
      <c r="I1062" s="1881"/>
      <c r="J1062" s="1881"/>
      <c r="K1062" s="1881"/>
    </row>
    <row r="1063" spans="1:11">
      <c r="A1063" s="742" t="s">
        <v>614</v>
      </c>
      <c r="B1063" s="1881">
        <f>$B$19*(1+$B$6)^(B1057-1)</f>
        <v>0</v>
      </c>
      <c r="C1063" s="1881">
        <f>$B$19*(1+$B$6)^(C1057-1)</f>
        <v>0</v>
      </c>
      <c r="D1063" s="1881">
        <f>$B$19*(1+$B$6)^(D1057-1)</f>
        <v>0</v>
      </c>
      <c r="E1063" s="1881">
        <f>$B$19*(1+$B$6)^(E1057-1)</f>
        <v>0</v>
      </c>
      <c r="F1063" s="1881">
        <f>$B$19*(1+$B$6)^(F1057-1)</f>
        <v>0</v>
      </c>
      <c r="G1063" s="1881"/>
      <c r="H1063" s="1881"/>
      <c r="I1063" s="1881"/>
      <c r="J1063" s="1881"/>
      <c r="K1063" s="1881"/>
    </row>
    <row r="1064" spans="1:11">
      <c r="A1064" s="742" t="s">
        <v>1115</v>
      </c>
      <c r="B1064" s="1881">
        <f>IF(AND('Part VII-Pro Forma'!$G$8="Yes",'Part VII-Pro Forma'!$G$9="Yes"),"Choose One!",IF('Part VII-Pro Forma'!$G$8="Yes",ROUND((-$K$8*(1+'Part VII-Pro Forma'!$B$6)^('Part VII-Pro Forma'!B1065-1)),),IF('Part VII-Pro Forma'!$G$9="Yes",ROUND((-(SUM(B1058:B1061)*'Part VII-Pro Forma'!$K$9)),),"Choose mgt fee")))</f>
        <v>0</v>
      </c>
      <c r="C1064" s="1881">
        <f>IF(AND('Part VII-Pro Forma'!$G$8="Yes",'Part VII-Pro Forma'!$G$9="Yes"),"Choose One!",IF('Part VII-Pro Forma'!$G$8="Yes",ROUND((-$K$8*(1+'Part VII-Pro Forma'!$B$6)^('Part VII-Pro Forma'!C1065-1)),),IF('Part VII-Pro Forma'!$G$9="Yes",ROUND((-(SUM(C1058:C1061)*'Part VII-Pro Forma'!$K$9)),),"Choose mgt fee")))</f>
        <v>0</v>
      </c>
      <c r="D1064" s="1881">
        <f>IF(AND('Part VII-Pro Forma'!$G$8="Yes",'Part VII-Pro Forma'!$G$9="Yes"),"Choose One!",IF('Part VII-Pro Forma'!$G$8="Yes",ROUND((-$K$8*(1+'Part VII-Pro Forma'!$B$6)^('Part VII-Pro Forma'!D1065-1)),),IF('Part VII-Pro Forma'!$G$9="Yes",ROUND((-(SUM(D1058:D1061)*'Part VII-Pro Forma'!$K$9)),),"Choose mgt fee")))</f>
        <v>0</v>
      </c>
      <c r="E1064" s="1881">
        <f>IF(AND('Part VII-Pro Forma'!$G$8="Yes",'Part VII-Pro Forma'!$G$9="Yes"),"Choose One!",IF('Part VII-Pro Forma'!$G$8="Yes",ROUND((-$K$8*(1+'Part VII-Pro Forma'!$B$6)^('Part VII-Pro Forma'!E1065-1)),),IF('Part VII-Pro Forma'!$G$9="Yes",ROUND((-(SUM(E1058:E1061)*'Part VII-Pro Forma'!$K$9)),),"Choose mgt fee")))</f>
        <v>0</v>
      </c>
      <c r="F1064" s="1881">
        <f>IF(AND('Part VII-Pro Forma'!$G$8="Yes",'Part VII-Pro Forma'!$G$9="Yes"),"Choose One!",IF('Part VII-Pro Forma'!$G$8="Yes",ROUND((-$K$8*(1+'Part VII-Pro Forma'!$B$6)^('Part VII-Pro Forma'!F1065-1)),),IF('Part VII-Pro Forma'!$G$9="Yes",ROUND((-(SUM(F1058:F1061)*'Part VII-Pro Forma'!$K$9)),),"Choose mgt fee")))</f>
        <v>0</v>
      </c>
      <c r="G1064" s="1881"/>
      <c r="H1064" s="1881"/>
      <c r="I1064" s="1881"/>
      <c r="J1064" s="1881"/>
      <c r="K1064" s="1881"/>
    </row>
    <row r="1065" spans="1:11">
      <c r="A1065" s="742" t="s">
        <v>1202</v>
      </c>
      <c r="B1065" s="1881">
        <f>$B$21*(1+$B$7)^(B1057-1)</f>
        <v>0</v>
      </c>
      <c r="C1065" s="1881">
        <f>$B$21*(1+$B$7)^(C1057-1)</f>
        <v>0</v>
      </c>
      <c r="D1065" s="1881">
        <f>$B$21*(1+$B$7)^(D1057-1)</f>
        <v>0</v>
      </c>
      <c r="E1065" s="1881">
        <f>$B$21*(1+$B$7)^(E1057-1)</f>
        <v>0</v>
      </c>
      <c r="F1065" s="1881">
        <f>$B$21*(1+$B$7)^(F1057-1)</f>
        <v>0</v>
      </c>
      <c r="G1065" s="1881"/>
      <c r="H1065" s="1881"/>
      <c r="I1065" s="1881"/>
      <c r="J1065" s="1881"/>
      <c r="K1065" s="1881"/>
    </row>
    <row r="1066" spans="1:11">
      <c r="A1066" s="742" t="s">
        <v>1203</v>
      </c>
      <c r="B1066" s="1881">
        <f>SUM(B1058:B1065)</f>
        <v>0</v>
      </c>
      <c r="C1066" s="1881">
        <f>SUM(C1058:C1065)</f>
        <v>0</v>
      </c>
      <c r="D1066" s="1881">
        <f>SUM(D1058:D1065)</f>
        <v>0</v>
      </c>
      <c r="E1066" s="1881">
        <f>SUM(E1058:E1065)</f>
        <v>0</v>
      </c>
      <c r="F1066" s="1881">
        <f>SUM(F1058:F1065)</f>
        <v>0</v>
      </c>
      <c r="G1066" s="1881"/>
      <c r="H1066" s="1881"/>
      <c r="I1066" s="1881"/>
      <c r="J1066" s="1881"/>
      <c r="K1066" s="1881"/>
    </row>
    <row r="1067" spans="1:11">
      <c r="A1067" s="742" t="str">
        <f>$A1039</f>
        <v>Mortgage A</v>
      </c>
      <c r="B1067" s="1881">
        <f>'Part VII-Pro Forma'!B119</f>
        <v>-384782.82220370776</v>
      </c>
      <c r="C1067" s="1881">
        <f>'Part VII-Pro Forma'!C119</f>
        <v>-384782.82220370776</v>
      </c>
      <c r="D1067" s="1881">
        <f>'Part VII-Pro Forma'!D119</f>
        <v>-384782.82220370776</v>
      </c>
      <c r="E1067" s="1881">
        <f>'Part VII-Pro Forma'!E119</f>
        <v>-384782.82220370776</v>
      </c>
      <c r="F1067" s="1881">
        <f>'Part VII-Pro Forma'!F119</f>
        <v>-384782.82220370776</v>
      </c>
      <c r="G1067" s="1881"/>
      <c r="H1067" s="1881"/>
      <c r="I1067" s="1881"/>
      <c r="J1067" s="1881"/>
      <c r="K1067" s="1881"/>
    </row>
    <row r="1068" spans="1:11">
      <c r="A1068" s="742" t="str">
        <f>$A1040</f>
        <v>Mortgage B</v>
      </c>
      <c r="B1068" s="1881">
        <f>'Part VII-Pro Forma'!B120</f>
        <v>0</v>
      </c>
      <c r="C1068" s="1881">
        <f>'Part VII-Pro Forma'!C120</f>
        <v>0</v>
      </c>
      <c r="D1068" s="1881">
        <f>'Part VII-Pro Forma'!D120</f>
        <v>0</v>
      </c>
      <c r="E1068" s="1881">
        <f>'Part VII-Pro Forma'!E120</f>
        <v>0</v>
      </c>
      <c r="F1068" s="1881">
        <f>'Part VII-Pro Forma'!F120</f>
        <v>0</v>
      </c>
      <c r="G1068" s="1881"/>
      <c r="H1068" s="1881"/>
      <c r="I1068" s="1881"/>
      <c r="J1068" s="1881"/>
      <c r="K1068" s="1881"/>
    </row>
    <row r="1069" spans="1:11">
      <c r="A1069" s="742" t="str">
        <f>$A1041</f>
        <v>Mortgage C</v>
      </c>
      <c r="B1069" s="1881">
        <f>'Part VII-Pro Forma'!B121</f>
        <v>0</v>
      </c>
      <c r="C1069" s="1881">
        <f>'Part VII-Pro Forma'!C121</f>
        <v>0</v>
      </c>
      <c r="D1069" s="1881">
        <f>'Part VII-Pro Forma'!D121</f>
        <v>0</v>
      </c>
      <c r="E1069" s="1881">
        <f>'Part VII-Pro Forma'!E121</f>
        <v>0</v>
      </c>
      <c r="F1069" s="1881">
        <f>'Part VII-Pro Forma'!F121</f>
        <v>0</v>
      </c>
      <c r="G1069" s="1881"/>
      <c r="H1069" s="1881"/>
      <c r="I1069" s="1881"/>
      <c r="J1069" s="1881"/>
      <c r="K1069" s="1881"/>
    </row>
    <row r="1070" spans="1:11">
      <c r="A1070" s="742" t="str">
        <f>$A1042</f>
        <v>D/S Other Source,not DDF</v>
      </c>
      <c r="B1070" s="1881">
        <f>'Part VII-Pro Forma'!B122</f>
        <v>0</v>
      </c>
      <c r="C1070" s="1881">
        <f>'Part VII-Pro Forma'!C122</f>
        <v>0</v>
      </c>
      <c r="D1070" s="1881">
        <f>'Part VII-Pro Forma'!D122</f>
        <v>0</v>
      </c>
      <c r="E1070" s="1881">
        <f>'Part VII-Pro Forma'!E122</f>
        <v>0</v>
      </c>
      <c r="F1070" s="1881">
        <f>'Part VII-Pro Forma'!F122</f>
        <v>0</v>
      </c>
      <c r="G1070" s="1881"/>
      <c r="H1070" s="1881"/>
      <c r="I1070" s="1881"/>
      <c r="J1070" s="1881"/>
      <c r="K1070" s="1881"/>
    </row>
    <row r="1071" spans="1:11">
      <c r="A1071" s="742" t="s">
        <v>763</v>
      </c>
      <c r="B1071" s="1881">
        <f>'Part VII-Pro Forma'!B123</f>
        <v>0</v>
      </c>
      <c r="C1071" s="1881">
        <f>'Part VII-Pro Forma'!C123</f>
        <v>0</v>
      </c>
      <c r="D1071" s="1881">
        <f>'Part VII-Pro Forma'!D123</f>
        <v>0</v>
      </c>
      <c r="E1071" s="1881">
        <f>'Part VII-Pro Forma'!E123</f>
        <v>0</v>
      </c>
      <c r="F1071" s="1881">
        <f>'Part VII-Pro Forma'!F123</f>
        <v>0</v>
      </c>
      <c r="G1071" s="1881"/>
      <c r="H1071" s="1881"/>
      <c r="I1071" s="1881"/>
      <c r="J1071" s="1881"/>
      <c r="K1071" s="1881"/>
    </row>
    <row r="1072" spans="1:11">
      <c r="A1072" s="742" t="s">
        <v>1163</v>
      </c>
      <c r="B1072" s="1881">
        <f>'Part VII-Pro Forma'!B124</f>
        <v>0</v>
      </c>
      <c r="C1072" s="1881">
        <f>'Part VII-Pro Forma'!C124</f>
        <v>0</v>
      </c>
      <c r="D1072" s="1881">
        <f>'Part VII-Pro Forma'!D124</f>
        <v>0</v>
      </c>
      <c r="E1072" s="1881">
        <f>'Part VII-Pro Forma'!E124</f>
        <v>0</v>
      </c>
      <c r="F1072" s="1881">
        <f>'Part VII-Pro Forma'!F124</f>
        <v>0</v>
      </c>
      <c r="G1072" s="1881"/>
      <c r="H1072" s="1881"/>
      <c r="I1072" s="1881"/>
      <c r="J1072" s="1881"/>
      <c r="K1072" s="1881"/>
    </row>
    <row r="1073" spans="1:11">
      <c r="A1073" s="742" t="s">
        <v>1164</v>
      </c>
      <c r="B1073" s="1881">
        <f>SUM(B1066:B1072)</f>
        <v>-384782.82220370776</v>
      </c>
      <c r="C1073" s="1881">
        <f>SUM(C1066:C1072)</f>
        <v>-384782.82220370776</v>
      </c>
      <c r="D1073" s="1881">
        <f>SUM(D1066:D1072)</f>
        <v>-384782.82220370776</v>
      </c>
      <c r="E1073" s="1881">
        <f>SUM(E1066:E1072)</f>
        <v>-384782.82220370776</v>
      </c>
      <c r="F1073" s="1881">
        <f>SUM(F1066:F1072)</f>
        <v>-384782.82220370776</v>
      </c>
      <c r="G1073" s="1881"/>
      <c r="H1073" s="1881"/>
      <c r="I1073" s="1881"/>
      <c r="J1073" s="1881"/>
      <c r="K1073" s="1881"/>
    </row>
    <row r="1074" spans="1:11">
      <c r="A1074" s="742" t="str">
        <f>$A1046</f>
        <v>DCR Mortgage A</v>
      </c>
      <c r="B1074" s="1882">
        <f>IF(B1067=0,"",-B1066/B1067)</f>
        <v>0</v>
      </c>
      <c r="C1074" s="1882">
        <f>IF(C1067=0,"",-C1066/C1067)</f>
        <v>0</v>
      </c>
      <c r="D1074" s="1882">
        <f>IF(D1067=0,"",-D1066/D1067)</f>
        <v>0</v>
      </c>
      <c r="E1074" s="1882">
        <f>IF(E1067=0,"",-E1066/E1067)</f>
        <v>0</v>
      </c>
      <c r="F1074" s="1882">
        <f>IF(F1067=0,"",-F1066/F1067)</f>
        <v>0</v>
      </c>
      <c r="G1074" s="1881"/>
      <c r="H1074" s="1881"/>
      <c r="I1074" s="1881"/>
      <c r="J1074" s="1881"/>
      <c r="K1074" s="1881"/>
    </row>
    <row r="1075" spans="1:11">
      <c r="A1075" s="742" t="str">
        <f>$A1047</f>
        <v>DCR Mortgage B</v>
      </c>
      <c r="B1075" s="1882" t="str">
        <f>IF(B1068=0,"",-(B1066+B1067)/B1068)</f>
        <v/>
      </c>
      <c r="C1075" s="1882" t="str">
        <f>IF(C1068=0,"",-(C1066+C1067)/C1068)</f>
        <v/>
      </c>
      <c r="D1075" s="1882" t="str">
        <f>IF(D1068=0,"",-(D1066+D1067)/D1068)</f>
        <v/>
      </c>
      <c r="E1075" s="1882" t="str">
        <f>IF(E1068=0,"",-(E1066+E1067)/E1068)</f>
        <v/>
      </c>
      <c r="F1075" s="1882" t="str">
        <f>IF(F1068=0,"",-(F1066+F1067)/F1068)</f>
        <v/>
      </c>
      <c r="G1075" s="1881"/>
      <c r="H1075" s="1881"/>
      <c r="I1075" s="1881"/>
      <c r="J1075" s="1881"/>
      <c r="K1075" s="1881"/>
    </row>
    <row r="1076" spans="1:11">
      <c r="A1076" s="742" t="str">
        <f>$A1048</f>
        <v>DCR Mortgage C</v>
      </c>
      <c r="B1076" s="1882" t="str">
        <f>IF(B1069=0,"",-(B1066+B1067+B1068)/B1069)</f>
        <v/>
      </c>
      <c r="C1076" s="1882" t="str">
        <f>IF(C1069=0,"",-(C1066+C1067+C1068)/C1069)</f>
        <v/>
      </c>
      <c r="D1076" s="1882" t="str">
        <f>IF(D1069=0,"",-(D1066+D1067+D1068)/D1069)</f>
        <v/>
      </c>
      <c r="E1076" s="1882" t="str">
        <f>IF(E1069=0,"",-(E1066+E1067+E1068)/E1069)</f>
        <v/>
      </c>
      <c r="F1076" s="1882" t="str">
        <f>IF(F1069=0,"",-(F1066+F1067+F1068)/F1069)</f>
        <v/>
      </c>
      <c r="G1076" s="1881"/>
      <c r="H1076" s="1881"/>
      <c r="I1076" s="1881"/>
      <c r="J1076" s="1881"/>
      <c r="K1076" s="1881"/>
    </row>
    <row r="1077" spans="1:11">
      <c r="A1077" s="742" t="str">
        <f>$A1049</f>
        <v>DCR Other Source</v>
      </c>
      <c r="B1077" s="1882" t="str">
        <f>IF(B1070=0,"",-(B1066+B1067+B1068+B1069)/B1070)</f>
        <v/>
      </c>
      <c r="C1077" s="1882" t="str">
        <f>IF(C1070=0,"",-(C1066+C1067+C1068+C1069)/C1070)</f>
        <v/>
      </c>
      <c r="D1077" s="1882" t="str">
        <f>IF(D1070=0,"",-(D1066+D1067+D1068+D1069)/D1070)</f>
        <v/>
      </c>
      <c r="E1077" s="1882" t="str">
        <f>IF(E1070=0,"",-(E1066+E1067+E1068+E1069)/E1070)</f>
        <v/>
      </c>
      <c r="F1077" s="1882" t="str">
        <f>IF(F1070=0,"",-(F1066+F1067+F1068+F1069)/F1070)</f>
        <v/>
      </c>
      <c r="G1077" s="1881"/>
      <c r="H1077" s="1881"/>
      <c r="I1077" s="1881"/>
      <c r="J1077" s="1881"/>
      <c r="K1077" s="1881"/>
    </row>
    <row r="1078" spans="1:11">
      <c r="A1078" s="742" t="s">
        <v>3713</v>
      </c>
      <c r="B1078" s="1882">
        <f>IF(AND(B1067=0,B1068=0,B1069=0,B1070=0),"",-B1066/(B1067+B1068+B1069+B1070))</f>
        <v>0</v>
      </c>
      <c r="C1078" s="1882">
        <f>IF(AND(C1067=0,C1068=0,C1069=0,C1070=0),"",-C1066/(C1067+C1068+C1069+C1070))</f>
        <v>0</v>
      </c>
      <c r="D1078" s="1882">
        <f>IF(AND(D1067=0,D1068=0,D1069=0,D1070=0),"",-D1066/(D1067+D1068+D1069+D1070))</f>
        <v>0</v>
      </c>
      <c r="E1078" s="1882">
        <f>IF(AND(E1067=0,E1068=0,E1069=0,E1070=0),"",-E1066/(E1067+E1068+E1069+E1070))</f>
        <v>0</v>
      </c>
      <c r="F1078" s="1882">
        <f>IF(AND(F1067=0,F1068=0,F1069=0,F1070=0),"",-F1066/(F1067+F1068+F1069+F1070))</f>
        <v>0</v>
      </c>
      <c r="G1078" s="1881"/>
      <c r="H1078" s="1881"/>
      <c r="I1078" s="1881"/>
      <c r="J1078" s="1881"/>
      <c r="K1078" s="1881"/>
    </row>
    <row r="1079" spans="1:11">
      <c r="A1079" s="742" t="s">
        <v>770</v>
      </c>
      <c r="B1079" s="1883" t="e">
        <f>IF(OR(B1064="Choose mgt fee",B1064="Choose One!"),"",(B1058+B1059+B1060+B1061+B1062) / -(B1063+B1064+B1065))</f>
        <v>#DIV/0!</v>
      </c>
      <c r="C1079" s="1883" t="e">
        <f>IF(OR(C1064="Choose mgt fee",C1064="Choose One!"),"",(C1058+C1059+C1060+C1061+C1062) / -(C1063+C1064+C1065))</f>
        <v>#DIV/0!</v>
      </c>
      <c r="D1079" s="1883" t="e">
        <f>IF(OR(D1064="Choose mgt fee",D1064="Choose One!"),"",(D1058+D1059+D1060+D1061+D1062) / -(D1063+D1064+D1065))</f>
        <v>#DIV/0!</v>
      </c>
      <c r="E1079" s="1883" t="e">
        <f>IF(OR(E1064="Choose mgt fee",E1064="Choose One!"),"",(E1058+E1059+E1060+E1061+E1062) / -(E1063+E1064+E1065))</f>
        <v>#DIV/0!</v>
      </c>
      <c r="F1079" s="1883" t="e">
        <f>IF(OR(F1064="Choose mgt fee",F1064="Choose One!"),"",(F1058+F1059+F1060+F1061+F1062) / -(F1063+F1064+F1065))</f>
        <v>#DIV/0!</v>
      </c>
      <c r="G1079" s="1881"/>
      <c r="H1079" s="1881"/>
      <c r="I1079" s="1881"/>
      <c r="J1079" s="1881"/>
      <c r="K1079" s="1881"/>
    </row>
    <row r="1080" spans="1:11">
      <c r="A1080" s="742" t="s">
        <v>2617</v>
      </c>
      <c r="B1080" s="1881">
        <f>'Part VII-Pro Forma'!B132</f>
        <v>1408935.113054082</v>
      </c>
      <c r="C1080" s="1881">
        <f>'Part VII-Pro Forma'!C132</f>
        <v>1079555.6220716247</v>
      </c>
      <c r="D1080" s="1881">
        <f>'Part VII-Pro Forma'!D132</f>
        <v>735387.56225856463</v>
      </c>
      <c r="E1080" s="1881">
        <f>'Part VII-Pro Forma'!E132</f>
        <v>375766.95248054178</v>
      </c>
      <c r="F1080" s="1881">
        <f>'Part VII-Pro Forma'!F132</f>
        <v>-6.5716449171304703E-8</v>
      </c>
      <c r="G1080" s="1881"/>
      <c r="H1080" s="1881"/>
      <c r="I1080" s="1881"/>
      <c r="J1080" s="1881"/>
      <c r="K1080" s="1881"/>
    </row>
    <row r="1081" spans="1:11">
      <c r="A1081" s="742" t="s">
        <v>2618</v>
      </c>
      <c r="B1081" s="1881" t="str">
        <f>'Part VII-Pro Forma'!B133</f>
        <v/>
      </c>
      <c r="C1081" s="1881" t="str">
        <f>'Part VII-Pro Forma'!C133</f>
        <v/>
      </c>
      <c r="D1081" s="1881" t="str">
        <f>'Part VII-Pro Forma'!D133</f>
        <v/>
      </c>
      <c r="E1081" s="1881" t="str">
        <f>'Part VII-Pro Forma'!E133</f>
        <v/>
      </c>
      <c r="F1081" s="1881" t="str">
        <f>'Part VII-Pro Forma'!F133</f>
        <v/>
      </c>
      <c r="G1081" s="1881"/>
      <c r="H1081" s="1881"/>
      <c r="I1081" s="1881"/>
      <c r="J1081" s="1881"/>
      <c r="K1081" s="1881"/>
    </row>
    <row r="1082" spans="1:11">
      <c r="A1082" s="742" t="s">
        <v>2619</v>
      </c>
      <c r="B1082" s="1881" t="str">
        <f>'Part VII-Pro Forma'!B134</f>
        <v/>
      </c>
      <c r="C1082" s="1881" t="str">
        <f>'Part VII-Pro Forma'!C134</f>
        <v/>
      </c>
      <c r="D1082" s="1881" t="str">
        <f>'Part VII-Pro Forma'!D134</f>
        <v/>
      </c>
      <c r="E1082" s="1881" t="str">
        <f>'Part VII-Pro Forma'!E134</f>
        <v/>
      </c>
      <c r="F1082" s="1881" t="str">
        <f>'Part VII-Pro Forma'!F134</f>
        <v/>
      </c>
      <c r="G1082" s="1881"/>
      <c r="H1082" s="1881"/>
      <c r="I1082" s="1881"/>
      <c r="J1082" s="1881"/>
      <c r="K1082" s="1881"/>
    </row>
    <row r="1083" spans="1:11">
      <c r="A1083" s="742" t="s">
        <v>784</v>
      </c>
      <c r="B1083" s="1881" t="str">
        <f>'Part VII-Pro Forma'!B135</f>
        <v/>
      </c>
      <c r="C1083" s="1881" t="str">
        <f>'Part VII-Pro Forma'!C135</f>
        <v/>
      </c>
      <c r="D1083" s="1881" t="str">
        <f>'Part VII-Pro Forma'!D135</f>
        <v/>
      </c>
      <c r="E1083" s="1881" t="str">
        <f>'Part VII-Pro Forma'!E135</f>
        <v/>
      </c>
      <c r="F1083" s="1881" t="str">
        <f>'Part VII-Pro Forma'!F135</f>
        <v/>
      </c>
      <c r="G1083" s="1881"/>
      <c r="H1083" s="1881"/>
      <c r="I1083" s="1881"/>
      <c r="J1083" s="1881"/>
      <c r="K1083" s="1881"/>
    </row>
    <row r="1085" spans="1:11">
      <c r="A1085" s="1641" t="s">
        <v>571</v>
      </c>
      <c r="B1085" s="1641"/>
      <c r="G1085" s="1641" t="s">
        <v>1031</v>
      </c>
    </row>
    <row r="1086" spans="1:11">
      <c r="B1086" s="1807"/>
    </row>
    <row r="1087" spans="1:11" ht="12.75" customHeight="1">
      <c r="A1087" s="1708" t="str">
        <f>'Part VII-Pro Forma'!A139</f>
        <v>APPLICANTS: Explain any any debt service payment amounts that deviate from the amount shown in Permanent Sources (Part III)</v>
      </c>
      <c r="B1087" s="1708">
        <f>'Part VII-Pro Forma'!B139</f>
        <v>0</v>
      </c>
      <c r="C1087" s="1708">
        <f>'Part VII-Pro Forma'!C139</f>
        <v>0</v>
      </c>
      <c r="D1087" s="1708">
        <f>'Part VII-Pro Forma'!D139</f>
        <v>0</v>
      </c>
      <c r="E1087" s="1708">
        <f>'Part VII-Pro Forma'!E139</f>
        <v>0</v>
      </c>
      <c r="F1087" s="1708">
        <f>'Part VII-Pro Forma'!F139</f>
        <v>0</v>
      </c>
      <c r="G1087" s="1708">
        <f>'Part VII-Pro Forma'!G139</f>
        <v>0</v>
      </c>
      <c r="H1087" s="1708">
        <f>'Part VII-Pro Forma'!H139</f>
        <v>0</v>
      </c>
      <c r="I1087" s="1708">
        <f>'Part VII-Pro Forma'!I139</f>
        <v>0</v>
      </c>
      <c r="J1087" s="1708">
        <f>'Part VII-Pro Forma'!J139</f>
        <v>0</v>
      </c>
      <c r="K1087" s="1708">
        <f>'Part VII-Pro Forma'!K139</f>
        <v>0</v>
      </c>
    </row>
    <row r="1095" spans="1:17">
      <c r="A1095" s="1629" t="str">
        <f>CONCATENATE("PART EIGHT - THRESHOLD CRITERIA","  -  ",'Part I-Project Information'!$O$6," ",'Part I-Project Information'!$F$34,", ",'Part I-Project Information'!F1139,", ",'Part I-Project Information'!J1140," County")</f>
        <v>PART EIGHT - THRESHOLD CRITERIA  -  2019-5 Stone Terrace Phase II, ,  County</v>
      </c>
      <c r="B1095" s="1629"/>
      <c r="C1095" s="1629"/>
      <c r="D1095" s="1629"/>
      <c r="E1095" s="1629"/>
      <c r="F1095" s="1629"/>
      <c r="G1095" s="1629"/>
      <c r="H1095" s="1629"/>
      <c r="I1095" s="1629"/>
      <c r="J1095" s="1629"/>
      <c r="K1095" s="1629"/>
      <c r="L1095" s="1629"/>
      <c r="M1095" s="1629"/>
      <c r="N1095" s="1629"/>
      <c r="O1095" s="1629"/>
      <c r="P1095" s="1629"/>
      <c r="Q1095" s="1629"/>
    </row>
    <row r="1097" spans="1:17" ht="20.25" customHeight="1">
      <c r="A1097" s="1642"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42"/>
      <c r="C1097" s="1642"/>
      <c r="D1097" s="1642"/>
      <c r="E1097" s="1642"/>
      <c r="F1097" s="1642"/>
      <c r="G1097" s="1642"/>
      <c r="H1097" s="1642"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42"/>
      <c r="J1097" s="1642"/>
      <c r="K1097" s="1642"/>
      <c r="L1097" s="1642"/>
      <c r="M1097" s="1642"/>
      <c r="N1097" s="1642"/>
      <c r="O1097" s="1817" t="s">
        <v>935</v>
      </c>
      <c r="P1097" s="1817"/>
      <c r="Q1097" s="1818" t="s">
        <v>1843</v>
      </c>
    </row>
    <row r="1098" spans="1:17">
      <c r="A1098" s="1812"/>
      <c r="B1098" s="1885"/>
      <c r="C1098" s="1885"/>
      <c r="D1098" s="1885"/>
      <c r="E1098" s="1812"/>
      <c r="F1098" s="1812"/>
      <c r="G1098" s="1812"/>
      <c r="H1098" s="1812"/>
      <c r="I1098" s="1812"/>
      <c r="J1098" s="1812"/>
      <c r="K1098" s="1812"/>
      <c r="L1098" s="1812"/>
      <c r="M1098" s="1812"/>
      <c r="N1098" s="1812"/>
      <c r="P1098" s="1812"/>
      <c r="Q1098" s="1812"/>
    </row>
    <row r="1099" spans="1:17">
      <c r="A1099" s="1812"/>
      <c r="B1099" s="1812"/>
      <c r="C1099" s="1812"/>
      <c r="D1099" s="1812"/>
      <c r="E1099" s="1812"/>
      <c r="F1099" s="1812"/>
      <c r="G1099" s="1812"/>
      <c r="H1099" s="1812"/>
      <c r="I1099" s="1812"/>
      <c r="J1099" s="1812"/>
      <c r="K1099" s="1812"/>
      <c r="L1099" s="1812"/>
      <c r="M1099" s="1812"/>
      <c r="N1099" s="1812"/>
      <c r="P1099" s="1812"/>
      <c r="Q1099" s="1812"/>
    </row>
    <row r="1100" spans="1:17" ht="18" customHeight="1">
      <c r="A1100" s="1886" t="s">
        <v>567</v>
      </c>
      <c r="J1100" s="1887" t="s">
        <v>4540</v>
      </c>
      <c r="K1100" s="1887"/>
      <c r="L1100" s="1887"/>
      <c r="M1100" s="1887"/>
      <c r="N1100" s="1887"/>
      <c r="O1100" s="1887"/>
      <c r="P1100" s="1888">
        <f>'Part VIII-Threshold Criteria'!P6</f>
        <v>0</v>
      </c>
      <c r="Q1100" s="1888">
        <f>'Part VIII-Threshold Criteria'!Q6</f>
        <v>0</v>
      </c>
    </row>
    <row r="1101" spans="1:17">
      <c r="A1101" s="1889" t="s">
        <v>3451</v>
      </c>
      <c r="H1101" s="1631"/>
      <c r="I1101" s="1631"/>
      <c r="J1101" s="1631"/>
      <c r="K1101" s="1631"/>
      <c r="L1101" s="1631"/>
      <c r="M1101" s="1812"/>
      <c r="N1101" s="1812"/>
    </row>
    <row r="1102" spans="1:17">
      <c r="A1102" s="1890" t="str">
        <f>'Part VIII-Threshold Criteria'!A8</f>
        <v xml:space="preserve">1.) </v>
      </c>
      <c r="B1102" s="1890">
        <f>'Part VIII-Threshold Criteria'!B8</f>
        <v>0</v>
      </c>
      <c r="C1102" s="1890">
        <f>'Part VIII-Threshold Criteria'!C8</f>
        <v>0</v>
      </c>
      <c r="D1102" s="1890">
        <f>'Part VIII-Threshold Criteria'!D8</f>
        <v>0</v>
      </c>
      <c r="E1102" s="1890">
        <f>'Part VIII-Threshold Criteria'!E8</f>
        <v>0</v>
      </c>
      <c r="F1102" s="1890">
        <f>'Part VIII-Threshold Criteria'!F8</f>
        <v>0</v>
      </c>
      <c r="G1102" s="1890">
        <f>'Part VIII-Threshold Criteria'!G8</f>
        <v>0</v>
      </c>
      <c r="H1102" s="1890">
        <f>'Part VIII-Threshold Criteria'!H8</f>
        <v>0</v>
      </c>
      <c r="I1102" s="1890">
        <f>'Part VIII-Threshold Criteria'!I8</f>
        <v>0</v>
      </c>
      <c r="J1102" s="1890">
        <f>'Part VIII-Threshold Criteria'!J8</f>
        <v>0</v>
      </c>
      <c r="K1102" s="1890">
        <f>'Part VIII-Threshold Criteria'!K8</f>
        <v>0</v>
      </c>
      <c r="L1102" s="1890">
        <f>'Part VIII-Threshold Criteria'!L8</f>
        <v>0</v>
      </c>
      <c r="M1102" s="1890">
        <f>'Part VIII-Threshold Criteria'!M8</f>
        <v>0</v>
      </c>
      <c r="N1102" s="1890">
        <f>'Part VIII-Threshold Criteria'!N8</f>
        <v>0</v>
      </c>
      <c r="O1102" s="1890">
        <f>'Part VIII-Threshold Criteria'!O8</f>
        <v>0</v>
      </c>
      <c r="P1102" s="1890">
        <f>'Part VIII-Threshold Criteria'!P8</f>
        <v>0</v>
      </c>
      <c r="Q1102" s="1890">
        <f>'Part VIII-Threshold Criteria'!Q8</f>
        <v>0</v>
      </c>
    </row>
    <row r="1103" spans="1:17">
      <c r="A1103" s="1890" t="str">
        <f>'Part VIII-Threshold Criteria'!A9</f>
        <v>2.)</v>
      </c>
      <c r="B1103" s="1890">
        <f>'Part VIII-Threshold Criteria'!B9</f>
        <v>0</v>
      </c>
      <c r="C1103" s="1890">
        <f>'Part VIII-Threshold Criteria'!C9</f>
        <v>0</v>
      </c>
      <c r="D1103" s="1890">
        <f>'Part VIII-Threshold Criteria'!D9</f>
        <v>0</v>
      </c>
      <c r="E1103" s="1890">
        <f>'Part VIII-Threshold Criteria'!E9</f>
        <v>0</v>
      </c>
      <c r="F1103" s="1890">
        <f>'Part VIII-Threshold Criteria'!F9</f>
        <v>0</v>
      </c>
      <c r="G1103" s="1890">
        <f>'Part VIII-Threshold Criteria'!G9</f>
        <v>0</v>
      </c>
      <c r="H1103" s="1890">
        <f>'Part VIII-Threshold Criteria'!H9</f>
        <v>0</v>
      </c>
      <c r="I1103" s="1890">
        <f>'Part VIII-Threshold Criteria'!I9</f>
        <v>0</v>
      </c>
      <c r="J1103" s="1890">
        <f>'Part VIII-Threshold Criteria'!J9</f>
        <v>0</v>
      </c>
      <c r="K1103" s="1890">
        <f>'Part VIII-Threshold Criteria'!K9</f>
        <v>0</v>
      </c>
      <c r="L1103" s="1890">
        <f>'Part VIII-Threshold Criteria'!L9</f>
        <v>0</v>
      </c>
      <c r="M1103" s="1890">
        <f>'Part VIII-Threshold Criteria'!M9</f>
        <v>0</v>
      </c>
      <c r="N1103" s="1890">
        <f>'Part VIII-Threshold Criteria'!N9</f>
        <v>0</v>
      </c>
      <c r="O1103" s="1890">
        <f>'Part VIII-Threshold Criteria'!O9</f>
        <v>0</v>
      </c>
      <c r="P1103" s="1890">
        <f>'Part VIII-Threshold Criteria'!P9</f>
        <v>0</v>
      </c>
      <c r="Q1103" s="1890">
        <f>'Part VIII-Threshold Criteria'!Q9</f>
        <v>0</v>
      </c>
    </row>
    <row r="1104" spans="1:17">
      <c r="A1104" s="1890" t="str">
        <f>'Part VIII-Threshold Criteria'!A10</f>
        <v>3.)</v>
      </c>
      <c r="B1104" s="1890">
        <f>'Part VIII-Threshold Criteria'!B10</f>
        <v>0</v>
      </c>
      <c r="C1104" s="1890">
        <f>'Part VIII-Threshold Criteria'!C10</f>
        <v>0</v>
      </c>
      <c r="D1104" s="1890">
        <f>'Part VIII-Threshold Criteria'!D10</f>
        <v>0</v>
      </c>
      <c r="E1104" s="1890">
        <f>'Part VIII-Threshold Criteria'!E10</f>
        <v>0</v>
      </c>
      <c r="F1104" s="1890">
        <f>'Part VIII-Threshold Criteria'!F10</f>
        <v>0</v>
      </c>
      <c r="G1104" s="1890">
        <f>'Part VIII-Threshold Criteria'!G10</f>
        <v>0</v>
      </c>
      <c r="H1104" s="1890">
        <f>'Part VIII-Threshold Criteria'!H10</f>
        <v>0</v>
      </c>
      <c r="I1104" s="1890">
        <f>'Part VIII-Threshold Criteria'!I10</f>
        <v>0</v>
      </c>
      <c r="J1104" s="1890">
        <f>'Part VIII-Threshold Criteria'!J10</f>
        <v>0</v>
      </c>
      <c r="K1104" s="1890">
        <f>'Part VIII-Threshold Criteria'!K10</f>
        <v>0</v>
      </c>
      <c r="L1104" s="1890">
        <f>'Part VIII-Threshold Criteria'!L10</f>
        <v>0</v>
      </c>
      <c r="M1104" s="1890">
        <f>'Part VIII-Threshold Criteria'!M10</f>
        <v>0</v>
      </c>
      <c r="N1104" s="1890">
        <f>'Part VIII-Threshold Criteria'!N10</f>
        <v>0</v>
      </c>
      <c r="O1104" s="1890">
        <f>'Part VIII-Threshold Criteria'!O10</f>
        <v>0</v>
      </c>
      <c r="P1104" s="1890">
        <f>'Part VIII-Threshold Criteria'!P10</f>
        <v>0</v>
      </c>
      <c r="Q1104" s="1890">
        <f>'Part VIII-Threshold Criteria'!Q10</f>
        <v>0</v>
      </c>
    </row>
    <row r="1105" spans="1:17">
      <c r="A1105" s="1890" t="str">
        <f>'Part VIII-Threshold Criteria'!A11</f>
        <v>4.)</v>
      </c>
      <c r="B1105" s="1890">
        <f>'Part VIII-Threshold Criteria'!B11</f>
        <v>0</v>
      </c>
      <c r="C1105" s="1890">
        <f>'Part VIII-Threshold Criteria'!C11</f>
        <v>0</v>
      </c>
      <c r="D1105" s="1890">
        <f>'Part VIII-Threshold Criteria'!D11</f>
        <v>0</v>
      </c>
      <c r="E1105" s="1890">
        <f>'Part VIII-Threshold Criteria'!E11</f>
        <v>0</v>
      </c>
      <c r="F1105" s="1890">
        <f>'Part VIII-Threshold Criteria'!F11</f>
        <v>0</v>
      </c>
      <c r="G1105" s="1890">
        <f>'Part VIII-Threshold Criteria'!G11</f>
        <v>0</v>
      </c>
      <c r="H1105" s="1890">
        <f>'Part VIII-Threshold Criteria'!H11</f>
        <v>0</v>
      </c>
      <c r="I1105" s="1890">
        <f>'Part VIII-Threshold Criteria'!I11</f>
        <v>0</v>
      </c>
      <c r="J1105" s="1890">
        <f>'Part VIII-Threshold Criteria'!J11</f>
        <v>0</v>
      </c>
      <c r="K1105" s="1890">
        <f>'Part VIII-Threshold Criteria'!K11</f>
        <v>0</v>
      </c>
      <c r="L1105" s="1890">
        <f>'Part VIII-Threshold Criteria'!L11</f>
        <v>0</v>
      </c>
      <c r="M1105" s="1890">
        <f>'Part VIII-Threshold Criteria'!M11</f>
        <v>0</v>
      </c>
      <c r="N1105" s="1890">
        <f>'Part VIII-Threshold Criteria'!N11</f>
        <v>0</v>
      </c>
      <c r="O1105" s="1890">
        <f>'Part VIII-Threshold Criteria'!O11</f>
        <v>0</v>
      </c>
      <c r="P1105" s="1890">
        <f>'Part VIII-Threshold Criteria'!P11</f>
        <v>0</v>
      </c>
      <c r="Q1105" s="1890">
        <f>'Part VIII-Threshold Criteria'!Q11</f>
        <v>0</v>
      </c>
    </row>
    <row r="1106" spans="1:17">
      <c r="A1106" s="1890" t="str">
        <f>'Part VIII-Threshold Criteria'!A12</f>
        <v>5.)</v>
      </c>
      <c r="B1106" s="1890">
        <f>'Part VIII-Threshold Criteria'!B12</f>
        <v>0</v>
      </c>
      <c r="C1106" s="1890">
        <f>'Part VIII-Threshold Criteria'!C12</f>
        <v>0</v>
      </c>
      <c r="D1106" s="1890">
        <f>'Part VIII-Threshold Criteria'!D12</f>
        <v>0</v>
      </c>
      <c r="E1106" s="1890">
        <f>'Part VIII-Threshold Criteria'!E12</f>
        <v>0</v>
      </c>
      <c r="F1106" s="1890">
        <f>'Part VIII-Threshold Criteria'!F12</f>
        <v>0</v>
      </c>
      <c r="G1106" s="1890">
        <f>'Part VIII-Threshold Criteria'!G12</f>
        <v>0</v>
      </c>
      <c r="H1106" s="1890">
        <f>'Part VIII-Threshold Criteria'!H12</f>
        <v>0</v>
      </c>
      <c r="I1106" s="1890">
        <f>'Part VIII-Threshold Criteria'!I12</f>
        <v>0</v>
      </c>
      <c r="J1106" s="1890">
        <f>'Part VIII-Threshold Criteria'!J12</f>
        <v>0</v>
      </c>
      <c r="K1106" s="1890">
        <f>'Part VIII-Threshold Criteria'!K12</f>
        <v>0</v>
      </c>
      <c r="L1106" s="1890">
        <f>'Part VIII-Threshold Criteria'!L12</f>
        <v>0</v>
      </c>
      <c r="M1106" s="1890">
        <f>'Part VIII-Threshold Criteria'!M12</f>
        <v>0</v>
      </c>
      <c r="N1106" s="1890">
        <f>'Part VIII-Threshold Criteria'!N12</f>
        <v>0</v>
      </c>
      <c r="O1106" s="1890">
        <f>'Part VIII-Threshold Criteria'!O12</f>
        <v>0</v>
      </c>
      <c r="P1106" s="1890">
        <f>'Part VIII-Threshold Criteria'!P12</f>
        <v>0</v>
      </c>
      <c r="Q1106" s="1890">
        <f>'Part VIII-Threshold Criteria'!Q12</f>
        <v>0</v>
      </c>
    </row>
    <row r="1107" spans="1:17">
      <c r="A1107" s="1890" t="str">
        <f>'Part VIII-Threshold Criteria'!A13</f>
        <v>6.)</v>
      </c>
      <c r="B1107" s="1890">
        <f>'Part VIII-Threshold Criteria'!B13</f>
        <v>0</v>
      </c>
      <c r="C1107" s="1890">
        <f>'Part VIII-Threshold Criteria'!C13</f>
        <v>0</v>
      </c>
      <c r="D1107" s="1890">
        <f>'Part VIII-Threshold Criteria'!D13</f>
        <v>0</v>
      </c>
      <c r="E1107" s="1890">
        <f>'Part VIII-Threshold Criteria'!E13</f>
        <v>0</v>
      </c>
      <c r="F1107" s="1890">
        <f>'Part VIII-Threshold Criteria'!F13</f>
        <v>0</v>
      </c>
      <c r="G1107" s="1890">
        <f>'Part VIII-Threshold Criteria'!G13</f>
        <v>0</v>
      </c>
      <c r="H1107" s="1890">
        <f>'Part VIII-Threshold Criteria'!H13</f>
        <v>0</v>
      </c>
      <c r="I1107" s="1890">
        <f>'Part VIII-Threshold Criteria'!I13</f>
        <v>0</v>
      </c>
      <c r="J1107" s="1890">
        <f>'Part VIII-Threshold Criteria'!J13</f>
        <v>0</v>
      </c>
      <c r="K1107" s="1890">
        <f>'Part VIII-Threshold Criteria'!K13</f>
        <v>0</v>
      </c>
      <c r="L1107" s="1890">
        <f>'Part VIII-Threshold Criteria'!L13</f>
        <v>0</v>
      </c>
      <c r="M1107" s="1890">
        <f>'Part VIII-Threshold Criteria'!M13</f>
        <v>0</v>
      </c>
      <c r="N1107" s="1890">
        <f>'Part VIII-Threshold Criteria'!N13</f>
        <v>0</v>
      </c>
      <c r="O1107" s="1890">
        <f>'Part VIII-Threshold Criteria'!O13</f>
        <v>0</v>
      </c>
      <c r="P1107" s="1890">
        <f>'Part VIII-Threshold Criteria'!P13</f>
        <v>0</v>
      </c>
      <c r="Q1107" s="1890">
        <f>'Part VIII-Threshold Criteria'!Q13</f>
        <v>0</v>
      </c>
    </row>
    <row r="1108" spans="1:17">
      <c r="A1108" s="1890" t="str">
        <f>'Part VIII-Threshold Criteria'!A14</f>
        <v>7.)</v>
      </c>
      <c r="B1108" s="1890">
        <f>'Part VIII-Threshold Criteria'!B14</f>
        <v>0</v>
      </c>
      <c r="C1108" s="1890">
        <f>'Part VIII-Threshold Criteria'!C14</f>
        <v>0</v>
      </c>
      <c r="D1108" s="1890">
        <f>'Part VIII-Threshold Criteria'!D14</f>
        <v>0</v>
      </c>
      <c r="E1108" s="1890">
        <f>'Part VIII-Threshold Criteria'!E14</f>
        <v>0</v>
      </c>
      <c r="F1108" s="1890">
        <f>'Part VIII-Threshold Criteria'!F14</f>
        <v>0</v>
      </c>
      <c r="G1108" s="1890">
        <f>'Part VIII-Threshold Criteria'!G14</f>
        <v>0</v>
      </c>
      <c r="H1108" s="1890">
        <f>'Part VIII-Threshold Criteria'!H14</f>
        <v>0</v>
      </c>
      <c r="I1108" s="1890">
        <f>'Part VIII-Threshold Criteria'!I14</f>
        <v>0</v>
      </c>
      <c r="J1108" s="1890">
        <f>'Part VIII-Threshold Criteria'!J14</f>
        <v>0</v>
      </c>
      <c r="K1108" s="1890">
        <f>'Part VIII-Threshold Criteria'!K14</f>
        <v>0</v>
      </c>
      <c r="L1108" s="1890">
        <f>'Part VIII-Threshold Criteria'!L14</f>
        <v>0</v>
      </c>
      <c r="M1108" s="1890">
        <f>'Part VIII-Threshold Criteria'!M14</f>
        <v>0</v>
      </c>
      <c r="N1108" s="1890">
        <f>'Part VIII-Threshold Criteria'!N14</f>
        <v>0</v>
      </c>
      <c r="O1108" s="1890">
        <f>'Part VIII-Threshold Criteria'!O14</f>
        <v>0</v>
      </c>
      <c r="P1108" s="1890">
        <f>'Part VIII-Threshold Criteria'!P14</f>
        <v>0</v>
      </c>
      <c r="Q1108" s="1890">
        <f>'Part VIII-Threshold Criteria'!Q14</f>
        <v>0</v>
      </c>
    </row>
    <row r="1109" spans="1:17">
      <c r="A1109" s="1890" t="str">
        <f>'Part VIII-Threshold Criteria'!A15</f>
        <v xml:space="preserve">8.) </v>
      </c>
      <c r="B1109" s="1890">
        <f>'Part VIII-Threshold Criteria'!B15</f>
        <v>0</v>
      </c>
      <c r="C1109" s="1890">
        <f>'Part VIII-Threshold Criteria'!C15</f>
        <v>0</v>
      </c>
      <c r="D1109" s="1890">
        <f>'Part VIII-Threshold Criteria'!D15</f>
        <v>0</v>
      </c>
      <c r="E1109" s="1890">
        <f>'Part VIII-Threshold Criteria'!E15</f>
        <v>0</v>
      </c>
      <c r="F1109" s="1890">
        <f>'Part VIII-Threshold Criteria'!F15</f>
        <v>0</v>
      </c>
      <c r="G1109" s="1890">
        <f>'Part VIII-Threshold Criteria'!G15</f>
        <v>0</v>
      </c>
      <c r="H1109" s="1890">
        <f>'Part VIII-Threshold Criteria'!H15</f>
        <v>0</v>
      </c>
      <c r="I1109" s="1890">
        <f>'Part VIII-Threshold Criteria'!I15</f>
        <v>0</v>
      </c>
      <c r="J1109" s="1890">
        <f>'Part VIII-Threshold Criteria'!J15</f>
        <v>0</v>
      </c>
      <c r="K1109" s="1890">
        <f>'Part VIII-Threshold Criteria'!K15</f>
        <v>0</v>
      </c>
      <c r="L1109" s="1890">
        <f>'Part VIII-Threshold Criteria'!L15</f>
        <v>0</v>
      </c>
      <c r="M1109" s="1890">
        <f>'Part VIII-Threshold Criteria'!M15</f>
        <v>0</v>
      </c>
      <c r="N1109" s="1890">
        <f>'Part VIII-Threshold Criteria'!N15</f>
        <v>0</v>
      </c>
      <c r="O1109" s="1890">
        <f>'Part VIII-Threshold Criteria'!O15</f>
        <v>0</v>
      </c>
      <c r="P1109" s="1890">
        <f>'Part VIII-Threshold Criteria'!P15</f>
        <v>0</v>
      </c>
      <c r="Q1109" s="1890">
        <f>'Part VIII-Threshold Criteria'!Q15</f>
        <v>0</v>
      </c>
    </row>
    <row r="1110" spans="1:17">
      <c r="A1110" s="1890" t="str">
        <f>'Part VIII-Threshold Criteria'!A16</f>
        <v>9.)</v>
      </c>
      <c r="B1110" s="1890">
        <f>'Part VIII-Threshold Criteria'!B16</f>
        <v>0</v>
      </c>
      <c r="C1110" s="1890">
        <f>'Part VIII-Threshold Criteria'!C16</f>
        <v>0</v>
      </c>
      <c r="D1110" s="1890">
        <f>'Part VIII-Threshold Criteria'!D16</f>
        <v>0</v>
      </c>
      <c r="E1110" s="1890">
        <f>'Part VIII-Threshold Criteria'!E16</f>
        <v>0</v>
      </c>
      <c r="F1110" s="1890">
        <f>'Part VIII-Threshold Criteria'!F16</f>
        <v>0</v>
      </c>
      <c r="G1110" s="1890">
        <f>'Part VIII-Threshold Criteria'!G16</f>
        <v>0</v>
      </c>
      <c r="H1110" s="1890">
        <f>'Part VIII-Threshold Criteria'!H16</f>
        <v>0</v>
      </c>
      <c r="I1110" s="1890">
        <f>'Part VIII-Threshold Criteria'!I16</f>
        <v>0</v>
      </c>
      <c r="J1110" s="1890">
        <f>'Part VIII-Threshold Criteria'!J16</f>
        <v>0</v>
      </c>
      <c r="K1110" s="1890">
        <f>'Part VIII-Threshold Criteria'!K16</f>
        <v>0</v>
      </c>
      <c r="L1110" s="1890">
        <f>'Part VIII-Threshold Criteria'!L16</f>
        <v>0</v>
      </c>
      <c r="M1110" s="1890">
        <f>'Part VIII-Threshold Criteria'!M16</f>
        <v>0</v>
      </c>
      <c r="N1110" s="1890">
        <f>'Part VIII-Threshold Criteria'!N16</f>
        <v>0</v>
      </c>
      <c r="O1110" s="1890">
        <f>'Part VIII-Threshold Criteria'!O16</f>
        <v>0</v>
      </c>
      <c r="P1110" s="1890">
        <f>'Part VIII-Threshold Criteria'!P16</f>
        <v>0</v>
      </c>
      <c r="Q1110" s="1890">
        <f>'Part VIII-Threshold Criteria'!Q16</f>
        <v>0</v>
      </c>
    </row>
    <row r="1111" spans="1:17">
      <c r="A1111" s="1890" t="str">
        <f>'Part VIII-Threshold Criteria'!A17</f>
        <v>10.)</v>
      </c>
      <c r="B1111" s="1890">
        <f>'Part VIII-Threshold Criteria'!B17</f>
        <v>0</v>
      </c>
      <c r="C1111" s="1890">
        <f>'Part VIII-Threshold Criteria'!C17</f>
        <v>0</v>
      </c>
      <c r="D1111" s="1890">
        <f>'Part VIII-Threshold Criteria'!D17</f>
        <v>0</v>
      </c>
      <c r="E1111" s="1890">
        <f>'Part VIII-Threshold Criteria'!E17</f>
        <v>0</v>
      </c>
      <c r="F1111" s="1890">
        <f>'Part VIII-Threshold Criteria'!F17</f>
        <v>0</v>
      </c>
      <c r="G1111" s="1890">
        <f>'Part VIII-Threshold Criteria'!G17</f>
        <v>0</v>
      </c>
      <c r="H1111" s="1890">
        <f>'Part VIII-Threshold Criteria'!H17</f>
        <v>0</v>
      </c>
      <c r="I1111" s="1890">
        <f>'Part VIII-Threshold Criteria'!I17</f>
        <v>0</v>
      </c>
      <c r="J1111" s="1890">
        <f>'Part VIII-Threshold Criteria'!J17</f>
        <v>0</v>
      </c>
      <c r="K1111" s="1890">
        <f>'Part VIII-Threshold Criteria'!K17</f>
        <v>0</v>
      </c>
      <c r="L1111" s="1890">
        <f>'Part VIII-Threshold Criteria'!L17</f>
        <v>0</v>
      </c>
      <c r="M1111" s="1890">
        <f>'Part VIII-Threshold Criteria'!M17</f>
        <v>0</v>
      </c>
      <c r="N1111" s="1890">
        <f>'Part VIII-Threshold Criteria'!N17</f>
        <v>0</v>
      </c>
      <c r="O1111" s="1890">
        <f>'Part VIII-Threshold Criteria'!O17</f>
        <v>0</v>
      </c>
      <c r="P1111" s="1890">
        <f>'Part VIII-Threshold Criteria'!P17</f>
        <v>0</v>
      </c>
      <c r="Q1111" s="1890">
        <f>'Part VIII-Threshold Criteria'!Q17</f>
        <v>0</v>
      </c>
    </row>
    <row r="1112" spans="1:17">
      <c r="A1112" s="1890" t="str">
        <f>'Part VIII-Threshold Criteria'!A18</f>
        <v>11.)</v>
      </c>
      <c r="B1112" s="1890">
        <f>'Part VIII-Threshold Criteria'!B18</f>
        <v>0</v>
      </c>
      <c r="C1112" s="1890">
        <f>'Part VIII-Threshold Criteria'!C18</f>
        <v>0</v>
      </c>
      <c r="D1112" s="1890">
        <f>'Part VIII-Threshold Criteria'!D18</f>
        <v>0</v>
      </c>
      <c r="E1112" s="1890">
        <f>'Part VIII-Threshold Criteria'!E18</f>
        <v>0</v>
      </c>
      <c r="F1112" s="1890">
        <f>'Part VIII-Threshold Criteria'!F18</f>
        <v>0</v>
      </c>
      <c r="G1112" s="1890">
        <f>'Part VIII-Threshold Criteria'!G18</f>
        <v>0</v>
      </c>
      <c r="H1112" s="1890">
        <f>'Part VIII-Threshold Criteria'!H18</f>
        <v>0</v>
      </c>
      <c r="I1112" s="1890">
        <f>'Part VIII-Threshold Criteria'!I18</f>
        <v>0</v>
      </c>
      <c r="J1112" s="1890">
        <f>'Part VIII-Threshold Criteria'!J18</f>
        <v>0</v>
      </c>
      <c r="K1112" s="1890">
        <f>'Part VIII-Threshold Criteria'!K18</f>
        <v>0</v>
      </c>
      <c r="L1112" s="1890">
        <f>'Part VIII-Threshold Criteria'!L18</f>
        <v>0</v>
      </c>
      <c r="M1112" s="1890">
        <f>'Part VIII-Threshold Criteria'!M18</f>
        <v>0</v>
      </c>
      <c r="N1112" s="1890">
        <f>'Part VIII-Threshold Criteria'!N18</f>
        <v>0</v>
      </c>
      <c r="O1112" s="1890">
        <f>'Part VIII-Threshold Criteria'!O18</f>
        <v>0</v>
      </c>
      <c r="P1112" s="1890">
        <f>'Part VIII-Threshold Criteria'!P18</f>
        <v>0</v>
      </c>
      <c r="Q1112" s="1890">
        <f>'Part VIII-Threshold Criteria'!Q18</f>
        <v>0</v>
      </c>
    </row>
    <row r="1113" spans="1:17">
      <c r="A1113" s="1890" t="str">
        <f>'Part VIII-Threshold Criteria'!A19</f>
        <v>12.)</v>
      </c>
      <c r="B1113" s="1890">
        <f>'Part VIII-Threshold Criteria'!B19</f>
        <v>0</v>
      </c>
      <c r="C1113" s="1890">
        <f>'Part VIII-Threshold Criteria'!C19</f>
        <v>0</v>
      </c>
      <c r="D1113" s="1890">
        <f>'Part VIII-Threshold Criteria'!D19</f>
        <v>0</v>
      </c>
      <c r="E1113" s="1890">
        <f>'Part VIII-Threshold Criteria'!E19</f>
        <v>0</v>
      </c>
      <c r="F1113" s="1890">
        <f>'Part VIII-Threshold Criteria'!F19</f>
        <v>0</v>
      </c>
      <c r="G1113" s="1890">
        <f>'Part VIII-Threshold Criteria'!G19</f>
        <v>0</v>
      </c>
      <c r="H1113" s="1890">
        <f>'Part VIII-Threshold Criteria'!H19</f>
        <v>0</v>
      </c>
      <c r="I1113" s="1890">
        <f>'Part VIII-Threshold Criteria'!I19</f>
        <v>0</v>
      </c>
      <c r="J1113" s="1890">
        <f>'Part VIII-Threshold Criteria'!J19</f>
        <v>0</v>
      </c>
      <c r="K1113" s="1890">
        <f>'Part VIII-Threshold Criteria'!K19</f>
        <v>0</v>
      </c>
      <c r="L1113" s="1890">
        <f>'Part VIII-Threshold Criteria'!L19</f>
        <v>0</v>
      </c>
      <c r="M1113" s="1890">
        <f>'Part VIII-Threshold Criteria'!M19</f>
        <v>0</v>
      </c>
      <c r="N1113" s="1890">
        <f>'Part VIII-Threshold Criteria'!N19</f>
        <v>0</v>
      </c>
      <c r="O1113" s="1890">
        <f>'Part VIII-Threshold Criteria'!O19</f>
        <v>0</v>
      </c>
      <c r="P1113" s="1890">
        <f>'Part VIII-Threshold Criteria'!P19</f>
        <v>0</v>
      </c>
      <c r="Q1113" s="1890">
        <f>'Part VIII-Threshold Criteria'!Q19</f>
        <v>0</v>
      </c>
    </row>
    <row r="1114" spans="1:17">
      <c r="A1114" s="1890" t="str">
        <f>'Part VIII-Threshold Criteria'!A20</f>
        <v>13.)</v>
      </c>
      <c r="B1114" s="1890">
        <f>'Part VIII-Threshold Criteria'!B20</f>
        <v>0</v>
      </c>
      <c r="C1114" s="1890">
        <f>'Part VIII-Threshold Criteria'!C20</f>
        <v>0</v>
      </c>
      <c r="D1114" s="1890">
        <f>'Part VIII-Threshold Criteria'!D20</f>
        <v>0</v>
      </c>
      <c r="E1114" s="1890">
        <f>'Part VIII-Threshold Criteria'!E20</f>
        <v>0</v>
      </c>
      <c r="F1114" s="1890">
        <f>'Part VIII-Threshold Criteria'!F20</f>
        <v>0</v>
      </c>
      <c r="G1114" s="1890">
        <f>'Part VIII-Threshold Criteria'!G20</f>
        <v>0</v>
      </c>
      <c r="H1114" s="1890">
        <f>'Part VIII-Threshold Criteria'!H20</f>
        <v>0</v>
      </c>
      <c r="I1114" s="1890">
        <f>'Part VIII-Threshold Criteria'!I20</f>
        <v>0</v>
      </c>
      <c r="J1114" s="1890">
        <f>'Part VIII-Threshold Criteria'!J20</f>
        <v>0</v>
      </c>
      <c r="K1114" s="1890">
        <f>'Part VIII-Threshold Criteria'!K20</f>
        <v>0</v>
      </c>
      <c r="L1114" s="1890">
        <f>'Part VIII-Threshold Criteria'!L20</f>
        <v>0</v>
      </c>
      <c r="M1114" s="1890">
        <f>'Part VIII-Threshold Criteria'!M20</f>
        <v>0</v>
      </c>
      <c r="N1114" s="1890">
        <f>'Part VIII-Threshold Criteria'!N20</f>
        <v>0</v>
      </c>
      <c r="O1114" s="1890">
        <f>'Part VIII-Threshold Criteria'!O20</f>
        <v>0</v>
      </c>
      <c r="P1114" s="1890">
        <f>'Part VIII-Threshold Criteria'!P20</f>
        <v>0</v>
      </c>
      <c r="Q1114" s="1890">
        <f>'Part VIII-Threshold Criteria'!Q20</f>
        <v>0</v>
      </c>
    </row>
    <row r="1115" spans="1:17">
      <c r="A1115" s="1890" t="str">
        <f>'Part VIII-Threshold Criteria'!A21</f>
        <v>14.)</v>
      </c>
      <c r="B1115" s="1890">
        <f>'Part VIII-Threshold Criteria'!B21</f>
        <v>0</v>
      </c>
      <c r="C1115" s="1890">
        <f>'Part VIII-Threshold Criteria'!C21</f>
        <v>0</v>
      </c>
      <c r="D1115" s="1890">
        <f>'Part VIII-Threshold Criteria'!D21</f>
        <v>0</v>
      </c>
      <c r="E1115" s="1890">
        <f>'Part VIII-Threshold Criteria'!E21</f>
        <v>0</v>
      </c>
      <c r="F1115" s="1890">
        <f>'Part VIII-Threshold Criteria'!F21</f>
        <v>0</v>
      </c>
      <c r="G1115" s="1890">
        <f>'Part VIII-Threshold Criteria'!G21</f>
        <v>0</v>
      </c>
      <c r="H1115" s="1890">
        <f>'Part VIII-Threshold Criteria'!H21</f>
        <v>0</v>
      </c>
      <c r="I1115" s="1890">
        <f>'Part VIII-Threshold Criteria'!I21</f>
        <v>0</v>
      </c>
      <c r="J1115" s="1890">
        <f>'Part VIII-Threshold Criteria'!J21</f>
        <v>0</v>
      </c>
      <c r="K1115" s="1890">
        <f>'Part VIII-Threshold Criteria'!K21</f>
        <v>0</v>
      </c>
      <c r="L1115" s="1890">
        <f>'Part VIII-Threshold Criteria'!L21</f>
        <v>0</v>
      </c>
      <c r="M1115" s="1890">
        <f>'Part VIII-Threshold Criteria'!M21</f>
        <v>0</v>
      </c>
      <c r="N1115" s="1890">
        <f>'Part VIII-Threshold Criteria'!N21</f>
        <v>0</v>
      </c>
      <c r="O1115" s="1890">
        <f>'Part VIII-Threshold Criteria'!O21</f>
        <v>0</v>
      </c>
      <c r="P1115" s="1890">
        <f>'Part VIII-Threshold Criteria'!P21</f>
        <v>0</v>
      </c>
      <c r="Q1115" s="1890">
        <f>'Part VIII-Threshold Criteria'!Q21</f>
        <v>0</v>
      </c>
    </row>
    <row r="1116" spans="1:17">
      <c r="A1116" s="1890" t="str">
        <f>'Part VIII-Threshold Criteria'!A22</f>
        <v xml:space="preserve">15.) </v>
      </c>
      <c r="B1116" s="1890">
        <f>'Part VIII-Threshold Criteria'!B22</f>
        <v>0</v>
      </c>
      <c r="C1116" s="1890">
        <f>'Part VIII-Threshold Criteria'!C22</f>
        <v>0</v>
      </c>
      <c r="D1116" s="1890">
        <f>'Part VIII-Threshold Criteria'!D22</f>
        <v>0</v>
      </c>
      <c r="E1116" s="1890">
        <f>'Part VIII-Threshold Criteria'!E22</f>
        <v>0</v>
      </c>
      <c r="F1116" s="1890">
        <f>'Part VIII-Threshold Criteria'!F22</f>
        <v>0</v>
      </c>
      <c r="G1116" s="1890">
        <f>'Part VIII-Threshold Criteria'!G22</f>
        <v>0</v>
      </c>
      <c r="H1116" s="1890">
        <f>'Part VIII-Threshold Criteria'!H22</f>
        <v>0</v>
      </c>
      <c r="I1116" s="1890">
        <f>'Part VIII-Threshold Criteria'!I22</f>
        <v>0</v>
      </c>
      <c r="J1116" s="1890">
        <f>'Part VIII-Threshold Criteria'!J22</f>
        <v>0</v>
      </c>
      <c r="K1116" s="1890">
        <f>'Part VIII-Threshold Criteria'!K22</f>
        <v>0</v>
      </c>
      <c r="L1116" s="1890">
        <f>'Part VIII-Threshold Criteria'!L22</f>
        <v>0</v>
      </c>
      <c r="M1116" s="1890">
        <f>'Part VIII-Threshold Criteria'!M22</f>
        <v>0</v>
      </c>
      <c r="N1116" s="1890">
        <f>'Part VIII-Threshold Criteria'!N22</f>
        <v>0</v>
      </c>
      <c r="O1116" s="1890">
        <f>'Part VIII-Threshold Criteria'!O22</f>
        <v>0</v>
      </c>
      <c r="P1116" s="1890">
        <f>'Part VIII-Threshold Criteria'!P22</f>
        <v>0</v>
      </c>
      <c r="Q1116" s="1890">
        <f>'Part VIII-Threshold Criteria'!Q22</f>
        <v>0</v>
      </c>
    </row>
    <row r="1117" spans="1:17">
      <c r="A1117" s="1890" t="str">
        <f>'Part VIII-Threshold Criteria'!A23</f>
        <v>16.)</v>
      </c>
      <c r="B1117" s="1890">
        <f>'Part VIII-Threshold Criteria'!B23</f>
        <v>0</v>
      </c>
      <c r="C1117" s="1890">
        <f>'Part VIII-Threshold Criteria'!C23</f>
        <v>0</v>
      </c>
      <c r="D1117" s="1890">
        <f>'Part VIII-Threshold Criteria'!D23</f>
        <v>0</v>
      </c>
      <c r="E1117" s="1890">
        <f>'Part VIII-Threshold Criteria'!E23</f>
        <v>0</v>
      </c>
      <c r="F1117" s="1890">
        <f>'Part VIII-Threshold Criteria'!F23</f>
        <v>0</v>
      </c>
      <c r="G1117" s="1890">
        <f>'Part VIII-Threshold Criteria'!G23</f>
        <v>0</v>
      </c>
      <c r="H1117" s="1890">
        <f>'Part VIII-Threshold Criteria'!H23</f>
        <v>0</v>
      </c>
      <c r="I1117" s="1890">
        <f>'Part VIII-Threshold Criteria'!I23</f>
        <v>0</v>
      </c>
      <c r="J1117" s="1890">
        <f>'Part VIII-Threshold Criteria'!J23</f>
        <v>0</v>
      </c>
      <c r="K1117" s="1890">
        <f>'Part VIII-Threshold Criteria'!K23</f>
        <v>0</v>
      </c>
      <c r="L1117" s="1890">
        <f>'Part VIII-Threshold Criteria'!L23</f>
        <v>0</v>
      </c>
      <c r="M1117" s="1890">
        <f>'Part VIII-Threshold Criteria'!M23</f>
        <v>0</v>
      </c>
      <c r="N1117" s="1890">
        <f>'Part VIII-Threshold Criteria'!N23</f>
        <v>0</v>
      </c>
      <c r="O1117" s="1890">
        <f>'Part VIII-Threshold Criteria'!O23</f>
        <v>0</v>
      </c>
      <c r="P1117" s="1890">
        <f>'Part VIII-Threshold Criteria'!P23</f>
        <v>0</v>
      </c>
      <c r="Q1117" s="1890">
        <f>'Part VIII-Threshold Criteria'!Q23</f>
        <v>0</v>
      </c>
    </row>
    <row r="1118" spans="1:17">
      <c r="A1118" s="1890" t="str">
        <f>'Part VIII-Threshold Criteria'!A24</f>
        <v>17.)</v>
      </c>
      <c r="B1118" s="1890">
        <f>'Part VIII-Threshold Criteria'!B24</f>
        <v>0</v>
      </c>
      <c r="C1118" s="1890">
        <f>'Part VIII-Threshold Criteria'!C24</f>
        <v>0</v>
      </c>
      <c r="D1118" s="1890">
        <f>'Part VIII-Threshold Criteria'!D24</f>
        <v>0</v>
      </c>
      <c r="E1118" s="1890">
        <f>'Part VIII-Threshold Criteria'!E24</f>
        <v>0</v>
      </c>
      <c r="F1118" s="1890">
        <f>'Part VIII-Threshold Criteria'!F24</f>
        <v>0</v>
      </c>
      <c r="G1118" s="1890">
        <f>'Part VIII-Threshold Criteria'!G24</f>
        <v>0</v>
      </c>
      <c r="H1118" s="1890">
        <f>'Part VIII-Threshold Criteria'!H24</f>
        <v>0</v>
      </c>
      <c r="I1118" s="1890">
        <f>'Part VIII-Threshold Criteria'!I24</f>
        <v>0</v>
      </c>
      <c r="J1118" s="1890">
        <f>'Part VIII-Threshold Criteria'!J24</f>
        <v>0</v>
      </c>
      <c r="K1118" s="1890">
        <f>'Part VIII-Threshold Criteria'!K24</f>
        <v>0</v>
      </c>
      <c r="L1118" s="1890">
        <f>'Part VIII-Threshold Criteria'!L24</f>
        <v>0</v>
      </c>
      <c r="M1118" s="1890">
        <f>'Part VIII-Threshold Criteria'!M24</f>
        <v>0</v>
      </c>
      <c r="N1118" s="1890">
        <f>'Part VIII-Threshold Criteria'!N24</f>
        <v>0</v>
      </c>
      <c r="O1118" s="1890">
        <f>'Part VIII-Threshold Criteria'!O24</f>
        <v>0</v>
      </c>
      <c r="P1118" s="1890">
        <f>'Part VIII-Threshold Criteria'!P24</f>
        <v>0</v>
      </c>
      <c r="Q1118" s="1890">
        <f>'Part VIII-Threshold Criteria'!Q24</f>
        <v>0</v>
      </c>
    </row>
    <row r="1119" spans="1:17">
      <c r="A1119" s="1890" t="str">
        <f>'Part VIII-Threshold Criteria'!A25</f>
        <v>18.)</v>
      </c>
      <c r="B1119" s="1890">
        <f>'Part VIII-Threshold Criteria'!B25</f>
        <v>0</v>
      </c>
      <c r="C1119" s="1890">
        <f>'Part VIII-Threshold Criteria'!C25</f>
        <v>0</v>
      </c>
      <c r="D1119" s="1890">
        <f>'Part VIII-Threshold Criteria'!D25</f>
        <v>0</v>
      </c>
      <c r="E1119" s="1890">
        <f>'Part VIII-Threshold Criteria'!E25</f>
        <v>0</v>
      </c>
      <c r="F1119" s="1890">
        <f>'Part VIII-Threshold Criteria'!F25</f>
        <v>0</v>
      </c>
      <c r="G1119" s="1890">
        <f>'Part VIII-Threshold Criteria'!G25</f>
        <v>0</v>
      </c>
      <c r="H1119" s="1890">
        <f>'Part VIII-Threshold Criteria'!H25</f>
        <v>0</v>
      </c>
      <c r="I1119" s="1890">
        <f>'Part VIII-Threshold Criteria'!I25</f>
        <v>0</v>
      </c>
      <c r="J1119" s="1890">
        <f>'Part VIII-Threshold Criteria'!J25</f>
        <v>0</v>
      </c>
      <c r="K1119" s="1890">
        <f>'Part VIII-Threshold Criteria'!K25</f>
        <v>0</v>
      </c>
      <c r="L1119" s="1890">
        <f>'Part VIII-Threshold Criteria'!L25</f>
        <v>0</v>
      </c>
      <c r="M1119" s="1890">
        <f>'Part VIII-Threshold Criteria'!M25</f>
        <v>0</v>
      </c>
      <c r="N1119" s="1890">
        <f>'Part VIII-Threshold Criteria'!N25</f>
        <v>0</v>
      </c>
      <c r="O1119" s="1890">
        <f>'Part VIII-Threshold Criteria'!O25</f>
        <v>0</v>
      </c>
      <c r="P1119" s="1890">
        <f>'Part VIII-Threshold Criteria'!P25</f>
        <v>0</v>
      </c>
      <c r="Q1119" s="1890">
        <f>'Part VIII-Threshold Criteria'!Q25</f>
        <v>0</v>
      </c>
    </row>
    <row r="1120" spans="1:17">
      <c r="A1120" s="1890" t="str">
        <f>'Part VIII-Threshold Criteria'!A26</f>
        <v>19.)</v>
      </c>
      <c r="B1120" s="1890">
        <f>'Part VIII-Threshold Criteria'!B26</f>
        <v>0</v>
      </c>
      <c r="C1120" s="1890">
        <f>'Part VIII-Threshold Criteria'!C26</f>
        <v>0</v>
      </c>
      <c r="D1120" s="1890">
        <f>'Part VIII-Threshold Criteria'!D26</f>
        <v>0</v>
      </c>
      <c r="E1120" s="1890">
        <f>'Part VIII-Threshold Criteria'!E26</f>
        <v>0</v>
      </c>
      <c r="F1120" s="1890">
        <f>'Part VIII-Threshold Criteria'!F26</f>
        <v>0</v>
      </c>
      <c r="G1120" s="1890">
        <f>'Part VIII-Threshold Criteria'!G26</f>
        <v>0</v>
      </c>
      <c r="H1120" s="1890">
        <f>'Part VIII-Threshold Criteria'!H26</f>
        <v>0</v>
      </c>
      <c r="I1120" s="1890">
        <f>'Part VIII-Threshold Criteria'!I26</f>
        <v>0</v>
      </c>
      <c r="J1120" s="1890">
        <f>'Part VIII-Threshold Criteria'!J26</f>
        <v>0</v>
      </c>
      <c r="K1120" s="1890">
        <f>'Part VIII-Threshold Criteria'!K26</f>
        <v>0</v>
      </c>
      <c r="L1120" s="1890">
        <f>'Part VIII-Threshold Criteria'!L26</f>
        <v>0</v>
      </c>
      <c r="M1120" s="1890">
        <f>'Part VIII-Threshold Criteria'!M26</f>
        <v>0</v>
      </c>
      <c r="N1120" s="1890">
        <f>'Part VIII-Threshold Criteria'!N26</f>
        <v>0</v>
      </c>
      <c r="O1120" s="1890">
        <f>'Part VIII-Threshold Criteria'!O26</f>
        <v>0</v>
      </c>
      <c r="P1120" s="1890">
        <f>'Part VIII-Threshold Criteria'!P26</f>
        <v>0</v>
      </c>
      <c r="Q1120" s="1890">
        <f>'Part VIII-Threshold Criteria'!Q26</f>
        <v>0</v>
      </c>
    </row>
    <row r="1121" spans="1:17">
      <c r="A1121" s="1890" t="str">
        <f>'Part VIII-Threshold Criteria'!A27</f>
        <v>20.)</v>
      </c>
      <c r="B1121" s="1890">
        <f>'Part VIII-Threshold Criteria'!B27</f>
        <v>0</v>
      </c>
      <c r="C1121" s="1890">
        <f>'Part VIII-Threshold Criteria'!C27</f>
        <v>0</v>
      </c>
      <c r="D1121" s="1890">
        <f>'Part VIII-Threshold Criteria'!D27</f>
        <v>0</v>
      </c>
      <c r="E1121" s="1890">
        <f>'Part VIII-Threshold Criteria'!E27</f>
        <v>0</v>
      </c>
      <c r="F1121" s="1890">
        <f>'Part VIII-Threshold Criteria'!F27</f>
        <v>0</v>
      </c>
      <c r="G1121" s="1890">
        <f>'Part VIII-Threshold Criteria'!G27</f>
        <v>0</v>
      </c>
      <c r="H1121" s="1890">
        <f>'Part VIII-Threshold Criteria'!H27</f>
        <v>0</v>
      </c>
      <c r="I1121" s="1890">
        <f>'Part VIII-Threshold Criteria'!I27</f>
        <v>0</v>
      </c>
      <c r="J1121" s="1890">
        <f>'Part VIII-Threshold Criteria'!J27</f>
        <v>0</v>
      </c>
      <c r="K1121" s="1890">
        <f>'Part VIII-Threshold Criteria'!K27</f>
        <v>0</v>
      </c>
      <c r="L1121" s="1890">
        <f>'Part VIII-Threshold Criteria'!L27</f>
        <v>0</v>
      </c>
      <c r="M1121" s="1890">
        <f>'Part VIII-Threshold Criteria'!M27</f>
        <v>0</v>
      </c>
      <c r="N1121" s="1890">
        <f>'Part VIII-Threshold Criteria'!N27</f>
        <v>0</v>
      </c>
      <c r="O1121" s="1890">
        <f>'Part VIII-Threshold Criteria'!O27</f>
        <v>0</v>
      </c>
      <c r="P1121" s="1890">
        <f>'Part VIII-Threshold Criteria'!P27</f>
        <v>0</v>
      </c>
      <c r="Q1121" s="1890">
        <f>'Part VIII-Threshold Criteria'!Q27</f>
        <v>0</v>
      </c>
    </row>
    <row r="1123" spans="1:17">
      <c r="A1123" s="1891" t="s">
        <v>616</v>
      </c>
      <c r="B1123" s="1892" t="s">
        <v>2651</v>
      </c>
      <c r="C1123" s="1893"/>
      <c r="D1123" s="1894"/>
      <c r="E1123" s="1894"/>
      <c r="F1123" s="1894"/>
      <c r="G1123" s="1894"/>
      <c r="I1123" s="1895"/>
      <c r="J1123" s="1895"/>
      <c r="K1123" s="1895"/>
      <c r="L1123" s="1812"/>
      <c r="M1123" s="1812"/>
      <c r="O1123" s="1896" t="s">
        <v>1867</v>
      </c>
      <c r="P1123" s="1820">
        <f>'Part VIII-Threshold Criteria'!P29</f>
        <v>0</v>
      </c>
      <c r="Q1123" s="1820">
        <f>'Part VIII-Threshold Criteria'!Q29</f>
        <v>0</v>
      </c>
    </row>
    <row r="1125" spans="1:17">
      <c r="B1125" s="1866" t="s">
        <v>3756</v>
      </c>
      <c r="C1125" s="1866"/>
      <c r="D1125" s="1866"/>
      <c r="E1125" s="1866"/>
      <c r="F1125" s="1866"/>
      <c r="G1125" s="1895"/>
      <c r="H1125" s="1895"/>
      <c r="I1125" s="1895"/>
      <c r="J1125" s="1895"/>
      <c r="K1125" s="1812"/>
      <c r="L1125" s="1812"/>
      <c r="M1125" s="1812"/>
      <c r="N1125" s="1812"/>
      <c r="O1125" s="1812"/>
      <c r="P1125" s="1812"/>
    </row>
    <row r="1126" spans="1:17" ht="180">
      <c r="A1126" s="1900" t="str">
        <f>'Part VIII-Threshold Criteria'!A32</f>
        <v>The financial aspects of this application have been completed and filed in accordance and compliance with the 2019 Qualified Allocation Plan.</v>
      </c>
      <c r="B1126" s="1900">
        <f>'Part VIII-Threshold Criteria'!B32</f>
        <v>0</v>
      </c>
      <c r="C1126" s="1900">
        <f>'Part VIII-Threshold Criteria'!C32</f>
        <v>0</v>
      </c>
      <c r="D1126" s="1900">
        <f>'Part VIII-Threshold Criteria'!D32</f>
        <v>0</v>
      </c>
      <c r="E1126" s="1900">
        <f>'Part VIII-Threshold Criteria'!E32</f>
        <v>0</v>
      </c>
      <c r="F1126" s="1900">
        <f>'Part VIII-Threshold Criteria'!F32</f>
        <v>0</v>
      </c>
      <c r="G1126" s="1900">
        <f>'Part VIII-Threshold Criteria'!G32</f>
        <v>0</v>
      </c>
      <c r="H1126" s="1900">
        <f>'Part VIII-Threshold Criteria'!H32</f>
        <v>0</v>
      </c>
      <c r="I1126" s="1900">
        <f>'Part VIII-Threshold Criteria'!I32</f>
        <v>0</v>
      </c>
      <c r="J1126" s="1900">
        <f>'Part VIII-Threshold Criteria'!J32</f>
        <v>0</v>
      </c>
      <c r="K1126" s="1900">
        <f>'Part VIII-Threshold Criteria'!K32</f>
        <v>0</v>
      </c>
      <c r="L1126" s="1900">
        <f>'Part VIII-Threshold Criteria'!L32</f>
        <v>0</v>
      </c>
      <c r="M1126" s="1900">
        <f>'Part VIII-Threshold Criteria'!M32</f>
        <v>0</v>
      </c>
      <c r="N1126" s="1900">
        <f>'Part VIII-Threshold Criteria'!N32</f>
        <v>0</v>
      </c>
      <c r="O1126" s="1900">
        <f>'Part VIII-Threshold Criteria'!O32</f>
        <v>0</v>
      </c>
      <c r="P1126" s="1900">
        <f>'Part VIII-Threshold Criteria'!P32</f>
        <v>0</v>
      </c>
      <c r="Q1126" s="1900">
        <f>'Part VIII-Threshold Criteria'!Q32</f>
        <v>0</v>
      </c>
    </row>
    <row r="1127" spans="1:17">
      <c r="B1127" s="1897" t="s">
        <v>1866</v>
      </c>
      <c r="C1127" s="1898"/>
      <c r="D1127" s="1899"/>
      <c r="E1127" s="1899"/>
      <c r="F1127" s="1899"/>
      <c r="G1127" s="1899"/>
      <c r="H1127" s="1899"/>
      <c r="I1127" s="1899"/>
      <c r="J1127" s="1899"/>
      <c r="K1127" s="1899"/>
      <c r="L1127" s="1899"/>
      <c r="M1127" s="1899"/>
      <c r="N1127" s="1899"/>
      <c r="O1127" s="1899"/>
      <c r="P1127" s="1899"/>
    </row>
    <row r="1128" spans="1:17">
      <c r="A1128" s="1900">
        <f>'Part VIII-Threshold Criteria'!A34</f>
        <v>0</v>
      </c>
      <c r="B1128" s="1900">
        <f>'Part VIII-Threshold Criteria'!B34</f>
        <v>0</v>
      </c>
      <c r="C1128" s="1900">
        <f>'Part VIII-Threshold Criteria'!C34</f>
        <v>0</v>
      </c>
      <c r="D1128" s="1900">
        <f>'Part VIII-Threshold Criteria'!D34</f>
        <v>0</v>
      </c>
      <c r="E1128" s="1900">
        <f>'Part VIII-Threshold Criteria'!E34</f>
        <v>0</v>
      </c>
      <c r="F1128" s="1900">
        <f>'Part VIII-Threshold Criteria'!F34</f>
        <v>0</v>
      </c>
      <c r="G1128" s="1900">
        <f>'Part VIII-Threshold Criteria'!G34</f>
        <v>0</v>
      </c>
      <c r="H1128" s="1900">
        <f>'Part VIII-Threshold Criteria'!H34</f>
        <v>0</v>
      </c>
      <c r="I1128" s="1900">
        <f>'Part VIII-Threshold Criteria'!I34</f>
        <v>0</v>
      </c>
      <c r="J1128" s="1900">
        <f>'Part VIII-Threshold Criteria'!J34</f>
        <v>0</v>
      </c>
      <c r="K1128" s="1900">
        <f>'Part VIII-Threshold Criteria'!K34</f>
        <v>0</v>
      </c>
      <c r="L1128" s="1900">
        <f>'Part VIII-Threshold Criteria'!L34</f>
        <v>0</v>
      </c>
      <c r="M1128" s="1900">
        <f>'Part VIII-Threshold Criteria'!M34</f>
        <v>0</v>
      </c>
      <c r="N1128" s="1900">
        <f>'Part VIII-Threshold Criteria'!N34</f>
        <v>0</v>
      </c>
      <c r="O1128" s="1900">
        <f>'Part VIII-Threshold Criteria'!O34</f>
        <v>0</v>
      </c>
      <c r="P1128" s="1900">
        <f>'Part VIII-Threshold Criteria'!P34</f>
        <v>0</v>
      </c>
      <c r="Q1128" s="1900">
        <f>'Part VIII-Threshold Criteria'!Q34</f>
        <v>0</v>
      </c>
    </row>
    <row r="1129" spans="1:17">
      <c r="B1129" s="1895"/>
      <c r="C1129" s="1899"/>
      <c r="D1129" s="1899"/>
      <c r="E1129" s="1899"/>
      <c r="F1129" s="1899"/>
      <c r="G1129" s="1899"/>
      <c r="H1129" s="1899"/>
      <c r="I1129" s="1899"/>
      <c r="J1129" s="1899"/>
      <c r="K1129" s="1899"/>
      <c r="L1129" s="1899"/>
      <c r="M1129" s="1899"/>
      <c r="N1129" s="1899"/>
      <c r="O1129" s="1899"/>
      <c r="P1129" s="1899"/>
      <c r="Q1129" s="1812"/>
    </row>
    <row r="1130" spans="1:17">
      <c r="A1130" s="1805" t="s">
        <v>740</v>
      </c>
      <c r="B1130" s="1629" t="s">
        <v>2711</v>
      </c>
      <c r="C1130" s="1629"/>
      <c r="D1130" s="1629"/>
      <c r="E1130" s="1899"/>
      <c r="G1130" s="1820"/>
      <c r="H1130" s="1820"/>
      <c r="I1130" s="1820"/>
      <c r="J1130" s="1631"/>
      <c r="L1130" s="1901"/>
      <c r="M1130" s="1901"/>
      <c r="N1130" s="1901"/>
      <c r="O1130" s="1896" t="s">
        <v>1867</v>
      </c>
      <c r="P1130" s="1820">
        <f>'Part VIII-Threshold Criteria'!P36</f>
        <v>0</v>
      </c>
      <c r="Q1130" s="1820">
        <f>'Part VIII-Threshold Criteria'!Q36</f>
        <v>0</v>
      </c>
    </row>
    <row r="1131" spans="1:17" ht="12.75" customHeight="1">
      <c r="A1131" s="1902" t="s">
        <v>4541</v>
      </c>
      <c r="B1131" s="1902"/>
      <c r="C1131" s="1902"/>
      <c r="D1131" s="1902"/>
      <c r="E1131" s="1902"/>
      <c r="F1131" s="1902"/>
      <c r="G1131" s="1741" t="s">
        <v>2715</v>
      </c>
      <c r="H1131" s="1741"/>
      <c r="I1131" s="1894"/>
      <c r="J1131" s="1631"/>
      <c r="K1131" s="1894" t="s">
        <v>3635</v>
      </c>
      <c r="L1131" s="1894"/>
      <c r="M1131" s="1894"/>
      <c r="N1131" s="1894"/>
    </row>
    <row r="1132" spans="1:17" ht="13.5">
      <c r="A1132" s="1902"/>
      <c r="B1132" s="1902"/>
      <c r="C1132" s="1902"/>
      <c r="D1132" s="1902"/>
      <c r="E1132" s="1902"/>
      <c r="F1132" s="1902"/>
      <c r="G1132" s="1741" t="s">
        <v>346</v>
      </c>
      <c r="H1132" s="1741"/>
      <c r="I1132" s="1894"/>
      <c r="J1132" s="1631"/>
      <c r="K1132" s="521" t="s">
        <v>3636</v>
      </c>
      <c r="L1132" s="521"/>
      <c r="M1132" s="521"/>
      <c r="N1132" s="521"/>
      <c r="P1132" s="1753" t="s">
        <v>2735</v>
      </c>
      <c r="Q1132" s="1938" t="str">
        <f>'Part VIII-Threshold Criteria'!Q38</f>
        <v>Yes</v>
      </c>
    </row>
    <row r="1133" spans="1:17">
      <c r="A1133" s="1902"/>
      <c r="B1133" s="1902"/>
      <c r="C1133" s="1902"/>
      <c r="D1133" s="1902"/>
      <c r="E1133" s="1902"/>
      <c r="F1133" s="1902"/>
      <c r="G1133" s="1894"/>
      <c r="H1133" s="1894"/>
      <c r="I1133" s="1894"/>
      <c r="J1133" s="1631"/>
      <c r="K1133" s="521"/>
      <c r="L1133" s="521"/>
      <c r="M1133" s="521"/>
      <c r="N1133" s="521"/>
    </row>
    <row r="1134" spans="1:17" ht="13.5" customHeight="1">
      <c r="D1134" s="1903" t="s">
        <v>2714</v>
      </c>
      <c r="F1134" s="1904" t="s">
        <v>3453</v>
      </c>
      <c r="G1134" s="1904" t="s">
        <v>3452</v>
      </c>
      <c r="H1134" s="1904"/>
      <c r="I1134" s="1904"/>
      <c r="K1134" s="1904" t="s">
        <v>3453</v>
      </c>
      <c r="L1134" s="1904" t="s">
        <v>3452</v>
      </c>
      <c r="M1134" s="1904"/>
      <c r="N1134" s="1904"/>
    </row>
    <row r="1135" spans="1:17" ht="12.75" customHeight="1">
      <c r="A1135" s="1905" t="s">
        <v>3358</v>
      </c>
      <c r="B1135" s="1905"/>
      <c r="C1135" s="1905"/>
      <c r="D1135" s="1906" t="s">
        <v>568</v>
      </c>
      <c r="E1135" s="1895">
        <v>0</v>
      </c>
      <c r="F1135" s="1907">
        <f>'Part VI-Revenues &amp; Expenses'!$J$135</f>
        <v>0</v>
      </c>
      <c r="G1135" s="1908"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41" t="str">
        <f>CONCATENATE("x ", F1135," units = ")</f>
        <v xml:space="preserve">x 0 units = </v>
      </c>
      <c r="I1135" s="1909" t="e">
        <f>F1135*G1135</f>
        <v>#N/A</v>
      </c>
      <c r="J1135" s="1631"/>
      <c r="K1135" s="1907">
        <f>'Part VI-Revenues &amp; Expenses'!$J$136</f>
        <v>0</v>
      </c>
      <c r="L1135" s="1908"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41" t="str">
        <f>CONCATENATE("x ", K1135," units = ")</f>
        <v xml:space="preserve">x 0 units = </v>
      </c>
      <c r="N1135" s="1909" t="e">
        <f>K1135*L1135</f>
        <v>#N/A</v>
      </c>
      <c r="O1135" s="1899"/>
      <c r="P1135" s="1808" t="s">
        <v>3894</v>
      </c>
      <c r="Q1135" s="1808"/>
    </row>
    <row r="1136" spans="1:17" ht="12.75" customHeight="1">
      <c r="A1136" s="1905"/>
      <c r="B1136" s="1905"/>
      <c r="C1136" s="1905"/>
      <c r="D1136" s="1906" t="s">
        <v>2440</v>
      </c>
      <c r="E1136" s="1895">
        <v>1</v>
      </c>
      <c r="F1136" s="1907">
        <f>'Part VI-Revenues &amp; Expenses'!$K$135</f>
        <v>0</v>
      </c>
      <c r="G1136" s="1908"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41" t="str">
        <f>CONCATENATE("x ", F1136," units = ")</f>
        <v xml:space="preserve">x 0 units = </v>
      </c>
      <c r="I1136" s="1909" t="e">
        <f>F1136*G1136</f>
        <v>#N/A</v>
      </c>
      <c r="J1136" s="1631"/>
      <c r="K1136" s="1907">
        <f>'Part VI-Revenues &amp; Expenses'!$K$136</f>
        <v>0</v>
      </c>
      <c r="L1136" s="1908"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41" t="str">
        <f>CONCATENATE("x ", K1136," units = ")</f>
        <v xml:space="preserve">x 0 units = </v>
      </c>
      <c r="N1136" s="1909" t="e">
        <f>K1136*L1136</f>
        <v>#N/A</v>
      </c>
      <c r="O1136" s="1899"/>
      <c r="P1136" s="1910" t="str">
        <f>'Part VIII-Threshold Criteria'!P42</f>
        <v>Atlanta</v>
      </c>
      <c r="Q1136" s="1910">
        <f>'Part VIII-Threshold Criteria'!Q42</f>
        <v>0</v>
      </c>
    </row>
    <row r="1137" spans="1:17">
      <c r="A1137" s="1905"/>
      <c r="B1137" s="1905"/>
      <c r="C1137" s="1905"/>
      <c r="D1137" s="1906" t="s">
        <v>2441</v>
      </c>
      <c r="E1137" s="1895">
        <v>2</v>
      </c>
      <c r="F1137" s="1907">
        <f>'Part VI-Revenues &amp; Expenses'!$L$135</f>
        <v>0</v>
      </c>
      <c r="G1137" s="1908"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41" t="str">
        <f>CONCATENATE("x ", F1137," units = ")</f>
        <v xml:space="preserve">x 0 units = </v>
      </c>
      <c r="I1137" s="1909" t="e">
        <f>F1137*G1137</f>
        <v>#N/A</v>
      </c>
      <c r="J1137" s="1631"/>
      <c r="K1137" s="1907">
        <f>'Part VI-Revenues &amp; Expenses'!$L$136</f>
        <v>0</v>
      </c>
      <c r="L1137" s="1908"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41" t="str">
        <f>CONCATENATE("x ", K1137," units = ")</f>
        <v xml:space="preserve">x 0 units = </v>
      </c>
      <c r="N1137" s="1909" t="e">
        <f>K1137*L1137</f>
        <v>#N/A</v>
      </c>
      <c r="O1137" s="1899"/>
      <c r="P1137" s="1910">
        <f>'Part VIII-Threshold Criteria'!P43</f>
        <v>0</v>
      </c>
      <c r="Q1137" s="1910">
        <f>'Part VIII-Threshold Criteria'!Q43</f>
        <v>0</v>
      </c>
    </row>
    <row r="1138" spans="1:17" ht="12.75" customHeight="1">
      <c r="A1138" s="1905"/>
      <c r="B1138" s="1905"/>
      <c r="C1138" s="1905"/>
      <c r="D1138" s="1906" t="s">
        <v>2442</v>
      </c>
      <c r="E1138" s="1895">
        <v>3</v>
      </c>
      <c r="F1138" s="1907">
        <f>'Part VI-Revenues &amp; Expenses'!$M$135</f>
        <v>0</v>
      </c>
      <c r="G1138" s="1908"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41" t="str">
        <f>CONCATENATE("x ", F1138," units = ")</f>
        <v xml:space="preserve">x 0 units = </v>
      </c>
      <c r="I1138" s="1909" t="e">
        <f>F1138*G1138</f>
        <v>#N/A</v>
      </c>
      <c r="J1138" s="1631"/>
      <c r="K1138" s="1907">
        <f>'Part VI-Revenues &amp; Expenses'!$M$136</f>
        <v>0</v>
      </c>
      <c r="L1138" s="1908"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41" t="str">
        <f>CONCATENATE("x ", K1138," units = ")</f>
        <v xml:space="preserve">x 0 units = </v>
      </c>
      <c r="N1138" s="1909" t="e">
        <f>K1138*L1138</f>
        <v>#N/A</v>
      </c>
      <c r="O1138" s="1899"/>
      <c r="P1138" s="1867" t="s">
        <v>3632</v>
      </c>
      <c r="Q1138" s="1867"/>
    </row>
    <row r="1139" spans="1:17" ht="12.75" customHeight="1">
      <c r="C1139" s="1631"/>
      <c r="D1139" s="1906" t="s">
        <v>2443</v>
      </c>
      <c r="E1139" s="1895">
        <v>4</v>
      </c>
      <c r="F1139" s="1907">
        <f>'Part VI-Revenues &amp; Expenses'!$N$135</f>
        <v>0</v>
      </c>
      <c r="G1139" s="1908"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41" t="str">
        <f>CONCATENATE("x ", F1139," units = ")</f>
        <v xml:space="preserve">x 0 units = </v>
      </c>
      <c r="I1139" s="1909" t="e">
        <f>F1139*G1139</f>
        <v>#N/A</v>
      </c>
      <c r="J1139" s="1631"/>
      <c r="K1139" s="1907">
        <f>'Part VI-Revenues &amp; Expenses'!$N$136</f>
        <v>0</v>
      </c>
      <c r="L1139" s="1908"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41" t="str">
        <f>CONCATENATE("x ", K1139," units = ")</f>
        <v xml:space="preserve">x 0 units = </v>
      </c>
      <c r="N1139" s="1909" t="e">
        <f>K1139*L1139</f>
        <v>#N/A</v>
      </c>
      <c r="O1139" s="1899"/>
      <c r="P1139" s="1911">
        <f>'Part VIII-Threshold Criteria'!P45</f>
        <v>18093801</v>
      </c>
      <c r="Q1139" s="1911">
        <f>'Part VIII-Threshold Criteria'!Q45</f>
        <v>0</v>
      </c>
    </row>
    <row r="1140" spans="1:17" ht="12.75" customHeight="1">
      <c r="C1140" s="1631"/>
      <c r="D1140" s="1912" t="s">
        <v>3368</v>
      </c>
      <c r="E1140" s="1913"/>
      <c r="F1140" s="1914">
        <f>SUM(F1135:F1139)</f>
        <v>0</v>
      </c>
      <c r="G1140" s="1915"/>
      <c r="H1140" s="1916"/>
      <c r="I1140" s="1917" t="e">
        <f>SUM(I1135:I1139)</f>
        <v>#N/A</v>
      </c>
      <c r="J1140" s="1918"/>
      <c r="K1140" s="1914">
        <f>SUM(K1135:K1139)</f>
        <v>0</v>
      </c>
      <c r="L1140" s="1918"/>
      <c r="M1140" s="1916"/>
      <c r="N1140" s="1917" t="e">
        <f>SUM(N1135:N1139)</f>
        <v>#N/A</v>
      </c>
      <c r="O1140" s="1899"/>
      <c r="P1140" s="1911">
        <f>'Part VIII-Threshold Criteria'!P46</f>
        <v>0</v>
      </c>
      <c r="Q1140" s="1911">
        <f>'Part VIII-Threshold Criteria'!Q46</f>
        <v>0</v>
      </c>
    </row>
    <row r="1141" spans="1:17">
      <c r="C1141" s="1631"/>
      <c r="D1141" s="1919"/>
      <c r="E1141" s="1919"/>
      <c r="F1141" s="1920"/>
      <c r="G1141" s="1921"/>
      <c r="I1141" s="1920"/>
      <c r="K1141" s="1920"/>
      <c r="M1141" s="1899"/>
      <c r="N1141" s="1920"/>
      <c r="O1141" s="1899"/>
    </row>
    <row r="1142" spans="1:17" ht="12.75" customHeight="1">
      <c r="A1142" s="1905" t="s">
        <v>3353</v>
      </c>
      <c r="B1142" s="1905"/>
      <c r="C1142" s="1905"/>
      <c r="D1142" s="1906" t="s">
        <v>568</v>
      </c>
      <c r="E1142" s="1907">
        <v>0</v>
      </c>
      <c r="F1142" s="1907">
        <f>'Part VI-Revenues &amp; Expenses'!$J$137</f>
        <v>0</v>
      </c>
      <c r="G1142" s="1908"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41" t="str">
        <f>CONCATENATE("x ", F1142," units = ")</f>
        <v xml:space="preserve">x 0 units = </v>
      </c>
      <c r="I1142" s="1909" t="e">
        <f>F1142*G1142</f>
        <v>#N/A</v>
      </c>
      <c r="J1142" s="1631"/>
      <c r="K1142" s="1907">
        <f>'Part VI-Revenues &amp; Expenses'!$J$138</f>
        <v>0</v>
      </c>
      <c r="L1142" s="1908"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41" t="str">
        <f>CONCATENATE("x ", K1142," units = ")</f>
        <v xml:space="preserve">x 0 units = </v>
      </c>
      <c r="N1142" s="1909" t="e">
        <f>K1142*L1142</f>
        <v>#N/A</v>
      </c>
      <c r="P1142" s="1785" t="s">
        <v>4091</v>
      </c>
      <c r="Q1142" s="1785"/>
    </row>
    <row r="1143" spans="1:17" ht="12.75" customHeight="1">
      <c r="A1143" s="1905"/>
      <c r="B1143" s="1905"/>
      <c r="C1143" s="1905"/>
      <c r="D1143" s="1906" t="s">
        <v>2440</v>
      </c>
      <c r="E1143" s="1895">
        <v>1</v>
      </c>
      <c r="F1143" s="1907">
        <f>'Part VI-Revenues &amp; Expenses'!$K$137</f>
        <v>0</v>
      </c>
      <c r="G1143" s="1908"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41" t="str">
        <f>CONCATENATE("x ", F1143," units = ")</f>
        <v xml:space="preserve">x 0 units = </v>
      </c>
      <c r="I1143" s="1909" t="e">
        <f>F1143*G1143</f>
        <v>#N/A</v>
      </c>
      <c r="J1143" s="1631"/>
      <c r="K1143" s="1907">
        <f>'Part VI-Revenues &amp; Expenses'!$K$138</f>
        <v>0</v>
      </c>
      <c r="L1143" s="1908"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41" t="str">
        <f>CONCATENATE("x ", K1143," units = ")</f>
        <v xml:space="preserve">x 0 units = </v>
      </c>
      <c r="N1143" s="1909" t="e">
        <f>K1143*L1143</f>
        <v>#N/A</v>
      </c>
      <c r="P1143" s="1922">
        <f>'Part VIII-Threshold Criteria'!P50</f>
        <v>0</v>
      </c>
      <c r="Q1143" s="1922">
        <f>'Part VIII-Threshold Criteria'!Q50</f>
        <v>0</v>
      </c>
    </row>
    <row r="1144" spans="1:17" ht="12.75" customHeight="1">
      <c r="A1144" s="1905"/>
      <c r="B1144" s="1905"/>
      <c r="C1144" s="1905"/>
      <c r="D1144" s="1906" t="s">
        <v>2441</v>
      </c>
      <c r="E1144" s="1895">
        <v>2</v>
      </c>
      <c r="F1144" s="1907">
        <f>'Part VI-Revenues &amp; Expenses'!$L$137</f>
        <v>0</v>
      </c>
      <c r="G1144" s="1908"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41" t="str">
        <f>CONCATENATE("x ", F1144," units = ")</f>
        <v xml:space="preserve">x 0 units = </v>
      </c>
      <c r="I1144" s="1909" t="e">
        <f>F1144*G1144</f>
        <v>#N/A</v>
      </c>
      <c r="J1144" s="1631"/>
      <c r="K1144" s="1907">
        <f>'Part VI-Revenues &amp; Expenses'!$L$138</f>
        <v>0</v>
      </c>
      <c r="L1144" s="1908"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41" t="str">
        <f>CONCATENATE("x ", K1144," units = ")</f>
        <v xml:space="preserve">x 0 units = </v>
      </c>
      <c r="N1144" s="1909" t="e">
        <f>K1144*L1144</f>
        <v>#N/A</v>
      </c>
      <c r="O1144" s="1923"/>
      <c r="P1144" s="1922">
        <f>'Part VIII-Threshold Criteria'!P51</f>
        <v>0</v>
      </c>
      <c r="Q1144" s="1922">
        <f>'Part VIII-Threshold Criteria'!Q51</f>
        <v>0</v>
      </c>
    </row>
    <row r="1145" spans="1:17">
      <c r="C1145" s="1631"/>
      <c r="D1145" s="1906" t="s">
        <v>2442</v>
      </c>
      <c r="E1145" s="1895">
        <v>3</v>
      </c>
      <c r="F1145" s="1907">
        <f>'Part VI-Revenues &amp; Expenses'!$M$137</f>
        <v>0</v>
      </c>
      <c r="G1145" s="1908"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41" t="str">
        <f>CONCATENATE("x ", F1145," units = ")</f>
        <v xml:space="preserve">x 0 units = </v>
      </c>
      <c r="I1145" s="1909" t="e">
        <f>F1145*G1145</f>
        <v>#N/A</v>
      </c>
      <c r="J1145" s="1631"/>
      <c r="K1145" s="1907">
        <f>'Part VI-Revenues &amp; Expenses'!$M$138</f>
        <v>0</v>
      </c>
      <c r="L1145" s="1908"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41" t="str">
        <f>CONCATENATE("x ", K1145," units = ")</f>
        <v xml:space="preserve">x 0 units = </v>
      </c>
      <c r="N1145" s="1909" t="e">
        <f>K1145*L1145</f>
        <v>#N/A</v>
      </c>
      <c r="O1145" s="1923"/>
    </row>
    <row r="1146" spans="1:17">
      <c r="C1146" s="1631"/>
      <c r="D1146" s="1906" t="s">
        <v>2443</v>
      </c>
      <c r="E1146" s="1895">
        <v>4</v>
      </c>
      <c r="F1146" s="1907">
        <f>'Part VI-Revenues &amp; Expenses'!$N$137</f>
        <v>0</v>
      </c>
      <c r="G1146" s="1908"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41" t="str">
        <f>CONCATENATE("x ", F1146," units = ")</f>
        <v xml:space="preserve">x 0 units = </v>
      </c>
      <c r="I1146" s="1909" t="e">
        <f>F1146*G1146</f>
        <v>#N/A</v>
      </c>
      <c r="J1146" s="1631"/>
      <c r="K1146" s="1907">
        <f>'Part VI-Revenues &amp; Expenses'!$N$138</f>
        <v>0</v>
      </c>
      <c r="L1146" s="1908"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41" t="str">
        <f>CONCATENATE("x ", K1146," units = ")</f>
        <v xml:space="preserve">x 0 units = </v>
      </c>
      <c r="N1146" s="1909" t="e">
        <f>K1146*L1146</f>
        <v>#N/A</v>
      </c>
      <c r="O1146" s="1923"/>
      <c r="P1146" s="521" t="s">
        <v>3630</v>
      </c>
      <c r="Q1146" s="521"/>
    </row>
    <row r="1147" spans="1:17">
      <c r="C1147" s="1631"/>
      <c r="D1147" s="1912" t="s">
        <v>3368</v>
      </c>
      <c r="E1147" s="1913"/>
      <c r="F1147" s="1914">
        <f>SUM(F1142:F1146)</f>
        <v>0</v>
      </c>
      <c r="G1147" s="1915"/>
      <c r="H1147" s="1916"/>
      <c r="I1147" s="1917" t="e">
        <f>SUM(I1142:I1146)</f>
        <v>#N/A</v>
      </c>
      <c r="J1147" s="1918"/>
      <c r="K1147" s="1914">
        <f>SUM(K1142:K1146)</f>
        <v>0</v>
      </c>
      <c r="L1147" s="1918"/>
      <c r="M1147" s="1916"/>
      <c r="N1147" s="1917" t="e">
        <f>SUM(N1142:N1146)</f>
        <v>#N/A</v>
      </c>
      <c r="O1147" s="1923"/>
      <c r="P1147" s="1821" t="s">
        <v>3246</v>
      </c>
      <c r="Q1147" s="1821" t="s">
        <v>256</v>
      </c>
    </row>
    <row r="1148" spans="1:17">
      <c r="C1148" s="1631"/>
      <c r="D1148" s="1919"/>
      <c r="E1148" s="1919"/>
      <c r="F1148" s="1920"/>
      <c r="G1148" s="1921"/>
      <c r="I1148" s="1920"/>
      <c r="K1148" s="1920"/>
      <c r="M1148" s="1899"/>
      <c r="N1148" s="1920"/>
      <c r="O1148" s="1923"/>
    </row>
    <row r="1149" spans="1:17">
      <c r="A1149" s="1741" t="s">
        <v>3354</v>
      </c>
      <c r="C1149" s="1631"/>
      <c r="D1149" s="1906" t="s">
        <v>568</v>
      </c>
      <c r="E1149" s="1895">
        <v>0</v>
      </c>
      <c r="F1149" s="1907">
        <f>'Part VI-Revenues &amp; Expenses'!$J$139</f>
        <v>0</v>
      </c>
      <c r="G1149" s="1908"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41" t="str">
        <f>CONCATENATE("x ", F1149," units = ")</f>
        <v xml:space="preserve">x 0 units = </v>
      </c>
      <c r="I1149" s="1909" t="e">
        <f>F1149*G1149</f>
        <v>#N/A</v>
      </c>
      <c r="J1149" s="1631"/>
      <c r="K1149" s="1907">
        <f>'Part VI-Revenues &amp; Expenses'!$J$140</f>
        <v>0</v>
      </c>
      <c r="L1149" s="1908"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41" t="str">
        <f>CONCATENATE("x ", K1149," units = ")</f>
        <v xml:space="preserve">x 0 units = </v>
      </c>
      <c r="N1149" s="1909" t="e">
        <f>K1149*L1149</f>
        <v>#N/A</v>
      </c>
      <c r="O1149" s="1923"/>
      <c r="P1149" s="1924">
        <f>'Part IX Scoring Criteria'!O1515</f>
        <v>0</v>
      </c>
      <c r="Q1149" s="1924">
        <f>'Part IX Scoring Criteria'!P1515</f>
        <v>0</v>
      </c>
    </row>
    <row r="1150" spans="1:17">
      <c r="C1150" s="1631"/>
      <c r="D1150" s="1906" t="s">
        <v>2440</v>
      </c>
      <c r="E1150" s="1895">
        <v>1</v>
      </c>
      <c r="F1150" s="1907">
        <f>'Part VI-Revenues &amp; Expenses'!$K$139</f>
        <v>0</v>
      </c>
      <c r="G1150" s="1908"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41" t="str">
        <f>CONCATENATE("x ", F1150," units = ")</f>
        <v xml:space="preserve">x 0 units = </v>
      </c>
      <c r="I1150" s="1909" t="e">
        <f>F1150*G1150</f>
        <v>#N/A</v>
      </c>
      <c r="J1150" s="1631"/>
      <c r="K1150" s="1907">
        <f>'Part VI-Revenues &amp; Expenses'!$K$140</f>
        <v>0</v>
      </c>
      <c r="L1150" s="1908"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41" t="str">
        <f>CONCATENATE("x ", K1150," units = ")</f>
        <v xml:space="preserve">x 0 units = </v>
      </c>
      <c r="N1150" s="1909" t="e">
        <f>K1150*L1150</f>
        <v>#N/A</v>
      </c>
      <c r="P1150" s="521" t="s">
        <v>3631</v>
      </c>
      <c r="Q1150" s="521"/>
    </row>
    <row r="1151" spans="1:17">
      <c r="C1151" s="1631"/>
      <c r="D1151" s="1906" t="s">
        <v>2441</v>
      </c>
      <c r="E1151" s="1895">
        <v>2</v>
      </c>
      <c r="F1151" s="1907">
        <f>'Part VI-Revenues &amp; Expenses'!$L$139</f>
        <v>0</v>
      </c>
      <c r="G1151" s="1908"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41" t="str">
        <f>CONCATENATE("x ", F1151," units = ")</f>
        <v xml:space="preserve">x 0 units = </v>
      </c>
      <c r="I1151" s="1909" t="e">
        <f>F1151*G1151</f>
        <v>#N/A</v>
      </c>
      <c r="J1151" s="1631"/>
      <c r="K1151" s="1907">
        <f>'Part VI-Revenues &amp; Expenses'!$L$140</f>
        <v>0</v>
      </c>
      <c r="L1151" s="1908"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41" t="str">
        <f>CONCATENATE("x ", K1151," units = ")</f>
        <v xml:space="preserve">x 0 units = </v>
      </c>
      <c r="N1151" s="1909" t="e">
        <f>K1151*L1151</f>
        <v>#N/A</v>
      </c>
      <c r="P1151" s="1821" t="s">
        <v>3246</v>
      </c>
      <c r="Q1151" s="1821" t="s">
        <v>256</v>
      </c>
    </row>
    <row r="1152" spans="1:17">
      <c r="C1152" s="1631"/>
      <c r="D1152" s="1906" t="s">
        <v>2442</v>
      </c>
      <c r="E1152" s="1895">
        <v>3</v>
      </c>
      <c r="F1152" s="1907">
        <f>'Part VI-Revenues &amp; Expenses'!$M$139</f>
        <v>0</v>
      </c>
      <c r="G1152" s="1908"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41" t="str">
        <f>CONCATENATE("x ", F1152," units = ")</f>
        <v xml:space="preserve">x 0 units = </v>
      </c>
      <c r="I1152" s="1909" t="e">
        <f>F1152*G1152</f>
        <v>#N/A</v>
      </c>
      <c r="J1152" s="1631"/>
      <c r="K1152" s="1907">
        <f>'Part VI-Revenues &amp; Expenses'!$M$140</f>
        <v>0</v>
      </c>
      <c r="L1152" s="1908"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41" t="str">
        <f>CONCATENATE("x ", K1152," units = ")</f>
        <v xml:space="preserve">x 0 units = </v>
      </c>
      <c r="N1152" s="1909" t="e">
        <f>K1152*L1152</f>
        <v>#N/A</v>
      </c>
      <c r="O1152" s="1923"/>
      <c r="P1152" s="1924">
        <f>'Part IX Scoring Criteria'!O1168</f>
        <v>0</v>
      </c>
      <c r="Q1152" s="1924">
        <f>'Part IX Scoring Criteria'!P1168</f>
        <v>0</v>
      </c>
    </row>
    <row r="1153" spans="1:17" ht="12.75" customHeight="1">
      <c r="C1153" s="1631"/>
      <c r="D1153" s="1906" t="s">
        <v>2443</v>
      </c>
      <c r="E1153" s="1895">
        <v>4</v>
      </c>
      <c r="F1153" s="1907">
        <f>'Part VI-Revenues &amp; Expenses'!$N$139</f>
        <v>0</v>
      </c>
      <c r="G1153" s="1908"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41" t="str">
        <f>CONCATENATE("x ", F1153," units = ")</f>
        <v xml:space="preserve">x 0 units = </v>
      </c>
      <c r="I1153" s="1909" t="e">
        <f>F1153*G1153</f>
        <v>#N/A</v>
      </c>
      <c r="J1153" s="1631"/>
      <c r="K1153" s="1907">
        <f>'Part VI-Revenues &amp; Expenses'!$N$140</f>
        <v>0</v>
      </c>
      <c r="L1153" s="1908"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41" t="str">
        <f>CONCATENATE("x ", K1153," units = ")</f>
        <v xml:space="preserve">x 0 units = </v>
      </c>
      <c r="N1153" s="1909" t="e">
        <f>K1153*L1153</f>
        <v>#N/A</v>
      </c>
      <c r="O1153" s="1923"/>
      <c r="P1153" s="1925" t="s">
        <v>2770</v>
      </c>
      <c r="Q1153" s="1925"/>
    </row>
    <row r="1154" spans="1:17" ht="12.75" customHeight="1">
      <c r="C1154" s="1631"/>
      <c r="D1154" s="1912" t="s">
        <v>3368</v>
      </c>
      <c r="E1154" s="1913"/>
      <c r="F1154" s="1914">
        <f>SUM(F1149:F1153)</f>
        <v>0</v>
      </c>
      <c r="G1154" s="1915"/>
      <c r="H1154" s="1916"/>
      <c r="I1154" s="1917" t="e">
        <f>SUM(I1149:I1153)</f>
        <v>#N/A</v>
      </c>
      <c r="J1154" s="1918"/>
      <c r="K1154" s="1914">
        <f>SUM(K1149:K1153)</f>
        <v>0</v>
      </c>
      <c r="L1154" s="1918"/>
      <c r="M1154" s="1916"/>
      <c r="N1154" s="1917" t="e">
        <f>SUM(N1149:N1153)</f>
        <v>#N/A</v>
      </c>
      <c r="O1154" s="1923"/>
      <c r="P1154" s="1925"/>
      <c r="Q1154" s="1925"/>
    </row>
    <row r="1155" spans="1:17" ht="12.75" customHeight="1">
      <c r="C1155" s="1631"/>
      <c r="D1155" s="1919"/>
      <c r="E1155" s="1919"/>
      <c r="F1155" s="1920"/>
      <c r="G1155" s="1921"/>
      <c r="I1155" s="1920"/>
      <c r="K1155" s="1920"/>
      <c r="M1155" s="1899"/>
      <c r="N1155" s="1920"/>
      <c r="O1155" s="1923"/>
      <c r="P1155" s="1925"/>
      <c r="Q1155" s="1925"/>
    </row>
    <row r="1156" spans="1:17" ht="12.75" customHeight="1">
      <c r="A1156" s="1741" t="s">
        <v>3355</v>
      </c>
      <c r="C1156" s="1631"/>
      <c r="D1156" s="1906" t="s">
        <v>568</v>
      </c>
      <c r="E1156" s="1895">
        <v>0</v>
      </c>
      <c r="F1156" s="1907">
        <f>'Part VI-Revenues &amp; Expenses'!$J$141</f>
        <v>0</v>
      </c>
      <c r="G1156" s="1908"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41" t="str">
        <f>CONCATENATE("x ", F1156," units = ")</f>
        <v xml:space="preserve">x 0 units = </v>
      </c>
      <c r="I1156" s="1909" t="e">
        <f>F1156*G1156</f>
        <v>#N/A</v>
      </c>
      <c r="J1156" s="1631"/>
      <c r="K1156" s="1907">
        <f>'Part VI-Revenues &amp; Expenses'!$J$142</f>
        <v>0</v>
      </c>
      <c r="L1156" s="1908"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41" t="str">
        <f>CONCATENATE("x ", K1156," units = ")</f>
        <v xml:space="preserve">x 0 units = </v>
      </c>
      <c r="N1156" s="1909" t="e">
        <f>K1156*L1156</f>
        <v>#N/A</v>
      </c>
      <c r="O1156" s="1923"/>
      <c r="P1156" s="1925"/>
      <c r="Q1156" s="1925"/>
    </row>
    <row r="1157" spans="1:17" ht="12.75" customHeight="1">
      <c r="C1157" s="1631"/>
      <c r="D1157" s="1906" t="s">
        <v>2440</v>
      </c>
      <c r="E1157" s="1895">
        <v>1</v>
      </c>
      <c r="F1157" s="1907">
        <f>'Part VI-Revenues &amp; Expenses'!$K$141</f>
        <v>12</v>
      </c>
      <c r="G1157" s="1908"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41" t="str">
        <f>CONCATENATE("x ", F1157," units = ")</f>
        <v xml:space="preserve">x 12 units = </v>
      </c>
      <c r="I1157" s="1909" t="e">
        <f>F1157*G1157</f>
        <v>#N/A</v>
      </c>
      <c r="J1157" s="1631"/>
      <c r="K1157" s="1907">
        <f>'Part VI-Revenues &amp; Expenses'!$K$142</f>
        <v>0</v>
      </c>
      <c r="L1157" s="1908"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41" t="str">
        <f>CONCATENATE("x ", K1157," units = ")</f>
        <v xml:space="preserve">x 0 units = </v>
      </c>
      <c r="N1157" s="1909" t="e">
        <f>K1157*L1157</f>
        <v>#N/A</v>
      </c>
      <c r="O1157" s="1923"/>
      <c r="P1157" s="1926">
        <f>'Part VIII-Threshold Criteria'!P63</f>
        <v>18573020</v>
      </c>
      <c r="Q1157" s="1926">
        <f>'Part VIII-Threshold Criteria'!Q63</f>
        <v>0</v>
      </c>
    </row>
    <row r="1158" spans="1:17" ht="12.75" customHeight="1">
      <c r="C1158" s="1631"/>
      <c r="D1158" s="1906" t="s">
        <v>2441</v>
      </c>
      <c r="E1158" s="1895">
        <v>2</v>
      </c>
      <c r="F1158" s="1907">
        <f>'Part VI-Revenues &amp; Expenses'!$L$141</f>
        <v>56</v>
      </c>
      <c r="G1158" s="1908"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41" t="str">
        <f>CONCATENATE("x ", F1158," units = ")</f>
        <v xml:space="preserve">x 56 units = </v>
      </c>
      <c r="I1158" s="1909" t="e">
        <f>F1158*G1158</f>
        <v>#N/A</v>
      </c>
      <c r="J1158" s="1631"/>
      <c r="K1158" s="1907">
        <f>'Part VI-Revenues &amp; Expenses'!$L$142</f>
        <v>0</v>
      </c>
      <c r="L1158" s="1908"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41" t="str">
        <f>CONCATENATE("x ", K1158," units = ")</f>
        <v xml:space="preserve">x 0 units = </v>
      </c>
      <c r="N1158" s="1909" t="e">
        <f>K1158*L1158</f>
        <v>#N/A</v>
      </c>
      <c r="P1158" s="1926">
        <f>'Part VIII-Threshold Criteria'!P64</f>
        <v>0</v>
      </c>
      <c r="Q1158" s="1926">
        <f>'Part VIII-Threshold Criteria'!Q64</f>
        <v>0</v>
      </c>
    </row>
    <row r="1159" spans="1:17" ht="12.75" customHeight="1">
      <c r="C1159" s="1631"/>
      <c r="D1159" s="1906" t="s">
        <v>2442</v>
      </c>
      <c r="E1159" s="1895">
        <v>3</v>
      </c>
      <c r="F1159" s="1907">
        <f>'Part VI-Revenues &amp; Expenses'!$M$141</f>
        <v>8</v>
      </c>
      <c r="G1159" s="1908"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41" t="str">
        <f>CONCATENATE("x ", F1159," units = ")</f>
        <v xml:space="preserve">x 8 units = </v>
      </c>
      <c r="I1159" s="1909" t="e">
        <f>F1159*G1159</f>
        <v>#N/A</v>
      </c>
      <c r="J1159" s="1631"/>
      <c r="K1159" s="1907">
        <f>'Part VI-Revenues &amp; Expenses'!$M$142</f>
        <v>0</v>
      </c>
      <c r="L1159" s="1908"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41" t="str">
        <f>CONCATENATE("x ", K1159," units = ")</f>
        <v xml:space="preserve">x 0 units = </v>
      </c>
      <c r="N1159" s="1909" t="e">
        <f>K1159*L1159</f>
        <v>#N/A</v>
      </c>
      <c r="P1159" s="1887" t="s">
        <v>4542</v>
      </c>
      <c r="Q1159" s="1887"/>
    </row>
    <row r="1160" spans="1:17">
      <c r="C1160" s="1631"/>
      <c r="D1160" s="1906" t="s">
        <v>2443</v>
      </c>
      <c r="E1160" s="1895">
        <v>4</v>
      </c>
      <c r="F1160" s="1907">
        <f>'Part VI-Revenues &amp; Expenses'!$N$141</f>
        <v>8</v>
      </c>
      <c r="G1160" s="1908"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41" t="str">
        <f>CONCATENATE("x ", F1160," units = ")</f>
        <v xml:space="preserve">x 8 units = </v>
      </c>
      <c r="I1160" s="1909" t="e">
        <f>F1160*G1160</f>
        <v>#N/A</v>
      </c>
      <c r="J1160" s="1631"/>
      <c r="K1160" s="1907">
        <f>'Part VI-Revenues &amp; Expenses'!$N$142</f>
        <v>0</v>
      </c>
      <c r="L1160" s="1908"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41" t="str">
        <f>CONCATENATE("x ", K1160," units = ")</f>
        <v xml:space="preserve">x 0 units = </v>
      </c>
      <c r="N1160" s="1909" t="e">
        <f>K1160*L1160</f>
        <v>#N/A</v>
      </c>
      <c r="O1160" s="1923"/>
      <c r="P1160" s="1887"/>
      <c r="Q1160" s="1887"/>
    </row>
    <row r="1161" spans="1:17">
      <c r="C1161" s="1631"/>
      <c r="D1161" s="1912" t="s">
        <v>3368</v>
      </c>
      <c r="E1161" s="1913"/>
      <c r="F1161" s="1914">
        <f>SUM(F1156:F1160)</f>
        <v>84</v>
      </c>
      <c r="G1161" s="1915"/>
      <c r="H1161" s="1916"/>
      <c r="I1161" s="1917" t="e">
        <f>SUM(I1156:I1160)</f>
        <v>#N/A</v>
      </c>
      <c r="J1161" s="1918"/>
      <c r="K1161" s="1914">
        <f>SUM(K1156:K1160)</f>
        <v>0</v>
      </c>
      <c r="L1161" s="1918"/>
      <c r="M1161" s="1916"/>
      <c r="N1161" s="1917" t="e">
        <f>SUM(N1156:N1160)</f>
        <v>#N/A</v>
      </c>
      <c r="O1161" s="1923"/>
      <c r="P1161" s="1887"/>
      <c r="Q1161" s="1887"/>
    </row>
    <row r="1162" spans="1:17">
      <c r="C1162" s="1631"/>
      <c r="D1162" s="1631"/>
      <c r="E1162" s="1486"/>
      <c r="F1162" s="1631"/>
      <c r="G1162" s="521"/>
      <c r="H1162" s="1927"/>
      <c r="I1162" s="1927"/>
      <c r="J1162" s="1927"/>
      <c r="K1162" s="1927"/>
      <c r="L1162" s="1927"/>
      <c r="M1162" s="1927"/>
      <c r="N1162" s="1928"/>
      <c r="O1162" s="1923"/>
      <c r="P1162" s="1887"/>
      <c r="Q1162" s="1887"/>
    </row>
    <row r="1163" spans="1:17" ht="13.5">
      <c r="A1163" s="1929" t="s">
        <v>3369</v>
      </c>
      <c r="B1163" s="1631"/>
      <c r="C1163" s="1631"/>
      <c r="D1163" s="1631"/>
      <c r="E1163" s="1634"/>
      <c r="F1163" s="1930">
        <f>F1140+F1147+F1154+F1161</f>
        <v>84</v>
      </c>
      <c r="G1163" s="1698"/>
      <c r="H1163" s="1931">
        <f>'Part VIII-Threshold Criteria'!H69</f>
        <v>18573020</v>
      </c>
      <c r="I1163" s="1931">
        <f>'Part VIII-Threshold Criteria'!I69</f>
        <v>0</v>
      </c>
      <c r="J1163" s="1931">
        <f>'Part VIII-Threshold Criteria'!J69</f>
        <v>0</v>
      </c>
      <c r="K1163" s="1930">
        <f>K1140+K1147+K1154+K1161</f>
        <v>0</v>
      </c>
      <c r="L1163" s="1932"/>
      <c r="M1163" s="1931">
        <f>'Part VIII-Threshold Criteria'!M69</f>
        <v>0</v>
      </c>
      <c r="N1163" s="1931">
        <f>'Part VIII-Threshold Criteria'!N69</f>
        <v>0</v>
      </c>
      <c r="O1163" s="1931">
        <f>'Part VIII-Threshold Criteria'!O69</f>
        <v>0</v>
      </c>
      <c r="P1163" s="1887"/>
      <c r="Q1163" s="1887"/>
    </row>
    <row r="1164" spans="1:17">
      <c r="B1164" s="1842" t="s">
        <v>3756</v>
      </c>
      <c r="D1164" s="1842"/>
      <c r="E1164" s="1842"/>
      <c r="F1164" s="1842"/>
      <c r="G1164" s="1842"/>
      <c r="H1164" s="1841"/>
      <c r="I1164" s="1895"/>
      <c r="J1164" s="1895"/>
      <c r="K1164" s="1897" t="s">
        <v>1866</v>
      </c>
      <c r="L1164" s="1812"/>
      <c r="M1164" s="1812"/>
      <c r="N1164" s="1812"/>
      <c r="O1164" s="1812"/>
      <c r="P1164" s="1812"/>
      <c r="Q1164" s="1812"/>
    </row>
    <row r="1165" spans="1:17" ht="78.75">
      <c r="A1165" s="1900" t="str">
        <f>'Part VIII-Threshold Criteria'!A71</f>
        <v>Total development costs as submitted are within the Project Cost Limit.</v>
      </c>
      <c r="B1165" s="1900">
        <f>'Part VIII-Threshold Criteria'!B71</f>
        <v>0</v>
      </c>
      <c r="C1165" s="1900">
        <f>'Part VIII-Threshold Criteria'!C71</f>
        <v>0</v>
      </c>
      <c r="D1165" s="1900">
        <f>'Part VIII-Threshold Criteria'!D71</f>
        <v>0</v>
      </c>
      <c r="E1165" s="1900">
        <f>'Part VIII-Threshold Criteria'!E71</f>
        <v>0</v>
      </c>
      <c r="F1165" s="1900">
        <f>'Part VIII-Threshold Criteria'!F71</f>
        <v>0</v>
      </c>
      <c r="G1165" s="1900">
        <f>'Part VIII-Threshold Criteria'!G71</f>
        <v>0</v>
      </c>
      <c r="H1165" s="1900">
        <f>'Part VIII-Threshold Criteria'!H71</f>
        <v>0</v>
      </c>
      <c r="I1165" s="1900">
        <f>'Part VIII-Threshold Criteria'!I71</f>
        <v>0</v>
      </c>
      <c r="J1165" s="1900">
        <f>'Part VIII-Threshold Criteria'!J71</f>
        <v>0</v>
      </c>
      <c r="K1165" s="1900">
        <f>'Part VIII-Threshold Criteria'!K71</f>
        <v>0</v>
      </c>
      <c r="L1165" s="1900">
        <f>'Part VIII-Threshold Criteria'!L71</f>
        <v>0</v>
      </c>
      <c r="M1165" s="1900">
        <f>'Part VIII-Threshold Criteria'!M71</f>
        <v>0</v>
      </c>
      <c r="N1165" s="1900">
        <f>'Part VIII-Threshold Criteria'!N71</f>
        <v>0</v>
      </c>
      <c r="O1165" s="1900">
        <f>'Part VIII-Threshold Criteria'!O71</f>
        <v>0</v>
      </c>
      <c r="P1165" s="1900">
        <f>'Part VIII-Threshold Criteria'!P71</f>
        <v>0</v>
      </c>
      <c r="Q1165" s="1900">
        <f>'Part VIII-Threshold Criteria'!Q71</f>
        <v>0</v>
      </c>
    </row>
    <row r="1166" spans="1:17">
      <c r="B1166" s="1895"/>
      <c r="C1166" s="1899"/>
      <c r="D1166" s="1899"/>
      <c r="E1166" s="1899"/>
      <c r="F1166" s="1899"/>
      <c r="G1166" s="1899"/>
      <c r="H1166" s="1899"/>
      <c r="I1166" s="1899"/>
      <c r="J1166" s="1899"/>
      <c r="K1166" s="1899"/>
      <c r="L1166" s="1899"/>
      <c r="M1166" s="1899"/>
      <c r="N1166" s="1899"/>
      <c r="O1166" s="1899"/>
      <c r="P1166" s="1899"/>
      <c r="Q1166" s="1812"/>
    </row>
    <row r="1167" spans="1:17">
      <c r="A1167" s="1805" t="s">
        <v>742</v>
      </c>
      <c r="B1167" s="1629" t="s">
        <v>1191</v>
      </c>
      <c r="C1167" s="1629"/>
      <c r="D1167" s="1629"/>
      <c r="E1167" s="1899"/>
      <c r="F1167" s="1899"/>
      <c r="G1167" s="1921" t="s">
        <v>99</v>
      </c>
      <c r="H1167" s="1899"/>
      <c r="J1167" s="1894" t="str">
        <f>'Part VIII-Threshold Criteria'!J73</f>
        <v>Family</v>
      </c>
      <c r="K1167" s="1894">
        <f>'Part VIII-Threshold Criteria'!K73</f>
        <v>0</v>
      </c>
      <c r="L1167" s="1894">
        <f>'Part VIII-Threshold Criteria'!L73</f>
        <v>0</v>
      </c>
      <c r="O1167" s="1896" t="s">
        <v>1867</v>
      </c>
      <c r="P1167" s="1820">
        <f>'Part VIII-Threshold Criteria'!P73</f>
        <v>0</v>
      </c>
      <c r="Q1167" s="1820">
        <f>'Part VIII-Threshold Criteria'!Q73</f>
        <v>0</v>
      </c>
    </row>
    <row r="1168" spans="1:17">
      <c r="B1168" s="1842" t="s">
        <v>3756</v>
      </c>
      <c r="D1168" s="1842"/>
      <c r="E1168" s="1842"/>
      <c r="F1168" s="1842"/>
      <c r="G1168" s="1842"/>
      <c r="H1168" s="1841"/>
      <c r="I1168" s="1895"/>
      <c r="J1168" s="1895"/>
      <c r="K1168" s="1897" t="s">
        <v>1866</v>
      </c>
      <c r="L1168" s="1812"/>
      <c r="M1168" s="1812"/>
      <c r="N1168" s="1812"/>
      <c r="O1168" s="1812"/>
      <c r="P1168" s="1812"/>
      <c r="Q1168" s="1812"/>
    </row>
    <row r="1169" spans="1:17">
      <c r="A1169" s="1900">
        <f>'Part VIII-Threshold Criteria'!A75</f>
        <v>0</v>
      </c>
      <c r="B1169" s="1900">
        <f>'Part VIII-Threshold Criteria'!B75</f>
        <v>0</v>
      </c>
      <c r="C1169" s="1900">
        <f>'Part VIII-Threshold Criteria'!C75</f>
        <v>0</v>
      </c>
      <c r="D1169" s="1900">
        <f>'Part VIII-Threshold Criteria'!D75</f>
        <v>0</v>
      </c>
      <c r="E1169" s="1900">
        <f>'Part VIII-Threshold Criteria'!E75</f>
        <v>0</v>
      </c>
      <c r="F1169" s="1900">
        <f>'Part VIII-Threshold Criteria'!F75</f>
        <v>0</v>
      </c>
      <c r="G1169" s="1900">
        <f>'Part VIII-Threshold Criteria'!G75</f>
        <v>0</v>
      </c>
      <c r="H1169" s="1900">
        <f>'Part VIII-Threshold Criteria'!H75</f>
        <v>0</v>
      </c>
      <c r="I1169" s="1900">
        <f>'Part VIII-Threshold Criteria'!I75</f>
        <v>0</v>
      </c>
      <c r="J1169" s="1900">
        <f>'Part VIII-Threshold Criteria'!J75</f>
        <v>0</v>
      </c>
      <c r="K1169" s="1900">
        <f>'Part VIII-Threshold Criteria'!K75</f>
        <v>0</v>
      </c>
      <c r="L1169" s="1900">
        <f>'Part VIII-Threshold Criteria'!L75</f>
        <v>0</v>
      </c>
      <c r="M1169" s="1900">
        <f>'Part VIII-Threshold Criteria'!M75</f>
        <v>0</v>
      </c>
      <c r="N1169" s="1900">
        <f>'Part VIII-Threshold Criteria'!N75</f>
        <v>0</v>
      </c>
      <c r="O1169" s="1900">
        <f>'Part VIII-Threshold Criteria'!O75</f>
        <v>0</v>
      </c>
      <c r="P1169" s="1900">
        <f>'Part VIII-Threshold Criteria'!P75</f>
        <v>0</v>
      </c>
      <c r="Q1169" s="1900">
        <f>'Part VIII-Threshold Criteria'!Q75</f>
        <v>0</v>
      </c>
    </row>
    <row r="1170" spans="1:17">
      <c r="A1170" s="1812"/>
      <c r="B1170" s="1895"/>
      <c r="C1170" s="1899"/>
      <c r="D1170" s="1899"/>
      <c r="E1170" s="1899"/>
      <c r="F1170" s="1899"/>
      <c r="G1170" s="1899"/>
      <c r="H1170" s="1899"/>
      <c r="I1170" s="1899"/>
      <c r="J1170" s="1899"/>
      <c r="K1170" s="1899"/>
      <c r="L1170" s="1899"/>
      <c r="M1170" s="1899"/>
      <c r="N1170" s="1899"/>
      <c r="O1170" s="1899"/>
      <c r="P1170" s="1899"/>
      <c r="Q1170" s="1812"/>
    </row>
    <row r="1171" spans="1:17">
      <c r="A1171" s="1805" t="s">
        <v>1792</v>
      </c>
      <c r="B1171" s="1805" t="s">
        <v>2652</v>
      </c>
      <c r="C1171" s="1929"/>
      <c r="D1171" s="1899"/>
      <c r="E1171" s="1899"/>
      <c r="F1171" s="1899"/>
      <c r="G1171" s="1899"/>
      <c r="H1171" s="1899"/>
      <c r="I1171" s="1899"/>
      <c r="J1171" s="1899"/>
      <c r="K1171" s="1899"/>
      <c r="L1171" s="1899"/>
      <c r="M1171" s="1899"/>
      <c r="O1171" s="1896" t="s">
        <v>1867</v>
      </c>
      <c r="P1171" s="1820">
        <f>'Part VIII-Threshold Criteria'!P77</f>
        <v>0</v>
      </c>
      <c r="Q1171" s="1820">
        <f>'Part VIII-Threshold Criteria'!Q77</f>
        <v>0</v>
      </c>
    </row>
    <row r="1173" spans="1:17">
      <c r="A1173" s="1933" t="s">
        <v>1983</v>
      </c>
      <c r="B1173" s="1921" t="s">
        <v>3744</v>
      </c>
      <c r="D1173" s="1921"/>
      <c r="E1173" s="1921"/>
      <c r="F1173" s="1921"/>
      <c r="G1173" s="1921"/>
      <c r="H1173" s="1921"/>
      <c r="I1173" s="1921"/>
      <c r="K1173" s="1921"/>
      <c r="L1173" s="1921"/>
      <c r="M1173" s="1934" t="s">
        <v>3697</v>
      </c>
      <c r="O1173" s="1900"/>
      <c r="P1173" s="1938" t="str">
        <f>'Part VIII-Threshold Criteria'!P79</f>
        <v>Agree</v>
      </c>
    </row>
    <row r="1174" spans="1:17">
      <c r="A1174" s="1935" t="s">
        <v>1985</v>
      </c>
      <c r="B1174" s="1841" t="s">
        <v>3743</v>
      </c>
      <c r="D1174" s="1841"/>
      <c r="E1174" s="1841"/>
      <c r="F1174" s="1841"/>
      <c r="G1174" s="1841"/>
      <c r="H1174" s="1841"/>
      <c r="I1174" s="1841"/>
      <c r="J1174" s="1841"/>
      <c r="K1174" s="1841"/>
      <c r="L1174" s="1841"/>
      <c r="M1174" s="1841"/>
      <c r="O1174" s="1841"/>
      <c r="P1174" s="1841"/>
      <c r="Q1174" s="1841"/>
    </row>
    <row r="1175" spans="1:17">
      <c r="A1175" s="1936"/>
      <c r="B1175" s="1937" t="s">
        <v>1737</v>
      </c>
      <c r="C1175" s="1841" t="s">
        <v>3484</v>
      </c>
      <c r="E1175" s="1834"/>
      <c r="F1175" s="1834"/>
      <c r="G1175" s="1834"/>
      <c r="H1175" s="1631"/>
      <c r="I1175" s="521" t="s">
        <v>2705</v>
      </c>
      <c r="J1175" s="1966" t="e">
        <f>'Part VIII-Threshold Criteria'!#REF!</f>
        <v>#REF!</v>
      </c>
      <c r="K1175" s="1966" t="e">
        <f>'Part VIII-Threshold Criteria'!#REF!</f>
        <v>#REF!</v>
      </c>
      <c r="L1175" s="1966" t="e">
        <f>'Part VIII-Threshold Criteria'!#REF!</f>
        <v>#REF!</v>
      </c>
      <c r="M1175" s="1966" t="e">
        <f>'Part VIII-Threshold Criteria'!#REF!</f>
        <v>#REF!</v>
      </c>
      <c r="N1175" s="1966" t="e">
        <f>'Part VIII-Threshold Criteria'!#REF!</f>
        <v>#REF!</v>
      </c>
      <c r="O1175" s="1966" t="e">
        <f>'Part VIII-Threshold Criteria'!#REF!</f>
        <v>#REF!</v>
      </c>
      <c r="P1175" s="1966" t="e">
        <f>'Part VIII-Threshold Criteria'!#REF!</f>
        <v>#REF!</v>
      </c>
      <c r="Q1175" s="1966" t="e">
        <f>'Part VIII-Threshold Criteria'!#REF!</f>
        <v>#REF!</v>
      </c>
    </row>
    <row r="1176" spans="1:17">
      <c r="A1176" s="1936"/>
      <c r="B1176" s="1937" t="s">
        <v>1738</v>
      </c>
      <c r="C1176" s="1841" t="s">
        <v>3581</v>
      </c>
      <c r="E1176" s="1834"/>
      <c r="F1176" s="1834"/>
      <c r="G1176" s="1834"/>
      <c r="H1176" s="1631"/>
      <c r="I1176" s="521" t="s">
        <v>2705</v>
      </c>
      <c r="J1176" s="1966" t="e">
        <f>'Part VIII-Threshold Criteria'!#REF!</f>
        <v>#REF!</v>
      </c>
      <c r="K1176" s="1966" t="e">
        <f>'Part VIII-Threshold Criteria'!#REF!</f>
        <v>#REF!</v>
      </c>
      <c r="L1176" s="1966" t="e">
        <f>'Part VIII-Threshold Criteria'!#REF!</f>
        <v>#REF!</v>
      </c>
      <c r="M1176" s="1966" t="e">
        <f>'Part VIII-Threshold Criteria'!#REF!</f>
        <v>#REF!</v>
      </c>
      <c r="N1176" s="1966" t="e">
        <f>'Part VIII-Threshold Criteria'!#REF!</f>
        <v>#REF!</v>
      </c>
      <c r="O1176" s="1966" t="e">
        <f>'Part VIII-Threshold Criteria'!#REF!</f>
        <v>#REF!</v>
      </c>
      <c r="P1176" s="1966" t="e">
        <f>'Part VIII-Threshold Criteria'!#REF!</f>
        <v>#REF!</v>
      </c>
      <c r="Q1176" s="1966" t="e">
        <f>'Part VIII-Threshold Criteria'!#REF!</f>
        <v>#REF!</v>
      </c>
    </row>
    <row r="1177" spans="1:17">
      <c r="A1177" s="1936"/>
      <c r="B1177" s="1937" t="s">
        <v>1739</v>
      </c>
      <c r="C1177" s="1841" t="s">
        <v>3582</v>
      </c>
      <c r="E1177" s="1834"/>
      <c r="F1177" s="1834"/>
      <c r="G1177" s="1834"/>
      <c r="H1177" s="1631"/>
      <c r="I1177" s="521" t="s">
        <v>2705</v>
      </c>
      <c r="J1177" s="1966" t="e">
        <f>'Part VIII-Threshold Criteria'!#REF!</f>
        <v>#REF!</v>
      </c>
      <c r="K1177" s="1966" t="e">
        <f>'Part VIII-Threshold Criteria'!#REF!</f>
        <v>#REF!</v>
      </c>
      <c r="L1177" s="1966" t="e">
        <f>'Part VIII-Threshold Criteria'!#REF!</f>
        <v>#REF!</v>
      </c>
      <c r="M1177" s="1966" t="e">
        <f>'Part VIII-Threshold Criteria'!#REF!</f>
        <v>#REF!</v>
      </c>
      <c r="N1177" s="1966" t="e">
        <f>'Part VIII-Threshold Criteria'!#REF!</f>
        <v>#REF!</v>
      </c>
      <c r="O1177" s="1966" t="e">
        <f>'Part VIII-Threshold Criteria'!#REF!</f>
        <v>#REF!</v>
      </c>
      <c r="P1177" s="1966" t="e">
        <f>'Part VIII-Threshold Criteria'!#REF!</f>
        <v>#REF!</v>
      </c>
      <c r="Q1177" s="1966" t="e">
        <f>'Part VIII-Threshold Criteria'!#REF!</f>
        <v>#REF!</v>
      </c>
    </row>
    <row r="1178" spans="1:17">
      <c r="A1178" s="1936"/>
      <c r="B1178" s="1937" t="s">
        <v>2365</v>
      </c>
      <c r="C1178" s="1841" t="s">
        <v>3905</v>
      </c>
      <c r="E1178" s="1834"/>
      <c r="I1178" s="521" t="s">
        <v>2705</v>
      </c>
      <c r="J1178" s="1966" t="e">
        <f>'Part VIII-Threshold Criteria'!#REF!</f>
        <v>#REF!</v>
      </c>
      <c r="K1178" s="1966" t="e">
        <f>'Part VIII-Threshold Criteria'!#REF!</f>
        <v>#REF!</v>
      </c>
      <c r="L1178" s="1966" t="e">
        <f>'Part VIII-Threshold Criteria'!#REF!</f>
        <v>#REF!</v>
      </c>
      <c r="M1178" s="1966" t="e">
        <f>'Part VIII-Threshold Criteria'!#REF!</f>
        <v>#REF!</v>
      </c>
      <c r="N1178" s="1966" t="e">
        <f>'Part VIII-Threshold Criteria'!#REF!</f>
        <v>#REF!</v>
      </c>
      <c r="O1178" s="1966" t="e">
        <f>'Part VIII-Threshold Criteria'!#REF!</f>
        <v>#REF!</v>
      </c>
      <c r="P1178" s="1966" t="e">
        <f>'Part VIII-Threshold Criteria'!#REF!</f>
        <v>#REF!</v>
      </c>
      <c r="Q1178" s="1966" t="e">
        <f>'Part VIII-Threshold Criteria'!#REF!</f>
        <v>#REF!</v>
      </c>
    </row>
    <row r="1179" spans="1:17">
      <c r="A1179" s="1935" t="s">
        <v>749</v>
      </c>
      <c r="B1179" s="1841" t="s">
        <v>3568</v>
      </c>
      <c r="D1179" s="1841"/>
      <c r="E1179" s="1834"/>
      <c r="J1179" s="521"/>
      <c r="K1179" s="521"/>
      <c r="L1179" s="521"/>
      <c r="M1179" s="521"/>
      <c r="N1179" s="521"/>
      <c r="O1179" s="521"/>
      <c r="P1179" s="521"/>
      <c r="Q1179" s="521"/>
    </row>
    <row r="1180" spans="1:17">
      <c r="A1180" s="1936"/>
      <c r="B1180" s="1216" t="s">
        <v>3896</v>
      </c>
      <c r="D1180" s="1867"/>
      <c r="E1180" s="1867"/>
      <c r="F1180" s="1867"/>
      <c r="G1180" s="1867"/>
      <c r="H1180" s="1867"/>
      <c r="I1180" s="1631"/>
      <c r="J1180" s="1631"/>
      <c r="K1180" s="1937" t="s">
        <v>749</v>
      </c>
      <c r="L1180" s="1894">
        <f>'Part VIII-Threshold Criteria'!L86</f>
        <v>0</v>
      </c>
      <c r="M1180" s="1894">
        <f>'Part VIII-Threshold Criteria'!M86</f>
        <v>0</v>
      </c>
      <c r="N1180" s="1894">
        <f>'Part VIII-Threshold Criteria'!N86</f>
        <v>0</v>
      </c>
      <c r="O1180" s="1894">
        <f>'Part VIII-Threshold Criteria'!O86</f>
        <v>0</v>
      </c>
      <c r="P1180" s="1894">
        <f>'Part VIII-Threshold Criteria'!P86</f>
        <v>0</v>
      </c>
      <c r="Q1180" s="1938">
        <f>'Part VIII-Threshold Criteria'!Q82</f>
        <v>0</v>
      </c>
    </row>
    <row r="1181" spans="1:17">
      <c r="B1181" s="1842" t="s">
        <v>3756</v>
      </c>
      <c r="D1181" s="1842"/>
      <c r="E1181" s="1842"/>
      <c r="F1181" s="1842"/>
      <c r="G1181" s="1842"/>
      <c r="H1181" s="1841"/>
      <c r="I1181" s="1895"/>
      <c r="J1181" s="1895"/>
      <c r="K1181" s="1897" t="s">
        <v>1866</v>
      </c>
      <c r="L1181" s="1812"/>
      <c r="M1181" s="1812"/>
      <c r="N1181" s="1812"/>
      <c r="O1181" s="1812"/>
      <c r="P1181" s="1812"/>
      <c r="Q1181" s="1812"/>
    </row>
    <row r="1182" spans="1:17">
      <c r="A1182" s="1900">
        <f>'Part VIII-Threshold Criteria'!A90</f>
        <v>0</v>
      </c>
      <c r="B1182" s="1900">
        <f>'Part VIII-Threshold Criteria'!B90</f>
        <v>0</v>
      </c>
      <c r="C1182" s="1900">
        <f>'Part VIII-Threshold Criteria'!C90</f>
        <v>0</v>
      </c>
      <c r="D1182" s="1900">
        <f>'Part VIII-Threshold Criteria'!D90</f>
        <v>0</v>
      </c>
      <c r="E1182" s="1900">
        <f>'Part VIII-Threshold Criteria'!E90</f>
        <v>0</v>
      </c>
      <c r="F1182" s="1900">
        <f>'Part VIII-Threshold Criteria'!F90</f>
        <v>0</v>
      </c>
      <c r="G1182" s="1900">
        <f>'Part VIII-Threshold Criteria'!G90</f>
        <v>0</v>
      </c>
      <c r="H1182" s="1900">
        <f>'Part VIII-Threshold Criteria'!H90</f>
        <v>0</v>
      </c>
      <c r="I1182" s="1900">
        <f>'Part VIII-Threshold Criteria'!I90</f>
        <v>0</v>
      </c>
      <c r="J1182" s="1900">
        <f>'Part VIII-Threshold Criteria'!J90</f>
        <v>0</v>
      </c>
      <c r="K1182" s="1900">
        <f>'Part VIII-Threshold Criteria'!K90</f>
        <v>0</v>
      </c>
      <c r="L1182" s="1900">
        <f>'Part VIII-Threshold Criteria'!L90</f>
        <v>0</v>
      </c>
      <c r="M1182" s="1900">
        <f>'Part VIII-Threshold Criteria'!M90</f>
        <v>0</v>
      </c>
      <c r="N1182" s="1900">
        <f>'Part VIII-Threshold Criteria'!N90</f>
        <v>0</v>
      </c>
      <c r="O1182" s="1900">
        <f>'Part VIII-Threshold Criteria'!O90</f>
        <v>0</v>
      </c>
      <c r="P1182" s="1900">
        <f>'Part VIII-Threshold Criteria'!P90</f>
        <v>0</v>
      </c>
      <c r="Q1182" s="1900">
        <f>'Part VIII-Threshold Criteria'!Q90</f>
        <v>0</v>
      </c>
    </row>
    <row r="1183" spans="1:17">
      <c r="A1183" s="1812"/>
      <c r="B1183" s="1895"/>
      <c r="C1183" s="1899"/>
      <c r="D1183" s="1899"/>
      <c r="E1183" s="1899"/>
      <c r="F1183" s="1899"/>
      <c r="G1183" s="1899"/>
      <c r="H1183" s="1899"/>
      <c r="I1183" s="1899"/>
      <c r="J1183" s="1899"/>
      <c r="K1183" s="1899"/>
      <c r="L1183" s="1899"/>
      <c r="M1183" s="1899"/>
      <c r="N1183" s="1899"/>
      <c r="O1183" s="1899"/>
      <c r="P1183" s="1899"/>
      <c r="Q1183" s="1812"/>
    </row>
    <row r="1184" spans="1:17">
      <c r="A1184" s="1805" t="s">
        <v>1794</v>
      </c>
      <c r="B1184" s="1805" t="s">
        <v>2653</v>
      </c>
      <c r="C1184" s="1805"/>
      <c r="D1184" s="1899"/>
      <c r="E1184" s="1899"/>
      <c r="F1184" s="1899"/>
      <c r="G1184" s="1899"/>
      <c r="H1184" s="1899"/>
      <c r="I1184" s="1899"/>
      <c r="J1184" s="1899"/>
      <c r="K1184" s="1899"/>
      <c r="O1184" s="1896" t="s">
        <v>1867</v>
      </c>
      <c r="P1184" s="1820">
        <f>'Part VIII-Threshold Criteria'!P92</f>
        <v>0</v>
      </c>
      <c r="Q1184" s="1820">
        <f>'Part VIII-Threshold Criteria'!Q92</f>
        <v>0</v>
      </c>
    </row>
    <row r="1186" spans="1:17">
      <c r="A1186" s="1935" t="s">
        <v>1983</v>
      </c>
      <c r="B1186" s="1216" t="s">
        <v>2460</v>
      </c>
      <c r="D1186" s="1867"/>
      <c r="E1186" s="1867"/>
      <c r="F1186" s="1867"/>
      <c r="G1186" s="1867"/>
      <c r="H1186" s="1867"/>
      <c r="I1186" s="1631"/>
      <c r="J1186" s="1631"/>
      <c r="K1186" s="1631"/>
      <c r="L1186" s="1937" t="s">
        <v>1983</v>
      </c>
      <c r="M1186" s="1894" t="str">
        <f>'Part VIII-Threshold Criteria'!M94</f>
        <v>John Wall and Associates</v>
      </c>
      <c r="N1186" s="1894">
        <f>'Part VIII-Threshold Criteria'!N94</f>
        <v>0</v>
      </c>
      <c r="O1186" s="1894">
        <f>'Part VIII-Threshold Criteria'!O94</f>
        <v>0</v>
      </c>
      <c r="P1186" s="1631">
        <f>'Part VIII-Threshold Criteria'!P94</f>
        <v>0</v>
      </c>
      <c r="Q1186" s="1938">
        <f>'Part VIII-Threshold Criteria'!Q94</f>
        <v>0</v>
      </c>
    </row>
    <row r="1187" spans="1:17">
      <c r="A1187" s="1935" t="s">
        <v>1985</v>
      </c>
      <c r="B1187" s="521" t="s">
        <v>2036</v>
      </c>
      <c r="D1187" s="1867"/>
      <c r="E1187" s="1867"/>
      <c r="F1187" s="1867"/>
      <c r="L1187" s="1937" t="s">
        <v>1985</v>
      </c>
      <c r="M1187" s="1894" t="str">
        <f>'Part VIII-Threshold Criteria'!M95</f>
        <v>3 months</v>
      </c>
      <c r="N1187" s="1894">
        <f>'Part VIII-Threshold Criteria'!N95</f>
        <v>0</v>
      </c>
      <c r="O1187" s="1894">
        <f>'Part VIII-Threshold Criteria'!O95</f>
        <v>0</v>
      </c>
      <c r="P1187" s="1631">
        <f>'Part VIII-Threshold Criteria'!P95</f>
        <v>0</v>
      </c>
      <c r="Q1187" s="1938">
        <f>'Part VIII-Threshold Criteria'!Q95</f>
        <v>0</v>
      </c>
    </row>
    <row r="1188" spans="1:17">
      <c r="A1188" s="1935" t="s">
        <v>749</v>
      </c>
      <c r="B1188" s="521" t="s">
        <v>2879</v>
      </c>
      <c r="D1188" s="1867"/>
      <c r="E1188" s="1867"/>
      <c r="F1188" s="1867"/>
      <c r="L1188" s="1937" t="s">
        <v>749</v>
      </c>
      <c r="M1188" s="1939" t="str">
        <f>'Part VIII-Threshold Criteria'!M96</f>
        <v>98.5% among LIHTC; 96.1% overall</v>
      </c>
      <c r="N1188" s="1939">
        <f>'Part VIII-Threshold Criteria'!N96</f>
        <v>0</v>
      </c>
      <c r="O1188" s="1939">
        <f>'Part VIII-Threshold Criteria'!O96</f>
        <v>0</v>
      </c>
      <c r="P1188" s="2160">
        <f>'Part VIII-Threshold Criteria'!P96</f>
        <v>0</v>
      </c>
      <c r="Q1188" s="1938">
        <f>'Part VIII-Threshold Criteria'!Q96</f>
        <v>0</v>
      </c>
    </row>
    <row r="1189" spans="1:17">
      <c r="A1189" s="1935" t="s">
        <v>2115</v>
      </c>
      <c r="B1189" s="521" t="s">
        <v>3898</v>
      </c>
      <c r="D1189" s="1867"/>
      <c r="E1189" s="1867"/>
      <c r="F1189" s="1867"/>
      <c r="L1189" s="1937" t="s">
        <v>3899</v>
      </c>
      <c r="M1189" s="2161">
        <f>'Part VIII-Threshold Criteria'!M97</f>
        <v>3.5999999999999997E-2</v>
      </c>
      <c r="N1189" s="1939"/>
      <c r="O1189" s="1940" t="s">
        <v>4130</v>
      </c>
      <c r="P1189" s="2008">
        <f>'Part VIII-Threshold Criteria'!P97</f>
        <v>3.5999999999999997E-2</v>
      </c>
      <c r="Q1189" s="1938">
        <f>'Part VIII-Threshold Criteria'!Q97</f>
        <v>0</v>
      </c>
    </row>
    <row r="1190" spans="1:17">
      <c r="A1190" s="1933" t="s">
        <v>1735</v>
      </c>
      <c r="B1190" s="1921" t="s">
        <v>3897</v>
      </c>
      <c r="D1190" s="1921"/>
      <c r="E1190" s="1921"/>
      <c r="F1190" s="1921"/>
      <c r="G1190" s="1921"/>
      <c r="H1190" s="1921"/>
      <c r="I1190" s="1921"/>
      <c r="J1190" s="1921"/>
      <c r="K1190" s="1921"/>
      <c r="L1190" s="1921"/>
      <c r="M1190" s="1921"/>
      <c r="N1190" s="1921"/>
      <c r="O1190" s="1921"/>
      <c r="P1190" s="1921"/>
      <c r="Q1190" s="1921"/>
    </row>
    <row r="1191" spans="1:17">
      <c r="B1191" s="1935"/>
      <c r="C1191" s="521"/>
      <c r="D1191" s="1895" t="s">
        <v>2378</v>
      </c>
      <c r="E1191" s="1841" t="s">
        <v>617</v>
      </c>
      <c r="F1191" s="1841"/>
      <c r="H1191" s="521"/>
      <c r="I1191" s="1895" t="s">
        <v>2378</v>
      </c>
      <c r="J1191" s="1841" t="s">
        <v>617</v>
      </c>
      <c r="K1191" s="1841"/>
      <c r="M1191" s="521"/>
      <c r="N1191" s="1895" t="s">
        <v>2378</v>
      </c>
      <c r="O1191" s="1841" t="s">
        <v>617</v>
      </c>
      <c r="P1191" s="1841"/>
      <c r="Q1191" s="1937"/>
    </row>
    <row r="1192" spans="1:17">
      <c r="C1192" s="1937" t="s">
        <v>1737</v>
      </c>
      <c r="D1192" s="1938">
        <f>'Part VIII-Threshold Criteria'!D100</f>
        <v>0</v>
      </c>
      <c r="E1192" s="1894" t="str">
        <f>'Part VIII-Threshold Criteria'!E100</f>
        <v>Alexander at Stonecrest</v>
      </c>
      <c r="F1192" s="1894">
        <f>'Part VIII-Threshold Criteria'!F100</f>
        <v>0</v>
      </c>
      <c r="G1192" s="1894">
        <f>'Part VIII-Threshold Criteria'!G100</f>
        <v>0</v>
      </c>
      <c r="H1192" s="1937" t="s">
        <v>1739</v>
      </c>
      <c r="I1192" s="1938" t="str">
        <f>'Part VIII-Threshold Criteria'!I100</f>
        <v>2001-512</v>
      </c>
      <c r="J1192" s="1894" t="str">
        <f>'Part VIII-Threshold Criteria'!J100</f>
        <v>Greens at Stonecreek</v>
      </c>
      <c r="K1192" s="1894">
        <f>'Part VIII-Threshold Criteria'!K100</f>
        <v>0</v>
      </c>
      <c r="L1192" s="1894">
        <f>'Part VIII-Threshold Criteria'!L100</f>
        <v>0</v>
      </c>
      <c r="M1192" s="1937" t="s">
        <v>1549</v>
      </c>
      <c r="N1192" s="1938" t="str">
        <f>'Part VIII-Threshold Criteria'!N100</f>
        <v>2007-053</v>
      </c>
      <c r="O1192" s="1894" t="str">
        <f>'Part VIII-Threshold Criteria'!O100</f>
        <v>Terraces at Parkview</v>
      </c>
      <c r="P1192" s="1894">
        <f>'Part VIII-Threshold Criteria'!P100</f>
        <v>0</v>
      </c>
      <c r="Q1192" s="1894">
        <f>'Part VIII-Threshold Criteria'!Q100</f>
        <v>0</v>
      </c>
    </row>
    <row r="1193" spans="1:17">
      <c r="C1193" s="1937" t="s">
        <v>1738</v>
      </c>
      <c r="D1193" s="1938" t="str">
        <f>'Part VIII-Threshold Criteria'!D101</f>
        <v>2015-028</v>
      </c>
      <c r="E1193" s="1894" t="str">
        <f>'Part VIII-Threshold Criteria'!E101</f>
        <v>Granite Crossing</v>
      </c>
      <c r="F1193" s="1894">
        <f>'Part VIII-Threshold Criteria'!F101</f>
        <v>0</v>
      </c>
      <c r="G1193" s="1894">
        <f>'Part VIII-Threshold Criteria'!G101</f>
        <v>0</v>
      </c>
      <c r="H1193" s="1937" t="s">
        <v>2365</v>
      </c>
      <c r="I1193" s="1938">
        <f>'Part VIII-Threshold Criteria'!I101</f>
        <v>0</v>
      </c>
      <c r="J1193" s="1894" t="str">
        <f>'Part VIII-Threshold Criteria'!J101</f>
        <v>Villas of Friendly Heights</v>
      </c>
      <c r="K1193" s="1894">
        <f>'Part VIII-Threshold Criteria'!K101</f>
        <v>0</v>
      </c>
      <c r="L1193" s="1894">
        <f>'Part VIII-Threshold Criteria'!L101</f>
        <v>0</v>
      </c>
      <c r="M1193" s="1937" t="s">
        <v>1550</v>
      </c>
      <c r="N1193" s="1938" t="str">
        <f>'Part VIII-Threshold Criteria'!N101</f>
        <v>2008-504</v>
      </c>
      <c r="O1193" s="1894" t="str">
        <f>'Part VIII-Threshold Criteria'!O101</f>
        <v>Hills at Farmington</v>
      </c>
      <c r="P1193" s="1894">
        <f>'Part VIII-Threshold Criteria'!P101</f>
        <v>0</v>
      </c>
      <c r="Q1193" s="1894">
        <f>'Part VIII-Threshold Criteria'!Q101</f>
        <v>0</v>
      </c>
    </row>
    <row r="1194" spans="1:17">
      <c r="A1194" s="1935" t="s">
        <v>1736</v>
      </c>
      <c r="B1194" s="521" t="s">
        <v>0</v>
      </c>
      <c r="D1194" s="1867"/>
      <c r="E1194" s="1867"/>
      <c r="F1194" s="1867"/>
      <c r="G1194" s="1867"/>
      <c r="H1194" s="1867"/>
      <c r="I1194" s="1631"/>
      <c r="J1194" s="1631"/>
      <c r="K1194" s="1867"/>
      <c r="L1194" s="1834"/>
      <c r="M1194" s="1834"/>
      <c r="O1194" s="1937" t="s">
        <v>1736</v>
      </c>
      <c r="P1194" s="1938" t="str">
        <f>'Part VIII-Threshold Criteria'!P102</f>
        <v>Yes</v>
      </c>
      <c r="Q1194" s="1938">
        <f>'Part VIII-Threshold Criteria'!Q102</f>
        <v>0</v>
      </c>
    </row>
    <row r="1195" spans="1:17">
      <c r="A1195" s="1216" t="s">
        <v>1670</v>
      </c>
      <c r="M1195" s="1941"/>
      <c r="O1195" s="1942"/>
      <c r="Q1195" s="1943" t="s">
        <v>2510</v>
      </c>
    </row>
    <row r="1196" spans="1:17" ht="12.75" customHeight="1">
      <c r="A1196" s="1933" t="s">
        <v>1947</v>
      </c>
      <c r="B1196" s="1900" t="s">
        <v>3613</v>
      </c>
      <c r="C1196" s="1900"/>
      <c r="D1196" s="1900"/>
      <c r="E1196" s="1900"/>
      <c r="F1196" s="1900"/>
      <c r="G1196" s="1900"/>
      <c r="H1196" s="1900"/>
      <c r="I1196" s="1900"/>
      <c r="J1196" s="1900"/>
      <c r="K1196" s="1900"/>
      <c r="L1196" s="1900"/>
      <c r="M1196" s="1900"/>
      <c r="N1196" s="1900"/>
      <c r="O1196" s="1900"/>
      <c r="P1196" s="1944" t="s">
        <v>1947</v>
      </c>
      <c r="Q1196" s="1945" t="e">
        <f>'Part VIII-Threshold Criteria'!#REF!</f>
        <v>#REF!</v>
      </c>
    </row>
    <row r="1197" spans="1:17" ht="12.75" customHeight="1">
      <c r="A1197" s="1933" t="s">
        <v>3370</v>
      </c>
      <c r="B1197" s="1900" t="s">
        <v>2730</v>
      </c>
      <c r="C1197" s="1900"/>
      <c r="D1197" s="1900"/>
      <c r="E1197" s="1900"/>
      <c r="F1197" s="1900"/>
      <c r="G1197" s="1900"/>
      <c r="H1197" s="1900"/>
      <c r="I1197" s="1900"/>
      <c r="J1197" s="1900"/>
      <c r="K1197" s="1900"/>
      <c r="L1197" s="1900"/>
      <c r="M1197" s="1900"/>
      <c r="N1197" s="1900"/>
      <c r="O1197" s="1900"/>
      <c r="P1197" s="1944" t="s">
        <v>3370</v>
      </c>
      <c r="Q1197" s="1945" t="e">
        <f>'Part VIII-Threshold Criteria'!#REF!</f>
        <v>#REF!</v>
      </c>
    </row>
    <row r="1198" spans="1:17">
      <c r="A1198" s="1933" t="s">
        <v>616</v>
      </c>
      <c r="B1198" s="1921" t="s">
        <v>1671</v>
      </c>
      <c r="C1198" s="1913"/>
      <c r="D1198" s="1913"/>
      <c r="E1198" s="1913"/>
      <c r="F1198" s="1913"/>
      <c r="G1198" s="1913"/>
      <c r="H1198" s="1913"/>
      <c r="I1198" s="1913"/>
      <c r="J1198" s="1913"/>
      <c r="K1198" s="1913"/>
      <c r="L1198" s="1946"/>
      <c r="M1198" s="1913"/>
      <c r="N1198" s="1942"/>
      <c r="O1198" s="1913"/>
      <c r="P1198" s="1937" t="s">
        <v>616</v>
      </c>
      <c r="Q1198" s="1945" t="e">
        <f>'Part VIII-Threshold Criteria'!#REF!</f>
        <v>#REF!</v>
      </c>
    </row>
    <row r="1199" spans="1:17">
      <c r="A1199" s="1933" t="s">
        <v>3371</v>
      </c>
      <c r="B1199" s="1921" t="s">
        <v>3614</v>
      </c>
      <c r="C1199" s="1913"/>
      <c r="D1199" s="1913"/>
      <c r="E1199" s="1913"/>
      <c r="F1199" s="1913"/>
      <c r="G1199" s="1913"/>
      <c r="H1199" s="1913"/>
      <c r="I1199" s="1913"/>
      <c r="J1199" s="1913"/>
      <c r="K1199" s="1913"/>
      <c r="L1199" s="1946"/>
      <c r="M1199" s="1913"/>
      <c r="N1199" s="1942"/>
      <c r="O1199" s="1913"/>
      <c r="P1199" s="1937" t="s">
        <v>3371</v>
      </c>
      <c r="Q1199" s="1945" t="e">
        <f>'Part VIII-Threshold Criteria'!#REF!</f>
        <v>#REF!</v>
      </c>
    </row>
    <row r="1200" spans="1:17">
      <c r="B1200" s="1842" t="s">
        <v>3756</v>
      </c>
      <c r="D1200" s="1842"/>
      <c r="E1200" s="1842"/>
      <c r="F1200" s="1842"/>
      <c r="G1200" s="1842"/>
      <c r="H1200" s="1841"/>
      <c r="I1200" s="1895"/>
      <c r="J1200" s="1895"/>
      <c r="K1200" s="1895"/>
      <c r="L1200" s="1812"/>
      <c r="M1200" s="1812"/>
      <c r="N1200" s="1812"/>
      <c r="O1200" s="1812"/>
      <c r="P1200" s="1812"/>
      <c r="Q1200" s="1812"/>
    </row>
    <row r="1201" spans="1:17">
      <c r="A1201" s="1900">
        <f>'Part VIII-Threshold Criteria'!A104</f>
        <v>0</v>
      </c>
      <c r="B1201" s="1900">
        <f>'Part VIII-Threshold Criteria'!B104</f>
        <v>0</v>
      </c>
      <c r="C1201" s="1900">
        <f>'Part VIII-Threshold Criteria'!C104</f>
        <v>0</v>
      </c>
      <c r="D1201" s="1900">
        <f>'Part VIII-Threshold Criteria'!D104</f>
        <v>0</v>
      </c>
      <c r="E1201" s="1900">
        <f>'Part VIII-Threshold Criteria'!E104</f>
        <v>0</v>
      </c>
      <c r="F1201" s="1900">
        <f>'Part VIII-Threshold Criteria'!F104</f>
        <v>0</v>
      </c>
      <c r="G1201" s="1900">
        <f>'Part VIII-Threshold Criteria'!G104</f>
        <v>0</v>
      </c>
      <c r="H1201" s="1900">
        <f>'Part VIII-Threshold Criteria'!H104</f>
        <v>0</v>
      </c>
      <c r="I1201" s="1900">
        <f>'Part VIII-Threshold Criteria'!I104</f>
        <v>0</v>
      </c>
      <c r="J1201" s="1900">
        <f>'Part VIII-Threshold Criteria'!J104</f>
        <v>0</v>
      </c>
      <c r="K1201" s="1900">
        <f>'Part VIII-Threshold Criteria'!K104</f>
        <v>0</v>
      </c>
      <c r="L1201" s="1900">
        <f>'Part VIII-Threshold Criteria'!L104</f>
        <v>0</v>
      </c>
      <c r="M1201" s="1900">
        <f>'Part VIII-Threshold Criteria'!M104</f>
        <v>0</v>
      </c>
      <c r="N1201" s="1900">
        <f>'Part VIII-Threshold Criteria'!N104</f>
        <v>0</v>
      </c>
      <c r="O1201" s="1900">
        <f>'Part VIII-Threshold Criteria'!O104</f>
        <v>0</v>
      </c>
      <c r="P1201" s="1900">
        <f>'Part VIII-Threshold Criteria'!P104</f>
        <v>0</v>
      </c>
      <c r="Q1201" s="1900">
        <f>'Part VIII-Threshold Criteria'!Q104</f>
        <v>0</v>
      </c>
    </row>
    <row r="1202" spans="1:17">
      <c r="B1202" s="1897" t="s">
        <v>1866</v>
      </c>
      <c r="C1202" s="1898"/>
      <c r="D1202" s="1899"/>
      <c r="E1202" s="1899"/>
      <c r="F1202" s="1899"/>
      <c r="G1202" s="1899"/>
      <c r="H1202" s="1899"/>
      <c r="I1202" s="1899"/>
      <c r="J1202" s="1899"/>
      <c r="K1202" s="1899"/>
      <c r="L1202" s="1899"/>
      <c r="M1202" s="1899"/>
      <c r="N1202" s="1899"/>
      <c r="O1202" s="1899"/>
      <c r="P1202" s="1899"/>
      <c r="Q1202" s="1899"/>
    </row>
    <row r="1203" spans="1:17">
      <c r="A1203" s="1900">
        <f>'Part VIII-Threshold Criteria'!A106</f>
        <v>0</v>
      </c>
      <c r="B1203" s="1900">
        <f>'Part VIII-Threshold Criteria'!B106</f>
        <v>0</v>
      </c>
      <c r="C1203" s="1900">
        <f>'Part VIII-Threshold Criteria'!C106</f>
        <v>0</v>
      </c>
      <c r="D1203" s="1900">
        <f>'Part VIII-Threshold Criteria'!D106</f>
        <v>0</v>
      </c>
      <c r="E1203" s="1900">
        <f>'Part VIII-Threshold Criteria'!E106</f>
        <v>0</v>
      </c>
      <c r="F1203" s="1900">
        <f>'Part VIII-Threshold Criteria'!F106</f>
        <v>0</v>
      </c>
      <c r="G1203" s="1900">
        <f>'Part VIII-Threshold Criteria'!G106</f>
        <v>0</v>
      </c>
      <c r="H1203" s="1900">
        <f>'Part VIII-Threshold Criteria'!H106</f>
        <v>0</v>
      </c>
      <c r="I1203" s="1900">
        <f>'Part VIII-Threshold Criteria'!I106</f>
        <v>0</v>
      </c>
      <c r="J1203" s="1900">
        <f>'Part VIII-Threshold Criteria'!J106</f>
        <v>0</v>
      </c>
      <c r="K1203" s="1900">
        <f>'Part VIII-Threshold Criteria'!K106</f>
        <v>0</v>
      </c>
      <c r="L1203" s="1900">
        <f>'Part VIII-Threshold Criteria'!L106</f>
        <v>0</v>
      </c>
      <c r="M1203" s="1900">
        <f>'Part VIII-Threshold Criteria'!M106</f>
        <v>0</v>
      </c>
      <c r="N1203" s="1900">
        <f>'Part VIII-Threshold Criteria'!N106</f>
        <v>0</v>
      </c>
      <c r="O1203" s="1900">
        <f>'Part VIII-Threshold Criteria'!O106</f>
        <v>0</v>
      </c>
      <c r="P1203" s="1900">
        <f>'Part VIII-Threshold Criteria'!P106</f>
        <v>0</v>
      </c>
      <c r="Q1203" s="1900">
        <f>'Part VIII-Threshold Criteria'!Q106</f>
        <v>0</v>
      </c>
    </row>
    <row r="1204" spans="1:17">
      <c r="A1204" s="1805" t="s">
        <v>530</v>
      </c>
      <c r="B1204" s="1805" t="s">
        <v>2654</v>
      </c>
      <c r="C1204" s="1805"/>
      <c r="D1204" s="1899"/>
      <c r="E1204" s="1899"/>
      <c r="F1204" s="1899"/>
      <c r="G1204" s="1899"/>
      <c r="H1204" s="1899"/>
      <c r="I1204" s="1899"/>
      <c r="J1204" s="1899"/>
      <c r="K1204" s="1899"/>
      <c r="L1204" s="1899"/>
      <c r="M1204" s="1899"/>
      <c r="O1204" s="1896" t="s">
        <v>1867</v>
      </c>
      <c r="P1204" s="1820">
        <f>'Part VIII-Threshold Criteria'!P107</f>
        <v>0</v>
      </c>
      <c r="Q1204" s="1820">
        <f>'Part VIII-Threshold Criteria'!Q107</f>
        <v>0</v>
      </c>
    </row>
    <row r="1206" spans="1:17">
      <c r="A1206" s="1935" t="s">
        <v>1983</v>
      </c>
      <c r="B1206" s="521" t="s">
        <v>493</v>
      </c>
      <c r="C1206" s="521"/>
      <c r="E1206" s="521"/>
      <c r="F1206" s="521"/>
      <c r="G1206" s="521"/>
      <c r="H1206" s="521"/>
      <c r="I1206" s="521"/>
      <c r="J1206" s="521"/>
      <c r="K1206" s="521"/>
      <c r="L1206" s="521"/>
      <c r="M1206" s="521"/>
      <c r="O1206" s="1937" t="s">
        <v>1983</v>
      </c>
      <c r="P1206" s="1938" t="str">
        <f>'Part VIII-Threshold Criteria'!P110</f>
        <v>No</v>
      </c>
      <c r="Q1206" s="1938">
        <f>'Part VIII-Threshold Criteria'!Q110</f>
        <v>0</v>
      </c>
    </row>
    <row r="1207" spans="1:17">
      <c r="A1207" s="1935" t="s">
        <v>1985</v>
      </c>
      <c r="B1207" s="521" t="s">
        <v>1304</v>
      </c>
      <c r="C1207" s="521"/>
      <c r="E1207" s="521"/>
      <c r="F1207" s="521"/>
      <c r="G1207" s="521"/>
      <c r="H1207" s="521"/>
      <c r="I1207" s="521"/>
      <c r="J1207" s="521"/>
      <c r="K1207" s="521"/>
      <c r="L1207" s="1841"/>
      <c r="M1207" s="1841"/>
      <c r="O1207" s="1937" t="s">
        <v>1985</v>
      </c>
      <c r="P1207" s="1938" t="str">
        <f>'Part VIII-Threshold Criteria'!P111</f>
        <v>Yes</v>
      </c>
      <c r="Q1207" s="1938">
        <f>'Part VIII-Threshold Criteria'!Q111</f>
        <v>0</v>
      </c>
    </row>
    <row r="1208" spans="1:17">
      <c r="A1208" s="521"/>
      <c r="C1208" s="521" t="s">
        <v>554</v>
      </c>
      <c r="E1208" s="1631"/>
      <c r="F1208" s="1631"/>
      <c r="G1208" s="1631"/>
      <c r="H1208" s="1631"/>
      <c r="I1208" s="1631"/>
      <c r="L1208" s="1937" t="s">
        <v>555</v>
      </c>
      <c r="M1208" s="1894" t="str">
        <f>'Part VIII-Threshold Criteria'!M112</f>
        <v>Everson, Huber &amp; Associates</v>
      </c>
      <c r="N1208" s="1894">
        <f>'Part VIII-Threshold Criteria'!N112</f>
        <v>0</v>
      </c>
      <c r="O1208" s="1894">
        <f>'Part VIII-Threshold Criteria'!O112</f>
        <v>0</v>
      </c>
      <c r="P1208" s="1631">
        <f>'Part VIII-Threshold Criteria'!P112</f>
        <v>0</v>
      </c>
      <c r="Q1208" s="1938">
        <f>'Part VIII-Threshold Criteria'!Q112</f>
        <v>0</v>
      </c>
    </row>
    <row r="1209" spans="1:17">
      <c r="A1209" s="1895"/>
      <c r="B1209" s="1944" t="s">
        <v>1737</v>
      </c>
      <c r="C1209" s="1841" t="s">
        <v>3471</v>
      </c>
      <c r="D1209" s="1947"/>
      <c r="E1209" s="1947"/>
      <c r="F1209" s="1947"/>
      <c r="G1209" s="1947"/>
      <c r="H1209" s="1947"/>
      <c r="I1209" s="1947"/>
      <c r="J1209" s="1947"/>
      <c r="K1209" s="1947"/>
      <c r="L1209" s="1947"/>
      <c r="M1209" s="1947"/>
      <c r="O1209" s="1944" t="s">
        <v>1737</v>
      </c>
      <c r="P1209" s="1938" t="str">
        <f>'Part VIII-Threshold Criteria'!P114</f>
        <v>Yes</v>
      </c>
      <c r="Q1209" s="1938">
        <f>'Part VIII-Threshold Criteria'!Q114</f>
        <v>0</v>
      </c>
    </row>
    <row r="1210" spans="1:17">
      <c r="A1210" s="1895"/>
      <c r="B1210" s="1937" t="s">
        <v>1738</v>
      </c>
      <c r="C1210" s="1841" t="s">
        <v>3472</v>
      </c>
      <c r="D1210" s="1947"/>
      <c r="E1210" s="1947"/>
      <c r="F1210" s="1947"/>
      <c r="G1210" s="1947"/>
      <c r="H1210" s="1947"/>
      <c r="I1210" s="1947"/>
      <c r="J1210" s="1947"/>
      <c r="K1210" s="1947"/>
      <c r="L1210" s="1947"/>
      <c r="M1210" s="1947"/>
      <c r="O1210" s="1937" t="s">
        <v>1738</v>
      </c>
      <c r="P1210" s="1938" t="str">
        <f>'Part VIII-Threshold Criteria'!P115</f>
        <v>Yes</v>
      </c>
      <c r="Q1210" s="1938">
        <f>'Part VIII-Threshold Criteria'!Q115</f>
        <v>0</v>
      </c>
    </row>
    <row r="1211" spans="1:17">
      <c r="A1211" s="1895"/>
      <c r="B1211" s="1944" t="s">
        <v>1739</v>
      </c>
      <c r="C1211" s="1841" t="s">
        <v>2880</v>
      </c>
      <c r="D1211" s="1841"/>
      <c r="E1211" s="1841"/>
      <c r="F1211" s="1841"/>
      <c r="G1211" s="1841"/>
      <c r="H1211" s="1841"/>
      <c r="I1211" s="1841"/>
      <c r="J1211" s="1841"/>
      <c r="K1211" s="1841"/>
      <c r="L1211" s="1841"/>
      <c r="M1211" s="1843"/>
      <c r="O1211" s="1944" t="s">
        <v>1739</v>
      </c>
      <c r="P1211" s="1938" t="str">
        <f>'Part VIII-Threshold Criteria'!P116</f>
        <v>Yes</v>
      </c>
      <c r="Q1211" s="1938">
        <f>'Part VIII-Threshold Criteria'!Q116</f>
        <v>0</v>
      </c>
    </row>
    <row r="1212" spans="1:17" ht="12.75" customHeight="1">
      <c r="A1212" s="1948"/>
      <c r="B1212" s="1944" t="s">
        <v>2365</v>
      </c>
      <c r="C1212" s="1900" t="s">
        <v>2689</v>
      </c>
      <c r="D1212" s="1900"/>
      <c r="E1212" s="1900"/>
      <c r="F1212" s="1900"/>
      <c r="G1212" s="1900"/>
      <c r="H1212" s="1900"/>
      <c r="I1212" s="1900"/>
      <c r="J1212" s="1900"/>
      <c r="K1212" s="1900"/>
      <c r="L1212" s="1900"/>
      <c r="M1212" s="1900"/>
      <c r="N1212" s="1900"/>
      <c r="O1212" s="1944" t="s">
        <v>2365</v>
      </c>
      <c r="P1212" s="1945">
        <f>'Part VIII-Threshold Criteria'!P117</f>
        <v>0</v>
      </c>
      <c r="Q1212" s="1945">
        <f>'Part VIII-Threshold Criteria'!Q117</f>
        <v>0</v>
      </c>
    </row>
    <row r="1213" spans="1:17">
      <c r="A1213" s="1935" t="s">
        <v>749</v>
      </c>
      <c r="B1213" s="521" t="s">
        <v>146</v>
      </c>
      <c r="D1213" s="521"/>
      <c r="E1213" s="521"/>
      <c r="F1213" s="521"/>
      <c r="G1213" s="521"/>
      <c r="H1213" s="521"/>
      <c r="I1213" s="521"/>
      <c r="J1213" s="521"/>
      <c r="K1213" s="521"/>
      <c r="L1213" s="521"/>
      <c r="M1213" s="521"/>
      <c r="O1213" s="1937" t="s">
        <v>749</v>
      </c>
      <c r="P1213" s="1938">
        <f>'Part VIII-Threshold Criteria'!P118</f>
        <v>0</v>
      </c>
      <c r="Q1213" s="1938">
        <f>'Part VIII-Threshold Criteria'!Q118</f>
        <v>0</v>
      </c>
    </row>
    <row r="1214" spans="1:17">
      <c r="A1214" s="1935" t="s">
        <v>2115</v>
      </c>
      <c r="B1214" s="521" t="s">
        <v>1428</v>
      </c>
      <c r="D1214" s="521"/>
      <c r="E1214" s="521"/>
      <c r="G1214" s="521"/>
      <c r="I1214" s="521"/>
      <c r="K1214" s="521"/>
      <c r="L1214" s="1841"/>
      <c r="M1214" s="1841"/>
      <c r="N1214" s="1841"/>
      <c r="O1214" s="1937" t="s">
        <v>2115</v>
      </c>
      <c r="P1214" s="1841"/>
      <c r="Q1214" s="1841"/>
    </row>
    <row r="1215" spans="1:17">
      <c r="B1215" s="1937" t="s">
        <v>1737</v>
      </c>
      <c r="C1215" s="521" t="s">
        <v>1429</v>
      </c>
      <c r="E1215" s="521"/>
      <c r="F1215" s="521"/>
      <c r="G1215" s="521"/>
      <c r="H1215" s="521"/>
      <c r="I1215" s="521"/>
      <c r="J1215" s="521"/>
      <c r="K1215" s="521"/>
      <c r="L1215" s="1841"/>
      <c r="M1215" s="1841"/>
      <c r="O1215" s="1937" t="s">
        <v>1737</v>
      </c>
      <c r="P1215" s="1938" t="str">
        <f>'Part VIII-Threshold Criteria'!P120</f>
        <v>No</v>
      </c>
      <c r="Q1215" s="1938">
        <f>'Part VIII-Threshold Criteria'!Q120</f>
        <v>0</v>
      </c>
    </row>
    <row r="1216" spans="1:17">
      <c r="B1216" s="1937" t="s">
        <v>1738</v>
      </c>
      <c r="C1216" s="521" t="s">
        <v>1430</v>
      </c>
      <c r="E1216" s="521"/>
      <c r="F1216" s="521"/>
      <c r="G1216" s="521"/>
      <c r="H1216" s="521"/>
      <c r="I1216" s="521"/>
      <c r="J1216" s="521"/>
      <c r="K1216" s="521"/>
      <c r="L1216" s="1841"/>
      <c r="M1216" s="1841"/>
      <c r="O1216" s="1937" t="s">
        <v>1738</v>
      </c>
      <c r="P1216" s="1938" t="str">
        <f>'Part VIII-Threshold Criteria'!P121</f>
        <v>No</v>
      </c>
      <c r="Q1216" s="1938">
        <f>'Part VIII-Threshold Criteria'!Q121</f>
        <v>0</v>
      </c>
    </row>
    <row r="1217" spans="1:17">
      <c r="B1217" s="1937" t="s">
        <v>1739</v>
      </c>
      <c r="C1217" s="521" t="s">
        <v>1431</v>
      </c>
      <c r="E1217" s="521"/>
      <c r="F1217" s="521"/>
      <c r="G1217" s="521"/>
      <c r="H1217" s="521"/>
      <c r="I1217" s="521"/>
      <c r="J1217" s="521"/>
      <c r="K1217" s="521"/>
      <c r="L1217" s="1841"/>
      <c r="M1217" s="1841"/>
      <c r="O1217" s="1937" t="s">
        <v>1739</v>
      </c>
      <c r="P1217" s="1938" t="str">
        <f>'Part VIII-Threshold Criteria'!P122</f>
        <v>No</v>
      </c>
      <c r="Q1217" s="1938">
        <f>'Part VIII-Threshold Criteria'!Q122</f>
        <v>0</v>
      </c>
    </row>
    <row r="1218" spans="1:17">
      <c r="B1218" s="1842" t="s">
        <v>3756</v>
      </c>
      <c r="D1218" s="1842"/>
      <c r="E1218" s="1842"/>
      <c r="F1218" s="1842"/>
      <c r="G1218" s="1842"/>
      <c r="H1218" s="1841"/>
      <c r="I1218" s="1895"/>
      <c r="J1218" s="1895"/>
      <c r="K1218" s="1895"/>
      <c r="L1218" s="1812"/>
      <c r="M1218" s="1812"/>
      <c r="N1218" s="1812"/>
      <c r="O1218" s="1812"/>
      <c r="P1218" s="1812"/>
      <c r="Q1218" s="1812"/>
    </row>
    <row r="1219" spans="1:17">
      <c r="A1219" s="1900">
        <f>'Part VIII-Threshold Criteria'!A124</f>
        <v>0</v>
      </c>
      <c r="B1219" s="1900">
        <f>'Part VIII-Threshold Criteria'!B124</f>
        <v>0</v>
      </c>
      <c r="C1219" s="1900">
        <f>'Part VIII-Threshold Criteria'!C124</f>
        <v>0</v>
      </c>
      <c r="D1219" s="1900">
        <f>'Part VIII-Threshold Criteria'!D124</f>
        <v>0</v>
      </c>
      <c r="E1219" s="1900">
        <f>'Part VIII-Threshold Criteria'!E124</f>
        <v>0</v>
      </c>
      <c r="F1219" s="1900">
        <f>'Part VIII-Threshold Criteria'!F124</f>
        <v>0</v>
      </c>
      <c r="G1219" s="1900">
        <f>'Part VIII-Threshold Criteria'!G124</f>
        <v>0</v>
      </c>
      <c r="H1219" s="1900">
        <f>'Part VIII-Threshold Criteria'!H124</f>
        <v>0</v>
      </c>
      <c r="I1219" s="1900">
        <f>'Part VIII-Threshold Criteria'!I124</f>
        <v>0</v>
      </c>
      <c r="J1219" s="1900">
        <f>'Part VIII-Threshold Criteria'!J124</f>
        <v>0</v>
      </c>
      <c r="K1219" s="1900">
        <f>'Part VIII-Threshold Criteria'!K124</f>
        <v>0</v>
      </c>
      <c r="L1219" s="1900">
        <f>'Part VIII-Threshold Criteria'!L124</f>
        <v>0</v>
      </c>
      <c r="M1219" s="1900">
        <f>'Part VIII-Threshold Criteria'!M124</f>
        <v>0</v>
      </c>
      <c r="N1219" s="1900">
        <f>'Part VIII-Threshold Criteria'!N124</f>
        <v>0</v>
      </c>
      <c r="O1219" s="1900">
        <f>'Part VIII-Threshold Criteria'!O124</f>
        <v>0</v>
      </c>
      <c r="P1219" s="1900">
        <f>'Part VIII-Threshold Criteria'!P124</f>
        <v>0</v>
      </c>
      <c r="Q1219" s="1900">
        <f>'Part VIII-Threshold Criteria'!Q124</f>
        <v>0</v>
      </c>
    </row>
    <row r="1220" spans="1:17">
      <c r="B1220" s="1897" t="s">
        <v>1866</v>
      </c>
      <c r="C1220" s="1898"/>
      <c r="D1220" s="1899"/>
      <c r="E1220" s="1899"/>
      <c r="F1220" s="1899"/>
      <c r="G1220" s="1899"/>
      <c r="H1220" s="1899"/>
      <c r="I1220" s="1899"/>
      <c r="J1220" s="1899"/>
      <c r="K1220" s="1899"/>
      <c r="L1220" s="1899"/>
      <c r="M1220" s="1899"/>
      <c r="N1220" s="1899"/>
      <c r="O1220" s="1899"/>
      <c r="P1220" s="1899"/>
      <c r="Q1220" s="1899"/>
    </row>
    <row r="1221" spans="1:17">
      <c r="A1221" s="1900">
        <f>'Part VIII-Threshold Criteria'!A126</f>
        <v>0</v>
      </c>
      <c r="B1221" s="1900">
        <f>'Part VIII-Threshold Criteria'!B126</f>
        <v>0</v>
      </c>
      <c r="C1221" s="1900">
        <f>'Part VIII-Threshold Criteria'!C126</f>
        <v>0</v>
      </c>
      <c r="D1221" s="1900">
        <f>'Part VIII-Threshold Criteria'!D126</f>
        <v>0</v>
      </c>
      <c r="E1221" s="1900">
        <f>'Part VIII-Threshold Criteria'!E126</f>
        <v>0</v>
      </c>
      <c r="F1221" s="1900">
        <f>'Part VIII-Threshold Criteria'!F126</f>
        <v>0</v>
      </c>
      <c r="G1221" s="1900">
        <f>'Part VIII-Threshold Criteria'!G126</f>
        <v>0</v>
      </c>
      <c r="H1221" s="1900">
        <f>'Part VIII-Threshold Criteria'!H126</f>
        <v>0</v>
      </c>
      <c r="I1221" s="1900">
        <f>'Part VIII-Threshold Criteria'!I126</f>
        <v>0</v>
      </c>
      <c r="J1221" s="1900">
        <f>'Part VIII-Threshold Criteria'!J126</f>
        <v>0</v>
      </c>
      <c r="K1221" s="1900">
        <f>'Part VIII-Threshold Criteria'!K126</f>
        <v>0</v>
      </c>
      <c r="L1221" s="1900">
        <f>'Part VIII-Threshold Criteria'!L126</f>
        <v>0</v>
      </c>
      <c r="M1221" s="1900">
        <f>'Part VIII-Threshold Criteria'!M126</f>
        <v>0</v>
      </c>
      <c r="N1221" s="1900">
        <f>'Part VIII-Threshold Criteria'!N126</f>
        <v>0</v>
      </c>
      <c r="O1221" s="1900">
        <f>'Part VIII-Threshold Criteria'!O126</f>
        <v>0</v>
      </c>
      <c r="P1221" s="1900">
        <f>'Part VIII-Threshold Criteria'!P126</f>
        <v>0</v>
      </c>
      <c r="Q1221" s="1900">
        <f>'Part VIII-Threshold Criteria'!Q126</f>
        <v>0</v>
      </c>
    </row>
    <row r="1222" spans="1:17">
      <c r="A1222" s="1805" t="s">
        <v>772</v>
      </c>
      <c r="B1222" s="1805" t="s">
        <v>2655</v>
      </c>
      <c r="C1222" s="1841"/>
      <c r="D1222" s="1899"/>
      <c r="E1222" s="1899"/>
      <c r="F1222" s="1899"/>
      <c r="G1222" s="1899"/>
      <c r="H1222" s="1899"/>
      <c r="I1222" s="1899"/>
      <c r="J1222" s="1899"/>
      <c r="K1222" s="1899"/>
      <c r="L1222" s="1899"/>
      <c r="M1222" s="1899"/>
      <c r="O1222" s="1896" t="s">
        <v>1867</v>
      </c>
      <c r="P1222" s="1820">
        <f>'Part VIII-Threshold Criteria'!P127</f>
        <v>0</v>
      </c>
      <c r="Q1222" s="1820">
        <f>'Part VIII-Threshold Criteria'!Q127</f>
        <v>0</v>
      </c>
    </row>
    <row r="1224" spans="1:17">
      <c r="A1224" s="1935" t="s">
        <v>1983</v>
      </c>
      <c r="B1224" s="521" t="s">
        <v>3637</v>
      </c>
      <c r="D1224" s="1867"/>
      <c r="E1224" s="1867"/>
      <c r="F1224" s="1867"/>
      <c r="G1224" s="1867"/>
      <c r="H1224" s="1867"/>
      <c r="I1224" s="1631"/>
      <c r="J1224" s="1631"/>
      <c r="K1224" s="1937" t="s">
        <v>1983</v>
      </c>
      <c r="L1224" s="1820" t="str">
        <f>'Part VIII-Threshold Criteria'!L129</f>
        <v>Geotechnical &amp; Environmental Consultants, Inc.</v>
      </c>
      <c r="M1224" s="1820">
        <f>'Part VIII-Threshold Criteria'!M129</f>
        <v>0</v>
      </c>
      <c r="N1224" s="1820">
        <f>'Part VIII-Threshold Criteria'!N129</f>
        <v>0</v>
      </c>
      <c r="O1224" s="1820">
        <f>'Part VIII-Threshold Criteria'!O129</f>
        <v>0</v>
      </c>
      <c r="P1224" s="1820">
        <f>'Part VIII-Threshold Criteria'!P129</f>
        <v>0</v>
      </c>
      <c r="Q1224" s="1938">
        <f>'Part VIII-Threshold Criteria'!Q129</f>
        <v>0</v>
      </c>
    </row>
    <row r="1225" spans="1:17">
      <c r="A1225" s="1935" t="s">
        <v>1985</v>
      </c>
      <c r="B1225" s="521" t="s">
        <v>1538</v>
      </c>
      <c r="D1225" s="1867"/>
      <c r="E1225" s="1867"/>
      <c r="F1225" s="1867"/>
      <c r="G1225" s="1867"/>
      <c r="H1225" s="1867"/>
      <c r="I1225" s="1631"/>
      <c r="J1225" s="1631"/>
      <c r="K1225" s="1867"/>
      <c r="L1225" s="1834"/>
      <c r="O1225" s="1937" t="s">
        <v>1985</v>
      </c>
      <c r="P1225" s="1938" t="str">
        <f>'Part VIII-Threshold Criteria'!P130</f>
        <v>No</v>
      </c>
      <c r="Q1225" s="1938">
        <f>'Part VIII-Threshold Criteria'!Q130</f>
        <v>0</v>
      </c>
    </row>
    <row r="1226" spans="1:17">
      <c r="A1226" s="1935" t="s">
        <v>749</v>
      </c>
      <c r="B1226" s="521" t="s">
        <v>151</v>
      </c>
      <c r="D1226" s="1867"/>
      <c r="E1226" s="1867"/>
      <c r="F1226" s="1867"/>
      <c r="G1226" s="1867"/>
      <c r="H1226" s="1867"/>
      <c r="I1226" s="1631"/>
      <c r="J1226" s="1631"/>
      <c r="K1226" s="1834"/>
      <c r="L1226" s="1834"/>
      <c r="O1226" s="1937" t="s">
        <v>749</v>
      </c>
      <c r="P1226" s="1938" t="str">
        <f>'Part VIII-Threshold Criteria'!P131</f>
        <v>Yes</v>
      </c>
      <c r="Q1226" s="1938">
        <f>'Part VIII-Threshold Criteria'!Q131</f>
        <v>0</v>
      </c>
    </row>
    <row r="1227" spans="1:17">
      <c r="A1227" s="1935"/>
      <c r="B1227" s="1937" t="s">
        <v>1737</v>
      </c>
      <c r="C1227" s="521" t="s">
        <v>2688</v>
      </c>
      <c r="E1227" s="1867"/>
      <c r="F1227" s="1867"/>
      <c r="G1227" s="1867"/>
      <c r="H1227" s="1867"/>
      <c r="I1227" s="1631"/>
      <c r="J1227" s="1631"/>
      <c r="K1227" s="1937" t="s">
        <v>1737</v>
      </c>
      <c r="L1227" s="1820" t="str">
        <f>'Part VIII-Threshold Criteria'!L132</f>
        <v>Geotechnical &amp; Environmental Consultants, Inc.</v>
      </c>
      <c r="M1227" s="1820">
        <f>'Part VIII-Threshold Criteria'!M132</f>
        <v>0</v>
      </c>
      <c r="N1227" s="1820">
        <f>'Part VIII-Threshold Criteria'!N132</f>
        <v>0</v>
      </c>
      <c r="O1227" s="1820">
        <f>'Part VIII-Threshold Criteria'!O132</f>
        <v>0</v>
      </c>
      <c r="P1227" s="1820">
        <f>'Part VIII-Threshold Criteria'!P132</f>
        <v>0</v>
      </c>
      <c r="Q1227" s="1938">
        <f>'Part VIII-Threshold Criteria'!Q132</f>
        <v>0</v>
      </c>
    </row>
    <row r="1228" spans="1:17">
      <c r="A1228" s="1825"/>
      <c r="B1228" s="1937" t="s">
        <v>1738</v>
      </c>
      <c r="C1228" s="521" t="s">
        <v>3473</v>
      </c>
      <c r="E1228" s="1631"/>
      <c r="F1228" s="1631"/>
      <c r="G1228" s="1631"/>
      <c r="H1228" s="521"/>
      <c r="I1228" s="1631"/>
      <c r="J1228" s="1631"/>
      <c r="K1228" s="1867"/>
      <c r="L1228" s="1834"/>
      <c r="M1228" s="1834"/>
      <c r="O1228" s="1937" t="s">
        <v>1738</v>
      </c>
      <c r="P1228" s="1938">
        <f>'Part VIII-Threshold Criteria'!P133</f>
        <v>69.5</v>
      </c>
      <c r="Q1228" s="1938">
        <f>'Part VIII-Threshold Criteria'!Q133</f>
        <v>0</v>
      </c>
    </row>
    <row r="1229" spans="1:17">
      <c r="A1229" s="1825"/>
      <c r="B1229" s="1937" t="s">
        <v>1739</v>
      </c>
      <c r="C1229" s="521" t="s">
        <v>4117</v>
      </c>
      <c r="E1229" s="1631"/>
      <c r="F1229" s="1631"/>
      <c r="G1229" s="1631"/>
      <c r="H1229" s="521"/>
      <c r="I1229" s="1631"/>
      <c r="J1229" s="1631"/>
      <c r="K1229" s="1867"/>
      <c r="L1229" s="1834"/>
      <c r="M1229" s="1834"/>
      <c r="N1229" s="1834"/>
      <c r="O1229" s="1834"/>
    </row>
    <row r="1230" spans="1:17">
      <c r="A1230" s="1812"/>
      <c r="B1230" s="1937"/>
      <c r="C1230" s="1867" t="e">
        <f>'Part VIII-Threshold Criteria'!#REF!</f>
        <v>#REF!</v>
      </c>
      <c r="D1230" s="1867" t="e">
        <f>'Part VIII-Threshold Criteria'!#REF!</f>
        <v>#REF!</v>
      </c>
      <c r="E1230" s="1867" t="e">
        <f>'Part VIII-Threshold Criteria'!#REF!</f>
        <v>#REF!</v>
      </c>
      <c r="F1230" s="1867" t="e">
        <f>'Part VIII-Threshold Criteria'!#REF!</f>
        <v>#REF!</v>
      </c>
      <c r="G1230" s="1867" t="e">
        <f>'Part VIII-Threshold Criteria'!#REF!</f>
        <v>#REF!</v>
      </c>
      <c r="H1230" s="1867" t="e">
        <f>'Part VIII-Threshold Criteria'!#REF!</f>
        <v>#REF!</v>
      </c>
      <c r="I1230" s="1867" t="e">
        <f>'Part VIII-Threshold Criteria'!#REF!</f>
        <v>#REF!</v>
      </c>
      <c r="J1230" s="1867" t="e">
        <f>'Part VIII-Threshold Criteria'!#REF!</f>
        <v>#REF!</v>
      </c>
      <c r="K1230" s="1867" t="e">
        <f>'Part VIII-Threshold Criteria'!#REF!</f>
        <v>#REF!</v>
      </c>
      <c r="L1230" s="1867" t="e">
        <f>'Part VIII-Threshold Criteria'!#REF!</f>
        <v>#REF!</v>
      </c>
      <c r="M1230" s="1867" t="e">
        <f>'Part VIII-Threshold Criteria'!#REF!</f>
        <v>#REF!</v>
      </c>
      <c r="N1230" s="1867" t="e">
        <f>'Part VIII-Threshold Criteria'!#REF!</f>
        <v>#REF!</v>
      </c>
      <c r="O1230" s="1867" t="e">
        <f>'Part VIII-Threshold Criteria'!#REF!</f>
        <v>#REF!</v>
      </c>
      <c r="P1230" s="1867" t="e">
        <f>'Part VIII-Threshold Criteria'!#REF!</f>
        <v>#REF!</v>
      </c>
      <c r="Q1230" s="1867" t="e">
        <f>'Part VIII-Threshold Criteria'!#REF!</f>
        <v>#REF!</v>
      </c>
    </row>
    <row r="1231" spans="1:17">
      <c r="A1231" s="1935" t="s">
        <v>2115</v>
      </c>
      <c r="B1231" s="521" t="s">
        <v>1260</v>
      </c>
      <c r="D1231" s="1867"/>
      <c r="E1231" s="1867"/>
      <c r="F1231" s="1867"/>
      <c r="G1231" s="1867"/>
      <c r="H1231" s="1867"/>
      <c r="I1231" s="1631"/>
      <c r="J1231" s="1631"/>
      <c r="K1231" s="1867"/>
      <c r="L1231" s="1834"/>
      <c r="M1231" s="1834"/>
      <c r="N1231" s="1834"/>
      <c r="O1231" s="1937" t="s">
        <v>2115</v>
      </c>
    </row>
    <row r="1232" spans="1:17">
      <c r="A1232" s="1935"/>
      <c r="B1232" s="1937" t="s">
        <v>1737</v>
      </c>
      <c r="C1232" s="521" t="s">
        <v>149</v>
      </c>
      <c r="E1232" s="1867"/>
      <c r="F1232" s="1867"/>
      <c r="G1232" s="1867"/>
      <c r="H1232" s="1867"/>
      <c r="I1232" s="1631"/>
      <c r="J1232" s="1631"/>
      <c r="K1232" s="1867"/>
      <c r="L1232" s="1834"/>
      <c r="M1232" s="1834"/>
      <c r="O1232" s="1937" t="s">
        <v>1737</v>
      </c>
      <c r="P1232" s="1938" t="str">
        <f>'Part VIII-Threshold Criteria'!P136</f>
        <v>No</v>
      </c>
      <c r="Q1232" s="1938">
        <f>'Part VIII-Threshold Criteria'!Q136</f>
        <v>0</v>
      </c>
    </row>
    <row r="1233" spans="1:17">
      <c r="A1233" s="1935"/>
      <c r="B1233" s="1937" t="s">
        <v>1738</v>
      </c>
      <c r="C1233" s="521" t="s">
        <v>1261</v>
      </c>
      <c r="E1233" s="1867"/>
      <c r="F1233" s="1867"/>
      <c r="G1233" s="1867"/>
      <c r="H1233" s="1631"/>
      <c r="I1233" s="1631"/>
      <c r="J1233" s="1631"/>
      <c r="K1233" s="1867"/>
      <c r="L1233" s="1834"/>
      <c r="M1233" s="1834"/>
      <c r="O1233" s="1937" t="s">
        <v>1738</v>
      </c>
      <c r="P1233" s="1938" t="str">
        <f>'Part VIII-Threshold Criteria'!P137</f>
        <v>No</v>
      </c>
      <c r="Q1233" s="1938">
        <f>'Part VIII-Threshold Criteria'!Q137</f>
        <v>0</v>
      </c>
    </row>
    <row r="1234" spans="1:17">
      <c r="A1234" s="1935"/>
      <c r="B1234" s="1937"/>
      <c r="C1234" s="521" t="s">
        <v>2632</v>
      </c>
      <c r="E1234" s="1937" t="s">
        <v>2435</v>
      </c>
      <c r="F1234" s="521" t="s">
        <v>2633</v>
      </c>
      <c r="G1234" s="1631"/>
      <c r="H1234" s="521"/>
      <c r="I1234" s="1631"/>
      <c r="J1234" s="1631"/>
      <c r="K1234" s="1867"/>
      <c r="L1234" s="1834"/>
      <c r="M1234" s="1834"/>
      <c r="O1234" s="1937" t="s">
        <v>2435</v>
      </c>
      <c r="P1234" s="1949">
        <f>'Part VIII-Threshold Criteria'!P138</f>
        <v>0</v>
      </c>
      <c r="Q1234" s="1949">
        <f>'Part VIII-Threshold Criteria'!Q138</f>
        <v>0</v>
      </c>
    </row>
    <row r="1235" spans="1:17">
      <c r="A1235" s="1935"/>
      <c r="B1235" s="1937"/>
      <c r="E1235" s="1937" t="s">
        <v>2436</v>
      </c>
      <c r="F1235" s="521" t="s">
        <v>2634</v>
      </c>
      <c r="G1235" s="1631"/>
      <c r="H1235" s="521"/>
      <c r="I1235" s="1631"/>
      <c r="J1235" s="1631"/>
      <c r="K1235" s="1867"/>
      <c r="L1235" s="1834"/>
      <c r="M1235" s="1834"/>
      <c r="O1235" s="1937" t="s">
        <v>2436</v>
      </c>
      <c r="P1235" s="1938">
        <f>'Part VIII-Threshold Criteria'!P139</f>
        <v>0</v>
      </c>
      <c r="Q1235" s="1938">
        <f>'Part VIII-Threshold Criteria'!Q139</f>
        <v>0</v>
      </c>
    </row>
    <row r="1236" spans="1:17">
      <c r="A1236" s="1935"/>
      <c r="B1236" s="1937"/>
      <c r="E1236" s="1937" t="s">
        <v>2437</v>
      </c>
      <c r="F1236" s="521" t="s">
        <v>2635</v>
      </c>
      <c r="G1236" s="1631"/>
      <c r="H1236" s="521"/>
      <c r="I1236" s="1631"/>
      <c r="J1236" s="1631"/>
      <c r="K1236" s="1867"/>
      <c r="L1236" s="1834"/>
      <c r="M1236" s="1834"/>
      <c r="O1236" s="1937" t="s">
        <v>2437</v>
      </c>
      <c r="P1236" s="1938">
        <f>'Part VIII-Threshold Criteria'!P140</f>
        <v>0</v>
      </c>
      <c r="Q1236" s="1938">
        <f>'Part VIII-Threshold Criteria'!Q140</f>
        <v>0</v>
      </c>
    </row>
    <row r="1237" spans="1:17">
      <c r="A1237" s="1935"/>
      <c r="B1237" s="1937" t="s">
        <v>1739</v>
      </c>
      <c r="C1237" s="521" t="s">
        <v>1262</v>
      </c>
      <c r="E1237" s="1867"/>
      <c r="F1237" s="1867"/>
      <c r="G1237" s="1867"/>
      <c r="H1237" s="521"/>
      <c r="I1237" s="1631"/>
      <c r="J1237" s="1631"/>
      <c r="K1237" s="1867"/>
      <c r="L1237" s="1834"/>
      <c r="M1237" s="1834"/>
      <c r="O1237" s="1937" t="s">
        <v>1739</v>
      </c>
      <c r="P1237" s="1938" t="str">
        <f>'Part VIII-Threshold Criteria'!P141</f>
        <v>No</v>
      </c>
      <c r="Q1237" s="1938">
        <f>'Part VIII-Threshold Criteria'!Q141</f>
        <v>0</v>
      </c>
    </row>
    <row r="1238" spans="1:17">
      <c r="A1238" s="1935"/>
      <c r="B1238" s="1937"/>
      <c r="C1238" s="521" t="s">
        <v>2632</v>
      </c>
      <c r="E1238" s="1937" t="s">
        <v>2435</v>
      </c>
      <c r="F1238" s="521" t="s">
        <v>2636</v>
      </c>
      <c r="G1238" s="1631"/>
      <c r="H1238" s="521"/>
      <c r="I1238" s="1631"/>
      <c r="J1238" s="1631"/>
      <c r="K1238" s="1867"/>
      <c r="L1238" s="1834"/>
      <c r="O1238" s="1937" t="s">
        <v>2435</v>
      </c>
      <c r="P1238" s="1949">
        <f>'Part VIII-Threshold Criteria'!P142</f>
        <v>0</v>
      </c>
      <c r="Q1238" s="1949">
        <f>'Part VIII-Threshold Criteria'!Q142</f>
        <v>0</v>
      </c>
    </row>
    <row r="1239" spans="1:17">
      <c r="A1239" s="1935"/>
      <c r="B1239" s="1937"/>
      <c r="E1239" s="1937" t="s">
        <v>2436</v>
      </c>
      <c r="F1239" s="521" t="s">
        <v>2637</v>
      </c>
      <c r="G1239" s="1631"/>
      <c r="H1239" s="521"/>
      <c r="I1239" s="1631"/>
      <c r="J1239" s="1631"/>
      <c r="O1239" s="1937" t="s">
        <v>2436</v>
      </c>
      <c r="P1239" s="1938">
        <f>'Part VIII-Threshold Criteria'!P143</f>
        <v>0</v>
      </c>
      <c r="Q1239" s="1938">
        <f>'Part VIII-Threshold Criteria'!Q143</f>
        <v>0</v>
      </c>
    </row>
    <row r="1240" spans="1:17">
      <c r="A1240" s="1935"/>
      <c r="B1240" s="1937"/>
      <c r="E1240" s="1937" t="s">
        <v>2437</v>
      </c>
      <c r="F1240" s="521" t="s">
        <v>2635</v>
      </c>
      <c r="G1240" s="1631"/>
      <c r="H1240" s="521"/>
      <c r="I1240" s="1631"/>
      <c r="J1240" s="1631"/>
      <c r="O1240" s="1937" t="s">
        <v>2437</v>
      </c>
      <c r="P1240" s="1938">
        <f>'Part VIII-Threshold Criteria'!P144</f>
        <v>0</v>
      </c>
      <c r="Q1240" s="1938">
        <f>'Part VIII-Threshold Criteria'!Q144</f>
        <v>0</v>
      </c>
    </row>
    <row r="1241" spans="1:17">
      <c r="A1241" s="521"/>
      <c r="B1241" s="1937" t="s">
        <v>2365</v>
      </c>
      <c r="C1241" s="521" t="s">
        <v>2638</v>
      </c>
      <c r="E1241" s="1867"/>
      <c r="F1241" s="1867"/>
      <c r="G1241" s="1867"/>
      <c r="H1241" s="1867"/>
      <c r="I1241" s="1631"/>
      <c r="J1241" s="1631"/>
      <c r="O1241" s="1937" t="s">
        <v>2365</v>
      </c>
      <c r="P1241" s="1938" t="e">
        <f>'Part VIII-Threshold Criteria'!#REF!</f>
        <v>#REF!</v>
      </c>
      <c r="Q1241" s="1938" t="e">
        <f>'Part VIII-Threshold Criteria'!#REF!</f>
        <v>#REF!</v>
      </c>
    </row>
    <row r="1242" spans="1:17">
      <c r="A1242" s="1935" t="s">
        <v>1735</v>
      </c>
      <c r="B1242" s="1841" t="s">
        <v>2414</v>
      </c>
      <c r="D1242" s="1867"/>
      <c r="E1242" s="1867"/>
      <c r="F1242" s="1867"/>
      <c r="G1242" s="1867"/>
      <c r="H1242" s="1867"/>
      <c r="I1242" s="1631"/>
      <c r="J1242" s="1631"/>
      <c r="K1242" s="1867"/>
      <c r="L1242" s="1834"/>
      <c r="M1242" s="1834"/>
      <c r="N1242" s="1834"/>
      <c r="O1242" s="1834"/>
      <c r="P1242" s="1834"/>
      <c r="Q1242" s="1834"/>
    </row>
    <row r="1243" spans="1:17">
      <c r="B1243" s="1937" t="s">
        <v>1737</v>
      </c>
      <c r="C1243" s="521" t="s">
        <v>2495</v>
      </c>
      <c r="E1243" s="1867"/>
      <c r="F1243" s="1938" t="str">
        <f>'Part VIII-Threshold Criteria'!F146</f>
        <v>No</v>
      </c>
      <c r="G1243" s="1938">
        <f>'Part VIII-Threshold Criteria'!G146</f>
        <v>0</v>
      </c>
      <c r="H1243" s="1937" t="s">
        <v>1549</v>
      </c>
      <c r="I1243" s="1216" t="s">
        <v>2640</v>
      </c>
      <c r="L1243" s="1938" t="str">
        <f>'Part VIII-Threshold Criteria'!L146</f>
        <v>No</v>
      </c>
      <c r="M1243" s="1938">
        <f>'Part VIII-Threshold Criteria'!M146</f>
        <v>0</v>
      </c>
      <c r="N1243" s="1937" t="s">
        <v>512</v>
      </c>
      <c r="O1243" s="521" t="s">
        <v>1552</v>
      </c>
      <c r="P1243" s="1938" t="str">
        <f>'Part VIII-Threshold Criteria'!P146</f>
        <v>No</v>
      </c>
      <c r="Q1243" s="1938">
        <f>'Part VIII-Threshold Criteria'!Q146</f>
        <v>0</v>
      </c>
    </row>
    <row r="1244" spans="1:17">
      <c r="A1244" s="521"/>
      <c r="B1244" s="1937" t="s">
        <v>1738</v>
      </c>
      <c r="C1244" s="521" t="s">
        <v>2803</v>
      </c>
      <c r="E1244" s="1867"/>
      <c r="F1244" s="1938" t="str">
        <f>'Part VIII-Threshold Criteria'!F147</f>
        <v>Yes</v>
      </c>
      <c r="G1244" s="1938">
        <f>'Part VIII-Threshold Criteria'!G147</f>
        <v>0</v>
      </c>
      <c r="H1244" s="1937" t="s">
        <v>1550</v>
      </c>
      <c r="I1244" s="1216" t="s">
        <v>2641</v>
      </c>
      <c r="L1244" s="1938" t="str">
        <f>'Part VIII-Threshold Criteria'!L147</f>
        <v>No</v>
      </c>
      <c r="M1244" s="1938">
        <f>'Part VIII-Threshold Criteria'!M147</f>
        <v>0</v>
      </c>
      <c r="N1244" s="1937" t="s">
        <v>513</v>
      </c>
      <c r="O1244" s="521" t="s">
        <v>1551</v>
      </c>
      <c r="P1244" s="1938" t="str">
        <f>'Part VIII-Threshold Criteria'!P147</f>
        <v>No</v>
      </c>
      <c r="Q1244" s="1938">
        <f>'Part VIII-Threshold Criteria'!Q147</f>
        <v>0</v>
      </c>
    </row>
    <row r="1245" spans="1:17">
      <c r="A1245" s="521"/>
      <c r="B1245" s="1937" t="s">
        <v>1739</v>
      </c>
      <c r="C1245" s="521" t="s">
        <v>2639</v>
      </c>
      <c r="E1245" s="1867"/>
      <c r="F1245" s="1938" t="str">
        <f>'Part VIII-Threshold Criteria'!F148</f>
        <v>No</v>
      </c>
      <c r="G1245" s="1938">
        <f>'Part VIII-Threshold Criteria'!G148</f>
        <v>0</v>
      </c>
      <c r="H1245" s="1937" t="s">
        <v>98</v>
      </c>
      <c r="I1245" s="1216" t="s">
        <v>3848</v>
      </c>
      <c r="L1245" s="1938" t="str">
        <f>'Part VIII-Threshold Criteria'!L148</f>
        <v>No</v>
      </c>
      <c r="M1245" s="1938">
        <f>'Part VIII-Threshold Criteria'!M148</f>
        <v>0</v>
      </c>
      <c r="N1245" s="1937" t="s">
        <v>2805</v>
      </c>
      <c r="O1245" s="521" t="s">
        <v>1553</v>
      </c>
      <c r="P1245" s="1938" t="str">
        <f>'Part VIII-Threshold Criteria'!P148</f>
        <v>No</v>
      </c>
      <c r="Q1245" s="1938">
        <f>'Part VIII-Threshold Criteria'!Q148</f>
        <v>0</v>
      </c>
    </row>
    <row r="1246" spans="1:17">
      <c r="A1246" s="521"/>
      <c r="B1246" s="1937" t="s">
        <v>2365</v>
      </c>
      <c r="C1246" s="521" t="s">
        <v>2806</v>
      </c>
      <c r="E1246" s="1867"/>
      <c r="F1246" s="1938" t="str">
        <f>'Part VIII-Threshold Criteria'!F149</f>
        <v>No</v>
      </c>
      <c r="G1246" s="1938">
        <f>'Part VIII-Threshold Criteria'!G149</f>
        <v>0</v>
      </c>
      <c r="H1246" s="1937" t="s">
        <v>511</v>
      </c>
      <c r="I1246" s="521" t="s">
        <v>2802</v>
      </c>
      <c r="L1246" s="1938" t="str">
        <f>'Part VIII-Threshold Criteria'!L149</f>
        <v>No</v>
      </c>
      <c r="M1246" s="1938">
        <f>'Part VIII-Threshold Criteria'!M149</f>
        <v>0</v>
      </c>
      <c r="O1246" s="1937"/>
    </row>
    <row r="1247" spans="1:17">
      <c r="A1247" s="521"/>
      <c r="B1247" s="1937" t="s">
        <v>2894</v>
      </c>
      <c r="C1247" s="521" t="s">
        <v>2804</v>
      </c>
      <c r="E1247" s="1867"/>
      <c r="F1247" s="1867"/>
      <c r="G1247" s="1867"/>
      <c r="H1247" s="1867"/>
      <c r="I1247" s="1867"/>
      <c r="J1247" s="1867"/>
      <c r="K1247" s="1867"/>
      <c r="L1247" s="1867"/>
      <c r="M1247" s="521"/>
      <c r="O1247" s="1937"/>
      <c r="P1247" s="1937"/>
    </row>
    <row r="1248" spans="1:17">
      <c r="A1248" s="521"/>
      <c r="C1248" s="1867" t="str">
        <f>'Part VIII-Threshold Criteria'!C151</f>
        <v>N/A</v>
      </c>
      <c r="D1248" s="1867">
        <f>'Part VIII-Threshold Criteria'!D151</f>
        <v>0</v>
      </c>
      <c r="E1248" s="1867">
        <f>'Part VIII-Threshold Criteria'!E151</f>
        <v>0</v>
      </c>
      <c r="F1248" s="1867">
        <f>'Part VIII-Threshold Criteria'!F151</f>
        <v>0</v>
      </c>
      <c r="G1248" s="1867">
        <f>'Part VIII-Threshold Criteria'!G151</f>
        <v>0</v>
      </c>
      <c r="H1248" s="1867">
        <f>'Part VIII-Threshold Criteria'!H151</f>
        <v>0</v>
      </c>
      <c r="I1248" s="1867">
        <f>'Part VIII-Threshold Criteria'!I151</f>
        <v>0</v>
      </c>
      <c r="J1248" s="1867">
        <f>'Part VIII-Threshold Criteria'!J151</f>
        <v>0</v>
      </c>
      <c r="K1248" s="1867">
        <f>'Part VIII-Threshold Criteria'!K151</f>
        <v>0</v>
      </c>
      <c r="L1248" s="1867">
        <f>'Part VIII-Threshold Criteria'!L151</f>
        <v>0</v>
      </c>
      <c r="M1248" s="1867">
        <f>'Part VIII-Threshold Criteria'!M151</f>
        <v>0</v>
      </c>
      <c r="N1248" s="1867">
        <f>'Part VIII-Threshold Criteria'!N151</f>
        <v>0</v>
      </c>
      <c r="O1248" s="1867">
        <f>'Part VIII-Threshold Criteria'!O151</f>
        <v>0</v>
      </c>
      <c r="P1248" s="1867">
        <f>'Part VIII-Threshold Criteria'!P151</f>
        <v>0</v>
      </c>
      <c r="Q1248" s="1867">
        <f>'Part VIII-Threshold Criteria'!Q151</f>
        <v>0</v>
      </c>
    </row>
    <row r="1249" spans="1:17">
      <c r="A1249" s="1935" t="s">
        <v>1736</v>
      </c>
      <c r="B1249" s="521" t="s">
        <v>3571</v>
      </c>
      <c r="D1249" s="1867"/>
      <c r="E1249" s="1867"/>
      <c r="F1249" s="1867"/>
      <c r="G1249" s="1867"/>
      <c r="H1249" s="1867"/>
      <c r="I1249" s="1631"/>
      <c r="J1249" s="1631"/>
      <c r="K1249" s="1867"/>
      <c r="L1249" s="1867"/>
      <c r="M1249" s="1834"/>
    </row>
    <row r="1250" spans="1:17">
      <c r="A1250" s="1631"/>
      <c r="B1250" s="1937" t="s">
        <v>1737</v>
      </c>
      <c r="C1250" s="521" t="s">
        <v>2807</v>
      </c>
      <c r="E1250" s="1867"/>
      <c r="F1250" s="1867"/>
      <c r="G1250" s="1867"/>
      <c r="H1250" s="1867"/>
      <c r="O1250" s="1937" t="s">
        <v>1737</v>
      </c>
      <c r="P1250" s="1938">
        <f>'Part VIII-Threshold Criteria'!P153</f>
        <v>0</v>
      </c>
      <c r="Q1250" s="1938">
        <f>'Part VIII-Threshold Criteria'!Q153</f>
        <v>0</v>
      </c>
    </row>
    <row r="1251" spans="1:17">
      <c r="A1251" s="1895"/>
      <c r="B1251" s="1937" t="s">
        <v>1738</v>
      </c>
      <c r="C1251" s="521" t="s">
        <v>490</v>
      </c>
      <c r="E1251" s="521"/>
      <c r="F1251" s="521"/>
      <c r="G1251" s="521"/>
      <c r="H1251" s="521"/>
      <c r="I1251" s="1631"/>
      <c r="J1251" s="1631"/>
      <c r="K1251" s="521"/>
      <c r="L1251" s="521"/>
      <c r="M1251" s="521"/>
      <c r="O1251" s="1937" t="s">
        <v>1738</v>
      </c>
      <c r="P1251" s="1938">
        <f>'Part VIII-Threshold Criteria'!P154</f>
        <v>0</v>
      </c>
      <c r="Q1251" s="1938">
        <f>'Part VIII-Threshold Criteria'!Q154</f>
        <v>0</v>
      </c>
    </row>
    <row r="1252" spans="1:17">
      <c r="A1252" s="1895"/>
      <c r="B1252" s="1937" t="s">
        <v>1739</v>
      </c>
      <c r="C1252" s="521" t="s">
        <v>681</v>
      </c>
      <c r="E1252" s="521"/>
      <c r="F1252" s="521"/>
      <c r="G1252" s="521"/>
      <c r="H1252" s="521"/>
      <c r="I1252" s="1631"/>
      <c r="J1252" s="1631"/>
      <c r="K1252" s="521"/>
      <c r="L1252" s="521"/>
      <c r="M1252" s="521"/>
      <c r="O1252" s="1937" t="s">
        <v>1739</v>
      </c>
      <c r="P1252" s="1938">
        <f>'Part VIII-Threshold Criteria'!P155</f>
        <v>0</v>
      </c>
      <c r="Q1252" s="1938">
        <f>'Part VIII-Threshold Criteria'!Q155</f>
        <v>0</v>
      </c>
    </row>
    <row r="1253" spans="1:17">
      <c r="A1253" s="1935" t="s">
        <v>1947</v>
      </c>
      <c r="B1253" s="521" t="s">
        <v>1753</v>
      </c>
      <c r="D1253" s="1867"/>
      <c r="E1253" s="1867"/>
      <c r="F1253" s="1867"/>
      <c r="G1253" s="1867"/>
      <c r="H1253" s="1867"/>
      <c r="I1253" s="1631"/>
      <c r="J1253" s="1631"/>
      <c r="K1253" s="1867"/>
      <c r="L1253" s="1867"/>
      <c r="M1253" s="1834"/>
      <c r="O1253" s="1937" t="s">
        <v>1947</v>
      </c>
      <c r="P1253" s="1938" t="e">
        <f>'Part VIII-Threshold Criteria'!#REF!</f>
        <v>#REF!</v>
      </c>
      <c r="Q1253" s="1938" t="e">
        <f>'Part VIII-Threshold Criteria'!#REF!</f>
        <v>#REF!</v>
      </c>
    </row>
    <row r="1254" spans="1:17">
      <c r="A1254" s="1950" t="s">
        <v>3463</v>
      </c>
      <c r="C1254" s="521"/>
      <c r="D1254" s="1867"/>
      <c r="E1254" s="1867"/>
      <c r="F1254" s="1867"/>
      <c r="G1254" s="1867"/>
      <c r="H1254" s="1867"/>
      <c r="I1254" s="1631"/>
      <c r="J1254" s="1631"/>
      <c r="K1254" s="1867"/>
      <c r="L1254" s="1867"/>
      <c r="M1254" s="1834"/>
      <c r="N1254" s="1834"/>
      <c r="O1254" s="1834"/>
      <c r="P1254" s="1834"/>
      <c r="Q1254" s="1834"/>
    </row>
    <row r="1255" spans="1:17" ht="12.75" customHeight="1">
      <c r="A1255" s="1933" t="s">
        <v>3370</v>
      </c>
      <c r="B1255" s="1900" t="s">
        <v>4543</v>
      </c>
      <c r="C1255" s="1900"/>
      <c r="D1255" s="1900"/>
      <c r="E1255" s="1900"/>
      <c r="F1255" s="1900"/>
      <c r="G1255" s="1900"/>
      <c r="H1255" s="1900"/>
      <c r="I1255" s="1900"/>
      <c r="J1255" s="1900"/>
      <c r="K1255" s="1900"/>
      <c r="L1255" s="1900"/>
      <c r="M1255" s="1944" t="s">
        <v>3370</v>
      </c>
      <c r="N1255" s="1893" t="str">
        <f>'Part VIII-Threshold Criteria'!N158</f>
        <v>&lt;&lt;Select&gt;&gt;</v>
      </c>
      <c r="O1255" s="1893">
        <f>'Part VIII-Threshold Criteria'!O158</f>
        <v>0</v>
      </c>
      <c r="P1255" s="1893" t="str">
        <f>'Part VIII-Threshold Criteria'!P158</f>
        <v>&lt;&lt;Select&gt;&gt;</v>
      </c>
      <c r="Q1255" s="1893">
        <f>'Part VIII-Threshold Criteria'!Q158</f>
        <v>0</v>
      </c>
    </row>
    <row r="1256" spans="1:17">
      <c r="A1256" s="1935" t="s">
        <v>616</v>
      </c>
      <c r="B1256" s="1841" t="s">
        <v>1</v>
      </c>
      <c r="C1256" s="1631"/>
      <c r="D1256" s="1951"/>
      <c r="E1256" s="1951"/>
      <c r="F1256" s="1631"/>
      <c r="G1256" s="1937" t="s">
        <v>616</v>
      </c>
      <c r="H1256" s="1867" t="e">
        <f>'Part VIII-Threshold Criteria'!#REF!</f>
        <v>#REF!</v>
      </c>
      <c r="I1256" s="1867" t="e">
        <f>'Part VIII-Threshold Criteria'!#REF!</f>
        <v>#REF!</v>
      </c>
      <c r="J1256" s="1867" t="e">
        <f>'Part VIII-Threshold Criteria'!#REF!</f>
        <v>#REF!</v>
      </c>
      <c r="K1256" s="1867" t="e">
        <f>'Part VIII-Threshold Criteria'!#REF!</f>
        <v>#REF!</v>
      </c>
      <c r="L1256" s="1867" t="e">
        <f>'Part VIII-Threshold Criteria'!#REF!</f>
        <v>#REF!</v>
      </c>
      <c r="M1256" s="1867" t="e">
        <f>'Part VIII-Threshold Criteria'!#REF!</f>
        <v>#REF!</v>
      </c>
      <c r="N1256" s="1867" t="e">
        <f>'Part VIII-Threshold Criteria'!#REF!</f>
        <v>#REF!</v>
      </c>
      <c r="O1256" s="1867" t="e">
        <f>'Part VIII-Threshold Criteria'!#REF!</f>
        <v>#REF!</v>
      </c>
      <c r="P1256" s="1867" t="e">
        <f>'Part VIII-Threshold Criteria'!#REF!</f>
        <v>#REF!</v>
      </c>
      <c r="Q1256" s="1938" t="e">
        <f>'Part VIII-Threshold Criteria'!#REF!</f>
        <v>#REF!</v>
      </c>
    </row>
    <row r="1257" spans="1:17">
      <c r="A1257" s="1935" t="s">
        <v>3371</v>
      </c>
      <c r="B1257" s="1841" t="s">
        <v>1415</v>
      </c>
      <c r="C1257" s="1631"/>
      <c r="D1257" s="1947"/>
      <c r="E1257" s="1947"/>
      <c r="F1257" s="1947"/>
      <c r="G1257" s="1630"/>
      <c r="H1257" s="1630"/>
      <c r="I1257" s="1841"/>
      <c r="J1257" s="1631"/>
      <c r="K1257" s="1630"/>
      <c r="L1257" s="1630"/>
      <c r="M1257" s="1630"/>
      <c r="N1257" s="1631"/>
      <c r="O1257" s="1937" t="s">
        <v>3371</v>
      </c>
      <c r="P1257" s="1938" t="e">
        <f>'Part VIII-Threshold Criteria'!#REF!</f>
        <v>#REF!</v>
      </c>
      <c r="Q1257" s="1938" t="e">
        <f>'Part VIII-Threshold Criteria'!#REF!</f>
        <v>#REF!</v>
      </c>
    </row>
    <row r="1258" spans="1:17">
      <c r="B1258" s="1842" t="s">
        <v>3756</v>
      </c>
      <c r="D1258" s="1842"/>
      <c r="E1258" s="1842"/>
      <c r="F1258" s="1842"/>
      <c r="G1258" s="1842"/>
      <c r="H1258" s="1841"/>
      <c r="I1258" s="1895"/>
      <c r="J1258" s="1895"/>
      <c r="K1258" s="1895"/>
      <c r="L1258" s="1812"/>
      <c r="M1258" s="1812"/>
      <c r="N1258" s="1812"/>
      <c r="O1258" s="1812"/>
      <c r="P1258" s="1812"/>
      <c r="Q1258" s="1812"/>
    </row>
    <row r="1259" spans="1:17">
      <c r="A1259" s="1900">
        <f>'Part VIII-Threshold Criteria'!A160</f>
        <v>0</v>
      </c>
      <c r="B1259" s="1900">
        <f>'Part VIII-Threshold Criteria'!B160</f>
        <v>0</v>
      </c>
      <c r="C1259" s="1900">
        <f>'Part VIII-Threshold Criteria'!C160</f>
        <v>0</v>
      </c>
      <c r="D1259" s="1900">
        <f>'Part VIII-Threshold Criteria'!D160</f>
        <v>0</v>
      </c>
      <c r="E1259" s="1900">
        <f>'Part VIII-Threshold Criteria'!E160</f>
        <v>0</v>
      </c>
      <c r="F1259" s="1900">
        <f>'Part VIII-Threshold Criteria'!F160</f>
        <v>0</v>
      </c>
      <c r="G1259" s="1900">
        <f>'Part VIII-Threshold Criteria'!G160</f>
        <v>0</v>
      </c>
      <c r="H1259" s="1900">
        <f>'Part VIII-Threshold Criteria'!H160</f>
        <v>0</v>
      </c>
      <c r="I1259" s="1900">
        <f>'Part VIII-Threshold Criteria'!I160</f>
        <v>0</v>
      </c>
      <c r="J1259" s="1900">
        <f>'Part VIII-Threshold Criteria'!J160</f>
        <v>0</v>
      </c>
      <c r="K1259" s="1900">
        <f>'Part VIII-Threshold Criteria'!K160</f>
        <v>0</v>
      </c>
      <c r="L1259" s="1900">
        <f>'Part VIII-Threshold Criteria'!L160</f>
        <v>0</v>
      </c>
      <c r="M1259" s="1900">
        <f>'Part VIII-Threshold Criteria'!M160</f>
        <v>0</v>
      </c>
      <c r="N1259" s="1900">
        <f>'Part VIII-Threshold Criteria'!N160</f>
        <v>0</v>
      </c>
      <c r="O1259" s="1900">
        <f>'Part VIII-Threshold Criteria'!O160</f>
        <v>0</v>
      </c>
      <c r="P1259" s="1900">
        <f>'Part VIII-Threshold Criteria'!P160</f>
        <v>0</v>
      </c>
      <c r="Q1259" s="1900">
        <f>'Part VIII-Threshold Criteria'!Q160</f>
        <v>0</v>
      </c>
    </row>
    <row r="1261" spans="1:17">
      <c r="B1261" s="1897" t="s">
        <v>1866</v>
      </c>
      <c r="C1261" s="1898"/>
      <c r="D1261" s="1899"/>
      <c r="E1261" s="1899"/>
      <c r="F1261" s="1899"/>
      <c r="G1261" s="1899"/>
      <c r="H1261" s="1899"/>
      <c r="I1261" s="1899"/>
      <c r="J1261" s="1899"/>
      <c r="K1261" s="1899"/>
      <c r="L1261" s="1899"/>
      <c r="M1261" s="1899"/>
      <c r="N1261" s="1899"/>
      <c r="O1261" s="1899"/>
      <c r="P1261" s="1899"/>
      <c r="Q1261" s="1899"/>
    </row>
    <row r="1262" spans="1:17">
      <c r="A1262" s="1900">
        <f>'Part VIII-Threshold Criteria'!A163</f>
        <v>0</v>
      </c>
      <c r="B1262" s="1900">
        <f>'Part VIII-Threshold Criteria'!B163</f>
        <v>0</v>
      </c>
      <c r="C1262" s="1900">
        <f>'Part VIII-Threshold Criteria'!C163</f>
        <v>0</v>
      </c>
      <c r="D1262" s="1900">
        <f>'Part VIII-Threshold Criteria'!D163</f>
        <v>0</v>
      </c>
      <c r="E1262" s="1900">
        <f>'Part VIII-Threshold Criteria'!E163</f>
        <v>0</v>
      </c>
      <c r="F1262" s="1900">
        <f>'Part VIII-Threshold Criteria'!F163</f>
        <v>0</v>
      </c>
      <c r="G1262" s="1900">
        <f>'Part VIII-Threshold Criteria'!G163</f>
        <v>0</v>
      </c>
      <c r="H1262" s="1900">
        <f>'Part VIII-Threshold Criteria'!H163</f>
        <v>0</v>
      </c>
      <c r="I1262" s="1900">
        <f>'Part VIII-Threshold Criteria'!I163</f>
        <v>0</v>
      </c>
      <c r="J1262" s="1900">
        <f>'Part VIII-Threshold Criteria'!J163</f>
        <v>0</v>
      </c>
      <c r="K1262" s="1900">
        <f>'Part VIII-Threshold Criteria'!K163</f>
        <v>0</v>
      </c>
      <c r="L1262" s="1900">
        <f>'Part VIII-Threshold Criteria'!L163</f>
        <v>0</v>
      </c>
      <c r="M1262" s="1900">
        <f>'Part VIII-Threshold Criteria'!M163</f>
        <v>0</v>
      </c>
      <c r="N1262" s="1900">
        <f>'Part VIII-Threshold Criteria'!N163</f>
        <v>0</v>
      </c>
      <c r="O1262" s="1900">
        <f>'Part VIII-Threshold Criteria'!O163</f>
        <v>0</v>
      </c>
      <c r="P1262" s="1900">
        <f>'Part VIII-Threshold Criteria'!P163</f>
        <v>0</v>
      </c>
      <c r="Q1262" s="1900">
        <f>'Part VIII-Threshold Criteria'!Q163</f>
        <v>0</v>
      </c>
    </row>
    <row r="1263" spans="1:17">
      <c r="A1263" s="1812"/>
      <c r="B1263" s="1895"/>
      <c r="C1263" s="1899"/>
      <c r="D1263" s="1899"/>
      <c r="E1263" s="1899"/>
      <c r="F1263" s="1899"/>
      <c r="G1263" s="1899"/>
      <c r="H1263" s="1899"/>
      <c r="I1263" s="1899"/>
      <c r="J1263" s="1899"/>
      <c r="K1263" s="1899"/>
      <c r="L1263" s="1899"/>
      <c r="M1263" s="1899"/>
      <c r="N1263" s="1899"/>
      <c r="O1263" s="1899"/>
      <c r="P1263" s="1899"/>
      <c r="Q1263" s="1812"/>
    </row>
    <row r="1264" spans="1:17">
      <c r="A1264" s="1805" t="s">
        <v>292</v>
      </c>
      <c r="B1264" s="1805" t="s">
        <v>2656</v>
      </c>
      <c r="C1264" s="1805"/>
      <c r="D1264" s="1899"/>
      <c r="E1264" s="1899"/>
      <c r="F1264" s="1899"/>
      <c r="G1264" s="1899"/>
      <c r="H1264" s="1899"/>
      <c r="I1264" s="1899"/>
      <c r="J1264" s="1899"/>
      <c r="K1264" s="1899"/>
      <c r="O1264" s="1896" t="s">
        <v>1867</v>
      </c>
      <c r="P1264" s="1820">
        <f>'Part VIII-Threshold Criteria'!P165</f>
        <v>0</v>
      </c>
      <c r="Q1264" s="1820">
        <f>'Part VIII-Threshold Criteria'!Q165</f>
        <v>0</v>
      </c>
    </row>
    <row r="1265" spans="1:17">
      <c r="A1265" s="1935" t="s">
        <v>1983</v>
      </c>
      <c r="B1265" s="521" t="s">
        <v>4544</v>
      </c>
      <c r="D1265" s="521"/>
      <c r="E1265" s="521"/>
      <c r="F1265" s="521"/>
      <c r="G1265" s="521"/>
      <c r="I1265" s="521" t="s">
        <v>2707</v>
      </c>
      <c r="K1265" s="2162">
        <f>'Part VIII-Threshold Criteria'!K166</f>
        <v>43950</v>
      </c>
      <c r="L1265" s="2162">
        <f>'Part VIII-Threshold Criteria'!L166</f>
        <v>0</v>
      </c>
      <c r="N1265" s="521"/>
      <c r="O1265" s="1937" t="s">
        <v>1983</v>
      </c>
      <c r="P1265" s="1938" t="str">
        <f>'Part VIII-Threshold Criteria'!P166</f>
        <v>Yes</v>
      </c>
      <c r="Q1265" s="1938">
        <f>'Part VIII-Threshold Criteria'!Q166</f>
        <v>0</v>
      </c>
    </row>
    <row r="1266" spans="1:17">
      <c r="A1266" s="1935" t="s">
        <v>1985</v>
      </c>
      <c r="B1266" s="1921" t="s">
        <v>150</v>
      </c>
      <c r="D1266" s="1921"/>
      <c r="E1266" s="1921"/>
      <c r="F1266" s="1921"/>
      <c r="G1266" s="1921"/>
      <c r="H1266" s="1921"/>
      <c r="M1266" s="1937" t="s">
        <v>1985</v>
      </c>
      <c r="N1266" s="1860" t="str">
        <f>'Part VIII-Threshold Criteria'!N167</f>
        <v>Purchase Contract</v>
      </c>
      <c r="O1266" s="1860">
        <f>'Part VIII-Threshold Criteria'!O167</f>
        <v>0</v>
      </c>
      <c r="P1266" s="1860" t="str">
        <f>'Part VIII-Threshold Criteria'!P167</f>
        <v>&lt;&lt;Select&gt;&gt;</v>
      </c>
      <c r="Q1266" s="1860">
        <f>'Part VIII-Threshold Criteria'!Q167</f>
        <v>0</v>
      </c>
    </row>
    <row r="1267" spans="1:17">
      <c r="A1267" s="1935" t="s">
        <v>749</v>
      </c>
      <c r="B1267" s="1921" t="s">
        <v>682</v>
      </c>
      <c r="D1267" s="1921"/>
      <c r="E1267" s="1921"/>
      <c r="F1267" s="1921"/>
      <c r="G1267" s="1921"/>
      <c r="H1267" s="1921"/>
      <c r="J1267" s="1937" t="s">
        <v>749</v>
      </c>
      <c r="K1267" s="1894" t="str">
        <f>'Part VIII-Threshold Criteria'!K168</f>
        <v>Stone Terrace GA LLC</v>
      </c>
      <c r="L1267" s="1894">
        <f>'Part VIII-Threshold Criteria'!L168</f>
        <v>0</v>
      </c>
      <c r="M1267" s="1894">
        <f>'Part VIII-Threshold Criteria'!M168</f>
        <v>0</v>
      </c>
      <c r="N1267" s="1894">
        <f>'Part VIII-Threshold Criteria'!N168</f>
        <v>0</v>
      </c>
      <c r="O1267" s="1894">
        <f>'Part VIII-Threshold Criteria'!O168</f>
        <v>0</v>
      </c>
      <c r="P1267" s="1894">
        <f>'Part VIII-Threshold Criteria'!P168</f>
        <v>0</v>
      </c>
      <c r="Q1267" s="1938">
        <f>'Part VIII-Threshold Criteria'!Q168</f>
        <v>0</v>
      </c>
    </row>
    <row r="1268" spans="1:17">
      <c r="A1268" s="1935" t="s">
        <v>2115</v>
      </c>
      <c r="B1268" s="1921" t="s">
        <v>2882</v>
      </c>
      <c r="D1268" s="1921"/>
      <c r="E1268" s="1921"/>
      <c r="F1268" s="1921"/>
      <c r="G1268" s="1921"/>
      <c r="H1268" s="1921"/>
      <c r="J1268" s="1937"/>
      <c r="K1268" s="1937"/>
      <c r="L1268" s="1937"/>
      <c r="M1268" s="1937"/>
      <c r="N1268" s="1937"/>
      <c r="O1268" s="1937" t="s">
        <v>2115</v>
      </c>
      <c r="P1268" s="1938" t="e">
        <f>'Part VIII-Threshold Criteria'!#REF!</f>
        <v>#REF!</v>
      </c>
      <c r="Q1268" s="1938" t="e">
        <f>'Part VIII-Threshold Criteria'!#REF!</f>
        <v>#REF!</v>
      </c>
    </row>
    <row r="1269" spans="1:17">
      <c r="B1269" s="1842" t="s">
        <v>3756</v>
      </c>
      <c r="D1269" s="1842"/>
      <c r="E1269" s="1842"/>
      <c r="F1269" s="1842"/>
      <c r="G1269" s="1842"/>
      <c r="H1269" s="1841"/>
      <c r="I1269" s="1895"/>
      <c r="J1269" s="1895"/>
      <c r="K1269" s="1895"/>
      <c r="L1269" s="1812"/>
      <c r="M1269" s="1812"/>
      <c r="N1269" s="1812"/>
      <c r="O1269" s="1812"/>
      <c r="P1269" s="1812"/>
      <c r="Q1269" s="1812"/>
    </row>
    <row r="1270" spans="1:17" ht="78.75">
      <c r="A1270" s="1900" t="str">
        <f>'Part VIII-Threshold Criteria'!A170</f>
        <v>Closing date given in contract is 10/31/19, with two 60-day extensions.</v>
      </c>
      <c r="B1270" s="1900">
        <f>'Part VIII-Threshold Criteria'!B170</f>
        <v>0</v>
      </c>
      <c r="C1270" s="1900">
        <f>'Part VIII-Threshold Criteria'!C170</f>
        <v>0</v>
      </c>
      <c r="D1270" s="1900">
        <f>'Part VIII-Threshold Criteria'!D170</f>
        <v>0</v>
      </c>
      <c r="E1270" s="1900">
        <f>'Part VIII-Threshold Criteria'!E170</f>
        <v>0</v>
      </c>
      <c r="F1270" s="1900">
        <f>'Part VIII-Threshold Criteria'!F170</f>
        <v>0</v>
      </c>
      <c r="G1270" s="1900">
        <f>'Part VIII-Threshold Criteria'!G170</f>
        <v>0</v>
      </c>
      <c r="H1270" s="1900">
        <f>'Part VIII-Threshold Criteria'!H170</f>
        <v>0</v>
      </c>
      <c r="I1270" s="1900">
        <f>'Part VIII-Threshold Criteria'!I170</f>
        <v>0</v>
      </c>
      <c r="J1270" s="1900">
        <f>'Part VIII-Threshold Criteria'!J170</f>
        <v>0</v>
      </c>
      <c r="K1270" s="1900">
        <f>'Part VIII-Threshold Criteria'!K170</f>
        <v>0</v>
      </c>
      <c r="L1270" s="1900">
        <f>'Part VIII-Threshold Criteria'!L170</f>
        <v>0</v>
      </c>
      <c r="M1270" s="1900">
        <f>'Part VIII-Threshold Criteria'!M170</f>
        <v>0</v>
      </c>
      <c r="N1270" s="1900">
        <f>'Part VIII-Threshold Criteria'!N170</f>
        <v>0</v>
      </c>
      <c r="O1270" s="1900">
        <f>'Part VIII-Threshold Criteria'!O170</f>
        <v>0</v>
      </c>
      <c r="P1270" s="1900">
        <f>'Part VIII-Threshold Criteria'!P170</f>
        <v>0</v>
      </c>
      <c r="Q1270" s="1900">
        <f>'Part VIII-Threshold Criteria'!Q170</f>
        <v>0</v>
      </c>
    </row>
    <row r="1271" spans="1:17">
      <c r="B1271" s="1897" t="s">
        <v>1866</v>
      </c>
      <c r="C1271" s="1898"/>
      <c r="D1271" s="1899"/>
      <c r="E1271" s="1899"/>
      <c r="F1271" s="1899"/>
      <c r="G1271" s="1899"/>
      <c r="H1271" s="1899"/>
      <c r="I1271" s="1899"/>
      <c r="J1271" s="1899"/>
      <c r="K1271" s="1899"/>
      <c r="L1271" s="1899"/>
      <c r="M1271" s="1899"/>
      <c r="N1271" s="1899"/>
      <c r="O1271" s="1899"/>
      <c r="P1271" s="1899"/>
      <c r="Q1271" s="1899"/>
    </row>
    <row r="1272" spans="1:17">
      <c r="A1272" s="1900">
        <f>'Part VIII-Threshold Criteria'!A172</f>
        <v>0</v>
      </c>
      <c r="B1272" s="1900">
        <f>'Part VIII-Threshold Criteria'!B172</f>
        <v>0</v>
      </c>
      <c r="C1272" s="1900">
        <f>'Part VIII-Threshold Criteria'!C172</f>
        <v>0</v>
      </c>
      <c r="D1272" s="1900">
        <f>'Part VIII-Threshold Criteria'!D172</f>
        <v>0</v>
      </c>
      <c r="E1272" s="1900">
        <f>'Part VIII-Threshold Criteria'!E172</f>
        <v>0</v>
      </c>
      <c r="F1272" s="1900">
        <f>'Part VIII-Threshold Criteria'!F172</f>
        <v>0</v>
      </c>
      <c r="G1272" s="1900">
        <f>'Part VIII-Threshold Criteria'!G172</f>
        <v>0</v>
      </c>
      <c r="H1272" s="1900">
        <f>'Part VIII-Threshold Criteria'!H172</f>
        <v>0</v>
      </c>
      <c r="I1272" s="1900">
        <f>'Part VIII-Threshold Criteria'!I172</f>
        <v>0</v>
      </c>
      <c r="J1272" s="1900">
        <f>'Part VIII-Threshold Criteria'!J172</f>
        <v>0</v>
      </c>
      <c r="K1272" s="1900">
        <f>'Part VIII-Threshold Criteria'!K172</f>
        <v>0</v>
      </c>
      <c r="L1272" s="1900">
        <f>'Part VIII-Threshold Criteria'!L172</f>
        <v>0</v>
      </c>
      <c r="M1272" s="1900">
        <f>'Part VIII-Threshold Criteria'!M172</f>
        <v>0</v>
      </c>
      <c r="N1272" s="1900">
        <f>'Part VIII-Threshold Criteria'!N172</f>
        <v>0</v>
      </c>
      <c r="O1272" s="1900">
        <f>'Part VIII-Threshold Criteria'!O172</f>
        <v>0</v>
      </c>
      <c r="P1272" s="1900">
        <f>'Part VIII-Threshold Criteria'!P172</f>
        <v>0</v>
      </c>
      <c r="Q1272" s="1900">
        <f>'Part VIII-Threshold Criteria'!Q172</f>
        <v>0</v>
      </c>
    </row>
    <row r="1273" spans="1:17">
      <c r="A1273" s="1812"/>
      <c r="B1273" s="1895"/>
      <c r="C1273" s="1899"/>
      <c r="D1273" s="1899"/>
      <c r="E1273" s="1899"/>
      <c r="F1273" s="1899"/>
      <c r="G1273" s="1899"/>
      <c r="H1273" s="1899"/>
      <c r="I1273" s="1899"/>
      <c r="J1273" s="1899"/>
      <c r="K1273" s="1899"/>
      <c r="L1273" s="1899"/>
      <c r="M1273" s="1899"/>
      <c r="Q1273" s="1812"/>
    </row>
    <row r="1274" spans="1:17">
      <c r="A1274" s="1805" t="s">
        <v>426</v>
      </c>
      <c r="B1274" s="1805" t="s">
        <v>2657</v>
      </c>
      <c r="C1274" s="1805"/>
      <c r="D1274" s="1899"/>
      <c r="E1274" s="1899"/>
      <c r="F1274" s="1899"/>
      <c r="G1274" s="1899"/>
      <c r="H1274" s="1899"/>
      <c r="I1274" s="1899"/>
      <c r="J1274" s="1899"/>
      <c r="K1274" s="1899"/>
      <c r="L1274" s="1899"/>
      <c r="M1274" s="1899"/>
      <c r="O1274" s="1896" t="s">
        <v>1867</v>
      </c>
      <c r="P1274" s="1820">
        <f>'Part VIII-Threshold Criteria'!P174</f>
        <v>0</v>
      </c>
      <c r="Q1274" s="1820">
        <f>'Part VIII-Threshold Criteria'!Q174</f>
        <v>0</v>
      </c>
    </row>
    <row r="1275" spans="1:17" ht="12.75" customHeight="1">
      <c r="A1275" s="1933" t="s">
        <v>1983</v>
      </c>
      <c r="B1275" s="1900" t="s">
        <v>3745</v>
      </c>
      <c r="C1275" s="1900"/>
      <c r="D1275" s="1900"/>
      <c r="E1275" s="1900"/>
      <c r="F1275" s="1900"/>
      <c r="G1275" s="1900"/>
      <c r="H1275" s="1900"/>
      <c r="I1275" s="1900"/>
      <c r="J1275" s="1900"/>
      <c r="K1275" s="1900"/>
      <c r="L1275" s="1900"/>
      <c r="M1275" s="1900"/>
      <c r="N1275" s="1900"/>
      <c r="O1275" s="1944" t="s">
        <v>1983</v>
      </c>
      <c r="P1275" s="1945" t="str">
        <f>'Part VIII-Threshold Criteria'!P175</f>
        <v>Yes</v>
      </c>
      <c r="Q1275" s="1945">
        <f>'Part VIII-Threshold Criteria'!Q175</f>
        <v>0</v>
      </c>
    </row>
    <row r="1276" spans="1:17" ht="12.75" customHeight="1">
      <c r="A1276" s="1933" t="s">
        <v>1985</v>
      </c>
      <c r="B1276" s="1900" t="s">
        <v>3638</v>
      </c>
      <c r="C1276" s="1900"/>
      <c r="D1276" s="1900"/>
      <c r="E1276" s="1900"/>
      <c r="F1276" s="1900"/>
      <c r="G1276" s="1900"/>
      <c r="H1276" s="1900"/>
      <c r="I1276" s="1900"/>
      <c r="J1276" s="1900"/>
      <c r="K1276" s="1900"/>
      <c r="L1276" s="1900"/>
      <c r="M1276" s="1900"/>
      <c r="N1276" s="1900"/>
      <c r="O1276" s="1944" t="s">
        <v>1985</v>
      </c>
      <c r="P1276" s="1945">
        <f>'Part VIII-Threshold Criteria'!P176</f>
        <v>0</v>
      </c>
      <c r="Q1276" s="1945">
        <f>'Part VIII-Threshold Criteria'!Q176</f>
        <v>0</v>
      </c>
    </row>
    <row r="1277" spans="1:17" ht="12.75" customHeight="1">
      <c r="A1277" s="1933" t="s">
        <v>749</v>
      </c>
      <c r="B1277" s="1900" t="s">
        <v>3746</v>
      </c>
      <c r="C1277" s="1900"/>
      <c r="D1277" s="1900"/>
      <c r="E1277" s="1900"/>
      <c r="F1277" s="1900"/>
      <c r="G1277" s="1900"/>
      <c r="H1277" s="1900"/>
      <c r="I1277" s="1900"/>
      <c r="J1277" s="1900"/>
      <c r="K1277" s="1900"/>
      <c r="L1277" s="1900"/>
      <c r="M1277" s="1900"/>
      <c r="N1277" s="1900"/>
      <c r="O1277" s="1944" t="s">
        <v>749</v>
      </c>
      <c r="P1277" s="1945">
        <f>'Part VIII-Threshold Criteria'!P177</f>
        <v>0</v>
      </c>
      <c r="Q1277" s="1945">
        <f>'Part VIII-Threshold Criteria'!Q177</f>
        <v>0</v>
      </c>
    </row>
    <row r="1278" spans="1:17" ht="12.75" customHeight="1">
      <c r="A1278" s="1933" t="s">
        <v>2115</v>
      </c>
      <c r="B1278" s="1900" t="s">
        <v>2642</v>
      </c>
      <c r="C1278" s="1900"/>
      <c r="D1278" s="1900"/>
      <c r="E1278" s="1900"/>
      <c r="F1278" s="1900"/>
      <c r="G1278" s="1900"/>
      <c r="H1278" s="1900"/>
      <c r="I1278" s="1900"/>
      <c r="J1278" s="1900"/>
      <c r="K1278" s="1900"/>
      <c r="L1278" s="1900"/>
      <c r="M1278" s="1900"/>
      <c r="N1278" s="1900"/>
      <c r="O1278" s="1944" t="s">
        <v>2115</v>
      </c>
      <c r="P1278" s="1945">
        <f>'Part VIII-Threshold Criteria'!P178</f>
        <v>0</v>
      </c>
      <c r="Q1278" s="1945">
        <f>'Part VIII-Threshold Criteria'!Q178</f>
        <v>0</v>
      </c>
    </row>
    <row r="1279" spans="1:17">
      <c r="B1279" s="1842" t="s">
        <v>3756</v>
      </c>
      <c r="D1279" s="1842"/>
      <c r="E1279" s="1842"/>
      <c r="F1279" s="1842"/>
      <c r="G1279" s="1842"/>
      <c r="H1279" s="1841"/>
      <c r="I1279" s="1895"/>
      <c r="J1279" s="1895"/>
      <c r="K1279" s="1895"/>
      <c r="L1279" s="1812"/>
      <c r="M1279" s="1812"/>
      <c r="N1279" s="1812"/>
      <c r="O1279" s="1812"/>
      <c r="P1279" s="1812"/>
      <c r="Q1279" s="1812"/>
    </row>
    <row r="1280" spans="1:17">
      <c r="A1280" s="1900">
        <f>'Part VIII-Threshold Criteria'!A180</f>
        <v>0</v>
      </c>
      <c r="B1280" s="1900">
        <f>'Part VIII-Threshold Criteria'!B180</f>
        <v>0</v>
      </c>
      <c r="C1280" s="1900">
        <f>'Part VIII-Threshold Criteria'!C180</f>
        <v>0</v>
      </c>
      <c r="D1280" s="1900">
        <f>'Part VIII-Threshold Criteria'!D180</f>
        <v>0</v>
      </c>
      <c r="E1280" s="1900">
        <f>'Part VIII-Threshold Criteria'!E180</f>
        <v>0</v>
      </c>
      <c r="F1280" s="1900">
        <f>'Part VIII-Threshold Criteria'!F180</f>
        <v>0</v>
      </c>
      <c r="G1280" s="1900">
        <f>'Part VIII-Threshold Criteria'!G180</f>
        <v>0</v>
      </c>
      <c r="H1280" s="1900">
        <f>'Part VIII-Threshold Criteria'!H180</f>
        <v>0</v>
      </c>
      <c r="I1280" s="1900">
        <f>'Part VIII-Threshold Criteria'!I180</f>
        <v>0</v>
      </c>
      <c r="J1280" s="1900">
        <f>'Part VIII-Threshold Criteria'!J180</f>
        <v>0</v>
      </c>
      <c r="K1280" s="1900">
        <f>'Part VIII-Threshold Criteria'!K180</f>
        <v>0</v>
      </c>
      <c r="L1280" s="1900">
        <f>'Part VIII-Threshold Criteria'!L180</f>
        <v>0</v>
      </c>
      <c r="M1280" s="1900">
        <f>'Part VIII-Threshold Criteria'!M180</f>
        <v>0</v>
      </c>
      <c r="N1280" s="1900">
        <f>'Part VIII-Threshold Criteria'!N180</f>
        <v>0</v>
      </c>
      <c r="O1280" s="1900">
        <f>'Part VIII-Threshold Criteria'!O180</f>
        <v>0</v>
      </c>
      <c r="P1280" s="1900">
        <f>'Part VIII-Threshold Criteria'!P180</f>
        <v>0</v>
      </c>
      <c r="Q1280" s="1900">
        <f>'Part VIII-Threshold Criteria'!Q180</f>
        <v>0</v>
      </c>
    </row>
    <row r="1281" spans="1:17">
      <c r="B1281" s="1897" t="s">
        <v>1866</v>
      </c>
      <c r="C1281" s="1898"/>
      <c r="D1281" s="1899"/>
      <c r="E1281" s="1899"/>
      <c r="F1281" s="1899"/>
      <c r="G1281" s="1899"/>
      <c r="H1281" s="1899"/>
      <c r="I1281" s="1899"/>
      <c r="J1281" s="1899"/>
      <c r="K1281" s="1899"/>
      <c r="L1281" s="1899"/>
      <c r="M1281" s="1899"/>
      <c r="N1281" s="1899"/>
      <c r="O1281" s="1899"/>
      <c r="P1281" s="1899"/>
      <c r="Q1281" s="1899"/>
    </row>
    <row r="1282" spans="1:17">
      <c r="A1282" s="1900">
        <f>'Part VIII-Threshold Criteria'!A182</f>
        <v>0</v>
      </c>
      <c r="B1282" s="1900">
        <f>'Part VIII-Threshold Criteria'!B182</f>
        <v>0</v>
      </c>
      <c r="C1282" s="1900">
        <f>'Part VIII-Threshold Criteria'!C182</f>
        <v>0</v>
      </c>
      <c r="D1282" s="1900">
        <f>'Part VIII-Threshold Criteria'!D182</f>
        <v>0</v>
      </c>
      <c r="E1282" s="1900">
        <f>'Part VIII-Threshold Criteria'!E182</f>
        <v>0</v>
      </c>
      <c r="F1282" s="1900">
        <f>'Part VIII-Threshold Criteria'!F182</f>
        <v>0</v>
      </c>
      <c r="G1282" s="1900">
        <f>'Part VIII-Threshold Criteria'!G182</f>
        <v>0</v>
      </c>
      <c r="H1282" s="1900">
        <f>'Part VIII-Threshold Criteria'!H182</f>
        <v>0</v>
      </c>
      <c r="I1282" s="1900">
        <f>'Part VIII-Threshold Criteria'!I182</f>
        <v>0</v>
      </c>
      <c r="J1282" s="1900">
        <f>'Part VIII-Threshold Criteria'!J182</f>
        <v>0</v>
      </c>
      <c r="K1282" s="1900">
        <f>'Part VIII-Threshold Criteria'!K182</f>
        <v>0</v>
      </c>
      <c r="L1282" s="1900">
        <f>'Part VIII-Threshold Criteria'!L182</f>
        <v>0</v>
      </c>
      <c r="M1282" s="1900">
        <f>'Part VIII-Threshold Criteria'!M182</f>
        <v>0</v>
      </c>
      <c r="N1282" s="1900">
        <f>'Part VIII-Threshold Criteria'!N182</f>
        <v>0</v>
      </c>
      <c r="O1282" s="1900">
        <f>'Part VIII-Threshold Criteria'!O182</f>
        <v>0</v>
      </c>
      <c r="P1282" s="1900">
        <f>'Part VIII-Threshold Criteria'!P182</f>
        <v>0</v>
      </c>
      <c r="Q1282" s="1900">
        <f>'Part VIII-Threshold Criteria'!Q182</f>
        <v>0</v>
      </c>
    </row>
    <row r="1283" spans="1:17">
      <c r="B1283" s="1895"/>
      <c r="C1283" s="1899"/>
      <c r="D1283" s="1899"/>
      <c r="E1283" s="1899"/>
      <c r="F1283" s="1899"/>
      <c r="G1283" s="1899"/>
      <c r="H1283" s="1899"/>
      <c r="I1283" s="1899"/>
      <c r="J1283" s="1899"/>
      <c r="K1283" s="1899"/>
      <c r="L1283" s="1899"/>
      <c r="M1283" s="1899"/>
      <c r="N1283" s="1899"/>
      <c r="O1283" s="1899"/>
      <c r="P1283" s="1899"/>
      <c r="Q1283" s="1812"/>
    </row>
    <row r="1284" spans="1:17">
      <c r="A1284" s="1814" t="s">
        <v>362</v>
      </c>
      <c r="B1284" s="1629" t="s">
        <v>2658</v>
      </c>
      <c r="C1284" s="1629"/>
      <c r="D1284" s="1629"/>
      <c r="O1284" s="1896" t="s">
        <v>1867</v>
      </c>
      <c r="P1284" s="1820">
        <f>'Part VIII-Threshold Criteria'!P184</f>
        <v>0</v>
      </c>
      <c r="Q1284" s="1820">
        <f>'Part VIII-Threshold Criteria'!Q184</f>
        <v>0</v>
      </c>
    </row>
    <row r="1285" spans="1:17">
      <c r="A1285" s="1933" t="s">
        <v>1983</v>
      </c>
      <c r="B1285" s="1952" t="s">
        <v>468</v>
      </c>
      <c r="D1285" s="1952"/>
      <c r="E1285" s="1952"/>
      <c r="F1285" s="1952"/>
      <c r="G1285" s="1952"/>
      <c r="H1285" s="1952"/>
      <c r="I1285" s="1952"/>
      <c r="J1285" s="1952"/>
      <c r="K1285" s="1952"/>
      <c r="L1285" s="1952"/>
      <c r="M1285" s="1952"/>
      <c r="O1285" s="1944" t="s">
        <v>1983</v>
      </c>
      <c r="P1285" s="1938" t="str">
        <f>'Part VIII-Threshold Criteria'!P185</f>
        <v>Yes</v>
      </c>
      <c r="Q1285" s="1938">
        <f>'Part VIII-Threshold Criteria'!Q185</f>
        <v>0</v>
      </c>
    </row>
    <row r="1286" spans="1:17">
      <c r="A1286" s="1933" t="s">
        <v>1985</v>
      </c>
      <c r="B1286" s="1952" t="s">
        <v>2643</v>
      </c>
      <c r="D1286" s="1952"/>
      <c r="E1286" s="1952"/>
      <c r="F1286" s="1952"/>
      <c r="G1286" s="1952"/>
      <c r="H1286" s="1952"/>
      <c r="I1286" s="1952"/>
      <c r="J1286" s="1952"/>
      <c r="K1286" s="1952"/>
      <c r="L1286" s="1952"/>
      <c r="M1286" s="1952"/>
      <c r="O1286" s="1944" t="s">
        <v>1985</v>
      </c>
      <c r="P1286" s="1938" t="str">
        <f>'Part VIII-Threshold Criteria'!P186</f>
        <v>Yes</v>
      </c>
      <c r="Q1286" s="1938">
        <f>'Part VIII-Threshold Criteria'!Q186</f>
        <v>0</v>
      </c>
    </row>
    <row r="1287" spans="1:17">
      <c r="A1287" s="1933" t="s">
        <v>749</v>
      </c>
      <c r="B1287" s="1952" t="s">
        <v>2644</v>
      </c>
      <c r="D1287" s="1952"/>
      <c r="E1287" s="1952"/>
      <c r="F1287" s="1952"/>
      <c r="G1287" s="1952"/>
      <c r="H1287" s="1952"/>
      <c r="I1287" s="1952"/>
      <c r="J1287" s="1952"/>
      <c r="K1287" s="1952"/>
      <c r="L1287" s="1952"/>
      <c r="M1287" s="1952"/>
      <c r="O1287" s="1944" t="s">
        <v>749</v>
      </c>
      <c r="P1287" s="1938" t="str">
        <f>'Part VIII-Threshold Criteria'!P187</f>
        <v>Yes</v>
      </c>
      <c r="Q1287" s="1938">
        <f>'Part VIII-Threshold Criteria'!Q187</f>
        <v>0</v>
      </c>
    </row>
    <row r="1288" spans="1:17">
      <c r="A1288" s="1933"/>
      <c r="B1288" s="1900" t="s">
        <v>2632</v>
      </c>
      <c r="C1288" s="1900"/>
      <c r="D1288" s="1937" t="s">
        <v>1737</v>
      </c>
      <c r="E1288" s="1841" t="s">
        <v>2645</v>
      </c>
      <c r="G1288" s="1952"/>
      <c r="H1288" s="1952"/>
      <c r="I1288" s="1952"/>
      <c r="J1288" s="1952"/>
      <c r="K1288" s="1952"/>
      <c r="L1288" s="1952"/>
      <c r="M1288" s="1952"/>
      <c r="O1288" s="1953" t="s">
        <v>1737</v>
      </c>
      <c r="P1288" s="1938" t="str">
        <f>'Part VIII-Threshold Criteria'!P188</f>
        <v>Yes</v>
      </c>
      <c r="Q1288" s="1938">
        <f>'Part VIII-Threshold Criteria'!Q188</f>
        <v>0</v>
      </c>
    </row>
    <row r="1289" spans="1:17">
      <c r="A1289" s="1933"/>
      <c r="B1289" s="1900"/>
      <c r="C1289" s="1900"/>
      <c r="D1289" s="1937" t="s">
        <v>1738</v>
      </c>
      <c r="E1289" s="1841" t="s">
        <v>4545</v>
      </c>
      <c r="G1289" s="1952"/>
      <c r="H1289" s="1952"/>
      <c r="I1289" s="1952"/>
      <c r="J1289" s="1952"/>
      <c r="K1289" s="1952"/>
      <c r="L1289" s="1952"/>
      <c r="M1289" s="1952"/>
      <c r="O1289" s="1953" t="s">
        <v>1738</v>
      </c>
      <c r="P1289" s="1938" t="str">
        <f>'Part VIII-Threshold Criteria'!P189</f>
        <v>Yes</v>
      </c>
      <c r="Q1289" s="1938">
        <f>'Part VIII-Threshold Criteria'!Q189</f>
        <v>0</v>
      </c>
    </row>
    <row r="1290" spans="1:17" ht="12.75" customHeight="1">
      <c r="A1290" s="1933"/>
      <c r="B1290" s="1913"/>
      <c r="C1290" s="1952"/>
      <c r="D1290" s="1944" t="s">
        <v>1739</v>
      </c>
      <c r="E1290" s="1900" t="s">
        <v>3747</v>
      </c>
      <c r="F1290" s="1900"/>
      <c r="G1290" s="1900"/>
      <c r="H1290" s="1900"/>
      <c r="I1290" s="1900"/>
      <c r="J1290" s="1900"/>
      <c r="K1290" s="1900"/>
      <c r="L1290" s="1900"/>
      <c r="M1290" s="1900"/>
      <c r="N1290" s="1900"/>
      <c r="O1290" s="1944" t="s">
        <v>1739</v>
      </c>
      <c r="P1290" s="1945" t="str">
        <f>'Part VIII-Threshold Criteria'!P190</f>
        <v>Yes</v>
      </c>
      <c r="Q1290" s="1945">
        <f>'Part VIII-Threshold Criteria'!Q190</f>
        <v>0</v>
      </c>
    </row>
    <row r="1291" spans="1:17">
      <c r="A1291" s="1933"/>
      <c r="C1291" s="1952"/>
      <c r="D1291" s="1937" t="s">
        <v>2365</v>
      </c>
      <c r="E1291" s="1841" t="s">
        <v>2647</v>
      </c>
      <c r="G1291" s="1952"/>
      <c r="H1291" s="1952"/>
      <c r="I1291" s="1952"/>
      <c r="J1291" s="1952"/>
      <c r="K1291" s="1952"/>
      <c r="L1291" s="1952"/>
      <c r="M1291" s="1952"/>
      <c r="O1291" s="1953" t="s">
        <v>2365</v>
      </c>
      <c r="P1291" s="1938" t="str">
        <f>'Part VIII-Threshold Criteria'!P191</f>
        <v>Yes</v>
      </c>
      <c r="Q1291" s="1938">
        <f>'Part VIII-Threshold Criteria'!Q191</f>
        <v>0</v>
      </c>
    </row>
    <row r="1292" spans="1:17" ht="12.75" customHeight="1">
      <c r="A1292" s="1933"/>
      <c r="B1292" s="1913"/>
      <c r="C1292" s="1952"/>
      <c r="D1292" s="1944" t="s">
        <v>1549</v>
      </c>
      <c r="E1292" s="1900" t="s">
        <v>2648</v>
      </c>
      <c r="F1292" s="1900"/>
      <c r="G1292" s="1900"/>
      <c r="H1292" s="1900"/>
      <c r="I1292" s="1900"/>
      <c r="J1292" s="1900"/>
      <c r="K1292" s="1900"/>
      <c r="L1292" s="1900"/>
      <c r="M1292" s="1900"/>
      <c r="N1292" s="1900"/>
      <c r="O1292" s="1944" t="s">
        <v>1549</v>
      </c>
      <c r="P1292" s="1945" t="str">
        <f>'Part VIII-Threshold Criteria'!P192</f>
        <v>Yes</v>
      </c>
      <c r="Q1292" s="1945">
        <f>'Part VIII-Threshold Criteria'!Q192</f>
        <v>0</v>
      </c>
    </row>
    <row r="1293" spans="1:17" ht="12.75" customHeight="1">
      <c r="A1293" s="1933"/>
      <c r="B1293" s="1913"/>
      <c r="C1293" s="1952"/>
      <c r="D1293" s="1944" t="s">
        <v>1550</v>
      </c>
      <c r="E1293" s="1900" t="s">
        <v>3900</v>
      </c>
      <c r="F1293" s="1900"/>
      <c r="G1293" s="1900"/>
      <c r="H1293" s="1900"/>
      <c r="I1293" s="1900"/>
      <c r="J1293" s="1900"/>
      <c r="K1293" s="1900"/>
      <c r="L1293" s="1900"/>
      <c r="M1293" s="1900"/>
      <c r="N1293" s="1900"/>
      <c r="O1293" s="1944" t="s">
        <v>1550</v>
      </c>
      <c r="P1293" s="1945" t="str">
        <f>'Part VIII-Threshold Criteria'!P193</f>
        <v>Yes</v>
      </c>
      <c r="Q1293" s="1945">
        <f>'Part VIII-Threshold Criteria'!Q193</f>
        <v>0</v>
      </c>
    </row>
    <row r="1294" spans="1:17" ht="12.75" customHeight="1">
      <c r="A1294" s="1933" t="s">
        <v>2115</v>
      </c>
      <c r="B1294" s="1900" t="s">
        <v>2649</v>
      </c>
      <c r="C1294" s="1900"/>
      <c r="D1294" s="1900"/>
      <c r="E1294" s="1900"/>
      <c r="F1294" s="1900"/>
      <c r="G1294" s="1900"/>
      <c r="H1294" s="1900"/>
      <c r="I1294" s="1900"/>
      <c r="J1294" s="1900"/>
      <c r="K1294" s="1900"/>
      <c r="L1294" s="1900"/>
      <c r="M1294" s="1900"/>
      <c r="N1294" s="1900"/>
      <c r="O1294" s="1944" t="s">
        <v>2115</v>
      </c>
      <c r="P1294" s="1945" t="str">
        <f>'Part VIII-Threshold Criteria'!P194</f>
        <v>Yes</v>
      </c>
      <c r="Q1294" s="1945">
        <f>'Part VIII-Threshold Criteria'!Q194</f>
        <v>0</v>
      </c>
    </row>
    <row r="1295" spans="1:17">
      <c r="A1295" s="1933" t="s">
        <v>1735</v>
      </c>
      <c r="B1295" s="1952" t="s">
        <v>2379</v>
      </c>
      <c r="D1295" s="1952"/>
      <c r="E1295" s="1952"/>
      <c r="F1295" s="1952"/>
      <c r="G1295" s="1952"/>
      <c r="H1295" s="1952"/>
      <c r="I1295" s="1952"/>
      <c r="J1295" s="1952"/>
      <c r="K1295" s="1952"/>
      <c r="L1295" s="1952"/>
      <c r="M1295" s="1952"/>
      <c r="O1295" s="1944" t="s">
        <v>1735</v>
      </c>
      <c r="P1295" s="1938" t="str">
        <f>'Part VIII-Threshold Criteria'!P195</f>
        <v>Yes</v>
      </c>
      <c r="Q1295" s="1938">
        <f>'Part VIII-Threshold Criteria'!Q195</f>
        <v>0</v>
      </c>
    </row>
    <row r="1296" spans="1:17">
      <c r="B1296" s="1842" t="s">
        <v>3756</v>
      </c>
      <c r="D1296" s="1842"/>
      <c r="E1296" s="1842"/>
      <c r="F1296" s="1842"/>
      <c r="G1296" s="1842"/>
      <c r="H1296" s="1841"/>
      <c r="I1296" s="1895"/>
      <c r="J1296" s="1895"/>
      <c r="K1296" s="1895"/>
      <c r="L1296" s="1812"/>
      <c r="M1296" s="1812"/>
      <c r="N1296" s="1812"/>
      <c r="O1296" s="1812"/>
      <c r="P1296" s="1812"/>
      <c r="Q1296" s="1812"/>
    </row>
    <row r="1297" spans="1:17">
      <c r="A1297" s="1900">
        <f>'Part VIII-Threshold Criteria'!A197</f>
        <v>0</v>
      </c>
      <c r="B1297" s="1900">
        <f>'Part VIII-Threshold Criteria'!B197</f>
        <v>0</v>
      </c>
      <c r="C1297" s="1900">
        <f>'Part VIII-Threshold Criteria'!C197</f>
        <v>0</v>
      </c>
      <c r="D1297" s="1900">
        <f>'Part VIII-Threshold Criteria'!D197</f>
        <v>0</v>
      </c>
      <c r="E1297" s="1900">
        <f>'Part VIII-Threshold Criteria'!E197</f>
        <v>0</v>
      </c>
      <c r="F1297" s="1900">
        <f>'Part VIII-Threshold Criteria'!F197</f>
        <v>0</v>
      </c>
      <c r="G1297" s="1900">
        <f>'Part VIII-Threshold Criteria'!G197</f>
        <v>0</v>
      </c>
      <c r="H1297" s="1900">
        <f>'Part VIII-Threshold Criteria'!H197</f>
        <v>0</v>
      </c>
      <c r="I1297" s="1900">
        <f>'Part VIII-Threshold Criteria'!I197</f>
        <v>0</v>
      </c>
      <c r="J1297" s="1900">
        <f>'Part VIII-Threshold Criteria'!J197</f>
        <v>0</v>
      </c>
      <c r="K1297" s="1900">
        <f>'Part VIII-Threshold Criteria'!K197</f>
        <v>0</v>
      </c>
      <c r="L1297" s="1900">
        <f>'Part VIII-Threshold Criteria'!L197</f>
        <v>0</v>
      </c>
      <c r="M1297" s="1900">
        <f>'Part VIII-Threshold Criteria'!M197</f>
        <v>0</v>
      </c>
      <c r="N1297" s="1900">
        <f>'Part VIII-Threshold Criteria'!N197</f>
        <v>0</v>
      </c>
      <c r="O1297" s="1900">
        <f>'Part VIII-Threshold Criteria'!O197</f>
        <v>0</v>
      </c>
      <c r="P1297" s="1900">
        <f>'Part VIII-Threshold Criteria'!P197</f>
        <v>0</v>
      </c>
      <c r="Q1297" s="1900">
        <f>'Part VIII-Threshold Criteria'!Q197</f>
        <v>0</v>
      </c>
    </row>
    <row r="1298" spans="1:17">
      <c r="B1298" s="1897" t="s">
        <v>1866</v>
      </c>
      <c r="C1298" s="1898"/>
      <c r="D1298" s="1899"/>
      <c r="E1298" s="1899"/>
      <c r="F1298" s="1899"/>
      <c r="G1298" s="1899"/>
      <c r="H1298" s="1899"/>
      <c r="I1298" s="1899"/>
      <c r="J1298" s="1899"/>
      <c r="K1298" s="1899"/>
      <c r="L1298" s="1899"/>
      <c r="M1298" s="1899"/>
      <c r="N1298" s="1899"/>
      <c r="O1298" s="1899"/>
      <c r="P1298" s="1899"/>
      <c r="Q1298" s="1899"/>
    </row>
    <row r="1299" spans="1:17">
      <c r="A1299" s="1900">
        <f>'Part VIII-Threshold Criteria'!A199</f>
        <v>0</v>
      </c>
      <c r="B1299" s="1900">
        <f>'Part VIII-Threshold Criteria'!B199</f>
        <v>0</v>
      </c>
      <c r="C1299" s="1900">
        <f>'Part VIII-Threshold Criteria'!C199</f>
        <v>0</v>
      </c>
      <c r="D1299" s="1900">
        <f>'Part VIII-Threshold Criteria'!D199</f>
        <v>0</v>
      </c>
      <c r="E1299" s="1900">
        <f>'Part VIII-Threshold Criteria'!E199</f>
        <v>0</v>
      </c>
      <c r="F1299" s="1900">
        <f>'Part VIII-Threshold Criteria'!F199</f>
        <v>0</v>
      </c>
      <c r="G1299" s="1900">
        <f>'Part VIII-Threshold Criteria'!G199</f>
        <v>0</v>
      </c>
      <c r="H1299" s="1900">
        <f>'Part VIII-Threshold Criteria'!H199</f>
        <v>0</v>
      </c>
      <c r="I1299" s="1900">
        <f>'Part VIII-Threshold Criteria'!I199</f>
        <v>0</v>
      </c>
      <c r="J1299" s="1900">
        <f>'Part VIII-Threshold Criteria'!J199</f>
        <v>0</v>
      </c>
      <c r="K1299" s="1900">
        <f>'Part VIII-Threshold Criteria'!K199</f>
        <v>0</v>
      </c>
      <c r="L1299" s="1900">
        <f>'Part VIII-Threshold Criteria'!L199</f>
        <v>0</v>
      </c>
      <c r="M1299" s="1900">
        <f>'Part VIII-Threshold Criteria'!M199</f>
        <v>0</v>
      </c>
      <c r="N1299" s="1900">
        <f>'Part VIII-Threshold Criteria'!N199</f>
        <v>0</v>
      </c>
      <c r="O1299" s="1900">
        <f>'Part VIII-Threshold Criteria'!O199</f>
        <v>0</v>
      </c>
      <c r="P1299" s="1900">
        <f>'Part VIII-Threshold Criteria'!P199</f>
        <v>0</v>
      </c>
      <c r="Q1299" s="1900">
        <f>'Part VIII-Threshold Criteria'!Q199</f>
        <v>0</v>
      </c>
    </row>
    <row r="1300" spans="1:17">
      <c r="A1300" s="1812"/>
      <c r="B1300" s="1895"/>
      <c r="C1300" s="1899"/>
      <c r="D1300" s="1899"/>
      <c r="E1300" s="1899"/>
      <c r="F1300" s="1899"/>
      <c r="G1300" s="1899"/>
      <c r="H1300" s="1899"/>
      <c r="I1300" s="1899"/>
      <c r="J1300" s="1899"/>
      <c r="K1300" s="1899"/>
      <c r="L1300" s="1899"/>
      <c r="M1300" s="1899"/>
      <c r="N1300" s="1899"/>
      <c r="O1300" s="1899"/>
      <c r="P1300" s="1899"/>
      <c r="Q1300" s="1812"/>
    </row>
    <row r="1301" spans="1:17">
      <c r="A1301" s="1805" t="s">
        <v>363</v>
      </c>
      <c r="B1301" s="1805" t="s">
        <v>2659</v>
      </c>
      <c r="C1301" s="1805"/>
      <c r="D1301" s="1899"/>
      <c r="E1301" s="1954"/>
      <c r="F1301" s="1954"/>
      <c r="G1301" s="1899"/>
      <c r="J1301" s="1900"/>
      <c r="K1301" s="1900"/>
      <c r="L1301" s="1900"/>
      <c r="M1301" s="1900"/>
      <c r="N1301" s="1900"/>
      <c r="O1301" s="1896" t="s">
        <v>1867</v>
      </c>
      <c r="P1301" s="1820">
        <f>'Part VIII-Threshold Criteria'!P201</f>
        <v>0</v>
      </c>
      <c r="Q1301" s="1820">
        <f>'Part VIII-Threshold Criteria'!Q201</f>
        <v>0</v>
      </c>
    </row>
    <row r="1302" spans="1:17">
      <c r="A1302" s="1825"/>
      <c r="B1302" s="1921" t="s">
        <v>97</v>
      </c>
      <c r="D1302" s="1921"/>
      <c r="E1302" s="1921"/>
      <c r="F1302" s="1921"/>
      <c r="G1302" s="1921"/>
      <c r="H1302" s="1937" t="s">
        <v>1737</v>
      </c>
      <c r="I1302" s="521" t="s">
        <v>152</v>
      </c>
      <c r="J1302" s="1894" t="str">
        <f>'Part VIII-Threshold Criteria'!J203</f>
        <v>N/A</v>
      </c>
      <c r="K1302" s="1894">
        <f>'Part VIII-Threshold Criteria'!K203</f>
        <v>0</v>
      </c>
      <c r="L1302" s="1894">
        <f>'Part VIII-Threshold Criteria'!L203</f>
        <v>0</v>
      </c>
      <c r="M1302" s="1894">
        <f>'Part VIII-Threshold Criteria'!M203</f>
        <v>0</v>
      </c>
      <c r="N1302" s="1894">
        <f>'Part VIII-Threshold Criteria'!N203</f>
        <v>0</v>
      </c>
      <c r="O1302" s="1937" t="s">
        <v>1737</v>
      </c>
      <c r="P1302" s="1938">
        <f>'Part VIII-Threshold Criteria'!P203</f>
        <v>0</v>
      </c>
      <c r="Q1302" s="1938">
        <f>'Part VIII-Threshold Criteria'!Q203</f>
        <v>0</v>
      </c>
    </row>
    <row r="1303" spans="1:17">
      <c r="A1303" s="1825"/>
      <c r="B1303" s="1842" t="s">
        <v>3756</v>
      </c>
      <c r="C1303" s="1838"/>
      <c r="D1303" s="1838"/>
      <c r="E1303" s="1838"/>
      <c r="F1303" s="1838"/>
      <c r="H1303" s="1937" t="s">
        <v>1738</v>
      </c>
      <c r="I1303" s="521" t="s">
        <v>1596</v>
      </c>
      <c r="J1303" s="1894" t="str">
        <f>'Part VIII-Threshold Criteria'!J204</f>
        <v>Georgia Power</v>
      </c>
      <c r="K1303" s="1894">
        <f>'Part VIII-Threshold Criteria'!K204</f>
        <v>0</v>
      </c>
      <c r="L1303" s="1894">
        <f>'Part VIII-Threshold Criteria'!L204</f>
        <v>0</v>
      </c>
      <c r="M1303" s="1894">
        <f>'Part VIII-Threshold Criteria'!M204</f>
        <v>0</v>
      </c>
      <c r="N1303" s="1894">
        <f>'Part VIII-Threshold Criteria'!N204</f>
        <v>0</v>
      </c>
      <c r="O1303" s="1937" t="s">
        <v>1738</v>
      </c>
      <c r="P1303" s="1938" t="str">
        <f>'Part VIII-Threshold Criteria'!P204</f>
        <v>Yes</v>
      </c>
      <c r="Q1303" s="1938">
        <f>'Part VIII-Threshold Criteria'!Q204</f>
        <v>0</v>
      </c>
    </row>
    <row r="1304" spans="1:17">
      <c r="A1304" s="1900">
        <f>'Part VIII-Threshold Criteria'!A205</f>
        <v>0</v>
      </c>
      <c r="B1304" s="1900">
        <f>'Part VIII-Threshold Criteria'!B205</f>
        <v>0</v>
      </c>
      <c r="C1304" s="1900">
        <f>'Part VIII-Threshold Criteria'!C205</f>
        <v>0</v>
      </c>
      <c r="D1304" s="1900">
        <f>'Part VIII-Threshold Criteria'!D205</f>
        <v>0</v>
      </c>
      <c r="E1304" s="1900">
        <f>'Part VIII-Threshold Criteria'!E205</f>
        <v>0</v>
      </c>
      <c r="F1304" s="1900">
        <f>'Part VIII-Threshold Criteria'!F205</f>
        <v>0</v>
      </c>
      <c r="G1304" s="1900">
        <f>'Part VIII-Threshold Criteria'!G205</f>
        <v>0</v>
      </c>
      <c r="H1304" s="1900">
        <f>'Part VIII-Threshold Criteria'!H205</f>
        <v>0</v>
      </c>
      <c r="I1304" s="1900">
        <f>'Part VIII-Threshold Criteria'!I205</f>
        <v>0</v>
      </c>
      <c r="J1304" s="1900">
        <f>'Part VIII-Threshold Criteria'!J205</f>
        <v>0</v>
      </c>
      <c r="K1304" s="1900">
        <f>'Part VIII-Threshold Criteria'!K205</f>
        <v>0</v>
      </c>
      <c r="L1304" s="1900">
        <f>'Part VIII-Threshold Criteria'!L205</f>
        <v>0</v>
      </c>
      <c r="M1304" s="1900">
        <f>'Part VIII-Threshold Criteria'!M205</f>
        <v>0</v>
      </c>
      <c r="N1304" s="1900">
        <f>'Part VIII-Threshold Criteria'!N205</f>
        <v>0</v>
      </c>
      <c r="O1304" s="1900">
        <f>'Part VIII-Threshold Criteria'!O205</f>
        <v>0</v>
      </c>
      <c r="P1304" s="1900">
        <f>'Part VIII-Threshold Criteria'!P205</f>
        <v>0</v>
      </c>
      <c r="Q1304" s="1900">
        <f>'Part VIII-Threshold Criteria'!Q205</f>
        <v>0</v>
      </c>
    </row>
    <row r="1305" spans="1:17">
      <c r="B1305" s="1897" t="s">
        <v>1866</v>
      </c>
      <c r="C1305" s="1898"/>
      <c r="D1305" s="1899"/>
      <c r="E1305" s="1899"/>
      <c r="F1305" s="1899"/>
      <c r="G1305" s="1899"/>
      <c r="H1305" s="1899"/>
      <c r="I1305" s="1899"/>
      <c r="J1305" s="1899"/>
      <c r="K1305" s="1899"/>
      <c r="L1305" s="1899"/>
      <c r="M1305" s="1899"/>
      <c r="N1305" s="1899"/>
      <c r="O1305" s="1899"/>
      <c r="P1305" s="1899"/>
      <c r="Q1305" s="1899"/>
    </row>
    <row r="1306" spans="1:17">
      <c r="A1306" s="1900">
        <f>'Part VIII-Threshold Criteria'!A207</f>
        <v>0</v>
      </c>
      <c r="B1306" s="1900">
        <f>'Part VIII-Threshold Criteria'!B207</f>
        <v>0</v>
      </c>
      <c r="C1306" s="1900">
        <f>'Part VIII-Threshold Criteria'!C207</f>
        <v>0</v>
      </c>
      <c r="D1306" s="1900">
        <f>'Part VIII-Threshold Criteria'!D207</f>
        <v>0</v>
      </c>
      <c r="E1306" s="1900">
        <f>'Part VIII-Threshold Criteria'!E207</f>
        <v>0</v>
      </c>
      <c r="F1306" s="1900">
        <f>'Part VIII-Threshold Criteria'!F207</f>
        <v>0</v>
      </c>
      <c r="G1306" s="1900">
        <f>'Part VIII-Threshold Criteria'!G207</f>
        <v>0</v>
      </c>
      <c r="H1306" s="1900">
        <f>'Part VIII-Threshold Criteria'!H207</f>
        <v>0</v>
      </c>
      <c r="I1306" s="1900">
        <f>'Part VIII-Threshold Criteria'!I207</f>
        <v>0</v>
      </c>
      <c r="J1306" s="1900">
        <f>'Part VIII-Threshold Criteria'!J207</f>
        <v>0</v>
      </c>
      <c r="K1306" s="1900">
        <f>'Part VIII-Threshold Criteria'!K207</f>
        <v>0</v>
      </c>
      <c r="L1306" s="1900">
        <f>'Part VIII-Threshold Criteria'!L207</f>
        <v>0</v>
      </c>
      <c r="M1306" s="1900">
        <f>'Part VIII-Threshold Criteria'!M207</f>
        <v>0</v>
      </c>
      <c r="N1306" s="1900">
        <f>'Part VIII-Threshold Criteria'!N207</f>
        <v>0</v>
      </c>
      <c r="O1306" s="1900">
        <f>'Part VIII-Threshold Criteria'!O207</f>
        <v>0</v>
      </c>
      <c r="P1306" s="1900">
        <f>'Part VIII-Threshold Criteria'!P207</f>
        <v>0</v>
      </c>
      <c r="Q1306" s="1900">
        <f>'Part VIII-Threshold Criteria'!Q207</f>
        <v>0</v>
      </c>
    </row>
    <row r="1307" spans="1:17">
      <c r="B1307" s="1895"/>
      <c r="C1307" s="1899"/>
      <c r="D1307" s="1899"/>
      <c r="E1307" s="1899"/>
      <c r="F1307" s="1899"/>
      <c r="G1307" s="1899"/>
      <c r="H1307" s="1899"/>
      <c r="I1307" s="1899"/>
      <c r="J1307" s="1899"/>
      <c r="K1307" s="1899"/>
      <c r="L1307" s="1899"/>
      <c r="M1307" s="1899"/>
      <c r="Q1307" s="1812"/>
    </row>
    <row r="1308" spans="1:17">
      <c r="A1308" s="1805" t="s">
        <v>364</v>
      </c>
      <c r="B1308" s="1629" t="s">
        <v>2660</v>
      </c>
      <c r="C1308" s="1629"/>
      <c r="D1308" s="1894"/>
      <c r="E1308" s="1894"/>
      <c r="F1308" s="1894"/>
      <c r="G1308" s="1899"/>
      <c r="H1308" s="1899"/>
      <c r="I1308" s="1899"/>
      <c r="J1308" s="1899"/>
      <c r="K1308" s="1899"/>
      <c r="L1308" s="1899"/>
      <c r="M1308" s="1899"/>
      <c r="O1308" s="1896" t="s">
        <v>1867</v>
      </c>
      <c r="P1308" s="1820">
        <f>'Part VIII-Threshold Criteria'!P209</f>
        <v>0</v>
      </c>
      <c r="Q1308" s="1820">
        <f>'Part VIII-Threshold Criteria'!Q209</f>
        <v>0</v>
      </c>
    </row>
    <row r="1310" spans="1:17">
      <c r="A1310" s="1933" t="s">
        <v>1983</v>
      </c>
      <c r="B1310" s="1943" t="s">
        <v>1737</v>
      </c>
      <c r="C1310" s="1955" t="s">
        <v>514</v>
      </c>
      <c r="E1310" s="1955"/>
      <c r="F1310" s="1955"/>
      <c r="G1310" s="1955"/>
      <c r="H1310" s="1955"/>
      <c r="I1310" s="1955"/>
      <c r="J1310" s="1955"/>
      <c r="K1310" s="1955"/>
      <c r="L1310" s="1955"/>
      <c r="M1310" s="1955"/>
      <c r="N1310" s="1955"/>
      <c r="O1310" s="1944" t="s">
        <v>1486</v>
      </c>
      <c r="P1310" s="1938" t="e">
        <f>'Part VIII-Threshold Criteria'!#REF!</f>
        <v>#REF!</v>
      </c>
      <c r="Q1310" s="1938" t="e">
        <f>'Part VIII-Threshold Criteria'!#REF!</f>
        <v>#REF!</v>
      </c>
    </row>
    <row r="1311" spans="1:17">
      <c r="A1311" s="1933"/>
      <c r="B1311" s="1943" t="s">
        <v>1738</v>
      </c>
      <c r="C1311" s="1955" t="s">
        <v>1467</v>
      </c>
      <c r="E1311" s="1955"/>
      <c r="F1311" s="1955"/>
      <c r="G1311" s="1955"/>
      <c r="H1311" s="1955"/>
      <c r="I1311" s="1955"/>
      <c r="J1311" s="1955"/>
      <c r="K1311" s="1955"/>
      <c r="L1311" s="1955"/>
      <c r="M1311" s="1955"/>
      <c r="N1311" s="1955"/>
      <c r="O1311" s="1944" t="s">
        <v>1738</v>
      </c>
      <c r="P1311" s="1938" t="e">
        <f>'Part VIII-Threshold Criteria'!#REF!</f>
        <v>#REF!</v>
      </c>
      <c r="Q1311" s="1938" t="e">
        <f>'Part VIII-Threshold Criteria'!#REF!</f>
        <v>#REF!</v>
      </c>
    </row>
    <row r="1312" spans="1:17" ht="12.75" customHeight="1">
      <c r="A1312" s="1933" t="s">
        <v>1985</v>
      </c>
      <c r="B1312" s="1900" t="s">
        <v>1849</v>
      </c>
      <c r="C1312" s="1900"/>
      <c r="D1312" s="1900"/>
      <c r="E1312" s="1900"/>
      <c r="F1312" s="1900"/>
      <c r="G1312" s="1900"/>
      <c r="H1312" s="1937" t="s">
        <v>1737</v>
      </c>
      <c r="I1312" s="521" t="s">
        <v>635</v>
      </c>
      <c r="J1312" s="1894" t="str">
        <f>'Part VIII-Threshold Criteria'!J210</f>
        <v>DeKalb County Watershed Management</v>
      </c>
      <c r="K1312" s="1894">
        <f>'Part VIII-Threshold Criteria'!K210</f>
        <v>0</v>
      </c>
      <c r="L1312" s="1894">
        <f>'Part VIII-Threshold Criteria'!L210</f>
        <v>0</v>
      </c>
      <c r="M1312" s="1894">
        <f>'Part VIII-Threshold Criteria'!M210</f>
        <v>0</v>
      </c>
      <c r="N1312" s="1894">
        <f>'Part VIII-Threshold Criteria'!N210</f>
        <v>0</v>
      </c>
      <c r="O1312" s="1937" t="s">
        <v>1446</v>
      </c>
      <c r="P1312" s="1938" t="str">
        <f>'Part VIII-Threshold Criteria'!P210</f>
        <v>Yes</v>
      </c>
      <c r="Q1312" s="1938">
        <f>'Part VIII-Threshold Criteria'!Q210</f>
        <v>0</v>
      </c>
    </row>
    <row r="1313" spans="1:17">
      <c r="A1313" s="1636"/>
      <c r="B1313" s="1900"/>
      <c r="C1313" s="1900"/>
      <c r="D1313" s="1900"/>
      <c r="E1313" s="1900"/>
      <c r="F1313" s="1900"/>
      <c r="G1313" s="1900"/>
      <c r="H1313" s="1937" t="s">
        <v>1738</v>
      </c>
      <c r="I1313" s="521" t="s">
        <v>116</v>
      </c>
      <c r="J1313" s="1894" t="str">
        <f>'Part VIII-Threshold Criteria'!J211</f>
        <v>DeKalb County Watershed Management</v>
      </c>
      <c r="K1313" s="1894">
        <f>'Part VIII-Threshold Criteria'!K211</f>
        <v>0</v>
      </c>
      <c r="L1313" s="1894">
        <f>'Part VIII-Threshold Criteria'!L211</f>
        <v>0</v>
      </c>
      <c r="M1313" s="1894">
        <f>'Part VIII-Threshold Criteria'!M211</f>
        <v>0</v>
      </c>
      <c r="N1313" s="1894">
        <f>'Part VIII-Threshold Criteria'!N211</f>
        <v>0</v>
      </c>
      <c r="O1313" s="1937" t="s">
        <v>1738</v>
      </c>
      <c r="P1313" s="1938" t="str">
        <f>'Part VIII-Threshold Criteria'!P211</f>
        <v>Yes</v>
      </c>
      <c r="Q1313" s="1938">
        <f>'Part VIII-Threshold Criteria'!Q211</f>
        <v>0</v>
      </c>
    </row>
    <row r="1314" spans="1:17">
      <c r="A1314" s="1935" t="s">
        <v>749</v>
      </c>
      <c r="B1314" s="521" t="s">
        <v>3906</v>
      </c>
      <c r="D1314" s="521"/>
      <c r="E1314" s="521"/>
      <c r="F1314" s="521"/>
      <c r="G1314" s="521"/>
      <c r="H1314" s="521"/>
      <c r="I1314" s="521"/>
      <c r="J1314" s="521"/>
      <c r="K1314" s="1631"/>
      <c r="L1314" s="521"/>
      <c r="M1314" s="521"/>
      <c r="O1314" s="1937" t="s">
        <v>749</v>
      </c>
      <c r="P1314" s="1938" t="str">
        <f>'Part VIII-Threshold Criteria'!P212</f>
        <v>Yes</v>
      </c>
      <c r="Q1314" s="1938">
        <f>'Part VIII-Threshold Criteria'!Q212</f>
        <v>0</v>
      </c>
    </row>
    <row r="1315" spans="1:17">
      <c r="A1315" s="1935" t="s">
        <v>2115</v>
      </c>
      <c r="B1315" s="521" t="s">
        <v>3907</v>
      </c>
      <c r="D1315" s="521"/>
      <c r="E1315" s="521"/>
      <c r="F1315" s="521"/>
      <c r="G1315" s="521"/>
      <c r="H1315" s="521"/>
      <c r="I1315" s="521"/>
      <c r="J1315" s="521"/>
      <c r="K1315" s="1631"/>
      <c r="L1315" s="521"/>
      <c r="M1315" s="521"/>
      <c r="O1315" s="1937" t="s">
        <v>2115</v>
      </c>
      <c r="P1315" s="1938">
        <f>'Part VIII-Threshold Criteria'!P213</f>
        <v>0</v>
      </c>
      <c r="Q1315" s="1938">
        <f>'Part VIII-Threshold Criteria'!Q213</f>
        <v>0</v>
      </c>
    </row>
    <row r="1316" spans="1:17">
      <c r="B1316" s="1842" t="s">
        <v>3756</v>
      </c>
      <c r="D1316" s="1842"/>
      <c r="E1316" s="1842"/>
      <c r="F1316" s="1842"/>
      <c r="G1316" s="1842"/>
      <c r="H1316" s="1841"/>
      <c r="I1316" s="1895"/>
      <c r="J1316" s="1895"/>
      <c r="K1316" s="1895"/>
      <c r="L1316" s="1812"/>
      <c r="M1316" s="1812"/>
      <c r="N1316" s="1812"/>
      <c r="O1316" s="1812"/>
      <c r="P1316" s="1812"/>
      <c r="Q1316" s="1812"/>
    </row>
    <row r="1317" spans="1:17">
      <c r="A1317" s="1900">
        <f>'Part VIII-Threshold Criteria'!A215</f>
        <v>0</v>
      </c>
      <c r="B1317" s="1900">
        <f>'Part VIII-Threshold Criteria'!B215</f>
        <v>0</v>
      </c>
      <c r="C1317" s="1900">
        <f>'Part VIII-Threshold Criteria'!C215</f>
        <v>0</v>
      </c>
      <c r="D1317" s="1900">
        <f>'Part VIII-Threshold Criteria'!D215</f>
        <v>0</v>
      </c>
      <c r="E1317" s="1900">
        <f>'Part VIII-Threshold Criteria'!E215</f>
        <v>0</v>
      </c>
      <c r="F1317" s="1900">
        <f>'Part VIII-Threshold Criteria'!F215</f>
        <v>0</v>
      </c>
      <c r="G1317" s="1900">
        <f>'Part VIII-Threshold Criteria'!G215</f>
        <v>0</v>
      </c>
      <c r="H1317" s="1900">
        <f>'Part VIII-Threshold Criteria'!H215</f>
        <v>0</v>
      </c>
      <c r="I1317" s="1900">
        <f>'Part VIII-Threshold Criteria'!I215</f>
        <v>0</v>
      </c>
      <c r="J1317" s="1900">
        <f>'Part VIII-Threshold Criteria'!J215</f>
        <v>0</v>
      </c>
      <c r="K1317" s="1900">
        <f>'Part VIII-Threshold Criteria'!K215</f>
        <v>0</v>
      </c>
      <c r="L1317" s="1900">
        <f>'Part VIII-Threshold Criteria'!L215</f>
        <v>0</v>
      </c>
      <c r="M1317" s="1900">
        <f>'Part VIII-Threshold Criteria'!M215</f>
        <v>0</v>
      </c>
      <c r="N1317" s="1900">
        <f>'Part VIII-Threshold Criteria'!N215</f>
        <v>0</v>
      </c>
      <c r="O1317" s="1900">
        <f>'Part VIII-Threshold Criteria'!O215</f>
        <v>0</v>
      </c>
      <c r="P1317" s="1900">
        <f>'Part VIII-Threshold Criteria'!P215</f>
        <v>0</v>
      </c>
      <c r="Q1317" s="1900">
        <f>'Part VIII-Threshold Criteria'!Q215</f>
        <v>0</v>
      </c>
    </row>
    <row r="1318" spans="1:17">
      <c r="B1318" s="1897" t="s">
        <v>1866</v>
      </c>
      <c r="C1318" s="1898"/>
      <c r="D1318" s="1899"/>
      <c r="E1318" s="1899"/>
      <c r="F1318" s="1899"/>
      <c r="G1318" s="1899"/>
      <c r="H1318" s="1899"/>
      <c r="I1318" s="1899"/>
      <c r="J1318" s="1899"/>
      <c r="K1318" s="1899"/>
      <c r="L1318" s="1899"/>
      <c r="M1318" s="1899"/>
      <c r="N1318" s="1899"/>
      <c r="O1318" s="1899"/>
      <c r="P1318" s="1899"/>
      <c r="Q1318" s="1899"/>
    </row>
    <row r="1319" spans="1:17">
      <c r="A1319" s="1900">
        <f>'Part VIII-Threshold Criteria'!A217</f>
        <v>0</v>
      </c>
      <c r="B1319" s="1900">
        <f>'Part VIII-Threshold Criteria'!B217</f>
        <v>0</v>
      </c>
      <c r="C1319" s="1900">
        <f>'Part VIII-Threshold Criteria'!C217</f>
        <v>0</v>
      </c>
      <c r="D1319" s="1900">
        <f>'Part VIII-Threshold Criteria'!D217</f>
        <v>0</v>
      </c>
      <c r="E1319" s="1900">
        <f>'Part VIII-Threshold Criteria'!E217</f>
        <v>0</v>
      </c>
      <c r="F1319" s="1900">
        <f>'Part VIII-Threshold Criteria'!F217</f>
        <v>0</v>
      </c>
      <c r="G1319" s="1900">
        <f>'Part VIII-Threshold Criteria'!G217</f>
        <v>0</v>
      </c>
      <c r="H1319" s="1900">
        <f>'Part VIII-Threshold Criteria'!H217</f>
        <v>0</v>
      </c>
      <c r="I1319" s="1900">
        <f>'Part VIII-Threshold Criteria'!I217</f>
        <v>0</v>
      </c>
      <c r="J1319" s="1900">
        <f>'Part VIII-Threshold Criteria'!J217</f>
        <v>0</v>
      </c>
      <c r="K1319" s="1900">
        <f>'Part VIII-Threshold Criteria'!K217</f>
        <v>0</v>
      </c>
      <c r="L1319" s="1900">
        <f>'Part VIII-Threshold Criteria'!L217</f>
        <v>0</v>
      </c>
      <c r="M1319" s="1900">
        <f>'Part VIII-Threshold Criteria'!M217</f>
        <v>0</v>
      </c>
      <c r="N1319" s="1900">
        <f>'Part VIII-Threshold Criteria'!N217</f>
        <v>0</v>
      </c>
      <c r="O1319" s="1900">
        <f>'Part VIII-Threshold Criteria'!O217</f>
        <v>0</v>
      </c>
      <c r="P1319" s="1900">
        <f>'Part VIII-Threshold Criteria'!P217</f>
        <v>0</v>
      </c>
      <c r="Q1319" s="1900">
        <f>'Part VIII-Threshold Criteria'!Q217</f>
        <v>0</v>
      </c>
    </row>
    <row r="1320" spans="1:17">
      <c r="A1320" s="1812"/>
      <c r="B1320" s="1895"/>
      <c r="C1320" s="1899"/>
      <c r="D1320" s="1899"/>
      <c r="E1320" s="1899"/>
      <c r="F1320" s="1899"/>
      <c r="G1320" s="1899"/>
      <c r="H1320" s="1899"/>
      <c r="I1320" s="1899"/>
      <c r="J1320" s="1899"/>
      <c r="K1320" s="1899"/>
      <c r="L1320" s="1899"/>
      <c r="M1320" s="1899"/>
      <c r="Q1320" s="1812"/>
    </row>
    <row r="1321" spans="1:17">
      <c r="A1321" s="1805" t="s">
        <v>1726</v>
      </c>
      <c r="B1321" s="1805" t="s">
        <v>2661</v>
      </c>
      <c r="C1321" s="1929"/>
      <c r="D1321" s="1899"/>
      <c r="E1321" s="1899"/>
      <c r="F1321" s="1899"/>
      <c r="G1321" s="1899"/>
      <c r="H1321" s="1899"/>
      <c r="I1321" s="1899"/>
      <c r="J1321" s="1899"/>
      <c r="K1321" s="1899"/>
      <c r="L1321" s="1899"/>
      <c r="M1321" s="1899"/>
      <c r="O1321" s="1896" t="s">
        <v>1867</v>
      </c>
      <c r="P1321" s="1820">
        <f>'Part VIII-Threshold Criteria'!P219</f>
        <v>0</v>
      </c>
      <c r="Q1321" s="1820">
        <f>'Part VIII-Threshold Criteria'!Q219</f>
        <v>0</v>
      </c>
    </row>
    <row r="1322" spans="1:17">
      <c r="B1322" s="1216" t="s">
        <v>1192</v>
      </c>
      <c r="N1322" s="1637"/>
      <c r="P1322" s="1938" t="str">
        <f>'Part VIII-Threshold Criteria'!P220</f>
        <v>Yes</v>
      </c>
      <c r="Q1322" s="1938">
        <f>'Part VIII-Threshold Criteria'!Q220</f>
        <v>0</v>
      </c>
    </row>
    <row r="1323" spans="1:17">
      <c r="A1323" s="1935" t="s">
        <v>1983</v>
      </c>
      <c r="B1323" s="521" t="s">
        <v>4546</v>
      </c>
      <c r="D1323" s="1631"/>
      <c r="E1323" s="1631"/>
      <c r="F1323" s="1631"/>
      <c r="G1323" s="1631"/>
      <c r="H1323" s="1631"/>
      <c r="I1323" s="1631"/>
      <c r="J1323" s="1631"/>
      <c r="K1323" s="1631"/>
      <c r="L1323" s="1631"/>
      <c r="M1323" s="1631"/>
      <c r="O1323" s="1937" t="s">
        <v>1983</v>
      </c>
      <c r="P1323" s="1938" t="str">
        <f>'Part VIII-Threshold Criteria'!P221</f>
        <v>Agree</v>
      </c>
      <c r="Q1323" s="1938">
        <f>'Part VIII-Threshold Criteria'!Q221</f>
        <v>0</v>
      </c>
    </row>
    <row r="1324" spans="1:17">
      <c r="A1324" s="1935"/>
      <c r="B1324" s="1937" t="s">
        <v>1737</v>
      </c>
      <c r="C1324" s="521" t="s">
        <v>1931</v>
      </c>
      <c r="E1324" s="521"/>
      <c r="F1324" s="521"/>
      <c r="G1324" s="521"/>
      <c r="H1324" s="521"/>
      <c r="I1324" s="1631"/>
      <c r="J1324" s="1937" t="s">
        <v>1486</v>
      </c>
      <c r="K1324" s="1894" t="str">
        <f>'Part VIII-Threshold Criteria'!K222</f>
        <v>Room</v>
      </c>
      <c r="L1324" s="1894">
        <f>'Part VIII-Threshold Criteria'!L222</f>
        <v>0</v>
      </c>
      <c r="Q1324" s="1938">
        <f>'Part VIII-Threshold Criteria'!Q222</f>
        <v>0</v>
      </c>
    </row>
    <row r="1325" spans="1:17" ht="13.5">
      <c r="A1325" s="1935"/>
      <c r="B1325" s="1937" t="s">
        <v>1738</v>
      </c>
      <c r="C1325" s="1841" t="s">
        <v>2723</v>
      </c>
      <c r="E1325" s="1841"/>
      <c r="F1325" s="1841"/>
      <c r="G1325" s="1841"/>
      <c r="H1325" s="1841"/>
      <c r="I1325" s="1631"/>
      <c r="J1325" s="1937" t="s">
        <v>1487</v>
      </c>
      <c r="K1325" s="1894" t="str">
        <f>'Part VIII-Threshold Criteria'!K223</f>
        <v>Covered Porch</v>
      </c>
      <c r="L1325" s="1894">
        <f>'Part VIII-Threshold Criteria'!L223</f>
        <v>0</v>
      </c>
      <c r="M1325" s="2055" t="str">
        <f>'Part VIII-Threshold Criteria'!M223</f>
        <v>If "Other", explain here</v>
      </c>
      <c r="N1325" s="2055">
        <f>'Part VIII-Threshold Criteria'!N223</f>
        <v>0</v>
      </c>
      <c r="O1325" s="2055">
        <f>'Part VIII-Threshold Criteria'!O223</f>
        <v>0</v>
      </c>
      <c r="P1325" s="2055">
        <f>'Part VIII-Threshold Criteria'!P223</f>
        <v>0</v>
      </c>
      <c r="Q1325" s="1938">
        <f>'Part VIII-Threshold Criteria'!Q223</f>
        <v>0</v>
      </c>
    </row>
    <row r="1326" spans="1:17">
      <c r="A1326" s="1935"/>
      <c r="B1326" s="1937" t="s">
        <v>1739</v>
      </c>
      <c r="C1326" s="1841" t="s">
        <v>558</v>
      </c>
      <c r="E1326" s="1841"/>
      <c r="F1326" s="1841"/>
      <c r="G1326" s="1841"/>
      <c r="H1326" s="1841"/>
      <c r="I1326" s="1631"/>
      <c r="J1326" s="1937" t="s">
        <v>1488</v>
      </c>
      <c r="K1326" s="1894" t="str">
        <f>'Part VIII-Threshold Criteria'!K224</f>
        <v>Yes - W&amp;D hookups installed in each unit</v>
      </c>
      <c r="L1326" s="1894">
        <f>'Part VIII-Threshold Criteria'!L224</f>
        <v>0</v>
      </c>
      <c r="M1326" s="1894">
        <f>'Part VIII-Threshold Criteria'!M224</f>
        <v>0</v>
      </c>
      <c r="Q1326" s="1938">
        <f>'Part VIII-Threshold Criteria'!Q224</f>
        <v>0</v>
      </c>
    </row>
    <row r="1327" spans="1:17">
      <c r="A1327" s="1935" t="s">
        <v>1985</v>
      </c>
      <c r="B1327" s="521" t="s">
        <v>2509</v>
      </c>
      <c r="D1327" s="521"/>
      <c r="E1327" s="521"/>
      <c r="F1327" s="521"/>
      <c r="G1327" s="521"/>
      <c r="H1327" s="521"/>
      <c r="I1327" s="521"/>
      <c r="J1327" s="521"/>
      <c r="K1327" s="1631"/>
      <c r="L1327" s="1631"/>
      <c r="M1327" s="1631"/>
      <c r="N1327" s="1631"/>
      <c r="O1327" s="1937" t="s">
        <v>1985</v>
      </c>
      <c r="P1327" s="1938" t="str">
        <f>'Part VIII-Threshold Criteria'!P226</f>
        <v>Agree</v>
      </c>
      <c r="Q1327" s="1938">
        <f>'Part VIII-Threshold Criteria'!Q226</f>
        <v>0</v>
      </c>
    </row>
    <row r="1328" spans="1:17">
      <c r="A1328" s="1935"/>
      <c r="B1328" s="521" t="s">
        <v>4547</v>
      </c>
      <c r="D1328" s="521"/>
      <c r="E1328" s="521"/>
      <c r="F1328" s="521"/>
      <c r="G1328" s="521"/>
      <c r="H1328" s="521"/>
      <c r="I1328" s="521"/>
      <c r="J1328" s="521"/>
      <c r="K1328" s="1631"/>
      <c r="L1328" s="1631"/>
      <c r="M1328" s="1631"/>
      <c r="N1328" s="1631"/>
      <c r="O1328" s="1631"/>
      <c r="P1328" s="1955" t="s">
        <v>2</v>
      </c>
      <c r="Q1328" s="1955"/>
    </row>
    <row r="1329" spans="1:17">
      <c r="A1329" s="1935"/>
      <c r="C1329" s="521" t="s">
        <v>2725</v>
      </c>
      <c r="D1329" s="521"/>
      <c r="E1329" s="521"/>
      <c r="F1329" s="521"/>
      <c r="H1329" s="1956" t="s">
        <v>773</v>
      </c>
      <c r="I1329" s="1652" t="s">
        <v>774</v>
      </c>
      <c r="K1329" s="521" t="s">
        <v>2725</v>
      </c>
      <c r="M1329" s="1631"/>
      <c r="N1329" s="1631"/>
      <c r="O1329" s="1956"/>
      <c r="P1329" s="1694" t="s">
        <v>773</v>
      </c>
      <c r="Q1329" s="1652" t="s">
        <v>774</v>
      </c>
    </row>
    <row r="1330" spans="1:17" ht="45">
      <c r="A1330" s="1938"/>
      <c r="B1330" s="1937" t="s">
        <v>1737</v>
      </c>
      <c r="C1330" s="1900" t="str">
        <f>'Part VIII-Threshold Criteria'!C229</f>
        <v xml:space="preserve">Equipped Computer Center and WiFi </v>
      </c>
      <c r="D1330" s="1900">
        <f>'Part VIII-Threshold Criteria'!D229</f>
        <v>0</v>
      </c>
      <c r="E1330" s="1900">
        <f>'Part VIII-Threshold Criteria'!E229</f>
        <v>0</v>
      </c>
      <c r="F1330" s="1900">
        <f>'Part VIII-Threshold Criteria'!F229</f>
        <v>0</v>
      </c>
      <c r="G1330" s="1900">
        <f>'Part VIII-Threshold Criteria'!G229</f>
        <v>0</v>
      </c>
      <c r="H1330" s="1938" t="e">
        <f>'Part VIII-Threshold Criteria'!#REF!</f>
        <v>#REF!</v>
      </c>
      <c r="I1330" s="1938" t="e">
        <f>'Part VIII-Threshold Criteria'!#REF!</f>
        <v>#REF!</v>
      </c>
      <c r="J1330" s="1937" t="s">
        <v>1739</v>
      </c>
      <c r="K1330" s="1900" t="str">
        <f>'Part VIII-Threshold Criteria'!I229</f>
        <v xml:space="preserve">  </v>
      </c>
      <c r="L1330" s="1900">
        <f>'Part VIII-Threshold Criteria'!J229</f>
        <v>0</v>
      </c>
      <c r="M1330" s="1900">
        <f>'Part VIII-Threshold Criteria'!K229</f>
        <v>0</v>
      </c>
      <c r="N1330" s="1900">
        <f>'Part VIII-Threshold Criteria'!L229</f>
        <v>0</v>
      </c>
      <c r="O1330" s="1900">
        <f>'Part VIII-Threshold Criteria'!M229</f>
        <v>0</v>
      </c>
      <c r="P1330" s="1938">
        <f>'Part VIII-Threshold Criteria'!P229</f>
        <v>0</v>
      </c>
      <c r="Q1330" s="1938">
        <f>'Part VIII-Threshold Criteria'!Q229</f>
        <v>0</v>
      </c>
    </row>
    <row r="1331" spans="1:17" ht="45">
      <c r="A1331" s="1938"/>
      <c r="B1331" s="1937" t="s">
        <v>1738</v>
      </c>
      <c r="C1331" s="1900" t="str">
        <f>'Part VIII-Threshold Criteria'!C230</f>
        <v>Furnished Exercise /Fitness Center</v>
      </c>
      <c r="D1331" s="1900">
        <f>'Part VIII-Threshold Criteria'!D230</f>
        <v>0</v>
      </c>
      <c r="E1331" s="1900">
        <f>'Part VIII-Threshold Criteria'!E230</f>
        <v>0</v>
      </c>
      <c r="F1331" s="1900">
        <f>'Part VIII-Threshold Criteria'!F230</f>
        <v>0</v>
      </c>
      <c r="G1331" s="1900">
        <f>'Part VIII-Threshold Criteria'!G230</f>
        <v>0</v>
      </c>
      <c r="H1331" s="1938" t="e">
        <f>'Part VIII-Threshold Criteria'!#REF!</f>
        <v>#REF!</v>
      </c>
      <c r="I1331" s="1938" t="e">
        <f>'Part VIII-Threshold Criteria'!#REF!</f>
        <v>#REF!</v>
      </c>
      <c r="J1331" s="1937" t="s">
        <v>2365</v>
      </c>
      <c r="K1331" s="1900">
        <f>'Part VIII-Threshold Criteria'!I230</f>
        <v>0</v>
      </c>
      <c r="L1331" s="1900">
        <f>'Part VIII-Threshold Criteria'!J230</f>
        <v>0</v>
      </c>
      <c r="M1331" s="1900">
        <f>'Part VIII-Threshold Criteria'!K230</f>
        <v>0</v>
      </c>
      <c r="N1331" s="1900">
        <f>'Part VIII-Threshold Criteria'!L230</f>
        <v>0</v>
      </c>
      <c r="O1331" s="1900">
        <f>'Part VIII-Threshold Criteria'!M230</f>
        <v>0</v>
      </c>
      <c r="P1331" s="1938">
        <f>'Part VIII-Threshold Criteria'!P230</f>
        <v>0</v>
      </c>
      <c r="Q1331" s="1938">
        <f>'Part VIII-Threshold Criteria'!Q230</f>
        <v>0</v>
      </c>
    </row>
    <row r="1332" spans="1:17">
      <c r="A1332" s="1935" t="s">
        <v>749</v>
      </c>
      <c r="B1332" s="521" t="s">
        <v>1381</v>
      </c>
      <c r="C1332" s="521"/>
      <c r="E1332" s="521"/>
      <c r="F1332" s="521"/>
      <c r="G1332" s="521"/>
      <c r="H1332" s="521"/>
      <c r="I1332" s="521"/>
      <c r="J1332" s="521"/>
      <c r="K1332" s="1631"/>
      <c r="L1332" s="521"/>
      <c r="M1332" s="521"/>
      <c r="O1332" s="1937" t="s">
        <v>749</v>
      </c>
      <c r="P1332" s="1938" t="str">
        <f>'Part VIII-Threshold Criteria'!P233</f>
        <v>Agree</v>
      </c>
      <c r="Q1332" s="1938">
        <f>'Part VIII-Threshold Criteria'!Q233</f>
        <v>0</v>
      </c>
    </row>
    <row r="1333" spans="1:17">
      <c r="A1333" s="1935"/>
      <c r="B1333" s="1937" t="s">
        <v>1737</v>
      </c>
      <c r="C1333" s="521" t="s">
        <v>3465</v>
      </c>
      <c r="E1333" s="521"/>
      <c r="F1333" s="521"/>
      <c r="L1333" s="1631"/>
      <c r="M1333" s="1631"/>
      <c r="O1333" s="1937" t="s">
        <v>1737</v>
      </c>
      <c r="P1333" s="1938" t="str">
        <f>'Part VIII-Threshold Criteria'!P234</f>
        <v>Yes</v>
      </c>
      <c r="Q1333" s="1938">
        <f>'Part VIII-Threshold Criteria'!Q234</f>
        <v>0</v>
      </c>
    </row>
    <row r="1334" spans="1:17">
      <c r="B1334" s="1937" t="s">
        <v>1738</v>
      </c>
      <c r="C1334" s="1841" t="s">
        <v>2808</v>
      </c>
      <c r="E1334" s="1841"/>
      <c r="F1334" s="1841"/>
      <c r="L1334" s="1631"/>
      <c r="M1334" s="1631"/>
      <c r="O1334" s="1937" t="s">
        <v>1738</v>
      </c>
      <c r="P1334" s="1938" t="str">
        <f>'Part VIII-Threshold Criteria'!P235</f>
        <v>Yes</v>
      </c>
      <c r="Q1334" s="1938">
        <f>'Part VIII-Threshold Criteria'!Q235</f>
        <v>0</v>
      </c>
    </row>
    <row r="1335" spans="1:17">
      <c r="B1335" s="1937" t="s">
        <v>1739</v>
      </c>
      <c r="C1335" s="1841" t="s">
        <v>2809</v>
      </c>
      <c r="E1335" s="1841"/>
      <c r="F1335" s="1841"/>
      <c r="G1335" s="1841"/>
      <c r="H1335" s="1841"/>
      <c r="I1335" s="1631"/>
      <c r="J1335" s="1631"/>
      <c r="K1335" s="1631"/>
      <c r="L1335" s="1631"/>
      <c r="M1335" s="1631"/>
      <c r="O1335" s="1937" t="s">
        <v>1739</v>
      </c>
      <c r="P1335" s="1938" t="str">
        <f>'Part VIII-Threshold Criteria'!P236</f>
        <v>Yes</v>
      </c>
      <c r="Q1335" s="1938">
        <f>'Part VIII-Threshold Criteria'!Q236</f>
        <v>0</v>
      </c>
    </row>
    <row r="1336" spans="1:17">
      <c r="A1336" s="1935"/>
      <c r="B1336" s="1937" t="s">
        <v>2365</v>
      </c>
      <c r="C1336" s="1841" t="s">
        <v>2810</v>
      </c>
      <c r="E1336" s="1841"/>
      <c r="F1336" s="1841"/>
      <c r="G1336" s="1841"/>
      <c r="H1336" s="1841"/>
      <c r="I1336" s="1631"/>
      <c r="J1336" s="1631"/>
      <c r="K1336" s="1631"/>
      <c r="L1336" s="1631"/>
      <c r="M1336" s="1631"/>
      <c r="O1336" s="1937" t="s">
        <v>2365</v>
      </c>
      <c r="P1336" s="1938" t="str">
        <f>'Part VIII-Threshold Criteria'!P237</f>
        <v>Yes</v>
      </c>
      <c r="Q1336" s="1938">
        <f>'Part VIII-Threshold Criteria'!Q237</f>
        <v>0</v>
      </c>
    </row>
    <row r="1337" spans="1:17">
      <c r="A1337" s="1935"/>
      <c r="B1337" s="1937" t="s">
        <v>1549</v>
      </c>
      <c r="C1337" s="1841" t="s">
        <v>2811</v>
      </c>
      <c r="E1337" s="1841"/>
      <c r="F1337" s="1841"/>
      <c r="G1337" s="1841"/>
      <c r="H1337" s="1841"/>
      <c r="I1337" s="1631"/>
      <c r="J1337" s="1631"/>
      <c r="K1337" s="1631"/>
      <c r="L1337" s="1631"/>
      <c r="M1337" s="1631"/>
      <c r="O1337" s="1937" t="s">
        <v>1549</v>
      </c>
      <c r="P1337" s="1938" t="str">
        <f>'Part VIII-Threshold Criteria'!P238</f>
        <v>Yes</v>
      </c>
      <c r="Q1337" s="1938">
        <f>'Part VIII-Threshold Criteria'!Q238</f>
        <v>0</v>
      </c>
    </row>
    <row r="1338" spans="1:17">
      <c r="A1338" s="1935"/>
      <c r="B1338" s="1937" t="s">
        <v>1550</v>
      </c>
      <c r="C1338" s="521" t="s">
        <v>775</v>
      </c>
      <c r="E1338" s="521"/>
      <c r="F1338" s="521"/>
      <c r="G1338" s="521"/>
      <c r="H1338" s="521"/>
      <c r="I1338" s="1631"/>
      <c r="J1338" s="1631"/>
      <c r="K1338" s="1631"/>
      <c r="L1338" s="1631"/>
      <c r="M1338" s="1631"/>
      <c r="O1338" s="1937" t="s">
        <v>2799</v>
      </c>
      <c r="P1338" s="1938" t="str">
        <f>'Part VIII-Threshold Criteria'!P239</f>
        <v>Yes</v>
      </c>
      <c r="Q1338" s="1938">
        <f>'Part VIII-Threshold Criteria'!Q239</f>
        <v>0</v>
      </c>
    </row>
    <row r="1339" spans="1:17">
      <c r="A1339" s="1935"/>
      <c r="B1339" s="1937"/>
      <c r="C1339" s="521" t="s">
        <v>1489</v>
      </c>
      <c r="E1339" s="521"/>
      <c r="F1339" s="521"/>
      <c r="G1339" s="521"/>
      <c r="H1339" s="521"/>
      <c r="I1339" s="1631"/>
      <c r="J1339" s="1631"/>
      <c r="K1339" s="1631"/>
      <c r="L1339" s="1631"/>
      <c r="M1339" s="1631"/>
      <c r="O1339" s="1937" t="s">
        <v>2800</v>
      </c>
      <c r="P1339" s="1938" t="str">
        <f>'Part VIII-Threshold Criteria'!P240</f>
        <v>No</v>
      </c>
      <c r="Q1339" s="1938">
        <f>'Part VIII-Threshold Criteria'!Q240</f>
        <v>0</v>
      </c>
    </row>
    <row r="1340" spans="1:17">
      <c r="A1340" s="1935" t="s">
        <v>2115</v>
      </c>
      <c r="B1340" s="521" t="s">
        <v>3663</v>
      </c>
      <c r="C1340" s="521"/>
      <c r="E1340" s="521"/>
      <c r="F1340" s="521"/>
      <c r="G1340" s="521"/>
      <c r="H1340" s="521"/>
      <c r="I1340" s="521"/>
      <c r="J1340" s="521"/>
      <c r="K1340" s="1631"/>
      <c r="L1340" s="521"/>
      <c r="M1340" s="521"/>
      <c r="O1340" s="1937" t="s">
        <v>2115</v>
      </c>
      <c r="P1340" s="1938" t="str">
        <f>'Part VIII-Threshold Criteria'!P241</f>
        <v>N/A</v>
      </c>
      <c r="Q1340" s="1938">
        <f>'Part VIII-Threshold Criteria'!Q241</f>
        <v>0</v>
      </c>
    </row>
    <row r="1341" spans="1:17">
      <c r="B1341" s="1937" t="s">
        <v>1737</v>
      </c>
      <c r="C1341" s="521" t="s">
        <v>1255</v>
      </c>
      <c r="E1341" s="1631"/>
      <c r="F1341" s="1631"/>
      <c r="G1341" s="521"/>
      <c r="H1341" s="1841"/>
      <c r="I1341" s="1631"/>
      <c r="J1341" s="1841"/>
      <c r="K1341" s="1631"/>
      <c r="L1341" s="1841"/>
      <c r="M1341" s="1841"/>
      <c r="O1341" s="1937" t="s">
        <v>1737</v>
      </c>
      <c r="P1341" s="1938">
        <f>'Part VIII-Threshold Criteria'!P242</f>
        <v>0</v>
      </c>
      <c r="Q1341" s="1938">
        <f>'Part VIII-Threshold Criteria'!Q242</f>
        <v>0</v>
      </c>
    </row>
    <row r="1342" spans="1:17">
      <c r="B1342" s="1937" t="s">
        <v>1738</v>
      </c>
      <c r="C1342" s="521" t="s">
        <v>3908</v>
      </c>
      <c r="E1342" s="1631"/>
      <c r="F1342" s="1631"/>
      <c r="G1342" s="1841"/>
      <c r="H1342" s="1841"/>
      <c r="I1342" s="1631"/>
      <c r="J1342" s="1841"/>
      <c r="K1342" s="1631"/>
      <c r="L1342" s="1841"/>
      <c r="M1342" s="1841"/>
      <c r="O1342" s="1937" t="s">
        <v>1738</v>
      </c>
      <c r="P1342" s="1938">
        <f>'Part VIII-Threshold Criteria'!P243</f>
        <v>0</v>
      </c>
      <c r="Q1342" s="1938">
        <f>'Part VIII-Threshold Criteria'!Q243</f>
        <v>0</v>
      </c>
    </row>
    <row r="1343" spans="1:17">
      <c r="B1343" s="1842" t="s">
        <v>3756</v>
      </c>
      <c r="D1343" s="1842"/>
      <c r="E1343" s="1842"/>
      <c r="F1343" s="1842"/>
      <c r="G1343" s="1842"/>
      <c r="H1343" s="1841"/>
      <c r="I1343" s="1895"/>
      <c r="J1343" s="1895"/>
      <c r="K1343" s="1895"/>
      <c r="L1343" s="1812"/>
      <c r="M1343" s="1812"/>
      <c r="N1343" s="1812"/>
      <c r="O1343" s="1812"/>
      <c r="P1343" s="1812"/>
      <c r="Q1343" s="1812"/>
    </row>
    <row r="1344" spans="1:17">
      <c r="A1344" s="1900">
        <f>'Part VIII-Threshold Criteria'!A245</f>
        <v>0</v>
      </c>
      <c r="B1344" s="1900">
        <f>'Part VIII-Threshold Criteria'!B245</f>
        <v>0</v>
      </c>
      <c r="C1344" s="1900">
        <f>'Part VIII-Threshold Criteria'!C245</f>
        <v>0</v>
      </c>
      <c r="D1344" s="1900">
        <f>'Part VIII-Threshold Criteria'!D245</f>
        <v>0</v>
      </c>
      <c r="E1344" s="1900">
        <f>'Part VIII-Threshold Criteria'!E245</f>
        <v>0</v>
      </c>
      <c r="F1344" s="1900">
        <f>'Part VIII-Threshold Criteria'!F245</f>
        <v>0</v>
      </c>
      <c r="G1344" s="1900">
        <f>'Part VIII-Threshold Criteria'!G245</f>
        <v>0</v>
      </c>
      <c r="H1344" s="1900">
        <f>'Part VIII-Threshold Criteria'!H245</f>
        <v>0</v>
      </c>
      <c r="I1344" s="1900">
        <f>'Part VIII-Threshold Criteria'!I245</f>
        <v>0</v>
      </c>
      <c r="J1344" s="1900">
        <f>'Part VIII-Threshold Criteria'!J245</f>
        <v>0</v>
      </c>
      <c r="K1344" s="1900">
        <f>'Part VIII-Threshold Criteria'!K245</f>
        <v>0</v>
      </c>
      <c r="L1344" s="1900">
        <f>'Part VIII-Threshold Criteria'!L245</f>
        <v>0</v>
      </c>
      <c r="M1344" s="1900">
        <f>'Part VIII-Threshold Criteria'!M245</f>
        <v>0</v>
      </c>
      <c r="N1344" s="1900">
        <f>'Part VIII-Threshold Criteria'!N245</f>
        <v>0</v>
      </c>
      <c r="O1344" s="1900">
        <f>'Part VIII-Threshold Criteria'!O245</f>
        <v>0</v>
      </c>
      <c r="P1344" s="1900">
        <f>'Part VIII-Threshold Criteria'!P245</f>
        <v>0</v>
      </c>
      <c r="Q1344" s="1900">
        <f>'Part VIII-Threshold Criteria'!Q245</f>
        <v>0</v>
      </c>
    </row>
    <row r="1345" spans="1:17">
      <c r="B1345" s="1897" t="s">
        <v>1866</v>
      </c>
      <c r="C1345" s="1898"/>
      <c r="D1345" s="1899"/>
      <c r="E1345" s="1899"/>
      <c r="F1345" s="1899"/>
      <c r="G1345" s="1899"/>
      <c r="H1345" s="1899"/>
      <c r="I1345" s="1899"/>
      <c r="J1345" s="1899"/>
      <c r="K1345" s="1899"/>
      <c r="L1345" s="1899"/>
      <c r="M1345" s="1899"/>
      <c r="N1345" s="1899"/>
      <c r="O1345" s="1899"/>
      <c r="P1345" s="1899"/>
      <c r="Q1345" s="1899"/>
    </row>
    <row r="1346" spans="1:17">
      <c r="A1346" s="1900">
        <f>'Part VIII-Threshold Criteria'!A247</f>
        <v>0</v>
      </c>
      <c r="B1346" s="1900">
        <f>'Part VIII-Threshold Criteria'!B247</f>
        <v>0</v>
      </c>
      <c r="C1346" s="1900">
        <f>'Part VIII-Threshold Criteria'!C247</f>
        <v>0</v>
      </c>
      <c r="D1346" s="1900">
        <f>'Part VIII-Threshold Criteria'!D247</f>
        <v>0</v>
      </c>
      <c r="E1346" s="1900">
        <f>'Part VIII-Threshold Criteria'!E247</f>
        <v>0</v>
      </c>
      <c r="F1346" s="1900">
        <f>'Part VIII-Threshold Criteria'!F247</f>
        <v>0</v>
      </c>
      <c r="G1346" s="1900">
        <f>'Part VIII-Threshold Criteria'!G247</f>
        <v>0</v>
      </c>
      <c r="H1346" s="1900">
        <f>'Part VIII-Threshold Criteria'!H247</f>
        <v>0</v>
      </c>
      <c r="I1346" s="1900">
        <f>'Part VIII-Threshold Criteria'!I247</f>
        <v>0</v>
      </c>
      <c r="J1346" s="1900">
        <f>'Part VIII-Threshold Criteria'!J247</f>
        <v>0</v>
      </c>
      <c r="K1346" s="1900">
        <f>'Part VIII-Threshold Criteria'!K247</f>
        <v>0</v>
      </c>
      <c r="L1346" s="1900">
        <f>'Part VIII-Threshold Criteria'!L247</f>
        <v>0</v>
      </c>
      <c r="M1346" s="1900">
        <f>'Part VIII-Threshold Criteria'!M247</f>
        <v>0</v>
      </c>
      <c r="N1346" s="1900">
        <f>'Part VIII-Threshold Criteria'!N247</f>
        <v>0</v>
      </c>
      <c r="O1346" s="1900">
        <f>'Part VIII-Threshold Criteria'!O247</f>
        <v>0</v>
      </c>
      <c r="P1346" s="1900">
        <f>'Part VIII-Threshold Criteria'!P247</f>
        <v>0</v>
      </c>
      <c r="Q1346" s="1900">
        <f>'Part VIII-Threshold Criteria'!Q247</f>
        <v>0</v>
      </c>
    </row>
    <row r="1347" spans="1:17">
      <c r="A1347" s="1812"/>
      <c r="B1347" s="1895"/>
      <c r="C1347" s="1899"/>
      <c r="D1347" s="1899"/>
      <c r="E1347" s="1899"/>
      <c r="F1347" s="1899"/>
      <c r="G1347" s="1899"/>
      <c r="H1347" s="1899"/>
      <c r="I1347" s="1899"/>
      <c r="J1347" s="1899"/>
      <c r="K1347" s="1899"/>
      <c r="L1347" s="1899"/>
      <c r="M1347" s="1899"/>
      <c r="Q1347" s="1812"/>
    </row>
    <row r="1348" spans="1:17">
      <c r="A1348" s="1805" t="s">
        <v>2782</v>
      </c>
      <c r="B1348" s="1629" t="s">
        <v>2662</v>
      </c>
      <c r="C1348" s="1629"/>
      <c r="D1348" s="1894"/>
      <c r="E1348" s="1894"/>
      <c r="F1348" s="1894"/>
      <c r="G1348" s="1894"/>
      <c r="H1348" s="1899"/>
      <c r="I1348" s="1899"/>
      <c r="J1348" s="1899"/>
      <c r="K1348" s="1899"/>
      <c r="L1348" s="1871"/>
      <c r="M1348" s="1871"/>
      <c r="O1348" s="1896" t="s">
        <v>1867</v>
      </c>
      <c r="P1348" s="1820">
        <f>'Part VIII-Threshold Criteria'!P249</f>
        <v>0</v>
      </c>
      <c r="Q1348" s="1820">
        <f>'Part VIII-Threshold Criteria'!Q249</f>
        <v>0</v>
      </c>
    </row>
    <row r="1349" spans="1:17">
      <c r="L1349" s="1871"/>
      <c r="M1349" s="1871"/>
      <c r="N1349" s="1216"/>
    </row>
    <row r="1350" spans="1:17">
      <c r="A1350" s="1935" t="s">
        <v>1983</v>
      </c>
      <c r="B1350" s="521" t="s">
        <v>1268</v>
      </c>
      <c r="D1350" s="1631"/>
      <c r="E1350" s="521"/>
      <c r="F1350" s="521"/>
      <c r="J1350" s="1937" t="s">
        <v>1983</v>
      </c>
      <c r="K1350" s="1894" t="str">
        <f>'Part VIII-Threshold Criteria'!K250</f>
        <v>&lt;&lt;Select&gt;&gt;</v>
      </c>
      <c r="L1350" s="1894">
        <f>'Part VIII-Threshold Criteria'!L250</f>
        <v>0</v>
      </c>
      <c r="M1350" s="1894">
        <f>'Part VIII-Threshold Criteria'!M250</f>
        <v>0</v>
      </c>
      <c r="N1350" s="1894">
        <f>'Part VIII-Threshold Criteria'!N250</f>
        <v>0</v>
      </c>
      <c r="O1350" s="1894">
        <f>'Part VIII-Threshold Criteria'!O250</f>
        <v>0</v>
      </c>
      <c r="P1350" s="1894" t="str">
        <f>'Part VIII-Threshold Criteria'!P250</f>
        <v>&lt;&lt;Select&gt;&gt;</v>
      </c>
      <c r="Q1350" s="1894">
        <f>'Part VIII-Threshold Criteria'!Q250</f>
        <v>0</v>
      </c>
    </row>
    <row r="1351" spans="1:17">
      <c r="A1351" s="1935" t="s">
        <v>1985</v>
      </c>
      <c r="B1351" s="521" t="s">
        <v>2812</v>
      </c>
      <c r="D1351" s="521"/>
      <c r="E1351" s="521"/>
      <c r="F1351" s="521"/>
      <c r="J1351" s="1937" t="s">
        <v>1985</v>
      </c>
      <c r="K1351" s="1894">
        <f>'Part VIII-Threshold Criteria'!K251</f>
        <v>0</v>
      </c>
      <c r="L1351" s="1894">
        <f>'Part VIII-Threshold Criteria'!L251</f>
        <v>0</v>
      </c>
      <c r="M1351" s="1894">
        <f>'Part VIII-Threshold Criteria'!M251</f>
        <v>0</v>
      </c>
      <c r="N1351" s="1894">
        <f>'Part VIII-Threshold Criteria'!N251</f>
        <v>0</v>
      </c>
      <c r="O1351" s="1894">
        <f>'Part VIII-Threshold Criteria'!O251</f>
        <v>0</v>
      </c>
      <c r="P1351" s="1894">
        <f>'Part VIII-Threshold Criteria'!P251</f>
        <v>0</v>
      </c>
      <c r="Q1351" s="1894">
        <f>'Part VIII-Threshold Criteria'!Q251</f>
        <v>0</v>
      </c>
    </row>
    <row r="1352" spans="1:17">
      <c r="A1352" s="1935"/>
      <c r="B1352" s="521" t="s">
        <v>1945</v>
      </c>
      <c r="D1352" s="521"/>
      <c r="E1352" s="521"/>
      <c r="F1352" s="521"/>
      <c r="K1352" s="1894">
        <f>'Part VIII-Threshold Criteria'!K252</f>
        <v>0</v>
      </c>
      <c r="L1352" s="1894">
        <f>'Part VIII-Threshold Criteria'!L252</f>
        <v>0</v>
      </c>
      <c r="M1352" s="1894">
        <f>'Part VIII-Threshold Criteria'!M252</f>
        <v>0</v>
      </c>
      <c r="N1352" s="1894">
        <f>'Part VIII-Threshold Criteria'!N252</f>
        <v>0</v>
      </c>
      <c r="O1352" s="1894">
        <f>'Part VIII-Threshold Criteria'!O252</f>
        <v>0</v>
      </c>
      <c r="P1352" s="1894">
        <f>'Part VIII-Threshold Criteria'!P252</f>
        <v>0</v>
      </c>
      <c r="Q1352" s="1894">
        <f>'Part VIII-Threshold Criteria'!Q252</f>
        <v>0</v>
      </c>
    </row>
    <row r="1353" spans="1:17">
      <c r="A1353" s="1935"/>
      <c r="B1353" s="521" t="s">
        <v>2543</v>
      </c>
      <c r="D1353" s="521"/>
      <c r="E1353" s="521"/>
      <c r="F1353" s="521"/>
      <c r="G1353" s="521"/>
      <c r="H1353" s="521"/>
      <c r="I1353" s="1631"/>
      <c r="J1353" s="1631"/>
      <c r="M1353" s="521"/>
      <c r="N1353" s="1957"/>
      <c r="O1353" s="1937"/>
      <c r="P1353" s="1938">
        <f>'Part VIII-Threshold Criteria'!P253</f>
        <v>0</v>
      </c>
      <c r="Q1353" s="1938">
        <f>'Part VIII-Threshold Criteria'!Q253</f>
        <v>0</v>
      </c>
    </row>
    <row r="1354" spans="1:17">
      <c r="A1354" s="1935" t="s">
        <v>749</v>
      </c>
      <c r="B1354" s="521" t="s">
        <v>3763</v>
      </c>
      <c r="D1354" s="521"/>
      <c r="E1354" s="521"/>
      <c r="F1354" s="521"/>
      <c r="M1354" s="521"/>
      <c r="N1354" s="1957"/>
      <c r="O1354" s="1937" t="s">
        <v>749</v>
      </c>
      <c r="P1354" s="1938">
        <f>'Part VIII-Threshold Criteria'!P255</f>
        <v>0</v>
      </c>
      <c r="Q1354" s="1938">
        <f>'Part VIII-Threshold Criteria'!Q255</f>
        <v>0</v>
      </c>
    </row>
    <row r="1355" spans="1:17">
      <c r="A1355" s="1935"/>
      <c r="B1355" s="521" t="s">
        <v>3762</v>
      </c>
      <c r="D1355" s="521"/>
      <c r="E1355" s="521"/>
      <c r="F1355" s="521"/>
      <c r="K1355" s="1894">
        <f>'Part VIII-Threshold Criteria'!K258</f>
        <v>0</v>
      </c>
      <c r="L1355" s="1894">
        <f>'Part VIII-Threshold Criteria'!L258</f>
        <v>0</v>
      </c>
      <c r="M1355" s="1894">
        <f>'Part VIII-Threshold Criteria'!M258</f>
        <v>0</v>
      </c>
      <c r="N1355" s="1894">
        <f>'Part VIII-Threshold Criteria'!N258</f>
        <v>0</v>
      </c>
      <c r="O1355" s="1894">
        <f>'Part VIII-Threshold Criteria'!O258</f>
        <v>0</v>
      </c>
      <c r="P1355" s="1894">
        <f>'Part VIII-Threshold Criteria'!P258</f>
        <v>0</v>
      </c>
      <c r="Q1355" s="1894">
        <f>'Part VIII-Threshold Criteria'!Q258</f>
        <v>0</v>
      </c>
    </row>
    <row r="1356" spans="1:17">
      <c r="A1356" s="1935" t="s">
        <v>2115</v>
      </c>
      <c r="B1356" s="521" t="s">
        <v>3909</v>
      </c>
      <c r="D1356" s="521"/>
      <c r="E1356" s="521"/>
      <c r="F1356" s="521"/>
      <c r="G1356" s="521"/>
      <c r="H1356" s="521"/>
      <c r="I1356" s="1631"/>
      <c r="J1356" s="1631"/>
      <c r="K1356" s="1631"/>
      <c r="M1356" s="521"/>
      <c r="N1356" s="1957"/>
      <c r="O1356" s="1937" t="s">
        <v>2115</v>
      </c>
      <c r="P1356" s="1938">
        <f>'Part VIII-Threshold Criteria'!P259</f>
        <v>0</v>
      </c>
      <c r="Q1356" s="1938">
        <f>'Part VIII-Threshold Criteria'!Q259</f>
        <v>0</v>
      </c>
    </row>
    <row r="1357" spans="1:17" ht="12.75" customHeight="1">
      <c r="A1357" s="1935"/>
      <c r="B1357" s="1900" t="s">
        <v>3764</v>
      </c>
      <c r="C1357" s="1900"/>
      <c r="D1357" s="1900"/>
      <c r="E1357" s="1900"/>
      <c r="F1357" s="1900"/>
      <c r="G1357" s="1900"/>
      <c r="H1357" s="1216" t="s">
        <v>4118</v>
      </c>
      <c r="K1357" s="1631"/>
      <c r="M1357" s="521"/>
      <c r="N1357" s="1957"/>
      <c r="O1357" s="1937" t="s">
        <v>1737</v>
      </c>
      <c r="P1357" s="1938">
        <f>'Part VIII-Threshold Criteria'!P260</f>
        <v>0</v>
      </c>
      <c r="Q1357" s="1938">
        <f>'Part VIII-Threshold Criteria'!Q260</f>
        <v>0</v>
      </c>
    </row>
    <row r="1358" spans="1:17">
      <c r="A1358" s="1935"/>
      <c r="B1358" s="1900"/>
      <c r="C1358" s="1900"/>
      <c r="D1358" s="1900"/>
      <c r="E1358" s="1900"/>
      <c r="F1358" s="1900"/>
      <c r="G1358" s="1900"/>
      <c r="H1358" s="1216" t="s">
        <v>4119</v>
      </c>
      <c r="K1358" s="1631"/>
      <c r="M1358" s="521"/>
      <c r="N1358" s="1957"/>
      <c r="O1358" s="1937" t="s">
        <v>1738</v>
      </c>
      <c r="P1358" s="1938">
        <f>'Part VIII-Threshold Criteria'!P261</f>
        <v>0</v>
      </c>
      <c r="Q1358" s="1938">
        <f>'Part VIII-Threshold Criteria'!Q261</f>
        <v>0</v>
      </c>
    </row>
    <row r="1359" spans="1:17">
      <c r="A1359" s="1935"/>
      <c r="B1359" s="521"/>
      <c r="D1359" s="521"/>
      <c r="E1359" s="521"/>
      <c r="F1359" s="521"/>
      <c r="G1359" s="521"/>
      <c r="H1359" s="1216" t="s">
        <v>4120</v>
      </c>
      <c r="K1359" s="1631"/>
      <c r="M1359" s="521"/>
      <c r="N1359" s="1957"/>
      <c r="O1359" s="1937" t="s">
        <v>1739</v>
      </c>
      <c r="P1359" s="1938">
        <f>'Part VIII-Threshold Criteria'!P262</f>
        <v>0</v>
      </c>
      <c r="Q1359" s="1938">
        <f>'Part VIII-Threshold Criteria'!Q262</f>
        <v>0</v>
      </c>
    </row>
    <row r="1360" spans="1:17">
      <c r="A1360" s="1935"/>
      <c r="B1360" s="521"/>
      <c r="D1360" s="521"/>
      <c r="E1360" s="521"/>
      <c r="F1360" s="521"/>
      <c r="G1360" s="521"/>
      <c r="H1360" s="1216" t="s">
        <v>4121</v>
      </c>
      <c r="K1360" s="1631"/>
      <c r="M1360" s="521"/>
      <c r="N1360" s="1957"/>
      <c r="O1360" s="1937" t="s">
        <v>2365</v>
      </c>
      <c r="P1360" s="1938">
        <f>'Part VIII-Threshold Criteria'!P263</f>
        <v>0</v>
      </c>
      <c r="Q1360" s="1938">
        <f>'Part VIII-Threshold Criteria'!Q263</f>
        <v>0</v>
      </c>
    </row>
    <row r="1361" spans="1:17" ht="12.75" customHeight="1">
      <c r="A1361" s="1933" t="s">
        <v>1735</v>
      </c>
      <c r="B1361" s="1900" t="s">
        <v>4548</v>
      </c>
      <c r="C1361" s="1900"/>
      <c r="D1361" s="1900"/>
      <c r="E1361" s="1900"/>
      <c r="F1361" s="1900"/>
      <c r="G1361" s="1900"/>
      <c r="H1361" s="1900"/>
      <c r="I1361" s="1900"/>
      <c r="J1361" s="1900"/>
      <c r="K1361" s="1900"/>
      <c r="L1361" s="1900"/>
      <c r="M1361" s="1900"/>
      <c r="N1361" s="1900"/>
      <c r="O1361" s="1944" t="s">
        <v>1735</v>
      </c>
      <c r="P1361" s="1945">
        <f>'Part VIII-Threshold Criteria'!P264</f>
        <v>0</v>
      </c>
      <c r="Q1361" s="1945">
        <f>'Part VIII-Threshold Criteria'!Q264</f>
        <v>0</v>
      </c>
    </row>
    <row r="1362" spans="1:17">
      <c r="B1362" s="1842" t="s">
        <v>3756</v>
      </c>
      <c r="D1362" s="1842"/>
      <c r="E1362" s="1842"/>
      <c r="F1362" s="1842"/>
      <c r="G1362" s="1842"/>
      <c r="H1362" s="1841"/>
      <c r="I1362" s="1895"/>
      <c r="J1362" s="1895"/>
      <c r="K1362" s="1895"/>
      <c r="L1362" s="1812"/>
      <c r="M1362" s="1812"/>
      <c r="N1362" s="1812"/>
      <c r="O1362" s="1812"/>
      <c r="P1362" s="1812"/>
      <c r="Q1362" s="1812"/>
    </row>
    <row r="1363" spans="1:17">
      <c r="A1363" s="1900">
        <f>'Part VIII-Threshold Criteria'!A272</f>
        <v>0</v>
      </c>
      <c r="B1363" s="1900">
        <f>'Part VIII-Threshold Criteria'!B272</f>
        <v>0</v>
      </c>
      <c r="C1363" s="1900">
        <f>'Part VIII-Threshold Criteria'!C272</f>
        <v>0</v>
      </c>
      <c r="D1363" s="1900">
        <f>'Part VIII-Threshold Criteria'!D272</f>
        <v>0</v>
      </c>
      <c r="E1363" s="1900">
        <f>'Part VIII-Threshold Criteria'!E272</f>
        <v>0</v>
      </c>
      <c r="F1363" s="1900">
        <f>'Part VIII-Threshold Criteria'!F272</f>
        <v>0</v>
      </c>
      <c r="G1363" s="1900">
        <f>'Part VIII-Threshold Criteria'!G272</f>
        <v>0</v>
      </c>
      <c r="H1363" s="1900">
        <f>'Part VIII-Threshold Criteria'!H272</f>
        <v>0</v>
      </c>
      <c r="I1363" s="1900">
        <f>'Part VIII-Threshold Criteria'!I272</f>
        <v>0</v>
      </c>
      <c r="J1363" s="1900">
        <f>'Part VIII-Threshold Criteria'!J272</f>
        <v>0</v>
      </c>
      <c r="K1363" s="1900">
        <f>'Part VIII-Threshold Criteria'!K272</f>
        <v>0</v>
      </c>
      <c r="L1363" s="1900">
        <f>'Part VIII-Threshold Criteria'!L272</f>
        <v>0</v>
      </c>
      <c r="M1363" s="1900">
        <f>'Part VIII-Threshold Criteria'!M272</f>
        <v>0</v>
      </c>
      <c r="N1363" s="1900">
        <f>'Part VIII-Threshold Criteria'!N272</f>
        <v>0</v>
      </c>
      <c r="O1363" s="1900">
        <f>'Part VIII-Threshold Criteria'!O272</f>
        <v>0</v>
      </c>
      <c r="P1363" s="1900">
        <f>'Part VIII-Threshold Criteria'!P272</f>
        <v>0</v>
      </c>
      <c r="Q1363" s="1900">
        <f>'Part VIII-Threshold Criteria'!Q272</f>
        <v>0</v>
      </c>
    </row>
    <row r="1364" spans="1:17">
      <c r="B1364" s="1897" t="s">
        <v>1866</v>
      </c>
      <c r="C1364" s="1898"/>
      <c r="D1364" s="1899"/>
      <c r="E1364" s="1899"/>
      <c r="F1364" s="1899"/>
      <c r="G1364" s="1899"/>
      <c r="H1364" s="1899"/>
      <c r="I1364" s="1899"/>
      <c r="J1364" s="1899"/>
      <c r="K1364" s="1899"/>
      <c r="L1364" s="1899"/>
      <c r="M1364" s="1899"/>
      <c r="N1364" s="1899"/>
      <c r="O1364" s="1899"/>
      <c r="P1364" s="1899"/>
      <c r="Q1364" s="1899"/>
    </row>
    <row r="1365" spans="1:17">
      <c r="A1365" s="1900">
        <f>'Part VIII-Threshold Criteria'!A274</f>
        <v>0</v>
      </c>
      <c r="B1365" s="1900">
        <f>'Part VIII-Threshold Criteria'!B274</f>
        <v>0</v>
      </c>
      <c r="C1365" s="1900">
        <f>'Part VIII-Threshold Criteria'!C274</f>
        <v>0</v>
      </c>
      <c r="D1365" s="1900">
        <f>'Part VIII-Threshold Criteria'!D274</f>
        <v>0</v>
      </c>
      <c r="E1365" s="1900">
        <f>'Part VIII-Threshold Criteria'!E274</f>
        <v>0</v>
      </c>
      <c r="F1365" s="1900">
        <f>'Part VIII-Threshold Criteria'!F274</f>
        <v>0</v>
      </c>
      <c r="G1365" s="1900">
        <f>'Part VIII-Threshold Criteria'!G274</f>
        <v>0</v>
      </c>
      <c r="H1365" s="1900">
        <f>'Part VIII-Threshold Criteria'!H274</f>
        <v>0</v>
      </c>
      <c r="I1365" s="1900">
        <f>'Part VIII-Threshold Criteria'!I274</f>
        <v>0</v>
      </c>
      <c r="J1365" s="1900">
        <f>'Part VIII-Threshold Criteria'!J274</f>
        <v>0</v>
      </c>
      <c r="K1365" s="1900">
        <f>'Part VIII-Threshold Criteria'!K274</f>
        <v>0</v>
      </c>
      <c r="L1365" s="1900">
        <f>'Part VIII-Threshold Criteria'!L274</f>
        <v>0</v>
      </c>
      <c r="M1365" s="1900">
        <f>'Part VIII-Threshold Criteria'!M274</f>
        <v>0</v>
      </c>
      <c r="N1365" s="1900">
        <f>'Part VIII-Threshold Criteria'!N274</f>
        <v>0</v>
      </c>
      <c r="O1365" s="1900">
        <f>'Part VIII-Threshold Criteria'!O274</f>
        <v>0</v>
      </c>
      <c r="P1365" s="1900">
        <f>'Part VIII-Threshold Criteria'!P274</f>
        <v>0</v>
      </c>
      <c r="Q1365" s="1900">
        <f>'Part VIII-Threshold Criteria'!Q274</f>
        <v>0</v>
      </c>
    </row>
    <row r="1366" spans="1:17">
      <c r="A1366" s="1812"/>
      <c r="B1366" s="1895"/>
      <c r="C1366" s="1899"/>
      <c r="D1366" s="1899"/>
      <c r="E1366" s="1899"/>
      <c r="F1366" s="1899"/>
      <c r="G1366" s="1899"/>
      <c r="H1366" s="1899"/>
      <c r="I1366" s="1899"/>
      <c r="J1366" s="1899"/>
      <c r="K1366" s="1899"/>
      <c r="L1366" s="1899"/>
      <c r="M1366" s="1899"/>
      <c r="Q1366" s="1812"/>
    </row>
    <row r="1367" spans="1:17">
      <c r="A1367" s="1805" t="s">
        <v>2251</v>
      </c>
      <c r="B1367" s="1629" t="s">
        <v>2663</v>
      </c>
      <c r="C1367" s="1629"/>
      <c r="D1367" s="1894"/>
      <c r="E1367" s="1894"/>
      <c r="F1367" s="1894"/>
      <c r="G1367" s="1894"/>
      <c r="H1367" s="1899"/>
      <c r="I1367" s="1899"/>
      <c r="J1367" s="1899"/>
      <c r="K1367" s="1899"/>
      <c r="L1367" s="1899"/>
      <c r="M1367" s="1899"/>
      <c r="O1367" s="1896" t="s">
        <v>1867</v>
      </c>
      <c r="P1367" s="1820">
        <f>'Part VIII-Threshold Criteria'!P276</f>
        <v>0</v>
      </c>
      <c r="Q1367" s="1820">
        <f>'Part VIII-Threshold Criteria'!Q276</f>
        <v>0</v>
      </c>
    </row>
    <row r="1369" spans="1:17" ht="12.75" customHeight="1">
      <c r="A1369" s="1933" t="s">
        <v>1983</v>
      </c>
      <c r="B1369" s="1900" t="s">
        <v>3911</v>
      </c>
      <c r="C1369" s="1900"/>
      <c r="D1369" s="1900"/>
      <c r="E1369" s="1900"/>
      <c r="F1369" s="1900"/>
      <c r="G1369" s="1900"/>
      <c r="H1369" s="1900"/>
      <c r="I1369" s="1900"/>
      <c r="J1369" s="1900"/>
      <c r="K1369" s="1900"/>
      <c r="L1369" s="1900"/>
      <c r="M1369" s="1900"/>
      <c r="N1369" s="1900"/>
      <c r="O1369" s="1944" t="s">
        <v>1983</v>
      </c>
      <c r="P1369" s="1945" t="str">
        <f>'Part VIII-Threshold Criteria'!P277</f>
        <v>Yes</v>
      </c>
      <c r="Q1369" s="1945">
        <f>'Part VIII-Threshold Criteria'!Q277</f>
        <v>0</v>
      </c>
    </row>
    <row r="1370" spans="1:17">
      <c r="A1370" s="1935"/>
      <c r="B1370" s="521" t="s">
        <v>3759</v>
      </c>
      <c r="D1370" s="521"/>
      <c r="E1370" s="521"/>
      <c r="F1370" s="521"/>
      <c r="G1370" s="521"/>
      <c r="H1370" s="521"/>
      <c r="I1370" s="521"/>
      <c r="J1370" s="521"/>
      <c r="K1370" s="521"/>
      <c r="L1370" s="521"/>
      <c r="M1370" s="521"/>
      <c r="O1370" s="1937"/>
      <c r="P1370" s="1938" t="str">
        <f>'Part VIII-Threshold Criteria'!P278</f>
        <v>Yes</v>
      </c>
      <c r="Q1370" s="1938">
        <f>'Part VIII-Threshold Criteria'!Q278</f>
        <v>0</v>
      </c>
    </row>
    <row r="1371" spans="1:17">
      <c r="A1371" s="1935" t="s">
        <v>1985</v>
      </c>
      <c r="B1371" s="521" t="s">
        <v>3760</v>
      </c>
      <c r="D1371" s="521"/>
      <c r="E1371" s="521"/>
      <c r="F1371" s="521"/>
      <c r="G1371" s="521"/>
      <c r="H1371" s="521"/>
      <c r="I1371" s="521"/>
      <c r="J1371" s="521"/>
      <c r="K1371" s="521"/>
      <c r="L1371" s="521"/>
      <c r="M1371" s="521"/>
      <c r="O1371" s="1937" t="s">
        <v>1985</v>
      </c>
      <c r="P1371" s="1938" t="str">
        <f>'Part VIII-Threshold Criteria'!P279</f>
        <v>Yes</v>
      </c>
      <c r="Q1371" s="1938">
        <f>'Part VIII-Threshold Criteria'!Q279</f>
        <v>0</v>
      </c>
    </row>
    <row r="1372" spans="1:17">
      <c r="A1372" s="1935" t="s">
        <v>749</v>
      </c>
      <c r="B1372" s="521" t="s">
        <v>4122</v>
      </c>
      <c r="D1372" s="521"/>
      <c r="E1372" s="521"/>
      <c r="F1372" s="521"/>
      <c r="G1372" s="521"/>
      <c r="H1372" s="521"/>
      <c r="I1372" s="521"/>
      <c r="J1372" s="521"/>
      <c r="K1372" s="521"/>
      <c r="L1372" s="521"/>
      <c r="M1372" s="521"/>
      <c r="O1372" s="1937" t="s">
        <v>749</v>
      </c>
      <c r="P1372" s="1938" t="str">
        <f>'Part VIII-Threshold Criteria'!P280</f>
        <v>Yes</v>
      </c>
      <c r="Q1372" s="1938">
        <f>'Part VIII-Threshold Criteria'!Q280</f>
        <v>0</v>
      </c>
    </row>
    <row r="1373" spans="1:17">
      <c r="A1373" s="1935"/>
      <c r="B1373" s="521" t="s">
        <v>3761</v>
      </c>
      <c r="D1373" s="521"/>
      <c r="E1373" s="521"/>
      <c r="F1373" s="521"/>
      <c r="G1373" s="521"/>
      <c r="H1373" s="521"/>
      <c r="I1373" s="521"/>
      <c r="J1373" s="521"/>
      <c r="K1373" s="521"/>
      <c r="L1373" s="521"/>
      <c r="M1373" s="521"/>
      <c r="O1373" s="1937"/>
      <c r="P1373" s="1938" t="str">
        <f>'Part VIII-Threshold Criteria'!P281</f>
        <v>Yes</v>
      </c>
      <c r="Q1373" s="1938">
        <f>'Part VIII-Threshold Criteria'!Q281</f>
        <v>0</v>
      </c>
    </row>
    <row r="1374" spans="1:17">
      <c r="A1374" s="1935" t="s">
        <v>2115</v>
      </c>
      <c r="B1374" s="521" t="s">
        <v>4123</v>
      </c>
      <c r="D1374" s="521"/>
      <c r="E1374" s="521"/>
      <c r="F1374" s="521"/>
      <c r="G1374" s="521"/>
      <c r="H1374" s="521"/>
      <c r="I1374" s="521"/>
      <c r="J1374" s="521"/>
      <c r="K1374" s="521"/>
      <c r="L1374" s="521"/>
      <c r="M1374" s="521"/>
      <c r="O1374" s="1937" t="s">
        <v>2115</v>
      </c>
      <c r="P1374" s="1938" t="str">
        <f>'Part VIII-Threshold Criteria'!P282</f>
        <v>Yes</v>
      </c>
      <c r="Q1374" s="1938">
        <f>'Part VIII-Threshold Criteria'!Q282</f>
        <v>0</v>
      </c>
    </row>
    <row r="1375" spans="1:17">
      <c r="B1375" s="1842" t="s">
        <v>3756</v>
      </c>
      <c r="D1375" s="1842"/>
      <c r="E1375" s="1842"/>
      <c r="F1375" s="1842"/>
      <c r="G1375" s="1842"/>
      <c r="H1375" s="1841"/>
      <c r="I1375" s="1895"/>
      <c r="J1375" s="1895"/>
      <c r="K1375" s="1895"/>
      <c r="L1375" s="1812"/>
      <c r="M1375" s="1812"/>
      <c r="N1375" s="1812"/>
      <c r="O1375" s="1812"/>
      <c r="P1375" s="1812"/>
      <c r="Q1375" s="1812"/>
    </row>
    <row r="1376" spans="1:17">
      <c r="A1376" s="1900">
        <f>'Part VIII-Threshold Criteria'!A284</f>
        <v>0</v>
      </c>
      <c r="B1376" s="1900">
        <f>'Part VIII-Threshold Criteria'!B284</f>
        <v>0</v>
      </c>
      <c r="C1376" s="1900">
        <f>'Part VIII-Threshold Criteria'!C284</f>
        <v>0</v>
      </c>
      <c r="D1376" s="1900">
        <f>'Part VIII-Threshold Criteria'!D284</f>
        <v>0</v>
      </c>
      <c r="E1376" s="1900">
        <f>'Part VIII-Threshold Criteria'!E284</f>
        <v>0</v>
      </c>
      <c r="F1376" s="1900">
        <f>'Part VIII-Threshold Criteria'!F284</f>
        <v>0</v>
      </c>
      <c r="G1376" s="1900">
        <f>'Part VIII-Threshold Criteria'!G284</f>
        <v>0</v>
      </c>
      <c r="H1376" s="1900">
        <f>'Part VIII-Threshold Criteria'!H284</f>
        <v>0</v>
      </c>
      <c r="I1376" s="1900">
        <f>'Part VIII-Threshold Criteria'!I284</f>
        <v>0</v>
      </c>
      <c r="J1376" s="1900">
        <f>'Part VIII-Threshold Criteria'!J284</f>
        <v>0</v>
      </c>
      <c r="K1376" s="1900">
        <f>'Part VIII-Threshold Criteria'!K284</f>
        <v>0</v>
      </c>
      <c r="L1376" s="1900">
        <f>'Part VIII-Threshold Criteria'!L284</f>
        <v>0</v>
      </c>
      <c r="M1376" s="1900">
        <f>'Part VIII-Threshold Criteria'!M284</f>
        <v>0</v>
      </c>
      <c r="N1376" s="1900">
        <f>'Part VIII-Threshold Criteria'!N284</f>
        <v>0</v>
      </c>
      <c r="O1376" s="1900">
        <f>'Part VIII-Threshold Criteria'!O284</f>
        <v>0</v>
      </c>
      <c r="P1376" s="1900">
        <f>'Part VIII-Threshold Criteria'!P284</f>
        <v>0</v>
      </c>
      <c r="Q1376" s="1900">
        <f>'Part VIII-Threshold Criteria'!Q284</f>
        <v>0</v>
      </c>
    </row>
    <row r="1377" spans="1:17">
      <c r="B1377" s="1897" t="s">
        <v>1866</v>
      </c>
      <c r="C1377" s="1898"/>
      <c r="D1377" s="1899"/>
      <c r="E1377" s="1899"/>
      <c r="F1377" s="1899"/>
      <c r="G1377" s="1899"/>
      <c r="H1377" s="1899"/>
      <c r="I1377" s="1899"/>
      <c r="J1377" s="1899"/>
      <c r="K1377" s="1899"/>
      <c r="L1377" s="1899"/>
      <c r="M1377" s="1899"/>
      <c r="N1377" s="1899"/>
      <c r="O1377" s="1899"/>
      <c r="P1377" s="1899"/>
      <c r="Q1377" s="1899"/>
    </row>
    <row r="1378" spans="1:17">
      <c r="A1378" s="1900">
        <f>'Part VIII-Threshold Criteria'!A286</f>
        <v>0</v>
      </c>
      <c r="B1378" s="1900">
        <f>'Part VIII-Threshold Criteria'!B286</f>
        <v>0</v>
      </c>
      <c r="C1378" s="1900">
        <f>'Part VIII-Threshold Criteria'!C286</f>
        <v>0</v>
      </c>
      <c r="D1378" s="1900">
        <f>'Part VIII-Threshold Criteria'!D286</f>
        <v>0</v>
      </c>
      <c r="E1378" s="1900">
        <f>'Part VIII-Threshold Criteria'!E286</f>
        <v>0</v>
      </c>
      <c r="F1378" s="1900">
        <f>'Part VIII-Threshold Criteria'!F286</f>
        <v>0</v>
      </c>
      <c r="G1378" s="1900">
        <f>'Part VIII-Threshold Criteria'!G286</f>
        <v>0</v>
      </c>
      <c r="H1378" s="1900">
        <f>'Part VIII-Threshold Criteria'!H286</f>
        <v>0</v>
      </c>
      <c r="I1378" s="1900">
        <f>'Part VIII-Threshold Criteria'!I286</f>
        <v>0</v>
      </c>
      <c r="J1378" s="1900">
        <f>'Part VIII-Threshold Criteria'!J286</f>
        <v>0</v>
      </c>
      <c r="K1378" s="1900">
        <f>'Part VIII-Threshold Criteria'!K286</f>
        <v>0</v>
      </c>
      <c r="L1378" s="1900">
        <f>'Part VIII-Threshold Criteria'!L286</f>
        <v>0</v>
      </c>
      <c r="M1378" s="1900">
        <f>'Part VIII-Threshold Criteria'!M286</f>
        <v>0</v>
      </c>
      <c r="N1378" s="1900">
        <f>'Part VIII-Threshold Criteria'!N286</f>
        <v>0</v>
      </c>
      <c r="O1378" s="1900">
        <f>'Part VIII-Threshold Criteria'!O286</f>
        <v>0</v>
      </c>
      <c r="P1378" s="1900">
        <f>'Part VIII-Threshold Criteria'!P286</f>
        <v>0</v>
      </c>
      <c r="Q1378" s="1900">
        <f>'Part VIII-Threshold Criteria'!Q286</f>
        <v>0</v>
      </c>
    </row>
    <row r="1379" spans="1:17">
      <c r="A1379" s="1805" t="s">
        <v>4104</v>
      </c>
      <c r="B1379" s="1805" t="s">
        <v>2664</v>
      </c>
      <c r="C1379" s="1805"/>
      <c r="D1379" s="1899"/>
      <c r="E1379" s="1899"/>
      <c r="F1379" s="1899"/>
      <c r="G1379" s="1899"/>
      <c r="H1379" s="1899"/>
      <c r="I1379" s="1899"/>
      <c r="J1379" s="1899"/>
      <c r="K1379" s="1899"/>
      <c r="L1379" s="1899"/>
      <c r="M1379" s="1899"/>
      <c r="O1379" s="1896" t="s">
        <v>1867</v>
      </c>
      <c r="P1379" s="1820">
        <f>'Part VIII-Threshold Criteria'!P288</f>
        <v>0</v>
      </c>
      <c r="Q1379" s="1820">
        <f>'Part VIII-Threshold Criteria'!Q288</f>
        <v>0</v>
      </c>
    </row>
    <row r="1381" spans="1:17" ht="12.75" customHeight="1">
      <c r="A1381" s="1933" t="s">
        <v>1983</v>
      </c>
      <c r="B1381" s="1900" t="s">
        <v>2813</v>
      </c>
      <c r="C1381" s="1900"/>
      <c r="D1381" s="1900"/>
      <c r="E1381" s="1900"/>
      <c r="F1381" s="1900"/>
      <c r="G1381" s="1900"/>
      <c r="H1381" s="1900"/>
      <c r="I1381" s="1900"/>
      <c r="J1381" s="1900"/>
      <c r="K1381" s="1900"/>
      <c r="L1381" s="1900"/>
      <c r="M1381" s="1900"/>
      <c r="N1381" s="1900"/>
      <c r="O1381" s="1944" t="s">
        <v>1983</v>
      </c>
      <c r="P1381" s="1945" t="str">
        <f>'Part VIII-Threshold Criteria'!P289</f>
        <v>Agree</v>
      </c>
      <c r="Q1381" s="1945">
        <f>'Part VIII-Threshold Criteria'!Q289</f>
        <v>0</v>
      </c>
    </row>
    <row r="1382" spans="1:17" ht="12.75" customHeight="1">
      <c r="A1382" s="1933" t="s">
        <v>1985</v>
      </c>
      <c r="B1382" s="1900" t="s">
        <v>2814</v>
      </c>
      <c r="C1382" s="1900"/>
      <c r="D1382" s="1900"/>
      <c r="E1382" s="1900"/>
      <c r="F1382" s="1900"/>
      <c r="G1382" s="1900"/>
      <c r="H1382" s="1900"/>
      <c r="I1382" s="1900"/>
      <c r="J1382" s="1900"/>
      <c r="K1382" s="1900"/>
      <c r="L1382" s="1900"/>
      <c r="M1382" s="1900"/>
      <c r="N1382" s="1900"/>
      <c r="O1382" s="1944" t="s">
        <v>1985</v>
      </c>
      <c r="P1382" s="1945" t="str">
        <f>'Part VIII-Threshold Criteria'!P290</f>
        <v>Agree</v>
      </c>
      <c r="Q1382" s="1945">
        <f>'Part VIII-Threshold Criteria'!Q290</f>
        <v>0</v>
      </c>
    </row>
    <row r="1383" spans="1:17">
      <c r="B1383" s="1842" t="s">
        <v>3756</v>
      </c>
      <c r="D1383" s="1842"/>
      <c r="E1383" s="1842"/>
      <c r="F1383" s="1842"/>
      <c r="G1383" s="1842"/>
      <c r="H1383" s="1841"/>
      <c r="I1383" s="1895"/>
      <c r="J1383" s="1895"/>
      <c r="K1383" s="1895"/>
      <c r="L1383" s="1812"/>
      <c r="M1383" s="1812"/>
      <c r="N1383" s="1812"/>
      <c r="O1383" s="1812"/>
      <c r="P1383" s="1812"/>
      <c r="Q1383" s="1812"/>
    </row>
    <row r="1384" spans="1:17">
      <c r="A1384" s="1900" t="e">
        <f>'Part VIII-Threshold Criteria'!#REF!</f>
        <v>#REF!</v>
      </c>
      <c r="B1384" s="1900" t="e">
        <f>'Part VIII-Threshold Criteria'!#REF!</f>
        <v>#REF!</v>
      </c>
      <c r="C1384" s="1900" t="e">
        <f>'Part VIII-Threshold Criteria'!#REF!</f>
        <v>#REF!</v>
      </c>
      <c r="D1384" s="1900" t="e">
        <f>'Part VIII-Threshold Criteria'!#REF!</f>
        <v>#REF!</v>
      </c>
      <c r="E1384" s="1900" t="e">
        <f>'Part VIII-Threshold Criteria'!#REF!</f>
        <v>#REF!</v>
      </c>
      <c r="F1384" s="1900" t="e">
        <f>'Part VIII-Threshold Criteria'!#REF!</f>
        <v>#REF!</v>
      </c>
      <c r="G1384" s="1900" t="e">
        <f>'Part VIII-Threshold Criteria'!#REF!</f>
        <v>#REF!</v>
      </c>
      <c r="H1384" s="1900" t="e">
        <f>'Part VIII-Threshold Criteria'!#REF!</f>
        <v>#REF!</v>
      </c>
      <c r="I1384" s="1900" t="e">
        <f>'Part VIII-Threshold Criteria'!#REF!</f>
        <v>#REF!</v>
      </c>
      <c r="J1384" s="1900" t="e">
        <f>'Part VIII-Threshold Criteria'!#REF!</f>
        <v>#REF!</v>
      </c>
      <c r="K1384" s="1900" t="e">
        <f>'Part VIII-Threshold Criteria'!#REF!</f>
        <v>#REF!</v>
      </c>
      <c r="L1384" s="1900" t="e">
        <f>'Part VIII-Threshold Criteria'!#REF!</f>
        <v>#REF!</v>
      </c>
      <c r="M1384" s="1900" t="e">
        <f>'Part VIII-Threshold Criteria'!#REF!</f>
        <v>#REF!</v>
      </c>
      <c r="N1384" s="1900" t="e">
        <f>'Part VIII-Threshold Criteria'!#REF!</f>
        <v>#REF!</v>
      </c>
      <c r="O1384" s="1900" t="e">
        <f>'Part VIII-Threshold Criteria'!#REF!</f>
        <v>#REF!</v>
      </c>
      <c r="P1384" s="1900" t="e">
        <f>'Part VIII-Threshold Criteria'!#REF!</f>
        <v>#REF!</v>
      </c>
      <c r="Q1384" s="1900" t="e">
        <f>'Part VIII-Threshold Criteria'!#REF!</f>
        <v>#REF!</v>
      </c>
    </row>
    <row r="1385" spans="1:17">
      <c r="B1385" s="1897" t="s">
        <v>1866</v>
      </c>
      <c r="C1385" s="1898"/>
      <c r="D1385" s="1899"/>
      <c r="E1385" s="1899"/>
      <c r="F1385" s="1899"/>
      <c r="G1385" s="1899"/>
      <c r="H1385" s="1899"/>
      <c r="I1385" s="1899"/>
      <c r="J1385" s="1899"/>
      <c r="K1385" s="1899"/>
      <c r="L1385" s="1899"/>
      <c r="M1385" s="1899"/>
      <c r="N1385" s="1899"/>
      <c r="O1385" s="1899"/>
      <c r="P1385" s="1899"/>
      <c r="Q1385" s="1899"/>
    </row>
    <row r="1386" spans="1:17">
      <c r="A1386" s="1900" t="e">
        <f>'Part VIII-Threshold Criteria'!#REF!</f>
        <v>#REF!</v>
      </c>
      <c r="B1386" s="1900" t="e">
        <f>'Part VIII-Threshold Criteria'!#REF!</f>
        <v>#REF!</v>
      </c>
      <c r="C1386" s="1900" t="e">
        <f>'Part VIII-Threshold Criteria'!#REF!</f>
        <v>#REF!</v>
      </c>
      <c r="D1386" s="1900" t="e">
        <f>'Part VIII-Threshold Criteria'!#REF!</f>
        <v>#REF!</v>
      </c>
      <c r="E1386" s="1900" t="e">
        <f>'Part VIII-Threshold Criteria'!#REF!</f>
        <v>#REF!</v>
      </c>
      <c r="F1386" s="1900" t="e">
        <f>'Part VIII-Threshold Criteria'!#REF!</f>
        <v>#REF!</v>
      </c>
      <c r="G1386" s="1900" t="e">
        <f>'Part VIII-Threshold Criteria'!#REF!</f>
        <v>#REF!</v>
      </c>
      <c r="H1386" s="1900" t="e">
        <f>'Part VIII-Threshold Criteria'!#REF!</f>
        <v>#REF!</v>
      </c>
      <c r="I1386" s="1900" t="e">
        <f>'Part VIII-Threshold Criteria'!#REF!</f>
        <v>#REF!</v>
      </c>
      <c r="J1386" s="1900" t="e">
        <f>'Part VIII-Threshold Criteria'!#REF!</f>
        <v>#REF!</v>
      </c>
      <c r="K1386" s="1900" t="e">
        <f>'Part VIII-Threshold Criteria'!#REF!</f>
        <v>#REF!</v>
      </c>
      <c r="L1386" s="1900" t="e">
        <f>'Part VIII-Threshold Criteria'!#REF!</f>
        <v>#REF!</v>
      </c>
      <c r="M1386" s="1900" t="e">
        <f>'Part VIII-Threshold Criteria'!#REF!</f>
        <v>#REF!</v>
      </c>
      <c r="N1386" s="1900" t="e">
        <f>'Part VIII-Threshold Criteria'!#REF!</f>
        <v>#REF!</v>
      </c>
      <c r="O1386" s="1900" t="e">
        <f>'Part VIII-Threshold Criteria'!#REF!</f>
        <v>#REF!</v>
      </c>
      <c r="P1386" s="1900" t="e">
        <f>'Part VIII-Threshold Criteria'!#REF!</f>
        <v>#REF!</v>
      </c>
      <c r="Q1386" s="1900" t="e">
        <f>'Part VIII-Threshold Criteria'!#REF!</f>
        <v>#REF!</v>
      </c>
    </row>
    <row r="1387" spans="1:17">
      <c r="A1387" s="1805" t="s">
        <v>4105</v>
      </c>
      <c r="B1387" s="1805" t="s">
        <v>2665</v>
      </c>
      <c r="C1387" s="1958"/>
      <c r="D1387" s="1959"/>
      <c r="E1387" s="1899"/>
      <c r="F1387" s="1899"/>
      <c r="G1387" s="1899"/>
      <c r="H1387" s="1899"/>
      <c r="I1387" s="1899"/>
      <c r="J1387" s="1899"/>
      <c r="K1387" s="1899"/>
      <c r="L1387" s="1899"/>
      <c r="M1387" s="1899"/>
      <c r="O1387" s="1896" t="s">
        <v>1867</v>
      </c>
      <c r="P1387" s="1820">
        <f>'Part VIII-Threshold Criteria'!P298</f>
        <v>0</v>
      </c>
      <c r="Q1387" s="1820">
        <f>'Part VIII-Threshold Criteria'!Q298</f>
        <v>0</v>
      </c>
    </row>
    <row r="1388" spans="1:17">
      <c r="A1388" s="1829" t="s">
        <v>1983</v>
      </c>
      <c r="B1388" s="1805" t="s">
        <v>4549</v>
      </c>
    </row>
    <row r="1389" spans="1:17" ht="12.75" customHeight="1">
      <c r="A1389" s="1933"/>
      <c r="B1389" s="1944" t="s">
        <v>1737</v>
      </c>
      <c r="C1389" s="1900" t="s">
        <v>3913</v>
      </c>
      <c r="D1389" s="1900"/>
      <c r="E1389" s="1900"/>
      <c r="F1389" s="1900"/>
      <c r="G1389" s="1900"/>
      <c r="H1389" s="1900"/>
      <c r="I1389" s="1900"/>
      <c r="J1389" s="1900"/>
      <c r="K1389" s="1900"/>
      <c r="L1389" s="1900"/>
      <c r="M1389" s="1900"/>
      <c r="N1389" s="1900"/>
      <c r="O1389" s="1944" t="s">
        <v>2726</v>
      </c>
      <c r="P1389" s="1945" t="str">
        <f>'Part VIII-Threshold Criteria'!P300</f>
        <v>Yes</v>
      </c>
      <c r="Q1389" s="1945">
        <f>'Part VIII-Threshold Criteria'!Q300</f>
        <v>0</v>
      </c>
    </row>
    <row r="1390" spans="1:17" ht="12.75" customHeight="1">
      <c r="A1390" s="1933"/>
      <c r="B1390" s="1944" t="s">
        <v>1738</v>
      </c>
      <c r="C1390" s="1900" t="s">
        <v>3914</v>
      </c>
      <c r="D1390" s="1900"/>
      <c r="E1390" s="1900"/>
      <c r="F1390" s="1900"/>
      <c r="G1390" s="1900"/>
      <c r="H1390" s="1900"/>
      <c r="I1390" s="1900"/>
      <c r="J1390" s="1900"/>
      <c r="K1390" s="1900"/>
      <c r="L1390" s="1900"/>
      <c r="M1390" s="1900"/>
      <c r="N1390" s="1900"/>
      <c r="O1390" s="1944" t="s">
        <v>1738</v>
      </c>
      <c r="P1390" s="1945" t="str">
        <f>'Part VIII-Threshold Criteria'!P301</f>
        <v>Yes</v>
      </c>
      <c r="Q1390" s="1945">
        <f>'Part VIII-Threshold Criteria'!Q301</f>
        <v>0</v>
      </c>
    </row>
    <row r="1391" spans="1:17" ht="12.75" customHeight="1">
      <c r="A1391" s="1933"/>
      <c r="B1391" s="1944" t="s">
        <v>1739</v>
      </c>
      <c r="C1391" s="1900" t="s">
        <v>3912</v>
      </c>
      <c r="D1391" s="1900"/>
      <c r="E1391" s="1900"/>
      <c r="F1391" s="1900"/>
      <c r="G1391" s="1900"/>
      <c r="H1391" s="1900"/>
      <c r="I1391" s="1900"/>
      <c r="J1391" s="1900"/>
      <c r="K1391" s="1900"/>
      <c r="L1391" s="1900"/>
      <c r="M1391" s="1900"/>
      <c r="N1391" s="1900"/>
      <c r="O1391" s="1944" t="s">
        <v>1739</v>
      </c>
      <c r="P1391" s="1945">
        <f>'Part VIII-Threshold Criteria'!P302</f>
        <v>0</v>
      </c>
      <c r="Q1391" s="1945">
        <f>'Part VIII-Threshold Criteria'!Q302</f>
        <v>0</v>
      </c>
    </row>
    <row r="1392" spans="1:17">
      <c r="A1392" s="1829" t="s">
        <v>1985</v>
      </c>
      <c r="B1392" s="1805" t="s">
        <v>3879</v>
      </c>
      <c r="C1392" s="1631"/>
      <c r="D1392" s="1960"/>
      <c r="E1392" s="1960"/>
      <c r="F1392" s="1960"/>
      <c r="G1392" s="1960"/>
      <c r="H1392" s="1960"/>
      <c r="I1392" s="1960"/>
      <c r="J1392" s="1960"/>
      <c r="K1392" s="1960"/>
      <c r="L1392" s="1960"/>
      <c r="M1392" s="1960"/>
      <c r="N1392" s="1960"/>
      <c r="O1392" s="1937"/>
      <c r="P1392" s="1937"/>
      <c r="Q1392" s="1937"/>
    </row>
    <row r="1393" spans="1:17" ht="12.75" customHeight="1">
      <c r="A1393" s="1941"/>
      <c r="B1393" s="1944" t="s">
        <v>1737</v>
      </c>
      <c r="C1393" s="1900" t="s">
        <v>4550</v>
      </c>
      <c r="D1393" s="1900"/>
      <c r="E1393" s="1900"/>
      <c r="F1393" s="1900"/>
      <c r="G1393" s="1900"/>
      <c r="H1393" s="1900"/>
      <c r="I1393" s="1921"/>
      <c r="J1393" s="1904" t="s">
        <v>3796</v>
      </c>
      <c r="K1393" s="1955"/>
      <c r="L1393" s="1955"/>
      <c r="M1393" s="1961" t="s">
        <v>3766</v>
      </c>
      <c r="N1393" s="1961"/>
      <c r="O1393" s="1631"/>
      <c r="P1393" s="1631"/>
      <c r="Q1393" s="1631"/>
    </row>
    <row r="1394" spans="1:17">
      <c r="A1394" s="1650"/>
      <c r="B1394" s="1647"/>
      <c r="C1394" s="1900"/>
      <c r="D1394" s="1900"/>
      <c r="E1394" s="1900"/>
      <c r="F1394" s="1900"/>
      <c r="G1394" s="1900"/>
      <c r="H1394" s="1900"/>
      <c r="I1394" s="1651"/>
      <c r="J1394" s="1955"/>
      <c r="K1394" s="1955"/>
      <c r="L1394" s="1955"/>
      <c r="M1394" s="521" t="s">
        <v>3767</v>
      </c>
      <c r="N1394" s="1895" t="s">
        <v>3795</v>
      </c>
      <c r="O1394" s="1647"/>
      <c r="P1394" s="1660"/>
      <c r="Q1394" s="1647"/>
    </row>
    <row r="1395" spans="1:17">
      <c r="A1395" s="1650"/>
      <c r="B1395" s="1647"/>
      <c r="C1395" s="1900"/>
      <c r="D1395" s="1900"/>
      <c r="E1395" s="1900"/>
      <c r="F1395" s="1900"/>
      <c r="G1395" s="1900"/>
      <c r="H1395" s="1900"/>
      <c r="I1395" s="521" t="s">
        <v>4125</v>
      </c>
      <c r="J1395" s="1647"/>
      <c r="K1395" s="2163">
        <f>'Part VIII-Threshold Criteria'!K306</f>
        <v>12</v>
      </c>
      <c r="L1395" s="1648" t="str">
        <f>IF(K1395&lt;M1395,"Check!!!","")</f>
        <v/>
      </c>
      <c r="M1395" s="1962">
        <f>'Part VIII-Threshold Criteria'!M306</f>
        <v>5</v>
      </c>
      <c r="N1395" s="1963">
        <f>'DCA Underwriting Assumptions'!$Q$139</f>
        <v>0.05</v>
      </c>
      <c r="O1395" s="1937" t="s">
        <v>3639</v>
      </c>
      <c r="P1395" s="1938" t="str">
        <f>'Part VIII-Threshold Criteria'!P306</f>
        <v>Yes</v>
      </c>
      <c r="Q1395" s="1938">
        <f>'Part VIII-Threshold Criteria'!Q306</f>
        <v>0</v>
      </c>
    </row>
    <row r="1396" spans="1:17">
      <c r="A1396" s="1650"/>
      <c r="B1396" s="1647"/>
      <c r="C1396" s="1680"/>
      <c r="D1396" s="1647"/>
      <c r="E1396" s="1680"/>
      <c r="F1396" s="1680"/>
      <c r="G1396" s="1680"/>
      <c r="H1396" s="1647"/>
      <c r="I1396" s="1647"/>
      <c r="J1396" s="1647"/>
      <c r="K1396" s="1651"/>
      <c r="L1396" s="1654"/>
      <c r="M1396" s="1647"/>
      <c r="N1396" s="1647"/>
      <c r="O1396" s="1647"/>
      <c r="P1396" s="1660"/>
      <c r="Q1396" s="1647"/>
    </row>
    <row r="1397" spans="1:17" ht="12.75" customHeight="1">
      <c r="A1397" s="1933"/>
      <c r="B1397" s="1944"/>
      <c r="C1397" s="1900" t="s">
        <v>4551</v>
      </c>
      <c r="D1397" s="1900"/>
      <c r="E1397" s="1900"/>
      <c r="F1397" s="1900"/>
      <c r="G1397" s="1900"/>
      <c r="H1397" s="1900"/>
      <c r="I1397" s="1964" t="s">
        <v>4126</v>
      </c>
      <c r="J1397" s="1647"/>
      <c r="K1397" s="2163">
        <f>'Part VIII-Threshold Criteria'!K307</f>
        <v>5</v>
      </c>
      <c r="L1397" s="1648" t="str">
        <f>IF(K1397&lt;M1397,"Check!!!","")</f>
        <v/>
      </c>
      <c r="M1397" s="1962">
        <f>'Part VIII-Threshold Criteria'!M307</f>
        <v>5</v>
      </c>
      <c r="N1397" s="1963">
        <f>'DCA Underwriting Assumptions'!$Q$140</f>
        <v>0.4</v>
      </c>
      <c r="O1397" s="1937" t="s">
        <v>2117</v>
      </c>
      <c r="P1397" s="1938" t="str">
        <f>'Part VIII-Threshold Criteria'!P307</f>
        <v>Yes</v>
      </c>
      <c r="Q1397" s="1938">
        <f>'Part VIII-Threshold Criteria'!Q307</f>
        <v>0</v>
      </c>
    </row>
    <row r="1398" spans="1:17">
      <c r="A1398" s="1650"/>
      <c r="B1398" s="1647"/>
      <c r="C1398" s="1900"/>
      <c r="D1398" s="1900"/>
      <c r="E1398" s="1900"/>
      <c r="F1398" s="1900"/>
      <c r="G1398" s="1900"/>
      <c r="H1398" s="1900"/>
      <c r="I1398" s="1647"/>
      <c r="J1398" s="1647"/>
      <c r="K1398" s="1647"/>
      <c r="L1398" s="1647"/>
      <c r="M1398" s="1647"/>
      <c r="N1398" s="1647"/>
      <c r="O1398" s="1841"/>
      <c r="P1398" s="1937"/>
      <c r="Q1398" s="1647"/>
    </row>
    <row r="1399" spans="1:17" ht="12.75" customHeight="1">
      <c r="A1399" s="1933"/>
      <c r="B1399" s="1944" t="s">
        <v>1738</v>
      </c>
      <c r="C1399" s="1900" t="s">
        <v>4552</v>
      </c>
      <c r="D1399" s="1900"/>
      <c r="E1399" s="1900"/>
      <c r="F1399" s="1900"/>
      <c r="G1399" s="1900"/>
      <c r="H1399" s="1900"/>
      <c r="I1399" s="521" t="s">
        <v>4127</v>
      </c>
      <c r="J1399" s="1647"/>
      <c r="K1399" s="2163">
        <f>'Part VIII-Threshold Criteria'!K309</f>
        <v>5</v>
      </c>
      <c r="L1399" s="1648" t="str">
        <f>IF(K1399&lt;M1399,"Check!!!","")</f>
        <v/>
      </c>
      <c r="M1399" s="1962">
        <f>'Part VIII-Threshold Criteria'!M309</f>
        <v>2</v>
      </c>
      <c r="N1399" s="1963">
        <f>'DCA Underwriting Assumptions'!$Q$141</f>
        <v>0.02</v>
      </c>
      <c r="O1399" s="1937" t="s">
        <v>1738</v>
      </c>
      <c r="P1399" s="1938" t="str">
        <f>'Part VIII-Threshold Criteria'!P309</f>
        <v>Yes</v>
      </c>
      <c r="Q1399" s="1938">
        <f>'Part VIII-Threshold Criteria'!Q309</f>
        <v>0</v>
      </c>
    </row>
    <row r="1400" spans="1:17">
      <c r="A1400" s="1650"/>
      <c r="B1400" s="1647"/>
      <c r="C1400" s="1900"/>
      <c r="D1400" s="1900"/>
      <c r="E1400" s="1900"/>
      <c r="F1400" s="1900"/>
      <c r="G1400" s="1900"/>
      <c r="H1400" s="1900"/>
      <c r="I1400" s="1647"/>
      <c r="J1400" s="521"/>
      <c r="K1400" s="521"/>
      <c r="L1400" s="1841"/>
      <c r="M1400" s="1895"/>
      <c r="N1400" s="1647"/>
      <c r="O1400" s="521"/>
      <c r="P1400" s="1895"/>
      <c r="Q1400" s="521"/>
    </row>
    <row r="1401" spans="1:17">
      <c r="A1401" s="1650"/>
      <c r="B1401" s="1647"/>
      <c r="C1401" s="1900"/>
      <c r="D1401" s="1900"/>
      <c r="E1401" s="1900"/>
      <c r="F1401" s="1900"/>
      <c r="G1401" s="1900"/>
      <c r="H1401" s="1900"/>
      <c r="I1401" s="1647"/>
      <c r="J1401" s="1647"/>
      <c r="K1401" s="1647"/>
      <c r="L1401" s="1647"/>
      <c r="M1401" s="1647"/>
      <c r="N1401" s="1647"/>
      <c r="O1401" s="1841"/>
      <c r="P1401" s="1937"/>
      <c r="Q1401" s="1647"/>
    </row>
    <row r="1402" spans="1:17">
      <c r="A1402" s="1829" t="s">
        <v>749</v>
      </c>
      <c r="B1402" s="1805" t="s">
        <v>3880</v>
      </c>
      <c r="C1402" s="1647"/>
      <c r="D1402" s="1899"/>
      <c r="E1402" s="1899"/>
      <c r="F1402" s="1899"/>
      <c r="G1402" s="1899"/>
      <c r="H1402" s="1899"/>
      <c r="I1402" s="1647"/>
      <c r="J1402" s="1647"/>
      <c r="K1402" s="1647"/>
      <c r="L1402" s="1647"/>
      <c r="M1402" s="1647"/>
      <c r="N1402" s="1647"/>
      <c r="O1402" s="1841"/>
      <c r="P1402" s="1937"/>
      <c r="Q1402" s="1647"/>
    </row>
    <row r="1403" spans="1:17" ht="12.75" customHeight="1">
      <c r="A1403" s="1631"/>
      <c r="B1403" s="1900" t="s">
        <v>3641</v>
      </c>
      <c r="C1403" s="1900"/>
      <c r="D1403" s="1900"/>
      <c r="E1403" s="1900"/>
      <c r="F1403" s="1900"/>
      <c r="G1403" s="1900"/>
      <c r="H1403" s="1900"/>
      <c r="I1403" s="1900"/>
      <c r="J1403" s="1900"/>
      <c r="K1403" s="1900"/>
      <c r="L1403" s="1900"/>
      <c r="M1403" s="1900"/>
      <c r="N1403" s="1900"/>
      <c r="O1403" s="1944" t="s">
        <v>749</v>
      </c>
      <c r="P1403" s="1945" t="str">
        <f>'Part VIII-Threshold Criteria'!P313</f>
        <v>Yes</v>
      </c>
      <c r="Q1403" s="1945">
        <f>'Part VIII-Threshold Criteria'!Q313</f>
        <v>0</v>
      </c>
    </row>
    <row r="1404" spans="1:17">
      <c r="A1404" s="1631"/>
      <c r="B1404" s="1921" t="s">
        <v>3642</v>
      </c>
      <c r="C1404" s="1631"/>
      <c r="D1404" s="1921"/>
      <c r="E1404" s="1921"/>
      <c r="F1404" s="1921"/>
      <c r="G1404" s="1921"/>
      <c r="H1404" s="1921"/>
      <c r="I1404" s="1921" t="s">
        <v>3765</v>
      </c>
      <c r="J1404" s="1921"/>
      <c r="K1404" s="1921"/>
      <c r="L1404" s="1921">
        <f>'Part VIII-Threshold Criteria'!L314</f>
        <v>0</v>
      </c>
      <c r="M1404" s="1921">
        <f>'Part VIII-Threshold Criteria'!M314</f>
        <v>0</v>
      </c>
      <c r="N1404" s="1921">
        <f>'Part VIII-Threshold Criteria'!N314</f>
        <v>0</v>
      </c>
      <c r="O1404" s="1921"/>
      <c r="P1404" s="1921"/>
      <c r="Q1404" s="1921"/>
    </row>
    <row r="1405" spans="1:17" ht="12.75" customHeight="1">
      <c r="A1405" s="1913"/>
      <c r="B1405" s="1944" t="s">
        <v>1737</v>
      </c>
      <c r="C1405" s="1900" t="s">
        <v>3640</v>
      </c>
      <c r="D1405" s="1900"/>
      <c r="E1405" s="1900"/>
      <c r="F1405" s="1900"/>
      <c r="G1405" s="1900"/>
      <c r="H1405" s="1900"/>
      <c r="I1405" s="1900"/>
      <c r="J1405" s="1900"/>
      <c r="K1405" s="1900"/>
      <c r="L1405" s="1900"/>
      <c r="M1405" s="1900"/>
      <c r="N1405" s="1900"/>
      <c r="O1405" s="1944" t="s">
        <v>3645</v>
      </c>
      <c r="P1405" s="1945" t="str">
        <f>'Part VIII-Threshold Criteria'!P315</f>
        <v>Yes</v>
      </c>
      <c r="Q1405" s="1945">
        <f>'Part VIII-Threshold Criteria'!Q315</f>
        <v>0</v>
      </c>
    </row>
    <row r="1406" spans="1:17" ht="12.75" customHeight="1">
      <c r="A1406" s="1913"/>
      <c r="B1406" s="1944" t="s">
        <v>1738</v>
      </c>
      <c r="C1406" s="1900" t="s">
        <v>3685</v>
      </c>
      <c r="D1406" s="1900"/>
      <c r="E1406" s="1900"/>
      <c r="F1406" s="1900"/>
      <c r="G1406" s="1900"/>
      <c r="H1406" s="1900"/>
      <c r="I1406" s="1900"/>
      <c r="J1406" s="1900"/>
      <c r="K1406" s="1900"/>
      <c r="L1406" s="1900"/>
      <c r="M1406" s="1900"/>
      <c r="N1406" s="1900"/>
      <c r="O1406" s="1944" t="s">
        <v>3646</v>
      </c>
      <c r="P1406" s="1945" t="str">
        <f>'Part VIII-Threshold Criteria'!P316</f>
        <v>Yes</v>
      </c>
      <c r="Q1406" s="1945">
        <f>'Part VIII-Threshold Criteria'!Q316</f>
        <v>0</v>
      </c>
    </row>
    <row r="1407" spans="1:17" ht="12.75" customHeight="1">
      <c r="A1407" s="1913"/>
      <c r="B1407" s="1944" t="s">
        <v>1739</v>
      </c>
      <c r="C1407" s="1900" t="s">
        <v>3643</v>
      </c>
      <c r="D1407" s="1900"/>
      <c r="E1407" s="1900"/>
      <c r="F1407" s="1900"/>
      <c r="G1407" s="1900"/>
      <c r="H1407" s="1900"/>
      <c r="I1407" s="1900"/>
      <c r="J1407" s="1900"/>
      <c r="K1407" s="1900"/>
      <c r="L1407" s="1900"/>
      <c r="M1407" s="1900"/>
      <c r="N1407" s="1900"/>
      <c r="O1407" s="1944" t="s">
        <v>3647</v>
      </c>
      <c r="P1407" s="1945" t="str">
        <f>'Part VIII-Threshold Criteria'!P317</f>
        <v>Yes</v>
      </c>
      <c r="Q1407" s="1945">
        <f>'Part VIII-Threshold Criteria'!Q317</f>
        <v>0</v>
      </c>
    </row>
    <row r="1408" spans="1:17" ht="12.75" customHeight="1">
      <c r="A1408" s="1913"/>
      <c r="B1408" s="1944" t="s">
        <v>2365</v>
      </c>
      <c r="C1408" s="1900" t="s">
        <v>3644</v>
      </c>
      <c r="D1408" s="1900"/>
      <c r="E1408" s="1900"/>
      <c r="F1408" s="1900"/>
      <c r="G1408" s="1900"/>
      <c r="H1408" s="1900"/>
      <c r="I1408" s="1900"/>
      <c r="J1408" s="1900"/>
      <c r="K1408" s="1900"/>
      <c r="L1408" s="1900"/>
      <c r="M1408" s="1900"/>
      <c r="N1408" s="1900"/>
      <c r="O1408" s="1944" t="s">
        <v>3648</v>
      </c>
      <c r="P1408" s="1945" t="str">
        <f>'Part VIII-Threshold Criteria'!P318</f>
        <v>Yes</v>
      </c>
      <c r="Q1408" s="1945">
        <f>'Part VIII-Threshold Criteria'!Q318</f>
        <v>0</v>
      </c>
    </row>
    <row r="1409" spans="1:17">
      <c r="B1409" s="1842" t="s">
        <v>3756</v>
      </c>
      <c r="D1409" s="1842"/>
      <c r="E1409" s="1842"/>
      <c r="F1409" s="1842"/>
      <c r="G1409" s="1842"/>
      <c r="H1409" s="1841"/>
      <c r="I1409" s="1895"/>
      <c r="J1409" s="1895"/>
      <c r="K1409" s="1895"/>
      <c r="L1409" s="1812"/>
      <c r="M1409" s="1812"/>
      <c r="N1409" s="1812"/>
      <c r="O1409" s="1812"/>
      <c r="P1409" s="1812"/>
      <c r="Q1409" s="1812"/>
    </row>
    <row r="1410" spans="1:17">
      <c r="A1410" s="1900">
        <f>'Part VIII-Threshold Criteria'!A320</f>
        <v>0</v>
      </c>
      <c r="B1410" s="1900">
        <f>'Part VIII-Threshold Criteria'!B320</f>
        <v>0</v>
      </c>
      <c r="C1410" s="1900">
        <f>'Part VIII-Threshold Criteria'!C320</f>
        <v>0</v>
      </c>
      <c r="D1410" s="1900">
        <f>'Part VIII-Threshold Criteria'!D320</f>
        <v>0</v>
      </c>
      <c r="E1410" s="1900">
        <f>'Part VIII-Threshold Criteria'!E320</f>
        <v>0</v>
      </c>
      <c r="F1410" s="1900">
        <f>'Part VIII-Threshold Criteria'!F320</f>
        <v>0</v>
      </c>
      <c r="G1410" s="1900">
        <f>'Part VIII-Threshold Criteria'!G320</f>
        <v>0</v>
      </c>
      <c r="H1410" s="1900">
        <f>'Part VIII-Threshold Criteria'!H320</f>
        <v>0</v>
      </c>
      <c r="I1410" s="1900">
        <f>'Part VIII-Threshold Criteria'!I320</f>
        <v>0</v>
      </c>
      <c r="J1410" s="1900">
        <f>'Part VIII-Threshold Criteria'!J320</f>
        <v>0</v>
      </c>
      <c r="K1410" s="1900">
        <f>'Part VIII-Threshold Criteria'!K320</f>
        <v>0</v>
      </c>
      <c r="L1410" s="1900">
        <f>'Part VIII-Threshold Criteria'!L320</f>
        <v>0</v>
      </c>
      <c r="M1410" s="1900">
        <f>'Part VIII-Threshold Criteria'!M320</f>
        <v>0</v>
      </c>
      <c r="N1410" s="1900">
        <f>'Part VIII-Threshold Criteria'!N320</f>
        <v>0</v>
      </c>
      <c r="O1410" s="1900">
        <f>'Part VIII-Threshold Criteria'!O320</f>
        <v>0</v>
      </c>
      <c r="P1410" s="1900">
        <f>'Part VIII-Threshold Criteria'!P320</f>
        <v>0</v>
      </c>
      <c r="Q1410" s="1900">
        <f>'Part VIII-Threshold Criteria'!Q320</f>
        <v>0</v>
      </c>
    </row>
    <row r="1411" spans="1:17">
      <c r="B1411" s="1897" t="s">
        <v>1866</v>
      </c>
      <c r="C1411" s="1898"/>
      <c r="D1411" s="1899"/>
      <c r="E1411" s="1899"/>
      <c r="F1411" s="1899"/>
      <c r="G1411" s="1899"/>
      <c r="H1411" s="1899"/>
      <c r="I1411" s="1899"/>
      <c r="J1411" s="1899"/>
      <c r="K1411" s="1899"/>
      <c r="L1411" s="1899"/>
      <c r="M1411" s="1899"/>
      <c r="N1411" s="1899"/>
      <c r="O1411" s="1899"/>
      <c r="P1411" s="1899"/>
      <c r="Q1411" s="1899"/>
    </row>
    <row r="1412" spans="1:17">
      <c r="A1412" s="1900">
        <f>'Part VIII-Threshold Criteria'!A322</f>
        <v>0</v>
      </c>
      <c r="B1412" s="1900">
        <f>'Part VIII-Threshold Criteria'!B322</f>
        <v>0</v>
      </c>
      <c r="C1412" s="1900">
        <f>'Part VIII-Threshold Criteria'!C322</f>
        <v>0</v>
      </c>
      <c r="D1412" s="1900">
        <f>'Part VIII-Threshold Criteria'!D322</f>
        <v>0</v>
      </c>
      <c r="E1412" s="1900">
        <f>'Part VIII-Threshold Criteria'!E322</f>
        <v>0</v>
      </c>
      <c r="F1412" s="1900">
        <f>'Part VIII-Threshold Criteria'!F322</f>
        <v>0</v>
      </c>
      <c r="G1412" s="1900">
        <f>'Part VIII-Threshold Criteria'!G322</f>
        <v>0</v>
      </c>
      <c r="H1412" s="1900">
        <f>'Part VIII-Threshold Criteria'!H322</f>
        <v>0</v>
      </c>
      <c r="I1412" s="1900">
        <f>'Part VIII-Threshold Criteria'!I322</f>
        <v>0</v>
      </c>
      <c r="J1412" s="1900">
        <f>'Part VIII-Threshold Criteria'!J322</f>
        <v>0</v>
      </c>
      <c r="K1412" s="1900">
        <f>'Part VIII-Threshold Criteria'!K322</f>
        <v>0</v>
      </c>
      <c r="L1412" s="1900">
        <f>'Part VIII-Threshold Criteria'!L322</f>
        <v>0</v>
      </c>
      <c r="M1412" s="1900">
        <f>'Part VIII-Threshold Criteria'!M322</f>
        <v>0</v>
      </c>
      <c r="N1412" s="1900">
        <f>'Part VIII-Threshold Criteria'!N322</f>
        <v>0</v>
      </c>
      <c r="O1412" s="1900">
        <f>'Part VIII-Threshold Criteria'!O322</f>
        <v>0</v>
      </c>
      <c r="P1412" s="1900">
        <f>'Part VIII-Threshold Criteria'!P322</f>
        <v>0</v>
      </c>
      <c r="Q1412" s="1900">
        <f>'Part VIII-Threshold Criteria'!Q322</f>
        <v>0</v>
      </c>
    </row>
    <row r="1413" spans="1:17">
      <c r="A1413" s="1805" t="s">
        <v>4103</v>
      </c>
      <c r="B1413" s="1629" t="s">
        <v>2666</v>
      </c>
      <c r="C1413" s="1629"/>
      <c r="D1413" s="1629"/>
      <c r="E1413" s="1629"/>
      <c r="F1413" s="1629"/>
      <c r="G1413" s="1629"/>
      <c r="H1413" s="1899"/>
      <c r="I1413" s="1899"/>
      <c r="J1413" s="1899"/>
      <c r="K1413" s="1899"/>
      <c r="L1413" s="1899"/>
      <c r="M1413" s="1899"/>
      <c r="O1413" s="1896" t="s">
        <v>1867</v>
      </c>
      <c r="P1413" s="1820">
        <f>'Part VIII-Threshold Criteria'!P323</f>
        <v>0</v>
      </c>
      <c r="Q1413" s="1820">
        <f>'Part VIII-Threshold Criteria'!Q323</f>
        <v>0</v>
      </c>
    </row>
    <row r="1414" spans="1:17">
      <c r="B1414" s="1216" t="s">
        <v>2252</v>
      </c>
      <c r="P1414" s="1938" t="str">
        <f>'Part VIII-Threshold Criteria'!P324</f>
        <v>No</v>
      </c>
      <c r="Q1414" s="1938">
        <f>'Part VIII-Threshold Criteria'!Q324</f>
        <v>0</v>
      </c>
    </row>
    <row r="1415" spans="1:17">
      <c r="B1415" s="1952" t="s">
        <v>2211</v>
      </c>
      <c r="C1415" s="1952"/>
      <c r="D1415" s="1952"/>
      <c r="E1415" s="1952"/>
      <c r="F1415" s="1952"/>
      <c r="G1415" s="1952"/>
      <c r="H1415" s="1952"/>
      <c r="I1415" s="1952"/>
      <c r="J1415" s="1952"/>
      <c r="K1415" s="1952"/>
      <c r="L1415" s="1952"/>
      <c r="P1415" s="1938" t="str">
        <f>'Part VIII-Threshold Criteria'!P325</f>
        <v>Yes</v>
      </c>
      <c r="Q1415" s="1938">
        <f>'Part VIII-Threshold Criteria'!Q325</f>
        <v>0</v>
      </c>
    </row>
    <row r="1416" spans="1:17">
      <c r="A1416" s="1933" t="s">
        <v>1983</v>
      </c>
      <c r="B1416" s="1929" t="s">
        <v>4553</v>
      </c>
      <c r="D1416" s="1841"/>
      <c r="E1416" s="1841"/>
      <c r="F1416" s="1841"/>
      <c r="G1416" s="1841"/>
      <c r="H1416" s="1841"/>
      <c r="I1416" s="1841"/>
      <c r="J1416" s="1841"/>
      <c r="K1416" s="1841"/>
      <c r="L1416" s="1841"/>
      <c r="M1416" s="1841"/>
      <c r="N1416" s="1944"/>
    </row>
    <row r="1417" spans="1:17" ht="12.75" customHeight="1">
      <c r="B1417" s="1900" t="s">
        <v>2881</v>
      </c>
      <c r="C1417" s="1900"/>
      <c r="D1417" s="1900"/>
      <c r="E1417" s="1900"/>
      <c r="F1417" s="1900"/>
      <c r="G1417" s="1900"/>
      <c r="H1417" s="1900"/>
      <c r="I1417" s="1900"/>
      <c r="J1417" s="1900"/>
      <c r="K1417" s="1900"/>
      <c r="L1417" s="1900"/>
      <c r="M1417" s="1900"/>
      <c r="N1417" s="1900"/>
      <c r="O1417" s="1944" t="s">
        <v>1983</v>
      </c>
      <c r="P1417" s="1945" t="str">
        <f>'Part VIII-Threshold Criteria'!P327</f>
        <v>Yes</v>
      </c>
      <c r="Q1417" s="1945">
        <f>'Part VIII-Threshold Criteria'!Q327</f>
        <v>0</v>
      </c>
    </row>
    <row r="1418" spans="1:17">
      <c r="A1418" s="1933" t="s">
        <v>1985</v>
      </c>
      <c r="B1418" s="1894" t="s">
        <v>460</v>
      </c>
      <c r="D1418" s="1894"/>
      <c r="E1418" s="1894"/>
      <c r="F1418" s="1894"/>
      <c r="G1418" s="1894"/>
      <c r="H1418" s="1894"/>
      <c r="I1418" s="1894"/>
      <c r="J1418" s="1894"/>
      <c r="K1418" s="1894"/>
      <c r="L1418" s="1894"/>
      <c r="M1418" s="1894"/>
      <c r="O1418" s="1944" t="s">
        <v>1985</v>
      </c>
      <c r="P1418" s="1812"/>
      <c r="Q1418" s="1812"/>
    </row>
    <row r="1419" spans="1:17" ht="12.75" customHeight="1">
      <c r="B1419" s="1948" t="s">
        <v>1737</v>
      </c>
      <c r="C1419" s="1921" t="s">
        <v>1131</v>
      </c>
      <c r="E1419" s="1913"/>
      <c r="F1419" s="1913"/>
      <c r="G1419" s="190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38">
        <f>'Part VIII-Threshold Criteria'!H329</f>
        <v>0</v>
      </c>
      <c r="I1419" s="1838">
        <f>'Part VIII-Threshold Criteria'!I329</f>
        <v>0</v>
      </c>
      <c r="J1419" s="1838">
        <f>'Part VIII-Threshold Criteria'!J329</f>
        <v>0</v>
      </c>
      <c r="K1419" s="1838">
        <f>'Part VIII-Threshold Criteria'!K329</f>
        <v>0</v>
      </c>
      <c r="L1419" s="1838">
        <f>'Part VIII-Threshold Criteria'!L329</f>
        <v>0</v>
      </c>
      <c r="M1419" s="1838">
        <f>'Part VIII-Threshold Criteria'!M329</f>
        <v>0</v>
      </c>
      <c r="N1419" s="1838">
        <f>'Part VIII-Threshold Criteria'!N329</f>
        <v>0</v>
      </c>
      <c r="O1419" s="1944" t="s">
        <v>1737</v>
      </c>
      <c r="P1419" s="1945" t="str">
        <f>'Part VIII-Threshold Criteria'!P329</f>
        <v>Yes</v>
      </c>
      <c r="Q1419" s="1945">
        <f>'Part VIII-Threshold Criteria'!Q329</f>
        <v>0</v>
      </c>
    </row>
    <row r="1420" spans="1:17" ht="12.75" customHeight="1">
      <c r="B1420" s="1948" t="s">
        <v>1738</v>
      </c>
      <c r="C1420" s="1900" t="s">
        <v>1132</v>
      </c>
      <c r="D1420" s="1900"/>
      <c r="E1420" s="1900"/>
      <c r="F1420" s="1900"/>
      <c r="G1420" s="1900" t="str">
        <f>'Part VIII-Threshold Criteria'!G330</f>
        <v xml:space="preserve">Fiber cement siding or other 30 year warranty product installed on all exterior wall surfaces not already required to be brick </v>
      </c>
      <c r="H1420" s="1838">
        <f>'Part VIII-Threshold Criteria'!H330</f>
        <v>0</v>
      </c>
      <c r="I1420" s="1838">
        <f>'Part VIII-Threshold Criteria'!I330</f>
        <v>0</v>
      </c>
      <c r="J1420" s="1838">
        <f>'Part VIII-Threshold Criteria'!J330</f>
        <v>0</v>
      </c>
      <c r="K1420" s="1838">
        <f>'Part VIII-Threshold Criteria'!K330</f>
        <v>0</v>
      </c>
      <c r="L1420" s="1838">
        <f>'Part VIII-Threshold Criteria'!L330</f>
        <v>0</v>
      </c>
      <c r="M1420" s="1838">
        <f>'Part VIII-Threshold Criteria'!M330</f>
        <v>0</v>
      </c>
      <c r="N1420" s="1838">
        <f>'Part VIII-Threshold Criteria'!N330</f>
        <v>0</v>
      </c>
      <c r="O1420" s="1944" t="s">
        <v>1738</v>
      </c>
      <c r="P1420" s="1945" t="str">
        <f>'Part VIII-Threshold Criteria'!P330</f>
        <v>Yes</v>
      </c>
      <c r="Q1420" s="1945">
        <f>'Part VIII-Threshold Criteria'!Q330</f>
        <v>0</v>
      </c>
    </row>
    <row r="1421" spans="1:17">
      <c r="A1421" s="1812"/>
      <c r="C1421" s="1812"/>
      <c r="D1421" s="1812"/>
      <c r="E1421" s="1812"/>
      <c r="F1421" s="1812"/>
      <c r="G1421" s="1812"/>
      <c r="H1421" s="1812"/>
      <c r="I1421" s="1812"/>
      <c r="J1421" s="1812"/>
      <c r="K1421" s="1812"/>
      <c r="L1421" s="1812"/>
      <c r="M1421" s="1812"/>
      <c r="N1421" s="1812"/>
      <c r="O1421" s="1812"/>
      <c r="P1421" s="1812"/>
      <c r="Q1421" s="1812"/>
    </row>
    <row r="1422" spans="1:17" ht="12.75" customHeight="1">
      <c r="A1422" s="1933" t="s">
        <v>749</v>
      </c>
      <c r="B1422" s="1965" t="s">
        <v>4554</v>
      </c>
      <c r="C1422" s="1965"/>
      <c r="D1422" s="1965"/>
      <c r="E1422" s="1965"/>
      <c r="F1422" s="1965"/>
      <c r="G1422" s="1965"/>
      <c r="H1422" s="1965"/>
      <c r="I1422" s="1965"/>
      <c r="J1422" s="1965"/>
      <c r="K1422" s="1965"/>
      <c r="L1422" s="1965"/>
      <c r="M1422" s="1965"/>
      <c r="N1422" s="1965"/>
      <c r="O1422" s="1953" t="s">
        <v>749</v>
      </c>
      <c r="P1422" s="1812"/>
      <c r="Q1422" s="1812"/>
    </row>
    <row r="1423" spans="1:17">
      <c r="A1423" s="1936"/>
      <c r="B1423" s="1948" t="s">
        <v>1737</v>
      </c>
      <c r="C1423" s="1900">
        <f>'Part VIII-Threshold Criteria'!C333</f>
        <v>0</v>
      </c>
      <c r="D1423" s="1900">
        <f>'Part VIII-Threshold Criteria'!D333</f>
        <v>0</v>
      </c>
      <c r="E1423" s="1900">
        <f>'Part VIII-Threshold Criteria'!E333</f>
        <v>0</v>
      </c>
      <c r="F1423" s="1900">
        <f>'Part VIII-Threshold Criteria'!F333</f>
        <v>0</v>
      </c>
      <c r="G1423" s="1900">
        <f>'Part VIII-Threshold Criteria'!G333</f>
        <v>0</v>
      </c>
      <c r="H1423" s="1900">
        <f>'Part VIII-Threshold Criteria'!H333</f>
        <v>0</v>
      </c>
      <c r="I1423" s="1900">
        <f>'Part VIII-Threshold Criteria'!I333</f>
        <v>0</v>
      </c>
      <c r="J1423" s="1900">
        <f>'Part VIII-Threshold Criteria'!J333</f>
        <v>0</v>
      </c>
      <c r="K1423" s="1900">
        <f>'Part VIII-Threshold Criteria'!K333</f>
        <v>0</v>
      </c>
      <c r="L1423" s="1900">
        <f>'Part VIII-Threshold Criteria'!L333</f>
        <v>0</v>
      </c>
      <c r="M1423" s="1900">
        <f>'Part VIII-Threshold Criteria'!M333</f>
        <v>0</v>
      </c>
      <c r="N1423" s="1900">
        <f>'Part VIII-Threshold Criteria'!N333</f>
        <v>0</v>
      </c>
      <c r="O1423" s="1944" t="s">
        <v>1737</v>
      </c>
      <c r="P1423" s="1945">
        <f>'Part VIII-Threshold Criteria'!P333</f>
        <v>0</v>
      </c>
      <c r="Q1423" s="1945">
        <f>'Part VIII-Threshold Criteria'!Q333</f>
        <v>0</v>
      </c>
    </row>
    <row r="1424" spans="1:17">
      <c r="A1424" s="1936"/>
      <c r="B1424" s="1948" t="s">
        <v>1738</v>
      </c>
      <c r="C1424" s="1900">
        <f>'Part VIII-Threshold Criteria'!C334</f>
        <v>0</v>
      </c>
      <c r="D1424" s="1900">
        <f>'Part VIII-Threshold Criteria'!D334</f>
        <v>0</v>
      </c>
      <c r="E1424" s="1900">
        <f>'Part VIII-Threshold Criteria'!E334</f>
        <v>0</v>
      </c>
      <c r="F1424" s="1900">
        <f>'Part VIII-Threshold Criteria'!F334</f>
        <v>0</v>
      </c>
      <c r="G1424" s="1900">
        <f>'Part VIII-Threshold Criteria'!G334</f>
        <v>0</v>
      </c>
      <c r="H1424" s="1900">
        <f>'Part VIII-Threshold Criteria'!H334</f>
        <v>0</v>
      </c>
      <c r="I1424" s="1900">
        <f>'Part VIII-Threshold Criteria'!I334</f>
        <v>0</v>
      </c>
      <c r="J1424" s="1900">
        <f>'Part VIII-Threshold Criteria'!J334</f>
        <v>0</v>
      </c>
      <c r="K1424" s="1900">
        <f>'Part VIII-Threshold Criteria'!K334</f>
        <v>0</v>
      </c>
      <c r="L1424" s="1900">
        <f>'Part VIII-Threshold Criteria'!L334</f>
        <v>0</v>
      </c>
      <c r="M1424" s="1900">
        <f>'Part VIII-Threshold Criteria'!M334</f>
        <v>0</v>
      </c>
      <c r="N1424" s="1900">
        <f>'Part VIII-Threshold Criteria'!N334</f>
        <v>0</v>
      </c>
      <c r="O1424" s="1944" t="s">
        <v>1738</v>
      </c>
      <c r="P1424" s="1945">
        <f>'Part VIII-Threshold Criteria'!P334</f>
        <v>0</v>
      </c>
      <c r="Q1424" s="1945">
        <f>'Part VIII-Threshold Criteria'!Q334</f>
        <v>0</v>
      </c>
    </row>
    <row r="1425" spans="1:17">
      <c r="A1425" s="1812"/>
      <c r="B1425" s="1812"/>
      <c r="C1425" s="1812"/>
      <c r="D1425" s="1812"/>
      <c r="E1425" s="1812"/>
      <c r="F1425" s="1812"/>
      <c r="G1425" s="1812"/>
      <c r="H1425" s="1812"/>
      <c r="I1425" s="1812"/>
      <c r="J1425" s="1812"/>
      <c r="K1425" s="1812"/>
      <c r="L1425" s="1812"/>
      <c r="M1425" s="1812"/>
      <c r="N1425" s="1812"/>
      <c r="O1425" s="1812"/>
      <c r="P1425" s="1812"/>
      <c r="Q1425" s="1812"/>
    </row>
    <row r="1426" spans="1:17">
      <c r="B1426" s="1842" t="s">
        <v>3756</v>
      </c>
      <c r="D1426" s="1842"/>
      <c r="E1426" s="1842"/>
      <c r="F1426" s="1842"/>
      <c r="G1426" s="1842"/>
      <c r="H1426" s="1841"/>
      <c r="I1426" s="1895"/>
      <c r="J1426" s="1895"/>
      <c r="K1426" s="1895"/>
      <c r="L1426" s="1812"/>
      <c r="M1426" s="1812"/>
      <c r="N1426" s="1812"/>
      <c r="O1426" s="1812"/>
      <c r="P1426" s="1812"/>
      <c r="Q1426" s="1812"/>
    </row>
    <row r="1427" spans="1:17">
      <c r="A1427" s="1900">
        <f>'Part VIII-Threshold Criteria'!A337</f>
        <v>0</v>
      </c>
      <c r="B1427" s="1900">
        <f>'Part VIII-Threshold Criteria'!B337</f>
        <v>0</v>
      </c>
      <c r="C1427" s="1900">
        <f>'Part VIII-Threshold Criteria'!C337</f>
        <v>0</v>
      </c>
      <c r="D1427" s="1900">
        <f>'Part VIII-Threshold Criteria'!D337</f>
        <v>0</v>
      </c>
      <c r="E1427" s="1900">
        <f>'Part VIII-Threshold Criteria'!E337</f>
        <v>0</v>
      </c>
      <c r="F1427" s="1900">
        <f>'Part VIII-Threshold Criteria'!F337</f>
        <v>0</v>
      </c>
      <c r="G1427" s="1900">
        <f>'Part VIII-Threshold Criteria'!G337</f>
        <v>0</v>
      </c>
      <c r="H1427" s="1900">
        <f>'Part VIII-Threshold Criteria'!H337</f>
        <v>0</v>
      </c>
      <c r="I1427" s="1900">
        <f>'Part VIII-Threshold Criteria'!I337</f>
        <v>0</v>
      </c>
      <c r="J1427" s="1900">
        <f>'Part VIII-Threshold Criteria'!J337</f>
        <v>0</v>
      </c>
      <c r="K1427" s="1900">
        <f>'Part VIII-Threshold Criteria'!K337</f>
        <v>0</v>
      </c>
      <c r="L1427" s="1900">
        <f>'Part VIII-Threshold Criteria'!L337</f>
        <v>0</v>
      </c>
      <c r="M1427" s="1900">
        <f>'Part VIII-Threshold Criteria'!M337</f>
        <v>0</v>
      </c>
      <c r="N1427" s="1900">
        <f>'Part VIII-Threshold Criteria'!N337</f>
        <v>0</v>
      </c>
      <c r="O1427" s="1900">
        <f>'Part VIII-Threshold Criteria'!O337</f>
        <v>0</v>
      </c>
      <c r="P1427" s="1900">
        <f>'Part VIII-Threshold Criteria'!P337</f>
        <v>0</v>
      </c>
      <c r="Q1427" s="1900">
        <f>'Part VIII-Threshold Criteria'!Q337</f>
        <v>0</v>
      </c>
    </row>
    <row r="1428" spans="1:17">
      <c r="B1428" s="1897" t="s">
        <v>1866</v>
      </c>
      <c r="C1428" s="1898"/>
      <c r="D1428" s="1899"/>
      <c r="E1428" s="1899"/>
      <c r="F1428" s="1899"/>
      <c r="G1428" s="1899"/>
      <c r="H1428" s="1899"/>
      <c r="I1428" s="1899"/>
      <c r="J1428" s="1899"/>
      <c r="K1428" s="1899"/>
      <c r="L1428" s="1899"/>
      <c r="M1428" s="1899"/>
      <c r="N1428" s="1899"/>
      <c r="O1428" s="1899"/>
      <c r="P1428" s="1899"/>
      <c r="Q1428" s="1899"/>
    </row>
    <row r="1429" spans="1:17">
      <c r="A1429" s="1900">
        <f>'Part VIII-Threshold Criteria'!A339</f>
        <v>0</v>
      </c>
      <c r="B1429" s="1900">
        <f>'Part VIII-Threshold Criteria'!B339</f>
        <v>0</v>
      </c>
      <c r="C1429" s="1900">
        <f>'Part VIII-Threshold Criteria'!C339</f>
        <v>0</v>
      </c>
      <c r="D1429" s="1900">
        <f>'Part VIII-Threshold Criteria'!D339</f>
        <v>0</v>
      </c>
      <c r="E1429" s="1900">
        <f>'Part VIII-Threshold Criteria'!E339</f>
        <v>0</v>
      </c>
      <c r="F1429" s="1900">
        <f>'Part VIII-Threshold Criteria'!F339</f>
        <v>0</v>
      </c>
      <c r="G1429" s="1900">
        <f>'Part VIII-Threshold Criteria'!G339</f>
        <v>0</v>
      </c>
      <c r="H1429" s="1900">
        <f>'Part VIII-Threshold Criteria'!H339</f>
        <v>0</v>
      </c>
      <c r="I1429" s="1900">
        <f>'Part VIII-Threshold Criteria'!I339</f>
        <v>0</v>
      </c>
      <c r="J1429" s="1900">
        <f>'Part VIII-Threshold Criteria'!J339</f>
        <v>0</v>
      </c>
      <c r="K1429" s="1900">
        <f>'Part VIII-Threshold Criteria'!K339</f>
        <v>0</v>
      </c>
      <c r="L1429" s="1900">
        <f>'Part VIII-Threshold Criteria'!L339</f>
        <v>0</v>
      </c>
      <c r="M1429" s="1900">
        <f>'Part VIII-Threshold Criteria'!M339</f>
        <v>0</v>
      </c>
      <c r="N1429" s="1900">
        <f>'Part VIII-Threshold Criteria'!N339</f>
        <v>0</v>
      </c>
      <c r="O1429" s="1900">
        <f>'Part VIII-Threshold Criteria'!O339</f>
        <v>0</v>
      </c>
      <c r="P1429" s="1900">
        <f>'Part VIII-Threshold Criteria'!P339</f>
        <v>0</v>
      </c>
      <c r="Q1429" s="1900">
        <f>'Part VIII-Threshold Criteria'!Q339</f>
        <v>0</v>
      </c>
    </row>
    <row r="1430" spans="1:17">
      <c r="A1430" s="1805" t="s">
        <v>4106</v>
      </c>
      <c r="B1430" s="1805" t="s">
        <v>4144</v>
      </c>
      <c r="C1430" s="1805"/>
      <c r="D1430" s="1899"/>
      <c r="E1430" s="1899"/>
      <c r="F1430" s="1899"/>
      <c r="G1430" s="1899"/>
      <c r="H1430" s="1899"/>
      <c r="O1430" s="1896" t="s">
        <v>1867</v>
      </c>
      <c r="P1430" s="1820">
        <f>'Part VIII-Threshold Criteria'!P340</f>
        <v>0</v>
      </c>
      <c r="Q1430" s="1820">
        <f>'Part VIII-Threshold Criteria'!Q340</f>
        <v>0</v>
      </c>
    </row>
    <row r="1431" spans="1:17">
      <c r="A1431" s="1935" t="s">
        <v>1983</v>
      </c>
      <c r="B1431" s="1216" t="s">
        <v>3916</v>
      </c>
      <c r="O1431" s="1944" t="s">
        <v>1983</v>
      </c>
      <c r="P1431" s="1938" t="str">
        <f>'Part VIII-Threshold Criteria'!P341</f>
        <v>No</v>
      </c>
      <c r="Q1431" s="1938">
        <f>'Part VIII-Threshold Criteria'!Q341</f>
        <v>0</v>
      </c>
    </row>
    <row r="1432" spans="1:17">
      <c r="A1432" s="1933" t="s">
        <v>1985</v>
      </c>
      <c r="B1432" s="1216" t="s">
        <v>4092</v>
      </c>
      <c r="O1432" s="1944" t="s">
        <v>1985</v>
      </c>
      <c r="P1432" s="1938" t="str">
        <f>'Part VIII-Threshold Criteria'!P342</f>
        <v>Yes</v>
      </c>
      <c r="Q1432" s="1938">
        <f>'Part VIII-Threshold Criteria'!Q342</f>
        <v>0</v>
      </c>
    </row>
    <row r="1433" spans="1:17">
      <c r="A1433" s="1933" t="s">
        <v>749</v>
      </c>
      <c r="B1433" s="1216" t="s">
        <v>2350</v>
      </c>
      <c r="O1433" s="1944" t="s">
        <v>749</v>
      </c>
      <c r="P1433" s="1938" t="str">
        <f>'Part VIII-Threshold Criteria'!P343</f>
        <v>No</v>
      </c>
      <c r="Q1433" s="1938">
        <f>'Part VIII-Threshold Criteria'!Q343</f>
        <v>0</v>
      </c>
    </row>
    <row r="1434" spans="1:17">
      <c r="A1434" s="1935" t="s">
        <v>2115</v>
      </c>
      <c r="B1434" s="1216" t="s">
        <v>3844</v>
      </c>
      <c r="O1434" s="1937" t="s">
        <v>2115</v>
      </c>
      <c r="P1434" s="1938" t="str">
        <f>'Part VIII-Threshold Criteria'!P344</f>
        <v>No</v>
      </c>
      <c r="Q1434" s="1938">
        <f>'Part VIII-Threshold Criteria'!Q344</f>
        <v>0</v>
      </c>
    </row>
    <row r="1435" spans="1:17">
      <c r="A1435" s="1933" t="s">
        <v>1735</v>
      </c>
      <c r="B1435" s="1216" t="s">
        <v>2884</v>
      </c>
      <c r="N1435" s="1944" t="s">
        <v>1735</v>
      </c>
      <c r="O1435" s="1851" t="str">
        <f>'Part VIII-Threshold Criteria'!O345</f>
        <v>Certifying GP/Developer</v>
      </c>
      <c r="P1435" s="1851">
        <f>'Part VIII-Threshold Criteria'!P345</f>
        <v>0</v>
      </c>
      <c r="Q1435" s="1851">
        <f>'Part VIII-Threshold Criteria'!Q345</f>
        <v>0</v>
      </c>
    </row>
    <row r="1436" spans="1:17">
      <c r="A1436" s="1933" t="s">
        <v>1736</v>
      </c>
      <c r="B1436" s="1950" t="s">
        <v>2351</v>
      </c>
      <c r="N1436" s="1944" t="s">
        <v>1736</v>
      </c>
      <c r="O1436" s="1851" t="str">
        <f>'Part VIII-Threshold Criteria'!O346</f>
        <v>&lt;&lt; Select Designation &gt;&gt;</v>
      </c>
      <c r="P1436" s="1851">
        <f>'Part VIII-Threshold Criteria'!P346</f>
        <v>0</v>
      </c>
      <c r="Q1436" s="1851">
        <f>'Part VIII-Threshold Criteria'!Q346</f>
        <v>0</v>
      </c>
    </row>
    <row r="1437" spans="1:17">
      <c r="B1437" s="1842" t="s">
        <v>3756</v>
      </c>
      <c r="D1437" s="1842"/>
      <c r="E1437" s="1842"/>
      <c r="F1437" s="1842"/>
      <c r="G1437" s="1842"/>
      <c r="H1437" s="1841"/>
      <c r="I1437" s="1895"/>
      <c r="J1437" s="1895"/>
      <c r="K1437" s="1895"/>
      <c r="L1437" s="1812"/>
      <c r="M1437" s="1812"/>
      <c r="N1437" s="1812"/>
      <c r="O1437" s="1812"/>
      <c r="P1437" s="1812"/>
      <c r="Q1437" s="1812"/>
    </row>
    <row r="1438" spans="1:17">
      <c r="A1438" s="1900">
        <f>'Part VIII-Threshold Criteria'!A348</f>
        <v>0</v>
      </c>
      <c r="B1438" s="1900">
        <f>'Part VIII-Threshold Criteria'!B348</f>
        <v>0</v>
      </c>
      <c r="C1438" s="1900">
        <f>'Part VIII-Threshold Criteria'!C348</f>
        <v>0</v>
      </c>
      <c r="D1438" s="1900">
        <f>'Part VIII-Threshold Criteria'!D348</f>
        <v>0</v>
      </c>
      <c r="E1438" s="1900">
        <f>'Part VIII-Threshold Criteria'!E348</f>
        <v>0</v>
      </c>
      <c r="F1438" s="1900">
        <f>'Part VIII-Threshold Criteria'!F348</f>
        <v>0</v>
      </c>
      <c r="G1438" s="1900">
        <f>'Part VIII-Threshold Criteria'!G348</f>
        <v>0</v>
      </c>
      <c r="H1438" s="1900">
        <f>'Part VIII-Threshold Criteria'!H348</f>
        <v>0</v>
      </c>
      <c r="I1438" s="1900">
        <f>'Part VIII-Threshold Criteria'!I348</f>
        <v>0</v>
      </c>
      <c r="J1438" s="1900">
        <f>'Part VIII-Threshold Criteria'!J348</f>
        <v>0</v>
      </c>
      <c r="K1438" s="1900">
        <f>'Part VIII-Threshold Criteria'!K348</f>
        <v>0</v>
      </c>
      <c r="L1438" s="1900">
        <f>'Part VIII-Threshold Criteria'!L348</f>
        <v>0</v>
      </c>
      <c r="M1438" s="1900">
        <f>'Part VIII-Threshold Criteria'!M348</f>
        <v>0</v>
      </c>
      <c r="N1438" s="1900">
        <f>'Part VIII-Threshold Criteria'!N348</f>
        <v>0</v>
      </c>
      <c r="O1438" s="1900">
        <f>'Part VIII-Threshold Criteria'!O348</f>
        <v>0</v>
      </c>
      <c r="P1438" s="1900">
        <f>'Part VIII-Threshold Criteria'!P348</f>
        <v>0</v>
      </c>
      <c r="Q1438" s="1900">
        <f>'Part VIII-Threshold Criteria'!Q348</f>
        <v>0</v>
      </c>
    </row>
    <row r="1439" spans="1:17">
      <c r="B1439" s="1897" t="s">
        <v>1866</v>
      </c>
      <c r="C1439" s="1898"/>
      <c r="D1439" s="1899"/>
      <c r="E1439" s="1899"/>
      <c r="F1439" s="1899"/>
      <c r="G1439" s="1899"/>
      <c r="H1439" s="1899"/>
      <c r="I1439" s="1899"/>
      <c r="J1439" s="1899"/>
      <c r="K1439" s="1899"/>
      <c r="L1439" s="1899"/>
      <c r="M1439" s="1899"/>
      <c r="N1439" s="1899"/>
      <c r="O1439" s="1899"/>
      <c r="P1439" s="1899"/>
      <c r="Q1439" s="1899"/>
    </row>
    <row r="1440" spans="1:17">
      <c r="A1440" s="1900">
        <f>'Part VIII-Threshold Criteria'!A350</f>
        <v>0</v>
      </c>
      <c r="B1440" s="1900">
        <f>'Part VIII-Threshold Criteria'!B350</f>
        <v>0</v>
      </c>
      <c r="C1440" s="1900">
        <f>'Part VIII-Threshold Criteria'!C350</f>
        <v>0</v>
      </c>
      <c r="D1440" s="1900">
        <f>'Part VIII-Threshold Criteria'!D350</f>
        <v>0</v>
      </c>
      <c r="E1440" s="1900">
        <f>'Part VIII-Threshold Criteria'!E350</f>
        <v>0</v>
      </c>
      <c r="F1440" s="1900">
        <f>'Part VIII-Threshold Criteria'!F350</f>
        <v>0</v>
      </c>
      <c r="G1440" s="1900">
        <f>'Part VIII-Threshold Criteria'!G350</f>
        <v>0</v>
      </c>
      <c r="H1440" s="1900">
        <f>'Part VIII-Threshold Criteria'!H350</f>
        <v>0</v>
      </c>
      <c r="I1440" s="1900">
        <f>'Part VIII-Threshold Criteria'!I350</f>
        <v>0</v>
      </c>
      <c r="J1440" s="1900">
        <f>'Part VIII-Threshold Criteria'!J350</f>
        <v>0</v>
      </c>
      <c r="K1440" s="1900">
        <f>'Part VIII-Threshold Criteria'!K350</f>
        <v>0</v>
      </c>
      <c r="L1440" s="1900">
        <f>'Part VIII-Threshold Criteria'!L350</f>
        <v>0</v>
      </c>
      <c r="M1440" s="1900">
        <f>'Part VIII-Threshold Criteria'!M350</f>
        <v>0</v>
      </c>
      <c r="N1440" s="1900">
        <f>'Part VIII-Threshold Criteria'!N350</f>
        <v>0</v>
      </c>
      <c r="O1440" s="1900">
        <f>'Part VIII-Threshold Criteria'!O350</f>
        <v>0</v>
      </c>
      <c r="P1440" s="1900">
        <f>'Part VIII-Threshold Criteria'!P350</f>
        <v>0</v>
      </c>
      <c r="Q1440" s="1900">
        <f>'Part VIII-Threshold Criteria'!Q350</f>
        <v>0</v>
      </c>
    </row>
    <row r="1441" spans="1:17">
      <c r="A1441" s="1805" t="s">
        <v>4107</v>
      </c>
      <c r="B1441" s="1629" t="s">
        <v>2667</v>
      </c>
      <c r="C1441" s="1629"/>
      <c r="D1441" s="1894"/>
      <c r="E1441" s="1899"/>
      <c r="F1441" s="1899"/>
      <c r="G1441" s="1899"/>
      <c r="H1441" s="1899"/>
      <c r="I1441" s="1899"/>
      <c r="J1441" s="1899"/>
      <c r="K1441" s="1899"/>
      <c r="L1441" s="1899"/>
      <c r="M1441" s="1899"/>
      <c r="O1441" s="1896" t="s">
        <v>1867</v>
      </c>
      <c r="P1441" s="1820">
        <f>'Part VIII-Threshold Criteria'!P351</f>
        <v>0</v>
      </c>
      <c r="Q1441" s="1820">
        <f>'Part VIII-Threshold Criteria'!Q351</f>
        <v>0</v>
      </c>
    </row>
    <row r="1442" spans="1:17">
      <c r="A1442" s="1933" t="s">
        <v>1983</v>
      </c>
      <c r="B1442" s="1921" t="s">
        <v>3657</v>
      </c>
      <c r="D1442" s="1921"/>
      <c r="E1442" s="1921"/>
      <c r="F1442" s="1921"/>
      <c r="G1442" s="1921"/>
      <c r="H1442" s="1921"/>
      <c r="I1442" s="1921"/>
      <c r="J1442" s="1921"/>
      <c r="K1442" s="1921"/>
      <c r="L1442" s="1921"/>
      <c r="M1442" s="1921"/>
      <c r="N1442" s="1921"/>
      <c r="O1442" s="1944" t="s">
        <v>1983</v>
      </c>
      <c r="P1442" s="1938" t="str">
        <f>'Part VIII-Threshold Criteria'!P352</f>
        <v>Yes</v>
      </c>
      <c r="Q1442" s="1938">
        <f>'Part VIII-Threshold Criteria'!Q352</f>
        <v>0</v>
      </c>
    </row>
    <row r="1443" spans="1:17">
      <c r="A1443" s="1933" t="s">
        <v>1985</v>
      </c>
      <c r="B1443" s="1921" t="s">
        <v>3853</v>
      </c>
      <c r="D1443" s="1921"/>
      <c r="E1443" s="1921"/>
      <c r="F1443" s="1921"/>
      <c r="G1443" s="1921"/>
      <c r="H1443" s="1921"/>
      <c r="I1443" s="1921"/>
      <c r="J1443" s="1921"/>
      <c r="K1443" s="1921"/>
      <c r="L1443" s="1921"/>
      <c r="M1443" s="1921"/>
      <c r="N1443" s="1921"/>
      <c r="O1443" s="1944" t="s">
        <v>1985</v>
      </c>
      <c r="P1443" s="1938" t="str">
        <f>'Part VIII-Threshold Criteria'!P353</f>
        <v>No</v>
      </c>
      <c r="Q1443" s="1938">
        <f>'Part VIII-Threshold Criteria'!Q353</f>
        <v>0</v>
      </c>
    </row>
    <row r="1444" spans="1:17" ht="12.75" customHeight="1">
      <c r="A1444" s="1933" t="s">
        <v>749</v>
      </c>
      <c r="B1444" s="1900" t="s">
        <v>4093</v>
      </c>
      <c r="C1444" s="1900"/>
      <c r="D1444" s="1900"/>
      <c r="E1444" s="1900"/>
      <c r="F1444" s="1900"/>
      <c r="G1444" s="1900"/>
      <c r="H1444" s="1900"/>
      <c r="I1444" s="1900"/>
      <c r="J1444" s="1900"/>
      <c r="K1444" s="1900"/>
      <c r="L1444" s="1900"/>
      <c r="M1444" s="1900"/>
      <c r="N1444" s="1900"/>
      <c r="O1444" s="1944" t="s">
        <v>749</v>
      </c>
      <c r="P1444" s="1938" t="str">
        <f>'Part VIII-Threshold Criteria'!P354</f>
        <v>Yes</v>
      </c>
      <c r="Q1444" s="1938">
        <f>'Part VIII-Threshold Criteria'!Q354</f>
        <v>0</v>
      </c>
    </row>
    <row r="1445" spans="1:17">
      <c r="B1445" s="1842" t="s">
        <v>3756</v>
      </c>
      <c r="D1445" s="1842"/>
      <c r="E1445" s="1842"/>
      <c r="F1445" s="1842"/>
      <c r="G1445" s="1842"/>
      <c r="H1445" s="1841"/>
      <c r="I1445" s="1895"/>
      <c r="J1445" s="1895"/>
      <c r="K1445" s="1895"/>
      <c r="L1445" s="1812"/>
      <c r="M1445" s="1812"/>
      <c r="N1445" s="1812"/>
      <c r="O1445" s="1812"/>
      <c r="P1445" s="1812"/>
      <c r="Q1445" s="1812"/>
    </row>
    <row r="1446" spans="1:17">
      <c r="A1446" s="1900">
        <f>'Part VIII-Threshold Criteria'!A356</f>
        <v>0</v>
      </c>
      <c r="B1446" s="1900">
        <f>'Part VIII-Threshold Criteria'!B356</f>
        <v>0</v>
      </c>
      <c r="C1446" s="1900">
        <f>'Part VIII-Threshold Criteria'!C356</f>
        <v>0</v>
      </c>
      <c r="D1446" s="1900">
        <f>'Part VIII-Threshold Criteria'!D356</f>
        <v>0</v>
      </c>
      <c r="E1446" s="1900">
        <f>'Part VIII-Threshold Criteria'!E356</f>
        <v>0</v>
      </c>
      <c r="F1446" s="1900">
        <f>'Part VIII-Threshold Criteria'!F356</f>
        <v>0</v>
      </c>
      <c r="G1446" s="1900">
        <f>'Part VIII-Threshold Criteria'!G356</f>
        <v>0</v>
      </c>
      <c r="H1446" s="1900">
        <f>'Part VIII-Threshold Criteria'!H356</f>
        <v>0</v>
      </c>
      <c r="I1446" s="1900">
        <f>'Part VIII-Threshold Criteria'!I356</f>
        <v>0</v>
      </c>
      <c r="J1446" s="1900">
        <f>'Part VIII-Threshold Criteria'!J356</f>
        <v>0</v>
      </c>
      <c r="K1446" s="1900">
        <f>'Part VIII-Threshold Criteria'!K356</f>
        <v>0</v>
      </c>
      <c r="L1446" s="1900">
        <f>'Part VIII-Threshold Criteria'!L356</f>
        <v>0</v>
      </c>
      <c r="M1446" s="1900">
        <f>'Part VIII-Threshold Criteria'!M356</f>
        <v>0</v>
      </c>
      <c r="N1446" s="1900">
        <f>'Part VIII-Threshold Criteria'!N356</f>
        <v>0</v>
      </c>
      <c r="O1446" s="1900">
        <f>'Part VIII-Threshold Criteria'!O356</f>
        <v>0</v>
      </c>
      <c r="P1446" s="1900">
        <f>'Part VIII-Threshold Criteria'!P356</f>
        <v>0</v>
      </c>
      <c r="Q1446" s="1900">
        <f>'Part VIII-Threshold Criteria'!Q356</f>
        <v>0</v>
      </c>
    </row>
    <row r="1447" spans="1:17">
      <c r="B1447" s="1897" t="s">
        <v>1866</v>
      </c>
      <c r="C1447" s="1898"/>
      <c r="D1447" s="1899"/>
      <c r="E1447" s="1899"/>
      <c r="F1447" s="1899"/>
      <c r="G1447" s="1899"/>
      <c r="H1447" s="1899"/>
      <c r="I1447" s="1899"/>
      <c r="J1447" s="1899"/>
      <c r="K1447" s="1899"/>
      <c r="L1447" s="1899"/>
      <c r="M1447" s="1899"/>
      <c r="N1447" s="1899"/>
      <c r="O1447" s="1899"/>
      <c r="P1447" s="1899"/>
      <c r="Q1447" s="1899"/>
    </row>
    <row r="1448" spans="1:17">
      <c r="A1448" s="1900">
        <f>'Part VIII-Threshold Criteria'!A358</f>
        <v>0</v>
      </c>
      <c r="B1448" s="1900">
        <f>'Part VIII-Threshold Criteria'!B358</f>
        <v>0</v>
      </c>
      <c r="C1448" s="1900">
        <f>'Part VIII-Threshold Criteria'!C358</f>
        <v>0</v>
      </c>
      <c r="D1448" s="1900">
        <f>'Part VIII-Threshold Criteria'!D358</f>
        <v>0</v>
      </c>
      <c r="E1448" s="1900">
        <f>'Part VIII-Threshold Criteria'!E358</f>
        <v>0</v>
      </c>
      <c r="F1448" s="1900">
        <f>'Part VIII-Threshold Criteria'!F358</f>
        <v>0</v>
      </c>
      <c r="G1448" s="1900">
        <f>'Part VIII-Threshold Criteria'!G358</f>
        <v>0</v>
      </c>
      <c r="H1448" s="1900">
        <f>'Part VIII-Threshold Criteria'!H358</f>
        <v>0</v>
      </c>
      <c r="I1448" s="1900">
        <f>'Part VIII-Threshold Criteria'!I358</f>
        <v>0</v>
      </c>
      <c r="J1448" s="1900">
        <f>'Part VIII-Threshold Criteria'!J358</f>
        <v>0</v>
      </c>
      <c r="K1448" s="1900">
        <f>'Part VIII-Threshold Criteria'!K358</f>
        <v>0</v>
      </c>
      <c r="L1448" s="1900">
        <f>'Part VIII-Threshold Criteria'!L358</f>
        <v>0</v>
      </c>
      <c r="M1448" s="1900">
        <f>'Part VIII-Threshold Criteria'!M358</f>
        <v>0</v>
      </c>
      <c r="N1448" s="1900">
        <f>'Part VIII-Threshold Criteria'!N358</f>
        <v>0</v>
      </c>
      <c r="O1448" s="1900">
        <f>'Part VIII-Threshold Criteria'!O358</f>
        <v>0</v>
      </c>
      <c r="P1448" s="1900">
        <f>'Part VIII-Threshold Criteria'!P358</f>
        <v>0</v>
      </c>
      <c r="Q1448" s="1900">
        <f>'Part VIII-Threshold Criteria'!Q358</f>
        <v>0</v>
      </c>
    </row>
    <row r="1449" spans="1:17">
      <c r="A1449" s="1812"/>
      <c r="B1449" s="1895"/>
      <c r="C1449" s="1899"/>
      <c r="D1449" s="1899"/>
      <c r="E1449" s="1899"/>
      <c r="F1449" s="1899"/>
      <c r="G1449" s="1899"/>
      <c r="H1449" s="1899"/>
      <c r="I1449" s="1899"/>
      <c r="J1449" s="1899"/>
      <c r="K1449" s="1899"/>
      <c r="L1449" s="1899"/>
      <c r="M1449" s="1899"/>
      <c r="N1449" s="1899"/>
      <c r="O1449" s="1899"/>
      <c r="P1449" s="1899"/>
      <c r="Q1449" s="1812"/>
    </row>
    <row r="1450" spans="1:17">
      <c r="A1450" s="1805" t="s">
        <v>4110</v>
      </c>
      <c r="B1450" s="1629" t="s">
        <v>4083</v>
      </c>
      <c r="C1450" s="1629"/>
      <c r="D1450" s="1629"/>
      <c r="E1450" s="1629"/>
      <c r="F1450" s="1629"/>
      <c r="G1450" s="1629"/>
      <c r="H1450" s="1899"/>
      <c r="I1450" s="1899"/>
      <c r="J1450" s="1899"/>
      <c r="K1450" s="1899"/>
      <c r="L1450" s="1899"/>
      <c r="M1450" s="1899"/>
      <c r="O1450" s="1896" t="s">
        <v>1867</v>
      </c>
      <c r="P1450" s="1820">
        <f>'Part VIII-Threshold Criteria'!P360</f>
        <v>0</v>
      </c>
      <c r="Q1450" s="1820">
        <f>'Part VIII-Threshold Criteria'!Q360</f>
        <v>0</v>
      </c>
    </row>
    <row r="1451" spans="1:17">
      <c r="A1451" s="1935" t="s">
        <v>1983</v>
      </c>
      <c r="B1451" s="521" t="s">
        <v>4084</v>
      </c>
      <c r="D1451" s="1636"/>
      <c r="E1451" s="1636"/>
      <c r="F1451" s="1636"/>
      <c r="G1451" s="1636"/>
      <c r="H1451" s="1937" t="s">
        <v>1983</v>
      </c>
      <c r="I1451" s="1894">
        <f>'Part VIII-Threshold Criteria'!I361</f>
        <v>0</v>
      </c>
      <c r="J1451" s="1894">
        <f>'Part VIII-Threshold Criteria'!J361</f>
        <v>0</v>
      </c>
      <c r="K1451" s="1894">
        <f>'Part VIII-Threshold Criteria'!K361</f>
        <v>0</v>
      </c>
      <c r="L1451" s="1894">
        <f>'Part VIII-Threshold Criteria'!L361</f>
        <v>0</v>
      </c>
      <c r="M1451" s="1894">
        <f>'Part VIII-Threshold Criteria'!M361</f>
        <v>0</v>
      </c>
      <c r="N1451" s="1894">
        <f>'Part VIII-Threshold Criteria'!N361</f>
        <v>0</v>
      </c>
      <c r="O1451" s="1894">
        <f>'Part VIII-Threshold Criteria'!O361</f>
        <v>0</v>
      </c>
      <c r="P1451" s="1894">
        <f>'Part VIII-Threshold Criteria'!P361</f>
        <v>0</v>
      </c>
      <c r="Q1451" s="1938">
        <f>'Part VIII-Threshold Criteria'!Q361</f>
        <v>0</v>
      </c>
    </row>
    <row r="1452" spans="1:17">
      <c r="A1452" s="1933" t="s">
        <v>1985</v>
      </c>
      <c r="B1452" s="521" t="s">
        <v>4085</v>
      </c>
      <c r="D1452" s="1636"/>
      <c r="E1452" s="1636"/>
      <c r="F1452" s="1636"/>
      <c r="G1452" s="1636"/>
      <c r="H1452" s="1944" t="s">
        <v>1985</v>
      </c>
      <c r="I1452" s="1894">
        <f>'Part VIII-Threshold Criteria'!I362</f>
        <v>0</v>
      </c>
      <c r="J1452" s="1894">
        <f>'Part VIII-Threshold Criteria'!J362</f>
        <v>0</v>
      </c>
      <c r="K1452" s="1894">
        <f>'Part VIII-Threshold Criteria'!K362</f>
        <v>0</v>
      </c>
      <c r="L1452" s="1894">
        <f>'Part VIII-Threshold Criteria'!L362</f>
        <v>0</v>
      </c>
      <c r="M1452" s="1894">
        <f>'Part VIII-Threshold Criteria'!M362</f>
        <v>0</v>
      </c>
      <c r="N1452" s="1894">
        <f>'Part VIII-Threshold Criteria'!N362</f>
        <v>0</v>
      </c>
      <c r="O1452" s="1894">
        <f>'Part VIII-Threshold Criteria'!O362</f>
        <v>0</v>
      </c>
      <c r="P1452" s="1894">
        <f>'Part VIII-Threshold Criteria'!P362</f>
        <v>0</v>
      </c>
      <c r="Q1452" s="1938">
        <f>'Part VIII-Threshold Criteria'!Q362</f>
        <v>0</v>
      </c>
    </row>
    <row r="1453" spans="1:17" ht="12.75" customHeight="1">
      <c r="A1453" s="1933" t="s">
        <v>749</v>
      </c>
      <c r="B1453" s="1867" t="s">
        <v>4075</v>
      </c>
      <c r="C1453" s="1867"/>
      <c r="D1453" s="1867"/>
      <c r="E1453" s="1867"/>
      <c r="F1453" s="1867"/>
      <c r="G1453" s="1867"/>
      <c r="H1453" s="1867"/>
      <c r="I1453" s="1867"/>
      <c r="J1453" s="1867"/>
      <c r="K1453" s="1867"/>
      <c r="L1453" s="1867"/>
      <c r="M1453" s="1867"/>
      <c r="N1453" s="1867"/>
      <c r="O1453" s="1944" t="s">
        <v>749</v>
      </c>
      <c r="P1453" s="1945">
        <f>'Part VIII-Threshold Criteria'!P363</f>
        <v>0</v>
      </c>
      <c r="Q1453" s="1945">
        <f>'Part VIII-Threshold Criteria'!Q363</f>
        <v>0</v>
      </c>
    </row>
    <row r="1454" spans="1:17" ht="12.75" customHeight="1">
      <c r="A1454" s="1933" t="s">
        <v>2115</v>
      </c>
      <c r="B1454" s="1900" t="s">
        <v>4076</v>
      </c>
      <c r="C1454" s="1900"/>
      <c r="D1454" s="1900"/>
      <c r="E1454" s="1900"/>
      <c r="F1454" s="1900"/>
      <c r="G1454" s="1900"/>
      <c r="H1454" s="1900"/>
      <c r="I1454" s="1900"/>
      <c r="J1454" s="1900"/>
      <c r="K1454" s="1900"/>
      <c r="L1454" s="1900"/>
      <c r="M1454" s="1900"/>
      <c r="N1454" s="1900"/>
      <c r="O1454" s="1937" t="s">
        <v>2115</v>
      </c>
      <c r="P1454" s="1945">
        <f>'Part VIII-Threshold Criteria'!P364</f>
        <v>0</v>
      </c>
      <c r="Q1454" s="1945">
        <f>'Part VIII-Threshold Criteria'!Q364</f>
        <v>0</v>
      </c>
    </row>
    <row r="1455" spans="1:17">
      <c r="A1455" s="1933" t="s">
        <v>1735</v>
      </c>
      <c r="B1455" s="521" t="s">
        <v>4077</v>
      </c>
      <c r="D1455" s="521"/>
      <c r="E1455" s="521"/>
      <c r="F1455" s="521"/>
      <c r="G1455" s="521"/>
      <c r="H1455" s="521"/>
      <c r="I1455" s="521"/>
      <c r="J1455" s="521"/>
      <c r="K1455" s="521"/>
      <c r="L1455" s="521"/>
      <c r="M1455" s="521"/>
      <c r="O1455" s="1944" t="s">
        <v>1735</v>
      </c>
      <c r="P1455" s="1938">
        <f>'Part VIII-Threshold Criteria'!P365</f>
        <v>0</v>
      </c>
      <c r="Q1455" s="1938">
        <f>'Part VIII-Threshold Criteria'!Q365</f>
        <v>0</v>
      </c>
    </row>
    <row r="1456" spans="1:17" ht="12.75" customHeight="1">
      <c r="A1456" s="1933" t="s">
        <v>1736</v>
      </c>
      <c r="B1456" s="1900" t="s">
        <v>4078</v>
      </c>
      <c r="C1456" s="1900"/>
      <c r="D1456" s="1900"/>
      <c r="E1456" s="1900"/>
      <c r="F1456" s="1900"/>
      <c r="G1456" s="1900"/>
      <c r="H1456" s="1900"/>
      <c r="I1456" s="1900"/>
      <c r="J1456" s="1900"/>
      <c r="K1456" s="1900"/>
      <c r="L1456" s="1900"/>
      <c r="M1456" s="1900"/>
      <c r="N1456" s="1900"/>
      <c r="O1456" s="1944" t="s">
        <v>1736</v>
      </c>
      <c r="P1456" s="1945">
        <f>'Part VIII-Threshold Criteria'!P366</f>
        <v>0</v>
      </c>
      <c r="Q1456" s="1945">
        <f>'Part VIII-Threshold Criteria'!Q366</f>
        <v>0</v>
      </c>
    </row>
    <row r="1457" spans="1:17">
      <c r="A1457" s="1933" t="s">
        <v>1947</v>
      </c>
      <c r="B1457" s="1921" t="s">
        <v>4079</v>
      </c>
      <c r="C1457" s="1913"/>
      <c r="D1457" s="1900"/>
      <c r="E1457" s="1900"/>
      <c r="F1457" s="1900"/>
      <c r="G1457" s="1900"/>
      <c r="H1457" s="1900"/>
      <c r="I1457" s="1900"/>
      <c r="J1457" s="1900"/>
      <c r="K1457" s="1900"/>
      <c r="L1457" s="1900"/>
      <c r="M1457" s="1900"/>
      <c r="N1457" s="1900"/>
      <c r="O1457" s="1944" t="s">
        <v>1947</v>
      </c>
      <c r="P1457" s="1945">
        <f>'Part VIII-Threshold Criteria'!P367</f>
        <v>0</v>
      </c>
      <c r="Q1457" s="1945">
        <f>'Part VIII-Threshold Criteria'!Q367</f>
        <v>0</v>
      </c>
    </row>
    <row r="1458" spans="1:17">
      <c r="A1458" s="1913"/>
      <c r="B1458" s="1913"/>
      <c r="C1458" s="1952" t="s">
        <v>4555</v>
      </c>
      <c r="D1458" s="1913"/>
      <c r="E1458" s="1899"/>
      <c r="F1458" s="1899"/>
      <c r="G1458" s="1899"/>
      <c r="H1458" s="1899"/>
      <c r="I1458" s="1899"/>
      <c r="J1458" s="1899"/>
      <c r="K1458" s="1899"/>
      <c r="L1458" s="1899"/>
      <c r="M1458" s="1899"/>
      <c r="N1458" s="1899"/>
      <c r="O1458" s="1913"/>
      <c r="P1458" s="1945">
        <f>'Part VIII-Threshold Criteria'!P368</f>
        <v>0</v>
      </c>
      <c r="Q1458" s="1945">
        <f>'Part VIII-Threshold Criteria'!Q368</f>
        <v>0</v>
      </c>
    </row>
    <row r="1459" spans="1:17" ht="12.75" customHeight="1">
      <c r="A1459" s="1933" t="s">
        <v>3370</v>
      </c>
      <c r="B1459" s="1900" t="s">
        <v>4080</v>
      </c>
      <c r="C1459" s="1900"/>
      <c r="D1459" s="1900"/>
      <c r="E1459" s="1900"/>
      <c r="F1459" s="1900"/>
      <c r="G1459" s="1900"/>
      <c r="H1459" s="1900"/>
      <c r="I1459" s="1900"/>
      <c r="J1459" s="1900"/>
      <c r="K1459" s="1900"/>
      <c r="L1459" s="1900"/>
      <c r="M1459" s="1900"/>
      <c r="N1459" s="1900"/>
      <c r="O1459" s="1944" t="s">
        <v>3370</v>
      </c>
      <c r="P1459" s="1945">
        <f>'Part VIII-Threshold Criteria'!P369</f>
        <v>0</v>
      </c>
      <c r="Q1459" s="1945">
        <f>'Part VIII-Threshold Criteria'!Q369</f>
        <v>0</v>
      </c>
    </row>
    <row r="1460" spans="1:17" ht="12.75" customHeight="1">
      <c r="A1460" s="1933" t="s">
        <v>616</v>
      </c>
      <c r="B1460" s="1900" t="s">
        <v>4081</v>
      </c>
      <c r="C1460" s="1900"/>
      <c r="D1460" s="1900"/>
      <c r="E1460" s="1900"/>
      <c r="F1460" s="1900"/>
      <c r="G1460" s="1900"/>
      <c r="H1460" s="1900"/>
      <c r="I1460" s="1900"/>
      <c r="J1460" s="1900"/>
      <c r="K1460" s="1900"/>
      <c r="L1460" s="1900"/>
      <c r="M1460" s="1900"/>
      <c r="N1460" s="1900"/>
      <c r="O1460" s="1944" t="s">
        <v>616</v>
      </c>
      <c r="P1460" s="1945">
        <f>'Part VIII-Threshold Criteria'!P370</f>
        <v>0</v>
      </c>
      <c r="Q1460" s="1945">
        <f>'Part VIII-Threshold Criteria'!Q370</f>
        <v>0</v>
      </c>
    </row>
    <row r="1461" spans="1:17">
      <c r="B1461" s="1842" t="s">
        <v>3756</v>
      </c>
      <c r="D1461" s="1842"/>
      <c r="E1461" s="1842"/>
      <c r="F1461" s="1842"/>
      <c r="G1461" s="1842"/>
      <c r="H1461" s="1841"/>
      <c r="I1461" s="1895"/>
      <c r="J1461" s="1895"/>
      <c r="K1461" s="1895"/>
      <c r="L1461" s="1812"/>
      <c r="M1461" s="1812"/>
      <c r="N1461" s="1812"/>
      <c r="O1461" s="1812"/>
      <c r="P1461" s="1812"/>
      <c r="Q1461" s="1812"/>
    </row>
    <row r="1462" spans="1:17">
      <c r="A1462" s="1900">
        <f>'Part VIII-Threshold Criteria'!A372</f>
        <v>0</v>
      </c>
      <c r="B1462" s="1900">
        <f>'Part VIII-Threshold Criteria'!B372</f>
        <v>0</v>
      </c>
      <c r="C1462" s="1900">
        <f>'Part VIII-Threshold Criteria'!C372</f>
        <v>0</v>
      </c>
      <c r="D1462" s="1900">
        <f>'Part VIII-Threshold Criteria'!D372</f>
        <v>0</v>
      </c>
      <c r="E1462" s="1900">
        <f>'Part VIII-Threshold Criteria'!E372</f>
        <v>0</v>
      </c>
      <c r="F1462" s="1900">
        <f>'Part VIII-Threshold Criteria'!F372</f>
        <v>0</v>
      </c>
      <c r="G1462" s="1900">
        <f>'Part VIII-Threshold Criteria'!G372</f>
        <v>0</v>
      </c>
      <c r="H1462" s="1900">
        <f>'Part VIII-Threshold Criteria'!H372</f>
        <v>0</v>
      </c>
      <c r="I1462" s="1900">
        <f>'Part VIII-Threshold Criteria'!I372</f>
        <v>0</v>
      </c>
      <c r="J1462" s="1900">
        <f>'Part VIII-Threshold Criteria'!J372</f>
        <v>0</v>
      </c>
      <c r="K1462" s="1900">
        <f>'Part VIII-Threshold Criteria'!K372</f>
        <v>0</v>
      </c>
      <c r="L1462" s="1900">
        <f>'Part VIII-Threshold Criteria'!L372</f>
        <v>0</v>
      </c>
      <c r="M1462" s="1900">
        <f>'Part VIII-Threshold Criteria'!M372</f>
        <v>0</v>
      </c>
      <c r="N1462" s="1900">
        <f>'Part VIII-Threshold Criteria'!N372</f>
        <v>0</v>
      </c>
      <c r="O1462" s="1900">
        <f>'Part VIII-Threshold Criteria'!O372</f>
        <v>0</v>
      </c>
      <c r="P1462" s="1900">
        <f>'Part VIII-Threshold Criteria'!P372</f>
        <v>0</v>
      </c>
      <c r="Q1462" s="1900">
        <f>'Part VIII-Threshold Criteria'!Q372</f>
        <v>0</v>
      </c>
    </row>
    <row r="1463" spans="1:17">
      <c r="B1463" s="1897" t="s">
        <v>1866</v>
      </c>
      <c r="C1463" s="1898"/>
      <c r="D1463" s="1899"/>
      <c r="E1463" s="1899"/>
      <c r="F1463" s="1899"/>
      <c r="G1463" s="1899"/>
      <c r="H1463" s="1899"/>
      <c r="I1463" s="1899"/>
      <c r="J1463" s="1899"/>
      <c r="K1463" s="1899"/>
      <c r="L1463" s="1899"/>
      <c r="M1463" s="1899"/>
      <c r="N1463" s="1899"/>
      <c r="O1463" s="1899"/>
      <c r="P1463" s="1899"/>
      <c r="Q1463" s="1899"/>
    </row>
    <row r="1464" spans="1:17">
      <c r="A1464" s="1900">
        <f>'Part VIII-Threshold Criteria'!A374</f>
        <v>0</v>
      </c>
      <c r="B1464" s="1900">
        <f>'Part VIII-Threshold Criteria'!B374</f>
        <v>0</v>
      </c>
      <c r="C1464" s="1900">
        <f>'Part VIII-Threshold Criteria'!C374</f>
        <v>0</v>
      </c>
      <c r="D1464" s="1900">
        <f>'Part VIII-Threshold Criteria'!D374</f>
        <v>0</v>
      </c>
      <c r="E1464" s="1900">
        <f>'Part VIII-Threshold Criteria'!E374</f>
        <v>0</v>
      </c>
      <c r="F1464" s="1900">
        <f>'Part VIII-Threshold Criteria'!F374</f>
        <v>0</v>
      </c>
      <c r="G1464" s="1900">
        <f>'Part VIII-Threshold Criteria'!G374</f>
        <v>0</v>
      </c>
      <c r="H1464" s="1900">
        <f>'Part VIII-Threshold Criteria'!H374</f>
        <v>0</v>
      </c>
      <c r="I1464" s="1900">
        <f>'Part VIII-Threshold Criteria'!I374</f>
        <v>0</v>
      </c>
      <c r="J1464" s="1900">
        <f>'Part VIII-Threshold Criteria'!J374</f>
        <v>0</v>
      </c>
      <c r="K1464" s="1900">
        <f>'Part VIII-Threshold Criteria'!K374</f>
        <v>0</v>
      </c>
      <c r="L1464" s="1900">
        <f>'Part VIII-Threshold Criteria'!L374</f>
        <v>0</v>
      </c>
      <c r="M1464" s="1900">
        <f>'Part VIII-Threshold Criteria'!M374</f>
        <v>0</v>
      </c>
      <c r="N1464" s="1900">
        <f>'Part VIII-Threshold Criteria'!N374</f>
        <v>0</v>
      </c>
      <c r="O1464" s="1900">
        <f>'Part VIII-Threshold Criteria'!O374</f>
        <v>0</v>
      </c>
      <c r="P1464" s="1900">
        <f>'Part VIII-Threshold Criteria'!P374</f>
        <v>0</v>
      </c>
      <c r="Q1464" s="1900">
        <f>'Part VIII-Threshold Criteria'!Q374</f>
        <v>0</v>
      </c>
    </row>
    <row r="1465" spans="1:17">
      <c r="A1465" s="1812"/>
      <c r="B1465" s="1895"/>
      <c r="C1465" s="1899"/>
      <c r="D1465" s="1899"/>
      <c r="E1465" s="1899"/>
      <c r="F1465" s="1899"/>
      <c r="G1465" s="1899"/>
      <c r="H1465" s="1899"/>
      <c r="I1465" s="1899"/>
      <c r="J1465" s="1899"/>
      <c r="K1465" s="1899"/>
      <c r="L1465" s="1899"/>
      <c r="M1465" s="1899"/>
      <c r="Q1465" s="1812"/>
    </row>
    <row r="1466" spans="1:17">
      <c r="A1466" s="1805" t="s">
        <v>4111</v>
      </c>
      <c r="B1466" s="1629" t="s">
        <v>3917</v>
      </c>
      <c r="C1466" s="1629"/>
      <c r="D1466" s="1629"/>
      <c r="E1466" s="1629"/>
      <c r="F1466" s="1629"/>
      <c r="G1466" s="1629"/>
      <c r="H1466" s="1899"/>
      <c r="I1466" s="1899"/>
      <c r="J1466" s="1899"/>
      <c r="O1466" s="1896" t="s">
        <v>1867</v>
      </c>
      <c r="P1466" s="1820">
        <f>'Part VIII-Threshold Criteria'!P376</f>
        <v>0</v>
      </c>
      <c r="Q1466" s="1820">
        <f>'Part VIII-Threshold Criteria'!Q376</f>
        <v>0</v>
      </c>
    </row>
    <row r="1467" spans="1:17">
      <c r="A1467" s="1935" t="s">
        <v>1983</v>
      </c>
      <c r="B1467" s="1894" t="s">
        <v>3919</v>
      </c>
      <c r="C1467" s="1631"/>
      <c r="D1467" s="521"/>
      <c r="E1467" s="521"/>
      <c r="F1467" s="521"/>
      <c r="G1467" s="521"/>
      <c r="H1467" s="521"/>
      <c r="I1467" s="521"/>
      <c r="J1467" s="521"/>
      <c r="K1467" s="521"/>
      <c r="L1467" s="521"/>
      <c r="M1467" s="521"/>
      <c r="N1467" s="521"/>
      <c r="O1467" s="521"/>
      <c r="P1467" s="521"/>
      <c r="Q1467" s="521"/>
    </row>
    <row r="1468" spans="1:17">
      <c r="A1468" s="1935"/>
      <c r="B1468" s="521" t="s">
        <v>1737</v>
      </c>
      <c r="C1468" s="521" t="s">
        <v>4128</v>
      </c>
      <c r="D1468" s="521"/>
      <c r="E1468" s="521"/>
      <c r="F1468" s="521"/>
      <c r="G1468" s="1894">
        <f>'Part VIII-Threshold Criteria'!J378</f>
        <v>0</v>
      </c>
      <c r="H1468" s="1894">
        <f>'Part VIII-Threshold Criteria'!K378</f>
        <v>0</v>
      </c>
      <c r="I1468" s="1894">
        <f>'Part VIII-Threshold Criteria'!L378</f>
        <v>0</v>
      </c>
      <c r="J1468" s="1895" t="s">
        <v>3926</v>
      </c>
      <c r="K1468" s="1894">
        <f>'Part VIII-Threshold Criteria'!J379</f>
        <v>0</v>
      </c>
      <c r="L1468" s="1894">
        <f>'Part VIII-Threshold Criteria'!K379</f>
        <v>0</v>
      </c>
      <c r="M1468" s="1894">
        <f>'Part VIII-Threshold Criteria'!L379</f>
        <v>0</v>
      </c>
      <c r="N1468" s="521" t="s">
        <v>3918</v>
      </c>
      <c r="O1468" s="521"/>
      <c r="P1468" s="1894">
        <f>'Part VIII-Threshold Criteria'!P378</f>
        <v>0</v>
      </c>
      <c r="Q1468" s="1894">
        <f>'Part VIII-Threshold Criteria'!Q378</f>
        <v>0</v>
      </c>
    </row>
    <row r="1469" spans="1:17">
      <c r="A1469" s="1631"/>
      <c r="B1469" s="521" t="s">
        <v>1738</v>
      </c>
      <c r="C1469" s="521" t="s">
        <v>3920</v>
      </c>
      <c r="D1469" s="1631"/>
      <c r="E1469" s="1631"/>
      <c r="F1469" s="1631"/>
      <c r="G1469" s="1631"/>
      <c r="H1469" s="1631"/>
      <c r="I1469" s="1937" t="s">
        <v>1738</v>
      </c>
      <c r="J1469" s="2164">
        <f>'Part VIII-Threshold Criteria'!J380</f>
        <v>0</v>
      </c>
      <c r="K1469" s="2164">
        <f>'Part VIII-Threshold Criteria'!K380</f>
        <v>0</v>
      </c>
      <c r="L1469" s="1631"/>
      <c r="M1469" s="1631"/>
      <c r="N1469" s="1631"/>
      <c r="O1469" s="1631"/>
      <c r="P1469" s="1631"/>
      <c r="Q1469" s="1631"/>
    </row>
    <row r="1470" spans="1:17">
      <c r="A1470" s="1935"/>
      <c r="B1470" s="521" t="s">
        <v>1739</v>
      </c>
      <c r="C1470" s="521" t="s">
        <v>3921</v>
      </c>
      <c r="D1470" s="1630"/>
      <c r="E1470" s="1867"/>
      <c r="F1470" s="1966" t="str">
        <f>'Part VIII-Threshold Criteria'!J381</f>
        <v>Urban</v>
      </c>
      <c r="G1470" s="1966">
        <f>'Part VIII-Threshold Criteria'!K381</f>
        <v>0</v>
      </c>
      <c r="H1470" s="1834" t="s">
        <v>3922</v>
      </c>
      <c r="I1470" s="1867"/>
      <c r="J1470" s="1867"/>
      <c r="K1470" s="1867"/>
      <c r="L1470" s="1867"/>
      <c r="M1470" s="1867"/>
      <c r="N1470" s="1867"/>
      <c r="O1470" s="1937" t="s">
        <v>1739</v>
      </c>
      <c r="P1470" s="1938">
        <f>'Part VIII-Threshold Criteria'!P381</f>
        <v>0</v>
      </c>
      <c r="Q1470" s="1938">
        <f>'Part VIII-Threshold Criteria'!Q381</f>
        <v>0</v>
      </c>
    </row>
    <row r="1471" spans="1:17">
      <c r="A1471" s="1935"/>
      <c r="B1471" s="521" t="s">
        <v>2365</v>
      </c>
      <c r="C1471" s="521" t="s">
        <v>3923</v>
      </c>
      <c r="D1471" s="1631"/>
      <c r="E1471" s="1867"/>
      <c r="F1471" s="1867"/>
      <c r="G1471" s="1867"/>
      <c r="H1471" s="1867"/>
      <c r="I1471" s="1867"/>
      <c r="J1471" s="1967">
        <f>'Part VIII-Threshold Criteria'!J382</f>
        <v>0</v>
      </c>
      <c r="K1471" s="1967">
        <f>'Part VIII-Threshold Criteria'!K382</f>
        <v>0</v>
      </c>
      <c r="L1471" s="1967">
        <f>'Part VIII-Threshold Criteria'!L382</f>
        <v>0</v>
      </c>
      <c r="M1471" s="1967">
        <f>'Part VIII-Threshold Criteria'!M382</f>
        <v>0</v>
      </c>
      <c r="N1471" s="521" t="s">
        <v>3933</v>
      </c>
      <c r="O1471" s="1937"/>
      <c r="P1471" s="1938">
        <f>'Part VIII-Threshold Criteria'!J383</f>
        <v>0</v>
      </c>
      <c r="Q1471" s="1938">
        <f>'Part VIII-Threshold Criteria'!L383</f>
        <v>0</v>
      </c>
    </row>
    <row r="1472" spans="1:17">
      <c r="A1472" s="1935"/>
      <c r="B1472" s="521" t="s">
        <v>1549</v>
      </c>
      <c r="C1472" s="521" t="s">
        <v>3924</v>
      </c>
      <c r="D1472" s="1631"/>
      <c r="E1472" s="521"/>
      <c r="F1472" s="1967">
        <f>'Part VIII-Threshold Criteria'!F384</f>
        <v>660058</v>
      </c>
      <c r="G1472" s="1967">
        <f>'Part VIII-Threshold Criteria'!G384</f>
        <v>0</v>
      </c>
      <c r="H1472" s="521" t="s">
        <v>3925</v>
      </c>
      <c r="I1472" s="521"/>
      <c r="J1472" s="1894" t="str">
        <f>IF(F1472&gt;'DCA Underwriting Assumptions'!$Q$131, "Request exceeds DCA per project maximum for set aside!!!","")</f>
        <v>Request exceeds DCA per project maximum for set aside!!!</v>
      </c>
      <c r="K1472" s="521"/>
      <c r="L1472" s="521"/>
      <c r="M1472" s="1631"/>
      <c r="N1472" s="1631"/>
      <c r="O1472" s="1937" t="s">
        <v>1549</v>
      </c>
      <c r="P1472" s="1938">
        <f>'Part VIII-Threshold Criteria'!P384</f>
        <v>0</v>
      </c>
      <c r="Q1472" s="1938">
        <f>'Part VIII-Threshold Criteria'!Q384</f>
        <v>0</v>
      </c>
    </row>
    <row r="1473" spans="1:17">
      <c r="A1473" s="1935"/>
      <c r="B1473" s="521" t="s">
        <v>1550</v>
      </c>
      <c r="C1473" s="521" t="s">
        <v>3927</v>
      </c>
      <c r="D1473" s="1631"/>
      <c r="E1473" s="521"/>
      <c r="F1473" s="521"/>
      <c r="G1473" s="521"/>
      <c r="H1473" s="521" t="s">
        <v>3593</v>
      </c>
      <c r="I1473" s="521"/>
      <c r="J1473" s="1967">
        <f>'Part VIII-Threshold Criteria'!J385</f>
        <v>0</v>
      </c>
      <c r="K1473" s="1967">
        <f>'Part VIII-Threshold Criteria'!K385</f>
        <v>0</v>
      </c>
      <c r="L1473" s="521" t="s">
        <v>3928</v>
      </c>
      <c r="M1473" s="1967">
        <f>'Part VIII-Threshold Criteria'!L385</f>
        <v>0</v>
      </c>
      <c r="N1473" s="1967">
        <f>'Part VIII-Threshold Criteria'!M385</f>
        <v>0</v>
      </c>
      <c r="O1473" s="1631"/>
      <c r="P1473" s="1631"/>
      <c r="Q1473" s="1631"/>
    </row>
    <row r="1474" spans="1:17">
      <c r="A1474" s="1631"/>
      <c r="B1474" s="521" t="s">
        <v>98</v>
      </c>
      <c r="C1474" s="521" t="s">
        <v>3929</v>
      </c>
      <c r="D1474" s="1631"/>
      <c r="E1474" s="1867"/>
      <c r="F1474" s="1867"/>
      <c r="G1474" s="1867"/>
      <c r="H1474" s="1867"/>
      <c r="I1474" s="1867"/>
      <c r="J1474" s="1867"/>
      <c r="K1474" s="1867"/>
      <c r="L1474" s="1867"/>
      <c r="M1474" s="1867"/>
      <c r="N1474" s="1867"/>
      <c r="O1474" s="1937" t="s">
        <v>98</v>
      </c>
      <c r="P1474" s="1938">
        <f>'Part VIII-Threshold Criteria'!P386</f>
        <v>0</v>
      </c>
      <c r="Q1474" s="1938">
        <f>'Part VIII-Threshold Criteria'!Q386</f>
        <v>0</v>
      </c>
    </row>
    <row r="1475" spans="1:17">
      <c r="A1475" s="1631"/>
      <c r="B1475" s="1867"/>
      <c r="C1475" s="1631"/>
      <c r="D1475" s="1867"/>
      <c r="E1475" s="1867"/>
      <c r="F1475" s="1867"/>
      <c r="G1475" s="1867"/>
      <c r="H1475" s="1867"/>
      <c r="I1475" s="1867"/>
      <c r="J1475" s="1867"/>
      <c r="K1475" s="1867"/>
      <c r="L1475" s="1867"/>
      <c r="M1475" s="1867"/>
      <c r="N1475" s="1867"/>
      <c r="O1475" s="1867"/>
      <c r="P1475" s="1867"/>
      <c r="Q1475" s="1867"/>
    </row>
    <row r="1476" spans="1:17" ht="12.75" customHeight="1">
      <c r="A1476" s="1935" t="s">
        <v>1985</v>
      </c>
      <c r="B1476" s="1894" t="s">
        <v>3930</v>
      </c>
      <c r="C1476" s="1631"/>
      <c r="D1476" s="1867"/>
      <c r="E1476" s="1867"/>
      <c r="F1476" s="1867"/>
      <c r="G1476" s="1867"/>
      <c r="H1476" s="1867"/>
      <c r="I1476" s="1631"/>
      <c r="J1476" s="521" t="s">
        <v>3935</v>
      </c>
      <c r="K1476" s="521"/>
      <c r="L1476" s="521"/>
      <c r="M1476" s="521"/>
      <c r="N1476" s="1867" t="s">
        <v>3932</v>
      </c>
      <c r="O1476" s="1867"/>
      <c r="P1476" s="1867"/>
      <c r="Q1476" s="1867"/>
    </row>
    <row r="1477" spans="1:17">
      <c r="A1477" s="1631"/>
      <c r="B1477" s="521" t="s">
        <v>1737</v>
      </c>
      <c r="C1477" s="1841" t="s">
        <v>3931</v>
      </c>
      <c r="D1477" s="1631"/>
      <c r="E1477" s="1834"/>
      <c r="F1477" s="1834"/>
      <c r="G1477" s="1834"/>
      <c r="H1477" s="1834"/>
      <c r="I1477" s="1631"/>
      <c r="J1477" s="1967">
        <f>'Part VIII-Threshold Criteria'!J390</f>
        <v>0</v>
      </c>
      <c r="K1477" s="1967">
        <f>'Part VIII-Threshold Criteria'!K390</f>
        <v>0</v>
      </c>
      <c r="L1477" s="1967">
        <f>'Part VIII-Threshold Criteria'!L390</f>
        <v>0</v>
      </c>
      <c r="M1477" s="1967">
        <f>'Part VIII-Threshold Criteria'!M390</f>
        <v>0</v>
      </c>
      <c r="N1477" s="1968" t="e">
        <f>IF(J1477="","",J1471/J1477)</f>
        <v>#DIV/0!</v>
      </c>
      <c r="O1477" s="1968" t="e">
        <f>IF(L1477="","",L1471/L1477)</f>
        <v>#DIV/0!</v>
      </c>
      <c r="P1477" s="1938">
        <f>'Part VIII-Threshold Criteria'!P388</f>
        <v>0</v>
      </c>
      <c r="Q1477" s="1938">
        <f>'Part VIII-Threshold Criteria'!Q388</f>
        <v>0</v>
      </c>
    </row>
    <row r="1478" spans="1:17">
      <c r="A1478" s="1631"/>
      <c r="B1478" s="521" t="s">
        <v>1738</v>
      </c>
      <c r="C1478" s="521" t="s">
        <v>3934</v>
      </c>
      <c r="D1478" s="1631"/>
      <c r="E1478" s="1867"/>
      <c r="F1478" s="1867"/>
      <c r="G1478" s="1867"/>
      <c r="H1478" s="1867"/>
      <c r="I1478" s="1631"/>
      <c r="J1478" s="1631"/>
      <c r="K1478" s="1631"/>
      <c r="L1478" s="1631"/>
      <c r="M1478" s="1631"/>
      <c r="N1478" s="1867"/>
      <c r="O1478" s="1937" t="s">
        <v>1738</v>
      </c>
      <c r="P1478" s="1969">
        <f>'Part VIII-Threshold Criteria'!P390</f>
        <v>0</v>
      </c>
      <c r="Q1478" s="1969">
        <f>'Part VIII-Threshold Criteria'!Q390</f>
        <v>0</v>
      </c>
    </row>
    <row r="1479" spans="1:17">
      <c r="A1479" s="1631"/>
      <c r="B1479" s="521" t="s">
        <v>1739</v>
      </c>
      <c r="C1479" s="521" t="s">
        <v>3936</v>
      </c>
      <c r="D1479" s="1631"/>
      <c r="E1479" s="1867"/>
      <c r="F1479" s="1867"/>
      <c r="G1479" s="1867"/>
      <c r="H1479" s="1867"/>
      <c r="I1479" s="1631"/>
      <c r="J1479" s="1631"/>
      <c r="K1479" s="1631"/>
      <c r="L1479" s="1631"/>
      <c r="M1479" s="1867"/>
      <c r="N1479" s="1867"/>
      <c r="O1479" s="1937" t="s">
        <v>1739</v>
      </c>
      <c r="P1479" s="1938">
        <f>'Part VIII-Threshold Criteria'!P392</f>
        <v>0</v>
      </c>
      <c r="Q1479" s="1938">
        <f>'Part VIII-Threshold Criteria'!Q392</f>
        <v>0</v>
      </c>
    </row>
    <row r="1480" spans="1:17">
      <c r="B1480" s="1842" t="s">
        <v>3756</v>
      </c>
      <c r="D1480" s="1842"/>
      <c r="E1480" s="1842"/>
      <c r="F1480" s="1842"/>
      <c r="G1480" s="1842"/>
      <c r="H1480" s="1841"/>
      <c r="I1480" s="1895"/>
      <c r="J1480" s="1895"/>
      <c r="K1480" s="1895"/>
      <c r="L1480" s="1812"/>
      <c r="M1480" s="1812"/>
      <c r="N1480" s="1812"/>
      <c r="O1480" s="1812"/>
      <c r="P1480" s="1812"/>
      <c r="Q1480" s="1812"/>
    </row>
    <row r="1481" spans="1:17">
      <c r="A1481" s="1900">
        <f>'Part VIII-Threshold Criteria'!A394</f>
        <v>0</v>
      </c>
      <c r="B1481" s="1900">
        <f>'Part VIII-Threshold Criteria'!B394</f>
        <v>0</v>
      </c>
      <c r="C1481" s="1900">
        <f>'Part VIII-Threshold Criteria'!C394</f>
        <v>0</v>
      </c>
      <c r="D1481" s="1900">
        <f>'Part VIII-Threshold Criteria'!D394</f>
        <v>0</v>
      </c>
      <c r="E1481" s="1900">
        <f>'Part VIII-Threshold Criteria'!E394</f>
        <v>0</v>
      </c>
      <c r="F1481" s="1900">
        <f>'Part VIII-Threshold Criteria'!F394</f>
        <v>0</v>
      </c>
      <c r="G1481" s="1900">
        <f>'Part VIII-Threshold Criteria'!G394</f>
        <v>0</v>
      </c>
      <c r="H1481" s="1900">
        <f>'Part VIII-Threshold Criteria'!H394</f>
        <v>0</v>
      </c>
      <c r="I1481" s="1900">
        <f>'Part VIII-Threshold Criteria'!I394</f>
        <v>0</v>
      </c>
      <c r="J1481" s="1900">
        <f>'Part VIII-Threshold Criteria'!J394</f>
        <v>0</v>
      </c>
      <c r="K1481" s="1900">
        <f>'Part VIII-Threshold Criteria'!K394</f>
        <v>0</v>
      </c>
      <c r="L1481" s="1900">
        <f>'Part VIII-Threshold Criteria'!L394</f>
        <v>0</v>
      </c>
      <c r="M1481" s="1900">
        <f>'Part VIII-Threshold Criteria'!M394</f>
        <v>0</v>
      </c>
      <c r="N1481" s="1900">
        <f>'Part VIII-Threshold Criteria'!N394</f>
        <v>0</v>
      </c>
      <c r="O1481" s="1900">
        <f>'Part VIII-Threshold Criteria'!O394</f>
        <v>0</v>
      </c>
      <c r="P1481" s="1900">
        <f>'Part VIII-Threshold Criteria'!P394</f>
        <v>0</v>
      </c>
      <c r="Q1481" s="1900">
        <f>'Part VIII-Threshold Criteria'!Q394</f>
        <v>0</v>
      </c>
    </row>
    <row r="1482" spans="1:17">
      <c r="B1482" s="1897" t="s">
        <v>1866</v>
      </c>
      <c r="C1482" s="1898"/>
      <c r="D1482" s="1899"/>
      <c r="E1482" s="1899"/>
      <c r="F1482" s="1899"/>
      <c r="G1482" s="1899"/>
      <c r="H1482" s="1899"/>
      <c r="I1482" s="1899"/>
      <c r="J1482" s="1899"/>
      <c r="K1482" s="1899"/>
      <c r="L1482" s="1899"/>
      <c r="M1482" s="1899"/>
      <c r="N1482" s="1899"/>
      <c r="O1482" s="1899"/>
      <c r="P1482" s="1899"/>
      <c r="Q1482" s="1899"/>
    </row>
    <row r="1483" spans="1:17">
      <c r="A1483" s="1900">
        <f>'Part VIII-Threshold Criteria'!A396</f>
        <v>0</v>
      </c>
      <c r="B1483" s="1900">
        <f>'Part VIII-Threshold Criteria'!B396</f>
        <v>0</v>
      </c>
      <c r="C1483" s="1900">
        <f>'Part VIII-Threshold Criteria'!C396</f>
        <v>0</v>
      </c>
      <c r="D1483" s="1900">
        <f>'Part VIII-Threshold Criteria'!D396</f>
        <v>0</v>
      </c>
      <c r="E1483" s="1900">
        <f>'Part VIII-Threshold Criteria'!E396</f>
        <v>0</v>
      </c>
      <c r="F1483" s="1900">
        <f>'Part VIII-Threshold Criteria'!F396</f>
        <v>0</v>
      </c>
      <c r="G1483" s="1900">
        <f>'Part VIII-Threshold Criteria'!G396</f>
        <v>0</v>
      </c>
      <c r="H1483" s="1900">
        <f>'Part VIII-Threshold Criteria'!H396</f>
        <v>0</v>
      </c>
      <c r="I1483" s="1900">
        <f>'Part VIII-Threshold Criteria'!I396</f>
        <v>0</v>
      </c>
      <c r="J1483" s="1900">
        <f>'Part VIII-Threshold Criteria'!J396</f>
        <v>0</v>
      </c>
      <c r="K1483" s="1900">
        <f>'Part VIII-Threshold Criteria'!K396</f>
        <v>0</v>
      </c>
      <c r="L1483" s="1900">
        <f>'Part VIII-Threshold Criteria'!L396</f>
        <v>0</v>
      </c>
      <c r="M1483" s="1900">
        <f>'Part VIII-Threshold Criteria'!M396</f>
        <v>0</v>
      </c>
      <c r="N1483" s="1900">
        <f>'Part VIII-Threshold Criteria'!N396</f>
        <v>0</v>
      </c>
      <c r="O1483" s="1900">
        <f>'Part VIII-Threshold Criteria'!O396</f>
        <v>0</v>
      </c>
      <c r="P1483" s="1900">
        <f>'Part VIII-Threshold Criteria'!P396</f>
        <v>0</v>
      </c>
      <c r="Q1483" s="1900">
        <f>'Part VIII-Threshold Criteria'!Q396</f>
        <v>0</v>
      </c>
    </row>
    <row r="1484" spans="1:17">
      <c r="A1484" s="1812"/>
      <c r="B1484" s="1895"/>
      <c r="C1484" s="1899"/>
      <c r="D1484" s="1899"/>
      <c r="E1484" s="1899"/>
      <c r="F1484" s="1899"/>
      <c r="G1484" s="1899"/>
      <c r="H1484" s="1899"/>
      <c r="I1484" s="1899"/>
      <c r="J1484" s="1899"/>
      <c r="K1484" s="1899"/>
      <c r="L1484" s="1899"/>
      <c r="M1484" s="1899"/>
      <c r="Q1484" s="1812"/>
    </row>
    <row r="1485" spans="1:17">
      <c r="A1485" s="1812"/>
      <c r="B1485" s="1895"/>
      <c r="C1485" s="1899"/>
      <c r="D1485" s="1899"/>
      <c r="E1485" s="1899"/>
      <c r="F1485" s="1899"/>
      <c r="G1485" s="1899"/>
      <c r="H1485" s="1899"/>
      <c r="I1485" s="1899"/>
      <c r="J1485" s="1899"/>
      <c r="K1485" s="1899"/>
      <c r="L1485" s="1899"/>
      <c r="M1485" s="1899"/>
      <c r="Q1485" s="1812"/>
    </row>
    <row r="1486" spans="1:17">
      <c r="A1486" s="1805" t="s">
        <v>4112</v>
      </c>
      <c r="B1486" s="1629" t="s">
        <v>2684</v>
      </c>
      <c r="C1486" s="1629"/>
      <c r="D1486" s="1629"/>
      <c r="E1486" s="1629"/>
      <c r="F1486" s="1629"/>
      <c r="G1486" s="1629"/>
      <c r="H1486" s="1899"/>
      <c r="I1486" s="1899"/>
      <c r="J1486" s="1899"/>
      <c r="O1486" s="1896" t="s">
        <v>1867</v>
      </c>
      <c r="P1486" s="1820">
        <f>'Part VIII-Threshold Criteria'!P399</f>
        <v>0</v>
      </c>
      <c r="Q1486" s="1820">
        <f>'Part VIII-Threshold Criteria'!Q399</f>
        <v>0</v>
      </c>
    </row>
    <row r="1487" spans="1:17">
      <c r="A1487" s="1935" t="s">
        <v>1983</v>
      </c>
      <c r="B1487" s="521" t="s">
        <v>1034</v>
      </c>
      <c r="E1487" s="1894">
        <f>'Part VIII-Threshold Criteria'!E400</f>
        <v>0</v>
      </c>
      <c r="F1487" s="1894">
        <f>'Part VIII-Threshold Criteria'!F400</f>
        <v>0</v>
      </c>
      <c r="G1487" s="1894">
        <f>'Part VIII-Threshold Criteria'!G400</f>
        <v>0</v>
      </c>
      <c r="H1487" s="1894">
        <f>'Part VIII-Threshold Criteria'!H400</f>
        <v>0</v>
      </c>
      <c r="I1487" s="1894">
        <f>'Part VIII-Threshold Criteria'!I400</f>
        <v>0</v>
      </c>
      <c r="J1487" s="521" t="s">
        <v>2671</v>
      </c>
      <c r="K1487" s="521"/>
      <c r="L1487" s="521"/>
      <c r="M1487" s="1894">
        <f>'Part VIII-Threshold Criteria'!M400</f>
        <v>0</v>
      </c>
      <c r="N1487" s="1894">
        <f>'Part VIII-Threshold Criteria'!N400</f>
        <v>0</v>
      </c>
      <c r="O1487" s="1894">
        <f>'Part VIII-Threshold Criteria'!O400</f>
        <v>0</v>
      </c>
      <c r="P1487" s="1894">
        <f>'Part VIII-Threshold Criteria'!P400</f>
        <v>0</v>
      </c>
      <c r="Q1487" s="1894">
        <f>'Part VIII-Threshold Criteria'!Q400</f>
        <v>0</v>
      </c>
    </row>
    <row r="1488" spans="1:17">
      <c r="A1488" s="1935" t="s">
        <v>1985</v>
      </c>
      <c r="B1488" s="521" t="s">
        <v>3464</v>
      </c>
      <c r="D1488" s="521"/>
      <c r="E1488" s="521"/>
      <c r="F1488" s="521"/>
      <c r="G1488" s="521"/>
      <c r="H1488" s="521"/>
      <c r="I1488" s="521"/>
      <c r="J1488" s="521"/>
      <c r="K1488" s="521"/>
      <c r="L1488" s="1841"/>
      <c r="M1488" s="1841"/>
      <c r="O1488" s="1937" t="s">
        <v>1985</v>
      </c>
      <c r="P1488" s="1938">
        <f>'Part VIII-Threshold Criteria'!P401</f>
        <v>0</v>
      </c>
      <c r="Q1488" s="1938">
        <f>'Part VIII-Threshold Criteria'!Q401</f>
        <v>0</v>
      </c>
    </row>
    <row r="1489" spans="1:17" ht="12.75" customHeight="1">
      <c r="A1489" s="1933" t="s">
        <v>749</v>
      </c>
      <c r="B1489" s="1900" t="s">
        <v>3474</v>
      </c>
      <c r="C1489" s="1900"/>
      <c r="D1489" s="1900"/>
      <c r="E1489" s="1900"/>
      <c r="F1489" s="1900"/>
      <c r="G1489" s="1900"/>
      <c r="H1489" s="1900"/>
      <c r="I1489" s="1900"/>
      <c r="J1489" s="1900"/>
      <c r="K1489" s="1900"/>
      <c r="L1489" s="1900"/>
      <c r="M1489" s="1900"/>
      <c r="N1489" s="1900"/>
      <c r="O1489" s="1944" t="s">
        <v>749</v>
      </c>
      <c r="P1489" s="1945">
        <f>'Part VIII-Threshold Criteria'!P402</f>
        <v>0</v>
      </c>
      <c r="Q1489" s="1945">
        <f>'Part VIII-Threshold Criteria'!Q402</f>
        <v>0</v>
      </c>
    </row>
    <row r="1490" spans="1:17">
      <c r="A1490" s="1935" t="s">
        <v>2115</v>
      </c>
      <c r="B1490" s="1216" t="s">
        <v>3698</v>
      </c>
      <c r="G1490" s="1834"/>
      <c r="H1490" s="1834"/>
      <c r="I1490" s="1834"/>
      <c r="J1490" s="1841" t="s">
        <v>3699</v>
      </c>
      <c r="L1490" s="1834"/>
      <c r="M1490" s="1970">
        <f>'Part III-Sources of Funds'!E1105</f>
        <v>0</v>
      </c>
      <c r="N1490" s="1970"/>
      <c r="O1490" s="1937" t="s">
        <v>2115</v>
      </c>
      <c r="P1490" s="1938">
        <f>'Part VIII-Threshold Criteria'!P403</f>
        <v>0</v>
      </c>
      <c r="Q1490" s="1938">
        <f>'Part VIII-Threshold Criteria'!Q403</f>
        <v>0</v>
      </c>
    </row>
    <row r="1491" spans="1:17">
      <c r="B1491" s="1842" t="s">
        <v>3756</v>
      </c>
      <c r="D1491" s="1842"/>
      <c r="E1491" s="1842"/>
      <c r="F1491" s="1842"/>
      <c r="G1491" s="1842"/>
      <c r="H1491" s="1841"/>
      <c r="I1491" s="1895"/>
      <c r="J1491" s="1895"/>
      <c r="K1491" s="1895"/>
      <c r="L1491" s="1812"/>
      <c r="M1491" s="1812"/>
      <c r="N1491" s="1812"/>
      <c r="O1491" s="1812"/>
      <c r="P1491" s="1812"/>
      <c r="Q1491" s="1812"/>
    </row>
    <row r="1492" spans="1:17">
      <c r="A1492" s="1900">
        <f>'Part VIII-Threshold Criteria'!A405</f>
        <v>0</v>
      </c>
      <c r="B1492" s="1900">
        <f>'Part VIII-Threshold Criteria'!B405</f>
        <v>0</v>
      </c>
      <c r="C1492" s="1900">
        <f>'Part VIII-Threshold Criteria'!C405</f>
        <v>0</v>
      </c>
      <c r="D1492" s="1900">
        <f>'Part VIII-Threshold Criteria'!D405</f>
        <v>0</v>
      </c>
      <c r="E1492" s="1900">
        <f>'Part VIII-Threshold Criteria'!E405</f>
        <v>0</v>
      </c>
      <c r="F1492" s="1900">
        <f>'Part VIII-Threshold Criteria'!F405</f>
        <v>0</v>
      </c>
      <c r="G1492" s="1900">
        <f>'Part VIII-Threshold Criteria'!G405</f>
        <v>0</v>
      </c>
      <c r="H1492" s="1900">
        <f>'Part VIII-Threshold Criteria'!H405</f>
        <v>0</v>
      </c>
      <c r="I1492" s="1900">
        <f>'Part VIII-Threshold Criteria'!I405</f>
        <v>0</v>
      </c>
      <c r="J1492" s="1900">
        <f>'Part VIII-Threshold Criteria'!J405</f>
        <v>0</v>
      </c>
      <c r="K1492" s="1900">
        <f>'Part VIII-Threshold Criteria'!K405</f>
        <v>0</v>
      </c>
      <c r="L1492" s="1900">
        <f>'Part VIII-Threshold Criteria'!L405</f>
        <v>0</v>
      </c>
      <c r="M1492" s="1900">
        <f>'Part VIII-Threshold Criteria'!M405</f>
        <v>0</v>
      </c>
      <c r="N1492" s="1900">
        <f>'Part VIII-Threshold Criteria'!N405</f>
        <v>0</v>
      </c>
      <c r="O1492" s="1900">
        <f>'Part VIII-Threshold Criteria'!O405</f>
        <v>0</v>
      </c>
      <c r="P1492" s="1900">
        <f>'Part VIII-Threshold Criteria'!P405</f>
        <v>0</v>
      </c>
      <c r="Q1492" s="1900">
        <f>'Part VIII-Threshold Criteria'!Q405</f>
        <v>0</v>
      </c>
    </row>
    <row r="1493" spans="1:17">
      <c r="B1493" s="1897" t="s">
        <v>1866</v>
      </c>
      <c r="C1493" s="1898"/>
      <c r="D1493" s="1899"/>
      <c r="E1493" s="1899"/>
      <c r="F1493" s="1899"/>
      <c r="G1493" s="1899"/>
      <c r="H1493" s="1899"/>
      <c r="I1493" s="1899"/>
      <c r="J1493" s="1899"/>
      <c r="K1493" s="1899"/>
      <c r="L1493" s="1899"/>
      <c r="M1493" s="1899"/>
      <c r="N1493" s="1899"/>
      <c r="O1493" s="1899"/>
      <c r="P1493" s="1899"/>
      <c r="Q1493" s="1899"/>
    </row>
    <row r="1494" spans="1:17">
      <c r="A1494" s="1900">
        <f>'Part VIII-Threshold Criteria'!A407</f>
        <v>0</v>
      </c>
      <c r="B1494" s="1900">
        <f>'Part VIII-Threshold Criteria'!B407</f>
        <v>0</v>
      </c>
      <c r="C1494" s="1900">
        <f>'Part VIII-Threshold Criteria'!C407</f>
        <v>0</v>
      </c>
      <c r="D1494" s="1900">
        <f>'Part VIII-Threshold Criteria'!D407</f>
        <v>0</v>
      </c>
      <c r="E1494" s="1900">
        <f>'Part VIII-Threshold Criteria'!E407</f>
        <v>0</v>
      </c>
      <c r="F1494" s="1900">
        <f>'Part VIII-Threshold Criteria'!F407</f>
        <v>0</v>
      </c>
      <c r="G1494" s="1900">
        <f>'Part VIII-Threshold Criteria'!G407</f>
        <v>0</v>
      </c>
      <c r="H1494" s="1900">
        <f>'Part VIII-Threshold Criteria'!H407</f>
        <v>0</v>
      </c>
      <c r="I1494" s="1900">
        <f>'Part VIII-Threshold Criteria'!I407</f>
        <v>0</v>
      </c>
      <c r="J1494" s="1900">
        <f>'Part VIII-Threshold Criteria'!J407</f>
        <v>0</v>
      </c>
      <c r="K1494" s="1900">
        <f>'Part VIII-Threshold Criteria'!K407</f>
        <v>0</v>
      </c>
      <c r="L1494" s="1900">
        <f>'Part VIII-Threshold Criteria'!L407</f>
        <v>0</v>
      </c>
      <c r="M1494" s="1900">
        <f>'Part VIII-Threshold Criteria'!M407</f>
        <v>0</v>
      </c>
      <c r="N1494" s="1900">
        <f>'Part VIII-Threshold Criteria'!N407</f>
        <v>0</v>
      </c>
      <c r="O1494" s="1900">
        <f>'Part VIII-Threshold Criteria'!O407</f>
        <v>0</v>
      </c>
      <c r="P1494" s="1900">
        <f>'Part VIII-Threshold Criteria'!P407</f>
        <v>0</v>
      </c>
      <c r="Q1494" s="1900">
        <f>'Part VIII-Threshold Criteria'!Q407</f>
        <v>0</v>
      </c>
    </row>
    <row r="1495" spans="1:17">
      <c r="A1495" s="1812"/>
      <c r="B1495" s="1895"/>
      <c r="C1495" s="1899"/>
      <c r="D1495" s="1899"/>
      <c r="E1495" s="1899"/>
      <c r="F1495" s="1899"/>
      <c r="G1495" s="1899"/>
      <c r="H1495" s="1899"/>
      <c r="I1495" s="1899"/>
      <c r="J1495" s="1899"/>
      <c r="K1495" s="1899"/>
      <c r="L1495" s="1899"/>
      <c r="M1495" s="1899"/>
      <c r="Q1495" s="1812"/>
    </row>
    <row r="1496" spans="1:17">
      <c r="A1496" s="1805" t="s">
        <v>4113</v>
      </c>
      <c r="B1496" s="1629" t="s">
        <v>2668</v>
      </c>
      <c r="C1496" s="1629"/>
      <c r="D1496" s="1629"/>
      <c r="E1496" s="1899"/>
      <c r="G1496" s="1921" t="s">
        <v>701</v>
      </c>
      <c r="H1496" s="1899"/>
      <c r="I1496" s="1899"/>
      <c r="J1496" s="1899"/>
      <c r="K1496" s="1899"/>
      <c r="L1496" s="1899"/>
      <c r="M1496" s="1899"/>
      <c r="O1496" s="1896" t="s">
        <v>1867</v>
      </c>
      <c r="P1496" s="1820">
        <f>'Part VIII-Threshold Criteria'!P409</f>
        <v>0</v>
      </c>
      <c r="Q1496" s="1820">
        <f>'Part VIII-Threshold Criteria'!Q409</f>
        <v>0</v>
      </c>
    </row>
    <row r="1497" spans="1:17">
      <c r="A1497" s="1935" t="s">
        <v>1983</v>
      </c>
      <c r="B1497" s="521" t="s">
        <v>2673</v>
      </c>
      <c r="D1497" s="1900"/>
      <c r="E1497" s="1900"/>
      <c r="H1497" s="1921"/>
      <c r="O1497" s="1937" t="s">
        <v>1983</v>
      </c>
      <c r="P1497" s="1938">
        <f>'Part VIII-Threshold Criteria'!P410</f>
        <v>0</v>
      </c>
      <c r="Q1497" s="1938">
        <f>'Part VIII-Threshold Criteria'!Q410</f>
        <v>0</v>
      </c>
    </row>
    <row r="1498" spans="1:17">
      <c r="A1498" s="1935" t="s">
        <v>1985</v>
      </c>
      <c r="B1498" s="521" t="s">
        <v>3583</v>
      </c>
      <c r="D1498" s="1900"/>
      <c r="E1498" s="1900"/>
      <c r="O1498" s="1937" t="s">
        <v>1985</v>
      </c>
      <c r="P1498" s="1938">
        <f>'Part VIII-Threshold Criteria'!P411</f>
        <v>0</v>
      </c>
      <c r="Q1498" s="1938">
        <f>'Part VIII-Threshold Criteria'!Q411</f>
        <v>0</v>
      </c>
    </row>
    <row r="1499" spans="1:17">
      <c r="A1499" s="1935" t="s">
        <v>749</v>
      </c>
      <c r="B1499" s="521" t="s">
        <v>4082</v>
      </c>
      <c r="D1499" s="1900"/>
      <c r="E1499" s="1900"/>
      <c r="O1499" s="1937" t="s">
        <v>749</v>
      </c>
      <c r="P1499" s="1938">
        <f>'Part VIII-Threshold Criteria'!P412</f>
        <v>0</v>
      </c>
      <c r="Q1499" s="1938">
        <f>'Part VIII-Threshold Criteria'!Q412</f>
        <v>0</v>
      </c>
    </row>
    <row r="1500" spans="1:17">
      <c r="A1500" s="1935" t="s">
        <v>2115</v>
      </c>
      <c r="B1500" s="521" t="s">
        <v>3584</v>
      </c>
      <c r="E1500" s="1921"/>
      <c r="O1500" s="1937" t="s">
        <v>2115</v>
      </c>
      <c r="P1500" s="1938">
        <f>'Part VIII-Threshold Criteria'!P413</f>
        <v>0</v>
      </c>
      <c r="Q1500" s="1938">
        <f>'Part VIII-Threshold Criteria'!Q413</f>
        <v>0</v>
      </c>
    </row>
    <row r="1501" spans="1:17">
      <c r="A1501" s="1935" t="s">
        <v>1735</v>
      </c>
      <c r="B1501" s="521" t="s">
        <v>2079</v>
      </c>
      <c r="E1501" s="1921"/>
      <c r="G1501" s="1937" t="s">
        <v>1735</v>
      </c>
      <c r="H1501" s="1867">
        <f>'Part VIII-Threshold Criteria'!H414</f>
        <v>0</v>
      </c>
      <c r="I1501" s="1867">
        <f>'Part VIII-Threshold Criteria'!I414</f>
        <v>0</v>
      </c>
      <c r="J1501" s="1867">
        <f>'Part VIII-Threshold Criteria'!J414</f>
        <v>0</v>
      </c>
      <c r="K1501" s="1867">
        <f>'Part VIII-Threshold Criteria'!K414</f>
        <v>0</v>
      </c>
      <c r="L1501" s="1867">
        <f>'Part VIII-Threshold Criteria'!L414</f>
        <v>0</v>
      </c>
      <c r="M1501" s="1867">
        <f>'Part VIII-Threshold Criteria'!M414</f>
        <v>0</v>
      </c>
      <c r="N1501" s="1867">
        <f>'Part VIII-Threshold Criteria'!N414</f>
        <v>0</v>
      </c>
      <c r="O1501" s="1867">
        <f>'Part VIII-Threshold Criteria'!O414</f>
        <v>0</v>
      </c>
      <c r="P1501" s="1938">
        <f>'Part VIII-Threshold Criteria'!P414</f>
        <v>0</v>
      </c>
      <c r="Q1501" s="1938">
        <f>'Part VIII-Threshold Criteria'!Q414</f>
        <v>0</v>
      </c>
    </row>
    <row r="1502" spans="1:17">
      <c r="B1502" s="1842" t="s">
        <v>3756</v>
      </c>
      <c r="D1502" s="1842"/>
      <c r="E1502" s="1842"/>
      <c r="F1502" s="1842"/>
      <c r="G1502" s="1842"/>
      <c r="H1502" s="1841"/>
      <c r="I1502" s="1895"/>
      <c r="J1502" s="1895"/>
      <c r="K1502" s="1895"/>
      <c r="L1502" s="1812"/>
      <c r="M1502" s="1812"/>
      <c r="N1502" s="1812"/>
      <c r="O1502" s="1812"/>
      <c r="P1502" s="1812"/>
      <c r="Q1502" s="1812"/>
    </row>
    <row r="1503" spans="1:17">
      <c r="A1503" s="1900">
        <f>'Part VIII-Threshold Criteria'!A416</f>
        <v>0</v>
      </c>
      <c r="B1503" s="1900">
        <f>'Part VIII-Threshold Criteria'!B416</f>
        <v>0</v>
      </c>
      <c r="C1503" s="1900">
        <f>'Part VIII-Threshold Criteria'!C416</f>
        <v>0</v>
      </c>
      <c r="D1503" s="1900">
        <f>'Part VIII-Threshold Criteria'!D416</f>
        <v>0</v>
      </c>
      <c r="E1503" s="1900">
        <f>'Part VIII-Threshold Criteria'!E416</f>
        <v>0</v>
      </c>
      <c r="F1503" s="1900">
        <f>'Part VIII-Threshold Criteria'!F416</f>
        <v>0</v>
      </c>
      <c r="G1503" s="1900">
        <f>'Part VIII-Threshold Criteria'!G416</f>
        <v>0</v>
      </c>
      <c r="H1503" s="1900">
        <f>'Part VIII-Threshold Criteria'!H416</f>
        <v>0</v>
      </c>
      <c r="I1503" s="1900">
        <f>'Part VIII-Threshold Criteria'!I416</f>
        <v>0</v>
      </c>
      <c r="J1503" s="1900">
        <f>'Part VIII-Threshold Criteria'!J416</f>
        <v>0</v>
      </c>
      <c r="K1503" s="1900">
        <f>'Part VIII-Threshold Criteria'!K416</f>
        <v>0</v>
      </c>
      <c r="L1503" s="1900">
        <f>'Part VIII-Threshold Criteria'!L416</f>
        <v>0</v>
      </c>
      <c r="M1503" s="1900">
        <f>'Part VIII-Threshold Criteria'!M416</f>
        <v>0</v>
      </c>
      <c r="N1503" s="1900">
        <f>'Part VIII-Threshold Criteria'!N416</f>
        <v>0</v>
      </c>
      <c r="O1503" s="1900">
        <f>'Part VIII-Threshold Criteria'!O416</f>
        <v>0</v>
      </c>
      <c r="P1503" s="1900">
        <f>'Part VIII-Threshold Criteria'!P416</f>
        <v>0</v>
      </c>
      <c r="Q1503" s="1900">
        <f>'Part VIII-Threshold Criteria'!Q416</f>
        <v>0</v>
      </c>
    </row>
    <row r="1504" spans="1:17">
      <c r="B1504" s="1897" t="s">
        <v>1866</v>
      </c>
      <c r="C1504" s="1898"/>
      <c r="D1504" s="1899"/>
      <c r="E1504" s="1899"/>
      <c r="F1504" s="1899"/>
      <c r="G1504" s="1899"/>
      <c r="H1504" s="1899"/>
      <c r="I1504" s="1899"/>
      <c r="J1504" s="1899"/>
      <c r="K1504" s="1899"/>
      <c r="L1504" s="1899"/>
      <c r="M1504" s="1899"/>
      <c r="N1504" s="1899"/>
      <c r="O1504" s="1899"/>
      <c r="P1504" s="1899"/>
      <c r="Q1504" s="1899"/>
    </row>
    <row r="1505" spans="1:17">
      <c r="A1505" s="1900">
        <f>'Part VIII-Threshold Criteria'!A418</f>
        <v>0</v>
      </c>
      <c r="B1505" s="1900">
        <f>'Part VIII-Threshold Criteria'!B418</f>
        <v>0</v>
      </c>
      <c r="C1505" s="1900">
        <f>'Part VIII-Threshold Criteria'!C418</f>
        <v>0</v>
      </c>
      <c r="D1505" s="1900">
        <f>'Part VIII-Threshold Criteria'!D418</f>
        <v>0</v>
      </c>
      <c r="E1505" s="1900">
        <f>'Part VIII-Threshold Criteria'!E418</f>
        <v>0</v>
      </c>
      <c r="F1505" s="1900">
        <f>'Part VIII-Threshold Criteria'!F418</f>
        <v>0</v>
      </c>
      <c r="G1505" s="1900">
        <f>'Part VIII-Threshold Criteria'!G418</f>
        <v>0</v>
      </c>
      <c r="H1505" s="1900">
        <f>'Part VIII-Threshold Criteria'!H418</f>
        <v>0</v>
      </c>
      <c r="I1505" s="1900">
        <f>'Part VIII-Threshold Criteria'!I418</f>
        <v>0</v>
      </c>
      <c r="J1505" s="1900">
        <f>'Part VIII-Threshold Criteria'!J418</f>
        <v>0</v>
      </c>
      <c r="K1505" s="1900">
        <f>'Part VIII-Threshold Criteria'!K418</f>
        <v>0</v>
      </c>
      <c r="L1505" s="1900">
        <f>'Part VIII-Threshold Criteria'!L418</f>
        <v>0</v>
      </c>
      <c r="M1505" s="1900">
        <f>'Part VIII-Threshold Criteria'!M418</f>
        <v>0</v>
      </c>
      <c r="N1505" s="1900">
        <f>'Part VIII-Threshold Criteria'!N418</f>
        <v>0</v>
      </c>
      <c r="O1505" s="1900">
        <f>'Part VIII-Threshold Criteria'!O418</f>
        <v>0</v>
      </c>
      <c r="P1505" s="1900">
        <f>'Part VIII-Threshold Criteria'!P418</f>
        <v>0</v>
      </c>
      <c r="Q1505" s="1900">
        <f>'Part VIII-Threshold Criteria'!Q418</f>
        <v>0</v>
      </c>
    </row>
    <row r="1506" spans="1:17">
      <c r="A1506" s="1812"/>
      <c r="B1506" s="1895"/>
      <c r="C1506" s="1899"/>
      <c r="D1506" s="1899"/>
      <c r="E1506" s="1899"/>
      <c r="F1506" s="1899"/>
      <c r="G1506" s="1899"/>
      <c r="H1506" s="1899"/>
      <c r="I1506" s="1899"/>
      <c r="J1506" s="1899"/>
      <c r="K1506" s="1899"/>
      <c r="L1506" s="1899"/>
      <c r="M1506" s="1899"/>
      <c r="N1506" s="1899"/>
      <c r="O1506" s="1899"/>
      <c r="P1506" s="1899"/>
      <c r="Q1506" s="1812"/>
    </row>
    <row r="1507" spans="1:17">
      <c r="A1507" s="1805" t="s">
        <v>4114</v>
      </c>
      <c r="B1507" s="1629" t="s">
        <v>2669</v>
      </c>
      <c r="C1507" s="1629"/>
      <c r="D1507" s="1629"/>
      <c r="E1507" s="1629"/>
      <c r="F1507" s="1629"/>
      <c r="G1507" s="1629"/>
      <c r="H1507" s="1899"/>
      <c r="I1507" s="1899"/>
      <c r="J1507" s="1899"/>
      <c r="K1507" s="1899"/>
      <c r="L1507" s="1899"/>
      <c r="M1507" s="1899"/>
      <c r="O1507" s="1896" t="s">
        <v>1867</v>
      </c>
      <c r="P1507" s="1820">
        <f>'Part VIII-Threshold Criteria'!P420</f>
        <v>0</v>
      </c>
      <c r="Q1507" s="1820">
        <f>'Part VIII-Threshold Criteria'!Q420</f>
        <v>0</v>
      </c>
    </row>
    <row r="1508" spans="1:17">
      <c r="A1508" s="1935" t="s">
        <v>1983</v>
      </c>
      <c r="B1508" s="521" t="s">
        <v>752</v>
      </c>
      <c r="D1508" s="1631"/>
      <c r="E1508" s="1631"/>
      <c r="F1508" s="1631"/>
      <c r="G1508" s="1631"/>
      <c r="H1508" s="1631"/>
      <c r="I1508" s="1631"/>
      <c r="J1508" s="1631"/>
      <c r="K1508" s="1631"/>
      <c r="L1508" s="1631"/>
      <c r="M1508" s="1631"/>
      <c r="N1508" s="1631"/>
      <c r="O1508" s="1937" t="s">
        <v>1983</v>
      </c>
      <c r="P1508" s="1938" t="str">
        <f>'Part VIII-Threshold Criteria'!P421</f>
        <v>No</v>
      </c>
      <c r="Q1508" s="1938">
        <f>'Part VIII-Threshold Criteria'!Q421</f>
        <v>0</v>
      </c>
    </row>
    <row r="1509" spans="1:17">
      <c r="A1509" s="1935" t="s">
        <v>1985</v>
      </c>
      <c r="B1509" s="521" t="s">
        <v>3476</v>
      </c>
      <c r="D1509" s="1631"/>
      <c r="E1509" s="1631"/>
      <c r="F1509" s="1631"/>
      <c r="G1509" s="1631"/>
      <c r="H1509" s="1631"/>
      <c r="I1509" s="1631"/>
      <c r="J1509" s="1631"/>
      <c r="K1509" s="1631"/>
      <c r="L1509" s="1631"/>
      <c r="M1509" s="1631"/>
      <c r="N1509" s="1631"/>
      <c r="O1509" s="1937" t="s">
        <v>1446</v>
      </c>
      <c r="P1509" s="1938">
        <f>'Part VIII-Threshold Criteria'!P422</f>
        <v>0</v>
      </c>
      <c r="Q1509" s="1938">
        <f>'Part VIII-Threshold Criteria'!Q422</f>
        <v>0</v>
      </c>
    </row>
    <row r="1510" spans="1:17">
      <c r="A1510" s="1935"/>
      <c r="B1510" s="521" t="s">
        <v>1483</v>
      </c>
      <c r="D1510" s="521"/>
      <c r="E1510" s="521"/>
      <c r="F1510" s="521"/>
      <c r="G1510" s="521"/>
      <c r="H1510" s="521"/>
      <c r="I1510" s="521"/>
      <c r="J1510" s="521"/>
      <c r="K1510" s="521"/>
      <c r="L1510" s="521"/>
      <c r="M1510" s="521"/>
      <c r="N1510" s="1631"/>
    </row>
    <row r="1511" spans="1:17">
      <c r="A1511" s="1935"/>
      <c r="B1511" s="521" t="s">
        <v>1738</v>
      </c>
      <c r="C1511" s="521" t="s">
        <v>3475</v>
      </c>
      <c r="E1511" s="521"/>
      <c r="F1511" s="521"/>
      <c r="G1511" s="521"/>
      <c r="H1511" s="521"/>
      <c r="I1511" s="521"/>
      <c r="J1511" s="521"/>
      <c r="K1511" s="521"/>
      <c r="L1511" s="521"/>
      <c r="M1511" s="521"/>
      <c r="N1511" s="1631"/>
      <c r="O1511" s="1937" t="s">
        <v>1738</v>
      </c>
      <c r="P1511" s="1938">
        <f>'Part VIII-Threshold Criteria'!P424</f>
        <v>0</v>
      </c>
      <c r="Q1511" s="1938">
        <f>'Part VIII-Threshold Criteria'!Q424</f>
        <v>0</v>
      </c>
    </row>
    <row r="1512" spans="1:17">
      <c r="A1512" s="1935"/>
      <c r="B1512" s="521" t="s">
        <v>3572</v>
      </c>
      <c r="C1512" s="521" t="s">
        <v>3573</v>
      </c>
      <c r="E1512" s="521"/>
      <c r="F1512" s="521"/>
      <c r="G1512" s="521"/>
      <c r="H1512" s="521"/>
      <c r="I1512" s="521"/>
      <c r="J1512" s="521"/>
      <c r="K1512" s="521"/>
      <c r="L1512" s="521"/>
      <c r="M1512" s="521"/>
      <c r="N1512" s="1631"/>
      <c r="O1512" s="1937" t="s">
        <v>1739</v>
      </c>
      <c r="P1512" s="1938">
        <f>'Part VIII-Threshold Criteria'!P425</f>
        <v>0</v>
      </c>
      <c r="Q1512" s="1938">
        <f>'Part VIII-Threshold Criteria'!Q425</f>
        <v>0</v>
      </c>
    </row>
    <row r="1513" spans="1:17">
      <c r="A1513" s="1935" t="s">
        <v>749</v>
      </c>
      <c r="B1513" s="521" t="s">
        <v>2201</v>
      </c>
      <c r="C1513" s="521"/>
      <c r="E1513" s="521"/>
      <c r="F1513" s="521"/>
      <c r="G1513" s="521"/>
      <c r="H1513" s="521"/>
      <c r="I1513" s="521"/>
      <c r="J1513" s="521"/>
      <c r="K1513" s="521"/>
      <c r="L1513" s="521"/>
      <c r="M1513" s="521"/>
      <c r="N1513" s="521"/>
      <c r="O1513" s="1937" t="s">
        <v>749</v>
      </c>
      <c r="P1513" s="1938">
        <f>'Part VIII-Threshold Criteria'!P426</f>
        <v>0</v>
      </c>
      <c r="Q1513" s="1938">
        <f>'Part VIII-Threshold Criteria'!Q426</f>
        <v>0</v>
      </c>
    </row>
    <row r="1514" spans="1:17">
      <c r="A1514" s="1935" t="s">
        <v>2115</v>
      </c>
      <c r="B1514" s="1841" t="s">
        <v>2815</v>
      </c>
      <c r="C1514" s="1841"/>
      <c r="E1514" s="1841"/>
      <c r="F1514" s="1841"/>
      <c r="G1514" s="1841"/>
      <c r="H1514" s="1841"/>
      <c r="I1514" s="1841"/>
      <c r="J1514" s="1841"/>
      <c r="K1514" s="1841"/>
      <c r="L1514" s="1841"/>
      <c r="M1514" s="1841"/>
      <c r="N1514" s="1631"/>
      <c r="O1514" s="1937"/>
      <c r="P1514" s="1631"/>
      <c r="Q1514" s="1631"/>
    </row>
    <row r="1515" spans="1:17">
      <c r="A1515" s="1935"/>
      <c r="B1515" s="521" t="s">
        <v>2202</v>
      </c>
      <c r="C1515" s="521"/>
      <c r="E1515" s="1631"/>
      <c r="F1515" s="1841"/>
      <c r="G1515" s="1812">
        <f>'Part VIII-Threshold Criteria'!J427</f>
        <v>0</v>
      </c>
      <c r="H1515" s="1633">
        <f>'Part VIII-Threshold Criteria'!K427</f>
        <v>0</v>
      </c>
      <c r="J1515" s="521" t="s">
        <v>2205</v>
      </c>
      <c r="K1515" s="1841"/>
      <c r="N1515" s="1812">
        <f>'Part VIII-Threshold Criteria'!P427</f>
        <v>0</v>
      </c>
      <c r="O1515" s="1633">
        <f>'Part VIII-Threshold Criteria'!Q427</f>
        <v>0</v>
      </c>
    </row>
    <row r="1516" spans="1:17">
      <c r="A1516" s="1935"/>
      <c r="B1516" s="521" t="s">
        <v>2203</v>
      </c>
      <c r="C1516" s="521"/>
      <c r="E1516" s="1631"/>
      <c r="F1516" s="1841"/>
      <c r="G1516" s="1812">
        <f>'Part VIII-Threshold Criteria'!J428</f>
        <v>0</v>
      </c>
      <c r="H1516" s="1633">
        <f>'Part VIII-Threshold Criteria'!K428</f>
        <v>0</v>
      </c>
      <c r="J1516" s="521" t="s">
        <v>2206</v>
      </c>
      <c r="K1516" s="1841"/>
      <c r="N1516" s="1812">
        <f>'Part VIII-Threshold Criteria'!P428</f>
        <v>0</v>
      </c>
      <c r="O1516" s="1633">
        <f>'Part VIII-Threshold Criteria'!Q428</f>
        <v>0</v>
      </c>
    </row>
    <row r="1517" spans="1:17">
      <c r="A1517" s="1935"/>
      <c r="B1517" s="521" t="s">
        <v>2204</v>
      </c>
      <c r="C1517" s="521"/>
      <c r="E1517" s="1631"/>
      <c r="F1517" s="1841"/>
      <c r="G1517" s="1812">
        <f>'Part VIII-Threshold Criteria'!J429</f>
        <v>0</v>
      </c>
      <c r="H1517" s="1633">
        <f>'Part VIII-Threshold Criteria'!K429</f>
        <v>0</v>
      </c>
      <c r="K1517" s="1841"/>
      <c r="L1517" s="1841"/>
      <c r="M1517" s="1841"/>
      <c r="N1517" s="1631"/>
      <c r="O1517" s="1937"/>
    </row>
    <row r="1518" spans="1:17">
      <c r="A1518" s="1935" t="s">
        <v>1735</v>
      </c>
      <c r="B1518" s="1841" t="s">
        <v>2385</v>
      </c>
      <c r="C1518" s="1841"/>
      <c r="E1518" s="1841"/>
      <c r="F1518" s="1841"/>
      <c r="G1518" s="1841"/>
      <c r="J1518" s="1631"/>
      <c r="K1518" s="1841"/>
      <c r="L1518" s="1841"/>
      <c r="M1518" s="1841"/>
      <c r="N1518" s="1631"/>
      <c r="O1518" s="1937"/>
      <c r="P1518" s="1937"/>
      <c r="Q1518" s="1937"/>
    </row>
    <row r="1519" spans="1:17">
      <c r="A1519" s="1631"/>
      <c r="B1519" s="1216" t="s">
        <v>2207</v>
      </c>
      <c r="C1519" s="1841"/>
      <c r="E1519" s="1841"/>
      <c r="F1519" s="1841"/>
      <c r="G1519" s="1938">
        <f>'Part VIII-Threshold Criteria'!J431</f>
        <v>0</v>
      </c>
      <c r="H1519" s="1938">
        <f>'Part VIII-Threshold Criteria'!K431</f>
        <v>0</v>
      </c>
      <c r="J1519" s="1216" t="s">
        <v>1182</v>
      </c>
      <c r="K1519" s="1841"/>
      <c r="N1519" s="1938">
        <f>'Part VIII-Threshold Criteria'!J433</f>
        <v>0</v>
      </c>
      <c r="O1519" s="1938">
        <f>'Part VIII-Threshold Criteria'!K433</f>
        <v>0</v>
      </c>
    </row>
    <row r="1520" spans="1:17">
      <c r="A1520" s="1631"/>
      <c r="B1520" s="1216" t="s">
        <v>1181</v>
      </c>
      <c r="C1520" s="1841"/>
      <c r="E1520" s="1841"/>
      <c r="F1520" s="1841"/>
      <c r="G1520" s="1938">
        <f>'Part VIII-Threshold Criteria'!J432</f>
        <v>0</v>
      </c>
      <c r="H1520" s="1938">
        <f>'Part VIII-Threshold Criteria'!K432</f>
        <v>0</v>
      </c>
      <c r="J1520" s="1216" t="s">
        <v>2253</v>
      </c>
      <c r="N1520" s="1860">
        <f>'Part VIII-Threshold Criteria'!M432</f>
        <v>0</v>
      </c>
      <c r="O1520" s="1860">
        <f>'Part VIII-Threshold Criteria'!N432</f>
        <v>0</v>
      </c>
      <c r="P1520" s="1860">
        <f>'Part VIII-Threshold Criteria'!O432</f>
        <v>0</v>
      </c>
      <c r="Q1520" s="1860">
        <f>'Part VIII-Threshold Criteria'!P432</f>
        <v>0</v>
      </c>
    </row>
    <row r="1521" spans="1:17">
      <c r="B1521" s="1842" t="s">
        <v>3756</v>
      </c>
      <c r="D1521" s="1842"/>
      <c r="E1521" s="1842"/>
      <c r="F1521" s="1842"/>
      <c r="G1521" s="1842"/>
      <c r="H1521" s="1841"/>
      <c r="I1521" s="1895"/>
      <c r="J1521" s="1895"/>
      <c r="K1521" s="1895"/>
      <c r="P1521" s="1812"/>
      <c r="Q1521" s="1812"/>
    </row>
    <row r="1522" spans="1:17">
      <c r="A1522" s="1900">
        <f>'Part VIII-Threshold Criteria'!A440</f>
        <v>0</v>
      </c>
      <c r="B1522" s="1900">
        <f>'Part VIII-Threshold Criteria'!B440</f>
        <v>0</v>
      </c>
      <c r="C1522" s="1900">
        <f>'Part VIII-Threshold Criteria'!C440</f>
        <v>0</v>
      </c>
      <c r="D1522" s="1900">
        <f>'Part VIII-Threshold Criteria'!D440</f>
        <v>0</v>
      </c>
      <c r="E1522" s="1900">
        <f>'Part VIII-Threshold Criteria'!E440</f>
        <v>0</v>
      </c>
      <c r="F1522" s="1900">
        <f>'Part VIII-Threshold Criteria'!F440</f>
        <v>0</v>
      </c>
      <c r="G1522" s="1900">
        <f>'Part VIII-Threshold Criteria'!G440</f>
        <v>0</v>
      </c>
      <c r="H1522" s="1900">
        <f>'Part VIII-Threshold Criteria'!H440</f>
        <v>0</v>
      </c>
      <c r="I1522" s="1900">
        <f>'Part VIII-Threshold Criteria'!I440</f>
        <v>0</v>
      </c>
      <c r="J1522" s="1900">
        <f>'Part VIII-Threshold Criteria'!J440</f>
        <v>0</v>
      </c>
      <c r="K1522" s="1900">
        <f>'Part VIII-Threshold Criteria'!K440</f>
        <v>0</v>
      </c>
      <c r="L1522" s="1900">
        <f>'Part VIII-Threshold Criteria'!L440</f>
        <v>0</v>
      </c>
      <c r="M1522" s="1900">
        <f>'Part VIII-Threshold Criteria'!M440</f>
        <v>0</v>
      </c>
      <c r="N1522" s="1900">
        <f>'Part VIII-Threshold Criteria'!N440</f>
        <v>0</v>
      </c>
      <c r="O1522" s="1900">
        <f>'Part VIII-Threshold Criteria'!O440</f>
        <v>0</v>
      </c>
      <c r="P1522" s="1900">
        <f>'Part VIII-Threshold Criteria'!P440</f>
        <v>0</v>
      </c>
      <c r="Q1522" s="1900">
        <f>'Part VIII-Threshold Criteria'!Q440</f>
        <v>0</v>
      </c>
    </row>
    <row r="1523" spans="1:17">
      <c r="B1523" s="1897" t="s">
        <v>1866</v>
      </c>
      <c r="C1523" s="1898"/>
      <c r="D1523" s="1899"/>
      <c r="E1523" s="1899"/>
      <c r="F1523" s="1899"/>
      <c r="G1523" s="1899"/>
      <c r="H1523" s="1899"/>
      <c r="I1523" s="1899"/>
      <c r="J1523" s="1899"/>
      <c r="K1523" s="1899"/>
      <c r="L1523" s="1899"/>
      <c r="M1523" s="1899"/>
      <c r="N1523" s="1899"/>
      <c r="O1523" s="1899"/>
      <c r="P1523" s="1899"/>
      <c r="Q1523" s="1899"/>
    </row>
    <row r="1524" spans="1:17">
      <c r="A1524" s="1900">
        <f>'Part VIII-Threshold Criteria'!A442</f>
        <v>0</v>
      </c>
      <c r="B1524" s="1900">
        <f>'Part VIII-Threshold Criteria'!B442</f>
        <v>0</v>
      </c>
      <c r="C1524" s="1900">
        <f>'Part VIII-Threshold Criteria'!C442</f>
        <v>0</v>
      </c>
      <c r="D1524" s="1900">
        <f>'Part VIII-Threshold Criteria'!D442</f>
        <v>0</v>
      </c>
      <c r="E1524" s="1900">
        <f>'Part VIII-Threshold Criteria'!E442</f>
        <v>0</v>
      </c>
      <c r="F1524" s="1900">
        <f>'Part VIII-Threshold Criteria'!F442</f>
        <v>0</v>
      </c>
      <c r="G1524" s="1900">
        <f>'Part VIII-Threshold Criteria'!G442</f>
        <v>0</v>
      </c>
      <c r="H1524" s="1900">
        <f>'Part VIII-Threshold Criteria'!H442</f>
        <v>0</v>
      </c>
      <c r="I1524" s="1900">
        <f>'Part VIII-Threshold Criteria'!I442</f>
        <v>0</v>
      </c>
      <c r="J1524" s="1900">
        <f>'Part VIII-Threshold Criteria'!J442</f>
        <v>0</v>
      </c>
      <c r="K1524" s="1900">
        <f>'Part VIII-Threshold Criteria'!K442</f>
        <v>0</v>
      </c>
      <c r="L1524" s="1900">
        <f>'Part VIII-Threshold Criteria'!L442</f>
        <v>0</v>
      </c>
      <c r="M1524" s="1900">
        <f>'Part VIII-Threshold Criteria'!M442</f>
        <v>0</v>
      </c>
      <c r="N1524" s="1900">
        <f>'Part VIII-Threshold Criteria'!N442</f>
        <v>0</v>
      </c>
      <c r="O1524" s="1900">
        <f>'Part VIII-Threshold Criteria'!O442</f>
        <v>0</v>
      </c>
      <c r="P1524" s="1900">
        <f>'Part VIII-Threshold Criteria'!P442</f>
        <v>0</v>
      </c>
      <c r="Q1524" s="1900">
        <f>'Part VIII-Threshold Criteria'!Q442</f>
        <v>0</v>
      </c>
    </row>
    <row r="1525" spans="1:17">
      <c r="A1525" s="1812"/>
      <c r="B1525" s="1895"/>
      <c r="C1525" s="1899"/>
      <c r="D1525" s="1899"/>
      <c r="E1525" s="1899"/>
      <c r="F1525" s="1899"/>
      <c r="G1525" s="1899"/>
      <c r="H1525" s="1899"/>
      <c r="I1525" s="1899"/>
      <c r="J1525" s="1899"/>
      <c r="K1525" s="1899"/>
      <c r="L1525" s="1899"/>
      <c r="M1525" s="1899"/>
      <c r="Q1525" s="1812"/>
    </row>
    <row r="1526" spans="1:17">
      <c r="A1526" s="1805" t="s">
        <v>4115</v>
      </c>
      <c r="B1526" s="1629" t="s">
        <v>2816</v>
      </c>
      <c r="C1526" s="1629"/>
      <c r="D1526" s="1894"/>
      <c r="E1526" s="1899"/>
      <c r="F1526" s="1899"/>
      <c r="G1526" s="1899"/>
      <c r="H1526" s="1899"/>
      <c r="O1526" s="1896" t="s">
        <v>1867</v>
      </c>
      <c r="P1526" s="1820">
        <f>'Part VIII-Threshold Criteria'!P444</f>
        <v>0</v>
      </c>
      <c r="Q1526" s="1820">
        <f>'Part VIII-Threshold Criteria'!Q444</f>
        <v>0</v>
      </c>
    </row>
    <row r="1527" spans="1:17">
      <c r="B1527" s="1894" t="s">
        <v>3937</v>
      </c>
      <c r="C1527" s="1629"/>
      <c r="D1527" s="1894"/>
      <c r="E1527" s="1899"/>
      <c r="F1527" s="1899"/>
      <c r="G1527" s="1899"/>
      <c r="H1527" s="1899"/>
    </row>
    <row r="1528" spans="1:17" ht="12.75" customHeight="1">
      <c r="A1528" s="1933" t="s">
        <v>1983</v>
      </c>
      <c r="B1528" s="1900" t="s">
        <v>3940</v>
      </c>
      <c r="C1528" s="1900"/>
      <c r="D1528" s="1900"/>
      <c r="E1528" s="1900"/>
      <c r="F1528" s="1900"/>
      <c r="G1528" s="1900"/>
      <c r="H1528" s="1900"/>
      <c r="I1528" s="1900"/>
      <c r="J1528" s="1900"/>
      <c r="K1528" s="1900"/>
      <c r="L1528" s="1900"/>
      <c r="M1528" s="1900"/>
      <c r="N1528" s="1900"/>
      <c r="O1528" s="1944" t="s">
        <v>1983</v>
      </c>
      <c r="P1528" s="1945" t="str">
        <f>'Part VIII-Threshold Criteria'!P446</f>
        <v>Agree</v>
      </c>
      <c r="Q1528" s="1945">
        <f>'Part VIII-Threshold Criteria'!Q446</f>
        <v>0</v>
      </c>
    </row>
    <row r="1529" spans="1:17" ht="12.75" customHeight="1">
      <c r="A1529" s="1933" t="s">
        <v>1985</v>
      </c>
      <c r="B1529" s="1900" t="s">
        <v>3938</v>
      </c>
      <c r="C1529" s="1900"/>
      <c r="D1529" s="1900"/>
      <c r="E1529" s="1900"/>
      <c r="F1529" s="1900"/>
      <c r="G1529" s="1900"/>
      <c r="H1529" s="1900"/>
      <c r="I1529" s="1900"/>
      <c r="J1529" s="1900"/>
      <c r="K1529" s="1900"/>
      <c r="L1529" s="1900"/>
      <c r="M1529" s="1900"/>
      <c r="N1529" s="1900"/>
      <c r="O1529" s="1944" t="s">
        <v>1985</v>
      </c>
      <c r="P1529" s="1945" t="str">
        <f>'Part VIII-Threshold Criteria'!P447</f>
        <v>Agree</v>
      </c>
      <c r="Q1529" s="1945">
        <f>'Part VIII-Threshold Criteria'!Q447</f>
        <v>0</v>
      </c>
    </row>
    <row r="1530" spans="1:17" ht="12.75" customHeight="1">
      <c r="A1530" s="1913"/>
      <c r="B1530" s="1900" t="s">
        <v>3939</v>
      </c>
      <c r="C1530" s="1900"/>
      <c r="D1530" s="1900"/>
      <c r="E1530" s="1900"/>
      <c r="F1530" s="1900"/>
      <c r="G1530" s="1900"/>
      <c r="H1530" s="1900"/>
      <c r="I1530" s="1900"/>
      <c r="J1530" s="1900"/>
      <c r="K1530" s="1900"/>
      <c r="L1530" s="1900"/>
      <c r="M1530" s="1900"/>
      <c r="N1530" s="1900"/>
      <c r="O1530" s="1944" t="s">
        <v>1737</v>
      </c>
      <c r="P1530" s="1945" t="str">
        <f>'Part VIII-Threshold Criteria'!P448</f>
        <v>Agree</v>
      </c>
      <c r="Q1530" s="1945">
        <f>'Part VIII-Threshold Criteria'!Q448</f>
        <v>0</v>
      </c>
    </row>
    <row r="1531" spans="1:17">
      <c r="A1531" s="1913"/>
      <c r="B1531" s="1921" t="s">
        <v>3941</v>
      </c>
      <c r="C1531" s="1913"/>
      <c r="D1531" s="1900"/>
      <c r="E1531" s="1900"/>
      <c r="F1531" s="1900"/>
      <c r="G1531" s="1900"/>
      <c r="H1531" s="1900"/>
      <c r="I1531" s="1900"/>
      <c r="J1531" s="1900"/>
      <c r="K1531" s="1900"/>
      <c r="L1531" s="1900"/>
      <c r="M1531" s="1900"/>
      <c r="N1531" s="1900"/>
      <c r="O1531" s="1944" t="s">
        <v>1738</v>
      </c>
      <c r="P1531" s="1945" t="str">
        <f>'Part VIII-Threshold Criteria'!P449</f>
        <v>Agree</v>
      </c>
      <c r="Q1531" s="1945">
        <f>'Part VIII-Threshold Criteria'!Q449</f>
        <v>0</v>
      </c>
    </row>
    <row r="1532" spans="1:17" ht="12.75" customHeight="1">
      <c r="A1532" s="1913"/>
      <c r="B1532" s="1900" t="s">
        <v>3942</v>
      </c>
      <c r="C1532" s="1900"/>
      <c r="D1532" s="1900"/>
      <c r="E1532" s="1900"/>
      <c r="F1532" s="1900"/>
      <c r="G1532" s="1900"/>
      <c r="H1532" s="1900"/>
      <c r="I1532" s="1900"/>
      <c r="J1532" s="1900"/>
      <c r="K1532" s="1900"/>
      <c r="L1532" s="1900"/>
      <c r="M1532" s="1900"/>
      <c r="N1532" s="1900"/>
      <c r="O1532" s="1944" t="s">
        <v>1739</v>
      </c>
      <c r="P1532" s="1945" t="str">
        <f>'Part VIII-Threshold Criteria'!P450</f>
        <v>Agree</v>
      </c>
      <c r="Q1532" s="1945">
        <f>'Part VIII-Threshold Criteria'!Q450</f>
        <v>0</v>
      </c>
    </row>
    <row r="1533" spans="1:17" ht="12.75" customHeight="1">
      <c r="A1533" s="1913"/>
      <c r="B1533" s="1900" t="s">
        <v>3943</v>
      </c>
      <c r="C1533" s="1900"/>
      <c r="D1533" s="1900"/>
      <c r="E1533" s="1900"/>
      <c r="F1533" s="1900"/>
      <c r="G1533" s="1900"/>
      <c r="H1533" s="1900"/>
      <c r="I1533" s="1900"/>
      <c r="J1533" s="1900"/>
      <c r="K1533" s="1900"/>
      <c r="L1533" s="1900"/>
      <c r="M1533" s="1900"/>
      <c r="N1533" s="1900"/>
      <c r="O1533" s="1944" t="s">
        <v>2365</v>
      </c>
      <c r="P1533" s="1945" t="str">
        <f>'Part VIII-Threshold Criteria'!P451</f>
        <v>Agree</v>
      </c>
      <c r="Q1533" s="1945">
        <f>'Part VIII-Threshold Criteria'!Q451</f>
        <v>0</v>
      </c>
    </row>
    <row r="1534" spans="1:17" ht="12.75" customHeight="1">
      <c r="A1534" s="1933" t="s">
        <v>749</v>
      </c>
      <c r="B1534" s="1900" t="s">
        <v>3944</v>
      </c>
      <c r="C1534" s="1900"/>
      <c r="D1534" s="1900"/>
      <c r="E1534" s="1900"/>
      <c r="F1534" s="1900"/>
      <c r="G1534" s="1900"/>
      <c r="H1534" s="1900"/>
      <c r="I1534" s="1900"/>
      <c r="J1534" s="1900"/>
      <c r="K1534" s="1900"/>
      <c r="L1534" s="1900"/>
      <c r="M1534" s="1900"/>
      <c r="N1534" s="1900"/>
      <c r="O1534" s="1944" t="s">
        <v>749</v>
      </c>
      <c r="P1534" s="1945" t="str">
        <f>'Part VIII-Threshold Criteria'!P452</f>
        <v>Agree</v>
      </c>
      <c r="Q1534" s="1945">
        <f>'Part VIII-Threshold Criteria'!Q452</f>
        <v>0</v>
      </c>
    </row>
    <row r="1535" spans="1:17" ht="12.75" customHeight="1">
      <c r="A1535" s="1933" t="s">
        <v>2115</v>
      </c>
      <c r="B1535" s="1900" t="s">
        <v>3945</v>
      </c>
      <c r="C1535" s="1900"/>
      <c r="D1535" s="1900"/>
      <c r="E1535" s="1900"/>
      <c r="F1535" s="1900"/>
      <c r="G1535" s="1900"/>
      <c r="H1535" s="1900"/>
      <c r="I1535" s="1900"/>
      <c r="J1535" s="1900"/>
      <c r="K1535" s="1900"/>
      <c r="L1535" s="1900"/>
      <c r="M1535" s="1900"/>
      <c r="N1535" s="1900"/>
      <c r="O1535" s="1944" t="s">
        <v>2115</v>
      </c>
      <c r="P1535" s="1945" t="str">
        <f>'Part VIII-Threshold Criteria'!P453</f>
        <v>Agree</v>
      </c>
      <c r="Q1535" s="1945">
        <f>'Part VIII-Threshold Criteria'!Q453</f>
        <v>0</v>
      </c>
    </row>
    <row r="1536" spans="1:17" ht="12.75" customHeight="1">
      <c r="A1536" s="1933" t="s">
        <v>1735</v>
      </c>
      <c r="B1536" s="1900" t="s">
        <v>3946</v>
      </c>
      <c r="C1536" s="1900"/>
      <c r="D1536" s="1900"/>
      <c r="E1536" s="1900"/>
      <c r="F1536" s="1900"/>
      <c r="G1536" s="1900"/>
      <c r="H1536" s="1900"/>
      <c r="I1536" s="1900"/>
      <c r="J1536" s="1900"/>
      <c r="K1536" s="1900"/>
      <c r="L1536" s="1900"/>
      <c r="M1536" s="1900"/>
      <c r="N1536" s="1900"/>
      <c r="O1536" s="1944" t="s">
        <v>1735</v>
      </c>
      <c r="P1536" s="1945" t="str">
        <f>'Part VIII-Threshold Criteria'!P454</f>
        <v>Agree</v>
      </c>
      <c r="Q1536" s="1945">
        <f>'Part VIII-Threshold Criteria'!Q454</f>
        <v>0</v>
      </c>
    </row>
    <row r="1537" spans="1:17" ht="12.75" customHeight="1">
      <c r="A1537" s="1933" t="s">
        <v>1736</v>
      </c>
      <c r="B1537" s="1900" t="s">
        <v>3477</v>
      </c>
      <c r="C1537" s="1900"/>
      <c r="D1537" s="1900"/>
      <c r="E1537" s="1900"/>
      <c r="F1537" s="1900"/>
      <c r="G1537" s="1900"/>
      <c r="H1537" s="1900"/>
      <c r="I1537" s="1900"/>
      <c r="J1537" s="1900"/>
      <c r="K1537" s="1900"/>
      <c r="L1537" s="1900"/>
      <c r="M1537" s="1900"/>
      <c r="N1537" s="1900"/>
      <c r="O1537" s="1944" t="s">
        <v>1736</v>
      </c>
      <c r="P1537" s="1945" t="str">
        <f>'Part VIII-Threshold Criteria'!P455</f>
        <v>Agree</v>
      </c>
      <c r="Q1537" s="1945">
        <f>'Part VIII-Threshold Criteria'!Q455</f>
        <v>0</v>
      </c>
    </row>
    <row r="1538" spans="1:17">
      <c r="B1538" s="1842" t="s">
        <v>3756</v>
      </c>
      <c r="D1538" s="1842"/>
      <c r="E1538" s="1842"/>
      <c r="F1538" s="1842"/>
      <c r="G1538" s="1842"/>
      <c r="H1538" s="1841"/>
      <c r="I1538" s="1895"/>
      <c r="J1538" s="1895"/>
      <c r="K1538" s="1895"/>
      <c r="L1538" s="1812"/>
      <c r="M1538" s="1812"/>
      <c r="N1538" s="1812"/>
      <c r="O1538" s="1812"/>
      <c r="P1538" s="1812"/>
      <c r="Q1538" s="1812"/>
    </row>
    <row r="1539" spans="1:17">
      <c r="A1539" s="1900">
        <f>'Part VIII-Threshold Criteria'!A457</f>
        <v>0</v>
      </c>
      <c r="B1539" s="1900">
        <f>'Part VIII-Threshold Criteria'!B457</f>
        <v>0</v>
      </c>
      <c r="C1539" s="1900">
        <f>'Part VIII-Threshold Criteria'!C457</f>
        <v>0</v>
      </c>
      <c r="D1539" s="1900">
        <f>'Part VIII-Threshold Criteria'!D457</f>
        <v>0</v>
      </c>
      <c r="E1539" s="1900">
        <f>'Part VIII-Threshold Criteria'!E457</f>
        <v>0</v>
      </c>
      <c r="F1539" s="1900">
        <f>'Part VIII-Threshold Criteria'!F457</f>
        <v>0</v>
      </c>
      <c r="G1539" s="1900">
        <f>'Part VIII-Threshold Criteria'!G457</f>
        <v>0</v>
      </c>
      <c r="H1539" s="1900">
        <f>'Part VIII-Threshold Criteria'!H457</f>
        <v>0</v>
      </c>
      <c r="I1539" s="1900">
        <f>'Part VIII-Threshold Criteria'!I457</f>
        <v>0</v>
      </c>
      <c r="J1539" s="1900">
        <f>'Part VIII-Threshold Criteria'!J457</f>
        <v>0</v>
      </c>
      <c r="K1539" s="1900">
        <f>'Part VIII-Threshold Criteria'!K457</f>
        <v>0</v>
      </c>
      <c r="L1539" s="1900">
        <f>'Part VIII-Threshold Criteria'!L457</f>
        <v>0</v>
      </c>
      <c r="M1539" s="1900">
        <f>'Part VIII-Threshold Criteria'!M457</f>
        <v>0</v>
      </c>
      <c r="N1539" s="1900">
        <f>'Part VIII-Threshold Criteria'!N457</f>
        <v>0</v>
      </c>
      <c r="O1539" s="1900">
        <f>'Part VIII-Threshold Criteria'!O457</f>
        <v>0</v>
      </c>
      <c r="P1539" s="1900">
        <f>'Part VIII-Threshold Criteria'!P457</f>
        <v>0</v>
      </c>
      <c r="Q1539" s="1900">
        <f>'Part VIII-Threshold Criteria'!Q457</f>
        <v>0</v>
      </c>
    </row>
    <row r="1540" spans="1:17">
      <c r="B1540" s="1897" t="s">
        <v>1866</v>
      </c>
      <c r="C1540" s="1898"/>
      <c r="D1540" s="1899"/>
      <c r="E1540" s="1899"/>
      <c r="F1540" s="1899"/>
      <c r="G1540" s="1899"/>
      <c r="H1540" s="1899"/>
      <c r="I1540" s="1899"/>
      <c r="J1540" s="1899"/>
      <c r="K1540" s="1899"/>
      <c r="L1540" s="1899"/>
      <c r="M1540" s="1899"/>
      <c r="N1540" s="1899"/>
      <c r="O1540" s="1899"/>
      <c r="P1540" s="1899"/>
      <c r="Q1540" s="1899"/>
    </row>
    <row r="1541" spans="1:17">
      <c r="A1541" s="1900">
        <f>'Part VIII-Threshold Criteria'!A459</f>
        <v>0</v>
      </c>
      <c r="B1541" s="1900">
        <f>'Part VIII-Threshold Criteria'!B459</f>
        <v>0</v>
      </c>
      <c r="C1541" s="1900">
        <f>'Part VIII-Threshold Criteria'!C459</f>
        <v>0</v>
      </c>
      <c r="D1541" s="1900">
        <f>'Part VIII-Threshold Criteria'!D459</f>
        <v>0</v>
      </c>
      <c r="E1541" s="1900">
        <f>'Part VIII-Threshold Criteria'!E459</f>
        <v>0</v>
      </c>
      <c r="F1541" s="1900">
        <f>'Part VIII-Threshold Criteria'!F459</f>
        <v>0</v>
      </c>
      <c r="G1541" s="1900">
        <f>'Part VIII-Threshold Criteria'!G459</f>
        <v>0</v>
      </c>
      <c r="H1541" s="1900">
        <f>'Part VIII-Threshold Criteria'!H459</f>
        <v>0</v>
      </c>
      <c r="I1541" s="1900">
        <f>'Part VIII-Threshold Criteria'!I459</f>
        <v>0</v>
      </c>
      <c r="J1541" s="1900">
        <f>'Part VIII-Threshold Criteria'!J459</f>
        <v>0</v>
      </c>
      <c r="K1541" s="1900">
        <f>'Part VIII-Threshold Criteria'!K459</f>
        <v>0</v>
      </c>
      <c r="L1541" s="1900">
        <f>'Part VIII-Threshold Criteria'!L459</f>
        <v>0</v>
      </c>
      <c r="M1541" s="1900">
        <f>'Part VIII-Threshold Criteria'!M459</f>
        <v>0</v>
      </c>
      <c r="N1541" s="1900">
        <f>'Part VIII-Threshold Criteria'!N459</f>
        <v>0</v>
      </c>
      <c r="O1541" s="1900">
        <f>'Part VIII-Threshold Criteria'!O459</f>
        <v>0</v>
      </c>
      <c r="P1541" s="1900">
        <f>'Part VIII-Threshold Criteria'!P459</f>
        <v>0</v>
      </c>
      <c r="Q1541" s="1900">
        <f>'Part VIII-Threshold Criteria'!Q459</f>
        <v>0</v>
      </c>
    </row>
    <row r="1542" spans="1:17">
      <c r="A1542" s="1812"/>
      <c r="B1542" s="1895"/>
      <c r="C1542" s="1899"/>
      <c r="D1542" s="1899"/>
      <c r="E1542" s="1899"/>
      <c r="F1542" s="1899"/>
      <c r="G1542" s="1899"/>
      <c r="H1542" s="1899"/>
      <c r="I1542" s="1899"/>
      <c r="J1542" s="1899"/>
      <c r="K1542" s="1899"/>
      <c r="L1542" s="1899"/>
      <c r="M1542" s="1899"/>
      <c r="Q1542" s="1812"/>
    </row>
    <row r="1543" spans="1:17">
      <c r="A1543" s="1805" t="s">
        <v>4116</v>
      </c>
      <c r="B1543" s="1629" t="s">
        <v>2670</v>
      </c>
      <c r="C1543" s="1629"/>
      <c r="D1543" s="1894"/>
      <c r="E1543" s="1899"/>
      <c r="F1543" s="1899"/>
      <c r="G1543" s="1899"/>
      <c r="H1543" s="1899"/>
      <c r="I1543" s="1899"/>
      <c r="J1543" s="1899"/>
      <c r="K1543" s="1899"/>
      <c r="L1543" s="1899"/>
      <c r="M1543" s="1899"/>
      <c r="O1543" s="1896" t="s">
        <v>1867</v>
      </c>
      <c r="P1543" s="1820">
        <f>'Part VIII-Threshold Criteria'!P478</f>
        <v>0</v>
      </c>
      <c r="Q1543" s="1820">
        <f>'Part VIII-Threshold Criteria'!Q478</f>
        <v>0</v>
      </c>
    </row>
    <row r="1544" spans="1:17">
      <c r="A1544" s="1805"/>
      <c r="B1544" s="1842" t="s">
        <v>3756</v>
      </c>
      <c r="D1544" s="1842"/>
      <c r="E1544" s="1842"/>
      <c r="F1544" s="1842"/>
      <c r="G1544" s="1842"/>
      <c r="H1544" s="1841"/>
      <c r="I1544" s="1895"/>
      <c r="J1544" s="1895"/>
      <c r="K1544" s="1895"/>
      <c r="L1544" s="1812"/>
      <c r="M1544" s="1812"/>
      <c r="N1544" s="1812"/>
      <c r="O1544" s="1812"/>
      <c r="P1544" s="1812"/>
      <c r="Q1544" s="1812"/>
    </row>
    <row r="1545" spans="1:17">
      <c r="A1545" s="1900">
        <f>'Part VIII-Threshold Criteria'!A480</f>
        <v>0</v>
      </c>
      <c r="B1545" s="1900">
        <f>'Part VIII-Threshold Criteria'!B480</f>
        <v>0</v>
      </c>
      <c r="C1545" s="1900">
        <f>'Part VIII-Threshold Criteria'!C480</f>
        <v>0</v>
      </c>
      <c r="D1545" s="1900">
        <f>'Part VIII-Threshold Criteria'!D480</f>
        <v>0</v>
      </c>
      <c r="E1545" s="1900">
        <f>'Part VIII-Threshold Criteria'!E480</f>
        <v>0</v>
      </c>
      <c r="F1545" s="1900">
        <f>'Part VIII-Threshold Criteria'!F480</f>
        <v>0</v>
      </c>
      <c r="G1545" s="1900">
        <f>'Part VIII-Threshold Criteria'!G480</f>
        <v>0</v>
      </c>
      <c r="H1545" s="1900">
        <f>'Part VIII-Threshold Criteria'!H480</f>
        <v>0</v>
      </c>
      <c r="I1545" s="1900">
        <f>'Part VIII-Threshold Criteria'!I480</f>
        <v>0</v>
      </c>
      <c r="J1545" s="1900">
        <f>'Part VIII-Threshold Criteria'!J480</f>
        <v>0</v>
      </c>
      <c r="K1545" s="1900">
        <f>'Part VIII-Threshold Criteria'!K480</f>
        <v>0</v>
      </c>
      <c r="L1545" s="1900">
        <f>'Part VIII-Threshold Criteria'!L480</f>
        <v>0</v>
      </c>
      <c r="M1545" s="1900">
        <f>'Part VIII-Threshold Criteria'!M480</f>
        <v>0</v>
      </c>
      <c r="N1545" s="1900">
        <f>'Part VIII-Threshold Criteria'!N480</f>
        <v>0</v>
      </c>
      <c r="O1545" s="1900">
        <f>'Part VIII-Threshold Criteria'!O480</f>
        <v>0</v>
      </c>
      <c r="P1545" s="1900">
        <f>'Part VIII-Threshold Criteria'!P480</f>
        <v>0</v>
      </c>
      <c r="Q1545" s="1900">
        <f>'Part VIII-Threshold Criteria'!Q480</f>
        <v>0</v>
      </c>
    </row>
    <row r="1546" spans="1:17">
      <c r="B1546" s="1897" t="s">
        <v>1866</v>
      </c>
      <c r="C1546" s="1898"/>
      <c r="D1546" s="1899"/>
      <c r="E1546" s="1899"/>
      <c r="F1546" s="1899"/>
      <c r="G1546" s="1899"/>
      <c r="H1546" s="1899"/>
      <c r="I1546" s="1899"/>
      <c r="J1546" s="1899"/>
      <c r="K1546" s="1899"/>
      <c r="L1546" s="1899"/>
      <c r="M1546" s="1899"/>
      <c r="N1546" s="1899"/>
      <c r="O1546" s="1899"/>
      <c r="P1546" s="1899"/>
      <c r="Q1546" s="1899"/>
    </row>
    <row r="1547" spans="1:17">
      <c r="A1547" s="1900">
        <f>'Part VIII-Threshold Criteria'!A482</f>
        <v>0</v>
      </c>
      <c r="B1547" s="1900">
        <f>'Part VIII-Threshold Criteria'!B482</f>
        <v>0</v>
      </c>
      <c r="C1547" s="1900">
        <f>'Part VIII-Threshold Criteria'!C482</f>
        <v>0</v>
      </c>
      <c r="D1547" s="1900">
        <f>'Part VIII-Threshold Criteria'!D482</f>
        <v>0</v>
      </c>
      <c r="E1547" s="1900">
        <f>'Part VIII-Threshold Criteria'!E482</f>
        <v>0</v>
      </c>
      <c r="F1547" s="1900">
        <f>'Part VIII-Threshold Criteria'!F482</f>
        <v>0</v>
      </c>
      <c r="G1547" s="1900">
        <f>'Part VIII-Threshold Criteria'!G482</f>
        <v>0</v>
      </c>
      <c r="H1547" s="1900">
        <f>'Part VIII-Threshold Criteria'!H482</f>
        <v>0</v>
      </c>
      <c r="I1547" s="1900">
        <f>'Part VIII-Threshold Criteria'!I482</f>
        <v>0</v>
      </c>
      <c r="J1547" s="1900">
        <f>'Part VIII-Threshold Criteria'!J482</f>
        <v>0</v>
      </c>
      <c r="K1547" s="1900">
        <f>'Part VIII-Threshold Criteria'!K482</f>
        <v>0</v>
      </c>
      <c r="L1547" s="1900">
        <f>'Part VIII-Threshold Criteria'!L482</f>
        <v>0</v>
      </c>
      <c r="M1547" s="1900">
        <f>'Part VIII-Threshold Criteria'!M482</f>
        <v>0</v>
      </c>
      <c r="N1547" s="1900">
        <f>'Part VIII-Threshold Criteria'!N482</f>
        <v>0</v>
      </c>
      <c r="O1547" s="1900">
        <f>'Part VIII-Threshold Criteria'!O482</f>
        <v>0</v>
      </c>
      <c r="P1547" s="1900">
        <f>'Part VIII-Threshold Criteria'!P482</f>
        <v>0</v>
      </c>
      <c r="Q1547" s="1900">
        <f>'Part VIII-Threshold Criteria'!Q482</f>
        <v>0</v>
      </c>
    </row>
    <row r="1555" spans="1:26">
      <c r="A1555" s="1629" t="str">
        <f>CONCATENATE("PART NINE - SCORING CRITERIA","  -  ",'Part I-Project Information'!$O$6," ",'Part I-Project Information'!$F$34,", ",'Part I-Project Information'!F1599,", ",'Part I-Project Information'!J1600," County")</f>
        <v>PART NINE - SCORING CRITERIA  -  2019-5 Stone Terrace Phase II, ,  County</v>
      </c>
      <c r="B1555" s="1629"/>
      <c r="C1555" s="1629"/>
      <c r="D1555" s="1629"/>
      <c r="E1555" s="1629"/>
      <c r="F1555" s="1629"/>
      <c r="G1555" s="1629"/>
      <c r="H1555" s="1629"/>
      <c r="I1555" s="1629"/>
      <c r="J1555" s="1629"/>
      <c r="K1555" s="1629"/>
      <c r="L1555" s="1629"/>
      <c r="M1555" s="1629"/>
      <c r="N1555" s="1629"/>
      <c r="O1555" s="1629"/>
      <c r="P1555" s="1629"/>
    </row>
    <row r="1556" spans="1:26">
      <c r="A1556" s="521"/>
      <c r="B1556" s="521"/>
      <c r="C1556" s="1971"/>
      <c r="D1556" s="521"/>
      <c r="E1556" s="521"/>
      <c r="F1556" s="521"/>
      <c r="G1556" s="521"/>
      <c r="H1556" s="521"/>
      <c r="I1556" s="521"/>
      <c r="J1556" s="521"/>
      <c r="K1556" s="521"/>
      <c r="L1556" s="521"/>
      <c r="M1556" s="1895"/>
      <c r="N1556" s="1630"/>
      <c r="O1556" s="1813"/>
      <c r="P1556" s="1813"/>
    </row>
    <row r="1557" spans="1:26" ht="12.75" customHeight="1">
      <c r="A1557" s="1830" t="s">
        <v>4556</v>
      </c>
      <c r="B1557" s="1830"/>
      <c r="C1557" s="1830"/>
      <c r="D1557" s="1830"/>
      <c r="E1557" s="1830"/>
      <c r="F1557" s="1830"/>
      <c r="G1557" s="1830"/>
      <c r="H1557" s="1830"/>
      <c r="I1557" s="1830"/>
      <c r="J1557" s="1830"/>
      <c r="K1557" s="1830"/>
      <c r="L1557" s="1830"/>
      <c r="M1557" s="1818" t="s">
        <v>2219</v>
      </c>
      <c r="N1557" s="1630"/>
      <c r="O1557" s="1813" t="s">
        <v>2218</v>
      </c>
      <c r="P1557" s="1813" t="s">
        <v>256</v>
      </c>
      <c r="Q1557" s="1631"/>
      <c r="R1557" s="1631"/>
      <c r="S1557" s="1631"/>
      <c r="T1557" s="1631"/>
      <c r="U1557" s="1631"/>
      <c r="V1557" s="1631"/>
      <c r="W1557" s="1631"/>
      <c r="X1557" s="1631"/>
      <c r="Y1557" s="1631"/>
      <c r="Z1557" s="1631"/>
    </row>
    <row r="1558" spans="1:26" ht="14.25">
      <c r="A1558" s="1830"/>
      <c r="B1558" s="1830"/>
      <c r="C1558" s="1830"/>
      <c r="D1558" s="1830"/>
      <c r="E1558" s="1830"/>
      <c r="F1558" s="1830"/>
      <c r="G1558" s="1830"/>
      <c r="H1558" s="1830"/>
      <c r="I1558" s="1830"/>
      <c r="J1558" s="1830"/>
      <c r="K1558" s="1830"/>
      <c r="L1558" s="1830"/>
      <c r="M1558" s="1818" t="s">
        <v>93</v>
      </c>
      <c r="N1558" s="1629"/>
      <c r="O1558" s="1813" t="s">
        <v>2219</v>
      </c>
      <c r="P1558" s="1813" t="s">
        <v>2219</v>
      </c>
      <c r="Q1558" s="1972"/>
      <c r="R1558" s="1631"/>
      <c r="S1558" s="1631"/>
      <c r="T1558" s="1631"/>
      <c r="U1558" s="1631"/>
      <c r="V1558" s="1631"/>
      <c r="W1558" s="1972"/>
      <c r="X1558" s="1972"/>
      <c r="Y1558" s="1972"/>
      <c r="Z1558" s="1972"/>
    </row>
    <row r="1559" spans="1:26" ht="14.25">
      <c r="A1559" s="1631"/>
      <c r="B1559" s="1631"/>
      <c r="C1559" s="1631"/>
      <c r="D1559" s="1631"/>
      <c r="E1559" s="1631"/>
      <c r="F1559" s="1631"/>
      <c r="G1559" s="1631"/>
      <c r="H1559" s="1631"/>
      <c r="I1559" s="1631"/>
      <c r="J1559" s="1631"/>
      <c r="K1559" s="1631"/>
      <c r="L1559" s="1972"/>
      <c r="M1559" s="1973"/>
      <c r="N1559" s="1629"/>
      <c r="O1559" s="1813"/>
      <c r="P1559" s="1639"/>
      <c r="Q1559" s="1972"/>
      <c r="R1559" s="1972"/>
      <c r="S1559" s="1972"/>
      <c r="T1559" s="1972"/>
      <c r="U1559" s="1972"/>
      <c r="V1559" s="1972"/>
      <c r="W1559" s="1972"/>
      <c r="X1559" s="1972"/>
      <c r="Y1559" s="1972"/>
      <c r="Z1559" s="1972"/>
    </row>
    <row r="1560" spans="1:26" ht="15.75">
      <c r="A1560" s="1631"/>
      <c r="B1560" s="1631"/>
      <c r="C1560" s="1631"/>
      <c r="D1560" s="1631"/>
      <c r="E1560" s="1631"/>
      <c r="F1560" s="1631"/>
      <c r="G1560" s="1631"/>
      <c r="H1560" s="1631"/>
      <c r="I1560" s="1631"/>
      <c r="J1560" s="1631"/>
      <c r="K1560" s="1972"/>
      <c r="L1560" s="1974" t="s">
        <v>1226</v>
      </c>
      <c r="M1560" s="1975">
        <f>M1995</f>
        <v>95</v>
      </c>
      <c r="N1560" s="1863"/>
      <c r="O1560" s="1975" t="e">
        <f>O1995</f>
        <v>#REF!</v>
      </c>
      <c r="P1560" s="1975" t="e">
        <f>P1995</f>
        <v>#REF!</v>
      </c>
      <c r="Q1560" s="1972"/>
      <c r="R1560" s="1972"/>
      <c r="S1560" s="1972"/>
      <c r="T1560" s="1972"/>
      <c r="U1560" s="1972"/>
      <c r="V1560" s="1972"/>
      <c r="W1560" s="1972"/>
      <c r="X1560" s="1972"/>
      <c r="Y1560" s="1972"/>
      <c r="Z1560" s="1972"/>
    </row>
    <row r="1561" spans="1:26" ht="15">
      <c r="A1561" s="1631"/>
      <c r="B1561" s="1935"/>
      <c r="C1561" s="521"/>
      <c r="D1561" s="1634"/>
      <c r="E1561" s="1634"/>
      <c r="F1561" s="1634"/>
      <c r="G1561" s="1634"/>
      <c r="H1561" s="1634"/>
      <c r="I1561" s="1634"/>
      <c r="J1561" s="1634"/>
      <c r="K1561" s="1634"/>
      <c r="L1561" s="1631"/>
      <c r="M1561" s="1630"/>
      <c r="N1561" s="1637"/>
      <c r="O1561" s="1975"/>
      <c r="P1561" s="1813"/>
      <c r="Q1561" s="1976"/>
      <c r="R1561" s="1631"/>
      <c r="S1561" s="1631"/>
      <c r="T1561" s="1976"/>
      <c r="U1561" s="1976"/>
      <c r="V1561" s="1976"/>
      <c r="W1561" s="1976"/>
      <c r="X1561" s="1976"/>
      <c r="Y1561" s="1976"/>
      <c r="Z1561" s="1976"/>
    </row>
    <row r="1562" spans="1:26">
      <c r="A1562" s="1977" t="s">
        <v>616</v>
      </c>
      <c r="B1562" s="1978" t="s">
        <v>2784</v>
      </c>
      <c r="C1562" s="1629"/>
      <c r="D1562" s="1629"/>
      <c r="E1562" s="1629"/>
      <c r="F1562" s="1895"/>
      <c r="G1562" s="1631"/>
      <c r="H1562" s="1866" t="s">
        <v>4557</v>
      </c>
      <c r="I1562" s="1631"/>
      <c r="J1562" s="1631"/>
      <c r="K1562" s="1631"/>
      <c r="L1562" s="1631"/>
      <c r="M1562" s="1813">
        <v>10</v>
      </c>
      <c r="N1562" s="1979"/>
      <c r="O1562" s="1975">
        <f>'Part IX Scoring Criteria'!O22</f>
        <v>10</v>
      </c>
      <c r="P1562" s="1975">
        <f>'Part IX Scoring Criteria'!P22</f>
        <v>10</v>
      </c>
      <c r="Q1562" s="1813" t="s">
        <v>441</v>
      </c>
      <c r="R1562" s="1631"/>
      <c r="S1562" s="1631"/>
      <c r="T1562" s="1631"/>
      <c r="U1562" s="1631"/>
      <c r="V1562" s="1631"/>
      <c r="W1562" s="1631"/>
      <c r="X1562" s="1631"/>
      <c r="Y1562" s="1631"/>
      <c r="Z1562" s="1631"/>
    </row>
    <row r="1563" spans="1:26" ht="15">
      <c r="A1563" s="1631"/>
      <c r="B1563" s="1935"/>
      <c r="C1563" s="521"/>
      <c r="D1563" s="1634"/>
      <c r="E1563" s="1634"/>
      <c r="F1563" s="1634"/>
      <c r="G1563" s="1634"/>
      <c r="H1563" s="1634"/>
      <c r="I1563" s="1634"/>
      <c r="J1563" s="1634"/>
      <c r="K1563" s="1634"/>
      <c r="L1563" s="1631"/>
      <c r="M1563" s="1630"/>
      <c r="N1563" s="1637"/>
      <c r="O1563" s="1975"/>
      <c r="P1563" s="1813"/>
      <c r="Q1563" s="1976"/>
      <c r="R1563" s="1631"/>
      <c r="S1563" s="1631"/>
      <c r="T1563" s="1976"/>
      <c r="U1563" s="1976"/>
      <c r="V1563" s="1976"/>
      <c r="W1563" s="1976"/>
      <c r="X1563" s="1976"/>
      <c r="Y1563" s="1976"/>
      <c r="Z1563" s="1976"/>
    </row>
    <row r="1564" spans="1:26">
      <c r="A1564" s="1825" t="s">
        <v>1983</v>
      </c>
      <c r="B1564" s="1820" t="s">
        <v>1868</v>
      </c>
      <c r="C1564" s="1631"/>
      <c r="D1564" s="1634"/>
      <c r="E1564" s="1634"/>
      <c r="F1564" s="1895"/>
      <c r="G1564" s="1631"/>
      <c r="H1564" s="1652" t="s">
        <v>3649</v>
      </c>
      <c r="I1564" s="1631"/>
      <c r="J1564" s="1631"/>
      <c r="K1564" s="1631"/>
      <c r="L1564" s="1631"/>
      <c r="M1564" s="1630"/>
      <c r="N1564" s="1937" t="s">
        <v>1983</v>
      </c>
      <c r="O1564" s="1816">
        <f>'Part IX Scoring Criteria'!O25</f>
        <v>0</v>
      </c>
      <c r="P1564" s="1816">
        <f>F1569</f>
        <v>0</v>
      </c>
      <c r="Q1564" s="1631"/>
      <c r="R1564" s="1631"/>
      <c r="S1564" s="1631"/>
      <c r="T1564" s="1631"/>
      <c r="U1564" s="1631"/>
      <c r="V1564" s="1631"/>
      <c r="W1564" s="1631"/>
      <c r="X1564" s="1631"/>
      <c r="Y1564" s="1631"/>
      <c r="Z1564" s="1631"/>
    </row>
    <row r="1565" spans="1:26" ht="15">
      <c r="A1565" s="1825"/>
      <c r="B1565" s="1976"/>
      <c r="C1565" s="1634" t="s">
        <v>2113</v>
      </c>
      <c r="D1565" s="1634"/>
      <c r="E1565" s="1634"/>
      <c r="F1565" s="1895"/>
      <c r="G1565" s="1976"/>
      <c r="H1565" s="1652" t="s">
        <v>2765</v>
      </c>
      <c r="I1565" s="1976"/>
      <c r="J1565" s="1866"/>
      <c r="K1565" s="1976"/>
      <c r="L1565" s="1976"/>
      <c r="M1565" s="1630">
        <v>1</v>
      </c>
      <c r="N1565" s="1937"/>
      <c r="O1565" s="1816">
        <f>'Part IX Scoring Criteria'!O26</f>
        <v>0</v>
      </c>
      <c r="P1565" s="1816">
        <f>J1569</f>
        <v>0</v>
      </c>
      <c r="Q1565" s="1976"/>
      <c r="R1565" s="1976"/>
      <c r="S1565" s="1976"/>
      <c r="T1565" s="1976"/>
      <c r="U1565" s="1976"/>
      <c r="V1565" s="1976"/>
      <c r="W1565" s="1976"/>
      <c r="X1565" s="1976"/>
      <c r="Y1565" s="1976"/>
      <c r="Z1565" s="1976"/>
    </row>
    <row r="1566" spans="1:26">
      <c r="A1566" s="1825" t="s">
        <v>1985</v>
      </c>
      <c r="B1566" s="1820" t="s">
        <v>726</v>
      </c>
      <c r="C1566" s="1631"/>
      <c r="D1566" s="1634"/>
      <c r="E1566" s="1634"/>
      <c r="F1566" s="1895"/>
      <c r="G1566" s="1631"/>
      <c r="H1566" s="1652" t="s">
        <v>4558</v>
      </c>
      <c r="I1566" s="1631"/>
      <c r="J1566" s="1866"/>
      <c r="K1566" s="1631"/>
      <c r="L1566" s="1631"/>
      <c r="M1566" s="1630"/>
      <c r="N1566" s="1937" t="s">
        <v>1985</v>
      </c>
      <c r="O1566" s="1816">
        <f>'Part IX Scoring Criteria'!O30</f>
        <v>0</v>
      </c>
      <c r="P1566" s="1816">
        <f>O1569</f>
        <v>0</v>
      </c>
      <c r="Q1566" s="1631"/>
      <c r="R1566" s="1631"/>
      <c r="S1566" s="1631"/>
      <c r="T1566" s="1631"/>
      <c r="U1566" s="1631"/>
      <c r="V1566" s="1631"/>
      <c r="W1566" s="1631"/>
      <c r="X1566" s="1631"/>
      <c r="Y1566" s="1631"/>
      <c r="Z1566" s="1631"/>
    </row>
    <row r="1567" spans="1:26" ht="20.25">
      <c r="A1567" s="1866"/>
      <c r="B1567" s="1631"/>
      <c r="C1567" s="1634" t="s">
        <v>4146</v>
      </c>
      <c r="D1567" s="521"/>
      <c r="E1567" s="521"/>
      <c r="F1567" s="521"/>
      <c r="G1567" s="1866"/>
      <c r="H1567" s="1652" t="s">
        <v>4558</v>
      </c>
      <c r="I1567" s="1866"/>
      <c r="J1567" s="1866"/>
      <c r="K1567" s="1866"/>
      <c r="L1567" s="1866"/>
      <c r="M1567" s="1866"/>
      <c r="N1567" s="1866"/>
      <c r="O1567" s="1816">
        <f>'Part IX Scoring Criteria'!O8</f>
        <v>0</v>
      </c>
      <c r="P1567" s="1816" t="e">
        <f>+O1583</f>
        <v>#REF!</v>
      </c>
      <c r="Q1567" s="1631"/>
      <c r="R1567" s="1980"/>
      <c r="S1567" s="1981"/>
      <c r="T1567" s="1631"/>
      <c r="U1567" s="1631"/>
      <c r="V1567" s="1631"/>
      <c r="W1567" s="1631"/>
      <c r="X1567" s="1631"/>
      <c r="Y1567" s="1631"/>
      <c r="Z1567" s="1631"/>
    </row>
    <row r="1568" spans="1:26" ht="20.25" customHeight="1">
      <c r="A1568" s="1830" t="s">
        <v>3845</v>
      </c>
      <c r="B1568" s="1830"/>
      <c r="C1568" s="1830"/>
      <c r="D1568" s="1830"/>
      <c r="E1568" s="1830"/>
      <c r="F1568" s="1895" t="s">
        <v>4148</v>
      </c>
      <c r="G1568" s="1631"/>
      <c r="H1568" s="1631"/>
      <c r="I1568" s="1631"/>
      <c r="J1568" s="1895" t="s">
        <v>4148</v>
      </c>
      <c r="K1568" s="1895"/>
      <c r="L1568" s="1631"/>
      <c r="M1568" s="1631"/>
      <c r="N1568" s="1631"/>
      <c r="O1568" s="521" t="s">
        <v>4148</v>
      </c>
      <c r="P1568" s="521"/>
      <c r="Q1568" s="1631"/>
      <c r="R1568" s="1980"/>
      <c r="S1568" s="1981"/>
      <c r="T1568" s="1631"/>
      <c r="U1568" s="1631"/>
      <c r="V1568" s="1631"/>
      <c r="W1568" s="1631"/>
      <c r="X1568" s="1631"/>
      <c r="Y1568" s="1631"/>
      <c r="Z1568" s="1631"/>
    </row>
    <row r="1569" spans="1:26" ht="20.25" customHeight="1">
      <c r="A1569" s="1830"/>
      <c r="B1569" s="1830"/>
      <c r="C1569" s="1830"/>
      <c r="D1569" s="1830"/>
      <c r="E1569" s="1830"/>
      <c r="F1569" s="1813">
        <f>SUM(F1570:F1581)</f>
        <v>0</v>
      </c>
      <c r="G1569" s="1966" t="s">
        <v>3585</v>
      </c>
      <c r="H1569" s="1966"/>
      <c r="I1569" s="1966"/>
      <c r="J1569" s="1813">
        <f>SUM(J1570:J1581)</f>
        <v>0</v>
      </c>
      <c r="K1569" s="1894" t="s">
        <v>3372</v>
      </c>
      <c r="L1569" s="1894"/>
      <c r="M1569" s="1894"/>
      <c r="N1569" s="1894"/>
      <c r="O1569" s="1629">
        <f>SUM(O1570:O1581)</f>
        <v>0</v>
      </c>
      <c r="P1569" s="1629"/>
      <c r="Q1569" s="1980"/>
      <c r="R1569" s="1981"/>
      <c r="S1569" s="1631"/>
      <c r="T1569" s="1631"/>
      <c r="U1569" s="1631"/>
      <c r="V1569" s="1631"/>
      <c r="W1569" s="1631"/>
      <c r="X1569" s="1631"/>
      <c r="Y1569" s="1631"/>
      <c r="Z1569" s="1631"/>
    </row>
    <row r="1570" spans="1:26" ht="20.25">
      <c r="A1570" s="1890">
        <f>'Part IX Scoring Criteria'!A34</f>
        <v>1</v>
      </c>
      <c r="B1570" s="1890">
        <f>'Part IX Scoring Criteria'!B34</f>
        <v>0</v>
      </c>
      <c r="C1570" s="1890">
        <f>'Part IX Scoring Criteria'!C34</f>
        <v>0</v>
      </c>
      <c r="D1570" s="1890">
        <f>'Part IX Scoring Criteria'!D34</f>
        <v>0</v>
      </c>
      <c r="E1570" s="1890">
        <f>'Part IX Scoring Criteria'!E34</f>
        <v>0</v>
      </c>
      <c r="F1570" s="1982">
        <f>'Part IX Scoring Criteria'!F34</f>
        <v>0</v>
      </c>
      <c r="G1570" s="1890">
        <f>'Part IX Scoring Criteria'!G34</f>
        <v>1</v>
      </c>
      <c r="H1570" s="1890">
        <f>'Part IX Scoring Criteria'!H34</f>
        <v>0</v>
      </c>
      <c r="I1570" s="1890">
        <f>'Part IX Scoring Criteria'!I34</f>
        <v>0</v>
      </c>
      <c r="J1570" s="1983" t="s">
        <v>1733</v>
      </c>
      <c r="K1570" s="1890">
        <f>'Part IX Scoring Criteria'!K34</f>
        <v>1</v>
      </c>
      <c r="L1570" s="1890">
        <f>'Part IX Scoring Criteria'!L34</f>
        <v>0</v>
      </c>
      <c r="M1570" s="1890">
        <f>'Part IX Scoring Criteria'!M34</f>
        <v>0</v>
      </c>
      <c r="N1570" s="1890">
        <f>'Part IX Scoring Criteria'!N34</f>
        <v>0</v>
      </c>
      <c r="O1570" s="1965" t="s">
        <v>1733</v>
      </c>
      <c r="P1570" s="1965"/>
      <c r="Q1570" s="1984"/>
      <c r="R1570" s="1981"/>
      <c r="S1570" s="1631"/>
      <c r="T1570" s="1631"/>
      <c r="U1570" s="1631"/>
      <c r="V1570" s="1631"/>
      <c r="W1570" s="1631"/>
      <c r="X1570" s="1631"/>
      <c r="Y1570" s="1631"/>
      <c r="Z1570" s="1631"/>
    </row>
    <row r="1571" spans="1:26" ht="20.25">
      <c r="A1571" s="1890">
        <f>'Part IX Scoring Criteria'!A35</f>
        <v>2</v>
      </c>
      <c r="B1571" s="1890">
        <f>'Part IX Scoring Criteria'!B35</f>
        <v>0</v>
      </c>
      <c r="C1571" s="1890">
        <f>'Part IX Scoring Criteria'!C35</f>
        <v>0</v>
      </c>
      <c r="D1571" s="1890">
        <f>'Part IX Scoring Criteria'!D35</f>
        <v>0</v>
      </c>
      <c r="E1571" s="1890">
        <f>'Part IX Scoring Criteria'!E35</f>
        <v>0</v>
      </c>
      <c r="F1571" s="1982">
        <f>'Part IX Scoring Criteria'!F35</f>
        <v>0</v>
      </c>
      <c r="G1571" s="1890">
        <f>'Part IX Scoring Criteria'!G35</f>
        <v>2</v>
      </c>
      <c r="H1571" s="1890">
        <f>'Part IX Scoring Criteria'!H35</f>
        <v>0</v>
      </c>
      <c r="I1571" s="1890">
        <f>'Part IX Scoring Criteria'!I35</f>
        <v>0</v>
      </c>
      <c r="J1571" s="1982">
        <f>'Part IX Scoring Criteria'!J35</f>
        <v>0</v>
      </c>
      <c r="K1571" s="1890">
        <f>'Part IX Scoring Criteria'!K35</f>
        <v>2</v>
      </c>
      <c r="L1571" s="1890">
        <f>'Part IX Scoring Criteria'!L35</f>
        <v>0</v>
      </c>
      <c r="M1571" s="1890">
        <f>'Part IX Scoring Criteria'!M35</f>
        <v>0</v>
      </c>
      <c r="N1571" s="1890">
        <f>'Part IX Scoring Criteria'!N35</f>
        <v>0</v>
      </c>
      <c r="O1571" s="1985">
        <f>'Part IX Scoring Criteria'!O35</f>
        <v>0</v>
      </c>
      <c r="P1571" s="1985">
        <f>'Part IX Scoring Criteria'!P35</f>
        <v>0</v>
      </c>
      <c r="Q1571" s="1984"/>
      <c r="R1571" s="1981"/>
      <c r="S1571" s="1631"/>
      <c r="T1571" s="1631"/>
      <c r="U1571" s="1631"/>
      <c r="V1571" s="1631"/>
      <c r="W1571" s="1631"/>
      <c r="X1571" s="1631"/>
      <c r="Y1571" s="1631"/>
      <c r="Z1571" s="1631"/>
    </row>
    <row r="1572" spans="1:26" ht="20.25">
      <c r="A1572" s="1890">
        <f>'Part IX Scoring Criteria'!A36</f>
        <v>3</v>
      </c>
      <c r="B1572" s="1890">
        <f>'Part IX Scoring Criteria'!B36</f>
        <v>0</v>
      </c>
      <c r="C1572" s="1890">
        <f>'Part IX Scoring Criteria'!C36</f>
        <v>0</v>
      </c>
      <c r="D1572" s="1890">
        <f>'Part IX Scoring Criteria'!D36</f>
        <v>0</v>
      </c>
      <c r="E1572" s="1890">
        <f>'Part IX Scoring Criteria'!E36</f>
        <v>0</v>
      </c>
      <c r="F1572" s="1982">
        <f>'Part IX Scoring Criteria'!F36</f>
        <v>0</v>
      </c>
      <c r="G1572" s="1890">
        <f>'Part IX Scoring Criteria'!G36</f>
        <v>3</v>
      </c>
      <c r="H1572" s="1890">
        <f>'Part IX Scoring Criteria'!H36</f>
        <v>0</v>
      </c>
      <c r="I1572" s="1890">
        <f>'Part IX Scoring Criteria'!I36</f>
        <v>0</v>
      </c>
      <c r="J1572" s="1986" t="s">
        <v>2905</v>
      </c>
      <c r="K1572" s="1890">
        <f>'Part IX Scoring Criteria'!K36</f>
        <v>3</v>
      </c>
      <c r="L1572" s="1890">
        <f>'Part IX Scoring Criteria'!L36</f>
        <v>0</v>
      </c>
      <c r="M1572" s="1890">
        <f>'Part IX Scoring Criteria'!M36</f>
        <v>0</v>
      </c>
      <c r="N1572" s="1890">
        <f>'Part IX Scoring Criteria'!N36</f>
        <v>0</v>
      </c>
      <c r="O1572" s="1965" t="s">
        <v>2905</v>
      </c>
      <c r="P1572" s="1965"/>
      <c r="Q1572" s="1984"/>
      <c r="R1572" s="1981"/>
      <c r="S1572" s="1631"/>
      <c r="T1572" s="1631"/>
      <c r="U1572" s="1631"/>
      <c r="V1572" s="1631"/>
      <c r="W1572" s="1631"/>
      <c r="X1572" s="1631"/>
      <c r="Y1572" s="1631"/>
      <c r="Z1572" s="1631"/>
    </row>
    <row r="1573" spans="1:26" ht="20.25" customHeight="1">
      <c r="A1573" s="1890">
        <f>'Part IX Scoring Criteria'!A37</f>
        <v>4</v>
      </c>
      <c r="B1573" s="1890">
        <f>'Part IX Scoring Criteria'!B37</f>
        <v>0</v>
      </c>
      <c r="C1573" s="1890">
        <f>'Part IX Scoring Criteria'!C37</f>
        <v>0</v>
      </c>
      <c r="D1573" s="1890">
        <f>'Part IX Scoring Criteria'!D37</f>
        <v>0</v>
      </c>
      <c r="E1573" s="1890">
        <f>'Part IX Scoring Criteria'!E37</f>
        <v>0</v>
      </c>
      <c r="F1573" s="1982">
        <f>'Part IX Scoring Criteria'!F37</f>
        <v>0</v>
      </c>
      <c r="G1573" s="1890">
        <f>'Part IX Scoring Criteria'!G37</f>
        <v>4</v>
      </c>
      <c r="H1573" s="1890">
        <f>'Part IX Scoring Criteria'!H37</f>
        <v>0</v>
      </c>
      <c r="I1573" s="1890">
        <f>'Part IX Scoring Criteria'!I37</f>
        <v>0</v>
      </c>
      <c r="J1573" s="1982">
        <f>'Part IX Scoring Criteria'!J37</f>
        <v>0</v>
      </c>
      <c r="K1573" s="1890">
        <f>'Part IX Scoring Criteria'!K37</f>
        <v>4</v>
      </c>
      <c r="L1573" s="1890">
        <f>'Part IX Scoring Criteria'!L37</f>
        <v>0</v>
      </c>
      <c r="M1573" s="1890">
        <f>'Part IX Scoring Criteria'!M37</f>
        <v>0</v>
      </c>
      <c r="N1573" s="1890">
        <f>'Part IX Scoring Criteria'!N37</f>
        <v>0</v>
      </c>
      <c r="O1573" s="1965" t="s">
        <v>2905</v>
      </c>
      <c r="P1573" s="1965"/>
      <c r="Q1573" s="1984"/>
      <c r="R1573" s="1981"/>
      <c r="S1573" s="1631"/>
      <c r="T1573" s="1631"/>
      <c r="U1573" s="1631"/>
      <c r="V1573" s="1631"/>
      <c r="W1573" s="1631"/>
      <c r="X1573" s="1631"/>
      <c r="Y1573" s="1631"/>
      <c r="Z1573" s="1631"/>
    </row>
    <row r="1574" spans="1:26" ht="20.25">
      <c r="A1574" s="1890">
        <f>'Part IX Scoring Criteria'!A38</f>
        <v>5</v>
      </c>
      <c r="B1574" s="1890">
        <f>'Part IX Scoring Criteria'!B38</f>
        <v>0</v>
      </c>
      <c r="C1574" s="1890">
        <f>'Part IX Scoring Criteria'!C38</f>
        <v>0</v>
      </c>
      <c r="D1574" s="1890">
        <f>'Part IX Scoring Criteria'!D38</f>
        <v>0</v>
      </c>
      <c r="E1574" s="1890">
        <f>'Part IX Scoring Criteria'!E38</f>
        <v>0</v>
      </c>
      <c r="F1574" s="1982">
        <f>'Part IX Scoring Criteria'!F38</f>
        <v>0</v>
      </c>
      <c r="G1574" s="1890">
        <f>'Part IX Scoring Criteria'!G38</f>
        <v>5</v>
      </c>
      <c r="H1574" s="1890">
        <f>'Part IX Scoring Criteria'!H38</f>
        <v>0</v>
      </c>
      <c r="I1574" s="1890">
        <f>'Part IX Scoring Criteria'!I38</f>
        <v>0</v>
      </c>
      <c r="J1574" s="1986" t="s">
        <v>3586</v>
      </c>
      <c r="K1574" s="1890">
        <f>'Part IX Scoring Criteria'!K38</f>
        <v>5</v>
      </c>
      <c r="L1574" s="1890">
        <f>'Part IX Scoring Criteria'!L38</f>
        <v>0</v>
      </c>
      <c r="M1574" s="1890">
        <f>'Part IX Scoring Criteria'!M38</f>
        <v>0</v>
      </c>
      <c r="N1574" s="1890">
        <f>'Part IX Scoring Criteria'!N38</f>
        <v>0</v>
      </c>
      <c r="O1574" s="1985">
        <f>'Part IX Scoring Criteria'!O38</f>
        <v>0</v>
      </c>
      <c r="P1574" s="1985">
        <f>'Part IX Scoring Criteria'!P38</f>
        <v>0</v>
      </c>
      <c r="Q1574" s="1981"/>
      <c r="R1574" s="1981"/>
      <c r="S1574" s="1631"/>
      <c r="T1574" s="1631"/>
      <c r="U1574" s="1631"/>
      <c r="V1574" s="1631"/>
      <c r="W1574" s="1631"/>
      <c r="X1574" s="1631"/>
      <c r="Y1574" s="1631"/>
      <c r="Z1574" s="1631"/>
    </row>
    <row r="1575" spans="1:26" ht="20.25">
      <c r="A1575" s="1890">
        <f>'Part IX Scoring Criteria'!A39</f>
        <v>6</v>
      </c>
      <c r="B1575" s="1890">
        <f>'Part IX Scoring Criteria'!B39</f>
        <v>0</v>
      </c>
      <c r="C1575" s="1890">
        <f>'Part IX Scoring Criteria'!C39</f>
        <v>0</v>
      </c>
      <c r="D1575" s="1890">
        <f>'Part IX Scoring Criteria'!D39</f>
        <v>0</v>
      </c>
      <c r="E1575" s="1890">
        <f>'Part IX Scoring Criteria'!E39</f>
        <v>0</v>
      </c>
      <c r="F1575" s="1982">
        <f>'Part IX Scoring Criteria'!F39</f>
        <v>0</v>
      </c>
      <c r="G1575" s="1890">
        <f>'Part IX Scoring Criteria'!G39</f>
        <v>6</v>
      </c>
      <c r="H1575" s="1890">
        <f>'Part IX Scoring Criteria'!H39</f>
        <v>0</v>
      </c>
      <c r="I1575" s="1890">
        <f>'Part IX Scoring Criteria'!I39</f>
        <v>0</v>
      </c>
      <c r="J1575" s="1982">
        <f>'Part IX Scoring Criteria'!J39</f>
        <v>0</v>
      </c>
      <c r="K1575" s="1890">
        <f>'Part IX Scoring Criteria'!K39</f>
        <v>6</v>
      </c>
      <c r="L1575" s="1890">
        <f>'Part IX Scoring Criteria'!L39</f>
        <v>0</v>
      </c>
      <c r="M1575" s="1890">
        <f>'Part IX Scoring Criteria'!M39</f>
        <v>0</v>
      </c>
      <c r="N1575" s="1890">
        <f>'Part IX Scoring Criteria'!N39</f>
        <v>0</v>
      </c>
      <c r="O1575" s="1985">
        <f>'Part IX Scoring Criteria'!O39</f>
        <v>0</v>
      </c>
      <c r="P1575" s="1985">
        <f>'Part IX Scoring Criteria'!P39</f>
        <v>0</v>
      </c>
      <c r="Q1575" s="1981"/>
      <c r="R1575" s="1981"/>
      <c r="S1575" s="1631"/>
      <c r="T1575" s="1631"/>
      <c r="U1575" s="1631"/>
      <c r="V1575" s="1631"/>
      <c r="W1575" s="1631"/>
      <c r="X1575" s="1631"/>
      <c r="Y1575" s="1631"/>
      <c r="Z1575" s="1631"/>
    </row>
    <row r="1576" spans="1:26" ht="20.25">
      <c r="A1576" s="1890">
        <f>'Part IX Scoring Criteria'!A40</f>
        <v>7</v>
      </c>
      <c r="B1576" s="1890">
        <f>'Part IX Scoring Criteria'!B40</f>
        <v>0</v>
      </c>
      <c r="C1576" s="1890">
        <f>'Part IX Scoring Criteria'!C40</f>
        <v>0</v>
      </c>
      <c r="D1576" s="1890">
        <f>'Part IX Scoring Criteria'!D40</f>
        <v>0</v>
      </c>
      <c r="E1576" s="1890">
        <f>'Part IX Scoring Criteria'!E40</f>
        <v>0</v>
      </c>
      <c r="F1576" s="1982">
        <f>'Part IX Scoring Criteria'!F40</f>
        <v>0</v>
      </c>
      <c r="G1576" s="1890">
        <f>'Part IX Scoring Criteria'!G40</f>
        <v>7</v>
      </c>
      <c r="H1576" s="1890">
        <f>'Part IX Scoring Criteria'!H40</f>
        <v>0</v>
      </c>
      <c r="I1576" s="1890">
        <f>'Part IX Scoring Criteria'!I40</f>
        <v>0</v>
      </c>
      <c r="J1576" s="1986" t="s">
        <v>3587</v>
      </c>
      <c r="K1576" s="1890">
        <f>'Part IX Scoring Criteria'!K40</f>
        <v>7</v>
      </c>
      <c r="L1576" s="1890">
        <f>'Part IX Scoring Criteria'!L40</f>
        <v>0</v>
      </c>
      <c r="M1576" s="1890">
        <f>'Part IX Scoring Criteria'!M40</f>
        <v>0</v>
      </c>
      <c r="N1576" s="1890">
        <f>'Part IX Scoring Criteria'!N40</f>
        <v>0</v>
      </c>
      <c r="O1576" s="1985">
        <f>'Part IX Scoring Criteria'!O40</f>
        <v>0</v>
      </c>
      <c r="P1576" s="1985">
        <f>'Part IX Scoring Criteria'!P40</f>
        <v>0</v>
      </c>
      <c r="Q1576" s="1981"/>
      <c r="R1576" s="1981"/>
      <c r="S1576" s="1631"/>
      <c r="T1576" s="1631"/>
      <c r="U1576" s="1631"/>
      <c r="V1576" s="1631"/>
      <c r="W1576" s="1631"/>
      <c r="X1576" s="1631"/>
      <c r="Y1576" s="1631"/>
      <c r="Z1576" s="1631"/>
    </row>
    <row r="1577" spans="1:26" ht="20.25">
      <c r="A1577" s="1890">
        <f>'Part IX Scoring Criteria'!A41</f>
        <v>8</v>
      </c>
      <c r="B1577" s="1890">
        <f>'Part IX Scoring Criteria'!B41</f>
        <v>0</v>
      </c>
      <c r="C1577" s="1890">
        <f>'Part IX Scoring Criteria'!C41</f>
        <v>0</v>
      </c>
      <c r="D1577" s="1890">
        <f>'Part IX Scoring Criteria'!D41</f>
        <v>0</v>
      </c>
      <c r="E1577" s="1890">
        <f>'Part IX Scoring Criteria'!E41</f>
        <v>0</v>
      </c>
      <c r="F1577" s="1982">
        <f>'Part IX Scoring Criteria'!F41</f>
        <v>0</v>
      </c>
      <c r="G1577" s="1890">
        <f>'Part IX Scoring Criteria'!G41</f>
        <v>8</v>
      </c>
      <c r="H1577" s="1890">
        <f>'Part IX Scoring Criteria'!H41</f>
        <v>0</v>
      </c>
      <c r="I1577" s="1890">
        <f>'Part IX Scoring Criteria'!I41</f>
        <v>0</v>
      </c>
      <c r="J1577" s="1982">
        <f>'Part IX Scoring Criteria'!J41</f>
        <v>0</v>
      </c>
      <c r="K1577" s="1890">
        <f>'Part IX Scoring Criteria'!K41</f>
        <v>8</v>
      </c>
      <c r="L1577" s="1890">
        <f>'Part IX Scoring Criteria'!L41</f>
        <v>0</v>
      </c>
      <c r="M1577" s="1890">
        <f>'Part IX Scoring Criteria'!M41</f>
        <v>0</v>
      </c>
      <c r="N1577" s="1890">
        <f>'Part IX Scoring Criteria'!N41</f>
        <v>0</v>
      </c>
      <c r="O1577" s="1985">
        <f>'Part IX Scoring Criteria'!O41</f>
        <v>0</v>
      </c>
      <c r="P1577" s="1985">
        <f>'Part IX Scoring Criteria'!P41</f>
        <v>0</v>
      </c>
      <c r="Q1577" s="1981"/>
      <c r="R1577" s="1981"/>
      <c r="S1577" s="1631"/>
      <c r="T1577" s="1631"/>
      <c r="U1577" s="1631"/>
      <c r="V1577" s="1631"/>
      <c r="W1577" s="1631"/>
      <c r="X1577" s="1631"/>
      <c r="Y1577" s="1631"/>
      <c r="Z1577" s="1631"/>
    </row>
    <row r="1578" spans="1:26" ht="20.25">
      <c r="A1578" s="1890">
        <f>'Part IX Scoring Criteria'!A42</f>
        <v>9</v>
      </c>
      <c r="B1578" s="1890">
        <f>'Part IX Scoring Criteria'!B42</f>
        <v>0</v>
      </c>
      <c r="C1578" s="1890">
        <f>'Part IX Scoring Criteria'!C42</f>
        <v>0</v>
      </c>
      <c r="D1578" s="1890">
        <f>'Part IX Scoring Criteria'!D42</f>
        <v>0</v>
      </c>
      <c r="E1578" s="1890">
        <f>'Part IX Scoring Criteria'!E42</f>
        <v>0</v>
      </c>
      <c r="F1578" s="1982">
        <f>'Part IX Scoring Criteria'!F42</f>
        <v>0</v>
      </c>
      <c r="G1578" s="1890">
        <f>'Part IX Scoring Criteria'!G42</f>
        <v>9</v>
      </c>
      <c r="H1578" s="1890">
        <f>'Part IX Scoring Criteria'!H42</f>
        <v>0</v>
      </c>
      <c r="I1578" s="1890">
        <f>'Part IX Scoring Criteria'!I42</f>
        <v>0</v>
      </c>
      <c r="J1578" s="1986" t="s">
        <v>3588</v>
      </c>
      <c r="K1578" s="1890">
        <f>'Part IX Scoring Criteria'!K42</f>
        <v>9</v>
      </c>
      <c r="L1578" s="1890">
        <f>'Part IX Scoring Criteria'!L42</f>
        <v>0</v>
      </c>
      <c r="M1578" s="1890">
        <f>'Part IX Scoring Criteria'!M42</f>
        <v>0</v>
      </c>
      <c r="N1578" s="1890">
        <f>'Part IX Scoring Criteria'!N42</f>
        <v>0</v>
      </c>
      <c r="O1578" s="1985">
        <f>'Part IX Scoring Criteria'!O42</f>
        <v>0</v>
      </c>
      <c r="P1578" s="1985">
        <f>'Part IX Scoring Criteria'!P42</f>
        <v>0</v>
      </c>
      <c r="Q1578" s="1981"/>
      <c r="R1578" s="1981"/>
      <c r="S1578" s="1631"/>
      <c r="T1578" s="1631"/>
      <c r="U1578" s="1631"/>
      <c r="V1578" s="1631"/>
      <c r="W1578" s="1631"/>
      <c r="X1578" s="1631"/>
      <c r="Y1578" s="1631"/>
      <c r="Z1578" s="1631"/>
    </row>
    <row r="1579" spans="1:26" ht="20.25">
      <c r="A1579" s="1890">
        <f>'Part IX Scoring Criteria'!A43</f>
        <v>10</v>
      </c>
      <c r="B1579" s="1890">
        <f>'Part IX Scoring Criteria'!B43</f>
        <v>0</v>
      </c>
      <c r="C1579" s="1890">
        <f>'Part IX Scoring Criteria'!C43</f>
        <v>0</v>
      </c>
      <c r="D1579" s="1890">
        <f>'Part IX Scoring Criteria'!D43</f>
        <v>0</v>
      </c>
      <c r="E1579" s="1890">
        <f>'Part IX Scoring Criteria'!E43</f>
        <v>0</v>
      </c>
      <c r="F1579" s="1982">
        <f>'Part IX Scoring Criteria'!F43</f>
        <v>0</v>
      </c>
      <c r="G1579" s="1890">
        <f>'Part IX Scoring Criteria'!G43</f>
        <v>10</v>
      </c>
      <c r="H1579" s="1890">
        <f>'Part IX Scoring Criteria'!H43</f>
        <v>0</v>
      </c>
      <c r="I1579" s="1890">
        <f>'Part IX Scoring Criteria'!I43</f>
        <v>0</v>
      </c>
      <c r="J1579" s="1982">
        <f>'Part IX Scoring Criteria'!J43</f>
        <v>0</v>
      </c>
      <c r="K1579" s="1890">
        <f>'Part IX Scoring Criteria'!K43</f>
        <v>10</v>
      </c>
      <c r="L1579" s="1890">
        <f>'Part IX Scoring Criteria'!L43</f>
        <v>0</v>
      </c>
      <c r="M1579" s="1890">
        <f>'Part IX Scoring Criteria'!M43</f>
        <v>0</v>
      </c>
      <c r="N1579" s="1890">
        <f>'Part IX Scoring Criteria'!N43</f>
        <v>0</v>
      </c>
      <c r="O1579" s="1985">
        <f>'Part IX Scoring Criteria'!O43</f>
        <v>0</v>
      </c>
      <c r="P1579" s="1985">
        <f>'Part IX Scoring Criteria'!P43</f>
        <v>0</v>
      </c>
      <c r="Q1579" s="1981"/>
      <c r="R1579" s="1981"/>
      <c r="S1579" s="1631"/>
      <c r="T1579" s="1631"/>
      <c r="U1579" s="1631"/>
      <c r="V1579" s="1631"/>
      <c r="W1579" s="1631"/>
      <c r="X1579" s="1631"/>
      <c r="Y1579" s="1631"/>
      <c r="Z1579" s="1631"/>
    </row>
    <row r="1580" spans="1:26" ht="20.25">
      <c r="A1580" s="1890">
        <f>'Part IX Scoring Criteria'!A44</f>
        <v>11</v>
      </c>
      <c r="B1580" s="1890">
        <f>'Part IX Scoring Criteria'!B44</f>
        <v>0</v>
      </c>
      <c r="C1580" s="1890">
        <f>'Part IX Scoring Criteria'!C44</f>
        <v>0</v>
      </c>
      <c r="D1580" s="1890">
        <f>'Part IX Scoring Criteria'!D44</f>
        <v>0</v>
      </c>
      <c r="E1580" s="1890">
        <f>'Part IX Scoring Criteria'!E44</f>
        <v>0</v>
      </c>
      <c r="F1580" s="1982">
        <f>'Part IX Scoring Criteria'!F44</f>
        <v>0</v>
      </c>
      <c r="G1580" s="1890">
        <f>'Part IX Scoring Criteria'!G44</f>
        <v>11</v>
      </c>
      <c r="H1580" s="1890">
        <f>'Part IX Scoring Criteria'!H44</f>
        <v>0</v>
      </c>
      <c r="I1580" s="1890">
        <f>'Part IX Scoring Criteria'!I44</f>
        <v>0</v>
      </c>
      <c r="J1580" s="1986" t="s">
        <v>3589</v>
      </c>
      <c r="K1580" s="1890">
        <f>'Part IX Scoring Criteria'!K44</f>
        <v>11</v>
      </c>
      <c r="L1580" s="1890">
        <f>'Part IX Scoring Criteria'!L44</f>
        <v>0</v>
      </c>
      <c r="M1580" s="1890">
        <f>'Part IX Scoring Criteria'!M44</f>
        <v>0</v>
      </c>
      <c r="N1580" s="1890">
        <f>'Part IX Scoring Criteria'!N44</f>
        <v>0</v>
      </c>
      <c r="O1580" s="1985">
        <f>'Part IX Scoring Criteria'!O44</f>
        <v>0</v>
      </c>
      <c r="P1580" s="1985">
        <f>'Part IX Scoring Criteria'!P44</f>
        <v>0</v>
      </c>
      <c r="Q1580" s="1981"/>
      <c r="R1580" s="1981"/>
      <c r="S1580" s="1631"/>
      <c r="T1580" s="1631"/>
      <c r="U1580" s="1631"/>
      <c r="V1580" s="1631"/>
      <c r="W1580" s="1631"/>
      <c r="X1580" s="1631"/>
      <c r="Y1580" s="1631"/>
      <c r="Z1580" s="1631"/>
    </row>
    <row r="1581" spans="1:26">
      <c r="A1581" s="1890">
        <f>'Part IX Scoring Criteria'!A45</f>
        <v>12</v>
      </c>
      <c r="B1581" s="1890">
        <f>'Part IX Scoring Criteria'!B45</f>
        <v>0</v>
      </c>
      <c r="C1581" s="1890">
        <f>'Part IX Scoring Criteria'!C45</f>
        <v>0</v>
      </c>
      <c r="D1581" s="1890">
        <f>'Part IX Scoring Criteria'!D45</f>
        <v>0</v>
      </c>
      <c r="E1581" s="1890">
        <f>'Part IX Scoring Criteria'!E45</f>
        <v>0</v>
      </c>
      <c r="F1581" s="1982">
        <f>'Part IX Scoring Criteria'!F45</f>
        <v>0</v>
      </c>
      <c r="G1581" s="1890">
        <f>'Part IX Scoring Criteria'!G45</f>
        <v>12</v>
      </c>
      <c r="H1581" s="1890">
        <f>'Part IX Scoring Criteria'!H45</f>
        <v>0</v>
      </c>
      <c r="I1581" s="1890">
        <f>'Part IX Scoring Criteria'!I45</f>
        <v>0</v>
      </c>
      <c r="J1581" s="1982">
        <f>'Part IX Scoring Criteria'!J45</f>
        <v>0</v>
      </c>
      <c r="K1581" s="1890">
        <f>'Part IX Scoring Criteria'!K45</f>
        <v>12</v>
      </c>
      <c r="L1581" s="1890">
        <f>'Part IX Scoring Criteria'!L45</f>
        <v>0</v>
      </c>
      <c r="M1581" s="1890">
        <f>'Part IX Scoring Criteria'!M45</f>
        <v>0</v>
      </c>
      <c r="N1581" s="1890">
        <f>'Part IX Scoring Criteria'!N45</f>
        <v>0</v>
      </c>
      <c r="O1581" s="1985">
        <f>'Part IX Scoring Criteria'!O45</f>
        <v>0</v>
      </c>
      <c r="P1581" s="1985">
        <f>'Part IX Scoring Criteria'!P45</f>
        <v>0</v>
      </c>
      <c r="Q1581" s="1631"/>
      <c r="R1581" s="1631"/>
      <c r="S1581" s="1631"/>
      <c r="T1581" s="1631"/>
      <c r="U1581" s="1631"/>
      <c r="V1581" s="1631"/>
      <c r="W1581" s="1631"/>
      <c r="X1581" s="1631"/>
      <c r="Y1581" s="1631"/>
      <c r="Z1581" s="1631"/>
    </row>
    <row r="1582" spans="1:26" ht="15" customHeight="1">
      <c r="A1582" s="1976"/>
      <c r="B1582" s="1987"/>
      <c r="C1582" s="1987"/>
      <c r="D1582" s="1987"/>
      <c r="E1582" s="1987"/>
      <c r="F1582" s="1988" t="s">
        <v>4559</v>
      </c>
      <c r="G1582" s="1988"/>
      <c r="H1582" s="1988"/>
      <c r="I1582" s="1988"/>
      <c r="J1582" s="1988"/>
      <c r="K1582" s="1988"/>
      <c r="L1582" s="1988"/>
      <c r="M1582" s="1988"/>
      <c r="N1582" s="1988"/>
      <c r="O1582" s="1988"/>
      <c r="P1582" s="1988"/>
      <c r="Q1582" s="1813"/>
      <c r="R1582" s="1942"/>
      <c r="S1582" s="1976"/>
      <c r="T1582" s="1976"/>
      <c r="U1582" s="1976"/>
      <c r="V1582" s="1976"/>
      <c r="W1582" s="1976"/>
      <c r="X1582" s="1976"/>
      <c r="Y1582" s="1976"/>
      <c r="Z1582" s="1976"/>
    </row>
    <row r="1583" spans="1:26" ht="20.25">
      <c r="A1583" s="1652" t="s">
        <v>4149</v>
      </c>
      <c r="B1583" s="521" t="s">
        <v>4150</v>
      </c>
      <c r="C1583" s="521"/>
      <c r="D1583" s="521"/>
      <c r="E1583" s="1741" t="s">
        <v>4177</v>
      </c>
      <c r="F1583" s="521" t="s">
        <v>4176</v>
      </c>
      <c r="G1583" s="521"/>
      <c r="H1583" s="521"/>
      <c r="I1583" s="521"/>
      <c r="J1583" s="521"/>
      <c r="K1583" s="521"/>
      <c r="L1583" s="521"/>
      <c r="M1583" s="521"/>
      <c r="N1583" s="1989"/>
      <c r="O1583" s="1629" t="e">
        <f>SUM(O1584:O1595)</f>
        <v>#REF!</v>
      </c>
      <c r="P1583" s="1629"/>
      <c r="Q1583" s="1980"/>
      <c r="R1583" s="1981"/>
      <c r="S1583" s="1631"/>
      <c r="T1583" s="1631"/>
      <c r="U1583" s="1631"/>
      <c r="V1583" s="1631"/>
      <c r="W1583" s="1631"/>
      <c r="X1583" s="1631"/>
      <c r="Y1583" s="1631"/>
      <c r="Z1583" s="1631"/>
    </row>
    <row r="1584" spans="1:26" ht="20.25">
      <c r="A1584" s="1990" t="s">
        <v>742</v>
      </c>
      <c r="B1584" s="1218" t="s">
        <v>4151</v>
      </c>
      <c r="C1584" s="1890"/>
      <c r="D1584" s="1890"/>
      <c r="E1584" s="1991" t="e">
        <f>'Part IX Scoring Criteria'!#REF!</f>
        <v>#REF!</v>
      </c>
      <c r="F1584" s="1902" t="e">
        <f>'Part IX Scoring Criteria'!#REF!</f>
        <v>#REF!</v>
      </c>
      <c r="G1584" s="1902"/>
      <c r="H1584" s="1902"/>
      <c r="I1584" s="1902"/>
      <c r="J1584" s="1902"/>
      <c r="K1584" s="1902"/>
      <c r="L1584" s="1902"/>
      <c r="M1584" s="1902"/>
      <c r="N1584" s="1902"/>
      <c r="O1584" s="1966" t="s">
        <v>1733</v>
      </c>
      <c r="P1584" s="1966"/>
      <c r="Q1584" s="1984"/>
      <c r="R1584" s="1981"/>
      <c r="S1584" s="1631"/>
      <c r="T1584" s="1631"/>
      <c r="U1584" s="1631"/>
      <c r="V1584" s="1631"/>
      <c r="W1584" s="1631"/>
      <c r="X1584" s="1631"/>
      <c r="Y1584" s="1631"/>
      <c r="Z1584" s="1631"/>
    </row>
    <row r="1585" spans="1:26" ht="12.75" customHeight="1">
      <c r="A1585" s="1990" t="s">
        <v>1794</v>
      </c>
      <c r="B1585" s="1218" t="s">
        <v>4152</v>
      </c>
      <c r="C1585" s="1890"/>
      <c r="D1585" s="1890"/>
      <c r="E1585" s="1991" t="e">
        <f>'Part IX Scoring Criteria'!#REF!</f>
        <v>#REF!</v>
      </c>
      <c r="F1585" s="1902" t="e">
        <f>'Part IX Scoring Criteria'!#REF!</f>
        <v>#REF!</v>
      </c>
      <c r="G1585" s="1902"/>
      <c r="H1585" s="1902"/>
      <c r="I1585" s="1902"/>
      <c r="J1585" s="1902"/>
      <c r="K1585" s="1902"/>
      <c r="L1585" s="1902"/>
      <c r="M1585" s="1902"/>
      <c r="N1585" s="1902"/>
      <c r="O1585" s="1817" t="e">
        <f>'Part IX Scoring Criteria'!#REF!</f>
        <v>#REF!</v>
      </c>
      <c r="P1585" s="1817" t="e">
        <f>'Part IX Scoring Criteria'!#REF!</f>
        <v>#REF!</v>
      </c>
      <c r="Q1585" s="1790" t="e">
        <f>'Part IX Scoring Criteria'!#REF!</f>
        <v>#REF!</v>
      </c>
      <c r="R1585" s="1790" t="e">
        <f>'Part IX Scoring Criteria'!#REF!</f>
        <v>#REF!</v>
      </c>
      <c r="S1585" s="1790" t="e">
        <f>'Part IX Scoring Criteria'!#REF!</f>
        <v>#REF!</v>
      </c>
      <c r="T1585" s="1631"/>
      <c r="U1585" s="1631"/>
      <c r="V1585" s="1631"/>
      <c r="W1585" s="1631"/>
      <c r="X1585" s="1631"/>
      <c r="Y1585" s="1631"/>
      <c r="Z1585" s="1631"/>
    </row>
    <row r="1586" spans="1:26" ht="12.75" customHeight="1">
      <c r="A1586" s="1990" t="s">
        <v>772</v>
      </c>
      <c r="B1586" s="1218" t="s">
        <v>4153</v>
      </c>
      <c r="C1586" s="1890"/>
      <c r="D1586" s="1890"/>
      <c r="E1586" s="1991" t="e">
        <f>'Part IX Scoring Criteria'!#REF!</f>
        <v>#REF!</v>
      </c>
      <c r="F1586" s="1902" t="e">
        <f>'Part IX Scoring Criteria'!#REF!</f>
        <v>#REF!</v>
      </c>
      <c r="G1586" s="1902"/>
      <c r="H1586" s="1902"/>
      <c r="I1586" s="1902"/>
      <c r="J1586" s="1902"/>
      <c r="K1586" s="1902"/>
      <c r="L1586" s="1902"/>
      <c r="M1586" s="1902"/>
      <c r="N1586" s="1902"/>
      <c r="O1586" s="1966" t="s">
        <v>2905</v>
      </c>
      <c r="P1586" s="1966"/>
      <c r="Q1586" s="1790" t="e">
        <f>'Part IX Scoring Criteria'!#REF!</f>
        <v>#REF!</v>
      </c>
      <c r="R1586" s="1790" t="e">
        <f>'Part IX Scoring Criteria'!#REF!</f>
        <v>#REF!</v>
      </c>
      <c r="S1586" s="1790" t="e">
        <f>'Part IX Scoring Criteria'!#REF!</f>
        <v>#REF!</v>
      </c>
      <c r="T1586" s="1631"/>
      <c r="U1586" s="1631"/>
      <c r="V1586" s="1631"/>
      <c r="W1586" s="1631"/>
      <c r="X1586" s="1631"/>
      <c r="Y1586" s="1631"/>
      <c r="Z1586" s="1631"/>
    </row>
    <row r="1587" spans="1:26" ht="12.75" customHeight="1">
      <c r="A1587" s="1990" t="s">
        <v>292</v>
      </c>
      <c r="B1587" s="1218" t="s">
        <v>4154</v>
      </c>
      <c r="C1587" s="1890"/>
      <c r="D1587" s="1890"/>
      <c r="E1587" s="1991" t="e">
        <f>'Part IX Scoring Criteria'!#REF!</f>
        <v>#REF!</v>
      </c>
      <c r="F1587" s="1902" t="e">
        <f>'Part IX Scoring Criteria'!#REF!</f>
        <v>#REF!</v>
      </c>
      <c r="G1587" s="1902"/>
      <c r="H1587" s="1902"/>
      <c r="I1587" s="1902"/>
      <c r="J1587" s="1902"/>
      <c r="K1587" s="1902"/>
      <c r="L1587" s="1902"/>
      <c r="M1587" s="1902"/>
      <c r="N1587" s="1902"/>
      <c r="O1587" s="1966" t="s">
        <v>2905</v>
      </c>
      <c r="P1587" s="1966"/>
      <c r="Q1587" s="1790" t="e">
        <f>'Part IX Scoring Criteria'!#REF!</f>
        <v>#REF!</v>
      </c>
      <c r="R1587" s="1790" t="e">
        <f>'Part IX Scoring Criteria'!#REF!</f>
        <v>#REF!</v>
      </c>
      <c r="S1587" s="1790" t="e">
        <f>'Part IX Scoring Criteria'!#REF!</f>
        <v>#REF!</v>
      </c>
      <c r="T1587" s="1631"/>
      <c r="U1587" s="1631"/>
      <c r="V1587" s="1631"/>
      <c r="W1587" s="1631"/>
      <c r="X1587" s="1631"/>
      <c r="Y1587" s="1631"/>
      <c r="Z1587" s="1631"/>
    </row>
    <row r="1588" spans="1:26" ht="12.75" customHeight="1">
      <c r="A1588" s="1990" t="s">
        <v>426</v>
      </c>
      <c r="B1588" s="1218" t="s">
        <v>4155</v>
      </c>
      <c r="C1588" s="1890"/>
      <c r="D1588" s="1890"/>
      <c r="E1588" s="1992" t="e">
        <f>'Part IX Scoring Criteria'!#REF!</f>
        <v>#REF!</v>
      </c>
      <c r="F1588" s="1902" t="e">
        <f>'Part IX Scoring Criteria'!#REF!</f>
        <v>#REF!</v>
      </c>
      <c r="G1588" s="1902"/>
      <c r="H1588" s="1902"/>
      <c r="I1588" s="1902"/>
      <c r="J1588" s="1902"/>
      <c r="K1588" s="1902"/>
      <c r="L1588" s="1902"/>
      <c r="M1588" s="1902"/>
      <c r="N1588" s="1902"/>
      <c r="O1588" s="1817" t="e">
        <f>'Part IX Scoring Criteria'!#REF!</f>
        <v>#REF!</v>
      </c>
      <c r="P1588" s="1817" t="e">
        <f>'Part IX Scoring Criteria'!#REF!</f>
        <v>#REF!</v>
      </c>
      <c r="Q1588" s="1790" t="e">
        <f>'Part IX Scoring Criteria'!#REF!</f>
        <v>#REF!</v>
      </c>
      <c r="R1588" s="1790" t="e">
        <f>'Part IX Scoring Criteria'!#REF!</f>
        <v>#REF!</v>
      </c>
      <c r="S1588" s="1790" t="e">
        <f>'Part IX Scoring Criteria'!#REF!</f>
        <v>#REF!</v>
      </c>
      <c r="T1588" s="1631"/>
      <c r="U1588" s="1631"/>
      <c r="V1588" s="1631"/>
      <c r="W1588" s="1631"/>
      <c r="X1588" s="1631"/>
      <c r="Y1588" s="1631"/>
      <c r="Z1588" s="1631"/>
    </row>
    <row r="1589" spans="1:26" ht="12.75" customHeight="1">
      <c r="A1589" s="1990" t="s">
        <v>363</v>
      </c>
      <c r="B1589" s="1218" t="s">
        <v>3792</v>
      </c>
      <c r="C1589" s="1890"/>
      <c r="D1589" s="1890"/>
      <c r="E1589" s="1991" t="e">
        <f>'Part IX Scoring Criteria'!#REF!</f>
        <v>#REF!</v>
      </c>
      <c r="F1589" s="1902" t="e">
        <f>'Part IX Scoring Criteria'!#REF!</f>
        <v>#REF!</v>
      </c>
      <c r="G1589" s="1902"/>
      <c r="H1589" s="1902"/>
      <c r="I1589" s="1902"/>
      <c r="J1589" s="1902"/>
      <c r="K1589" s="1902"/>
      <c r="L1589" s="1902"/>
      <c r="M1589" s="1902"/>
      <c r="N1589" s="1902"/>
      <c r="O1589" s="1817" t="e">
        <f>'Part IX Scoring Criteria'!#REF!</f>
        <v>#REF!</v>
      </c>
      <c r="P1589" s="1817" t="e">
        <f>'Part IX Scoring Criteria'!#REF!</f>
        <v>#REF!</v>
      </c>
      <c r="Q1589" s="1790" t="e">
        <f>'Part IX Scoring Criteria'!#REF!</f>
        <v>#REF!</v>
      </c>
      <c r="R1589" s="1790" t="e">
        <f>'Part IX Scoring Criteria'!#REF!</f>
        <v>#REF!</v>
      </c>
      <c r="S1589" s="1790" t="e">
        <f>'Part IX Scoring Criteria'!#REF!</f>
        <v>#REF!</v>
      </c>
      <c r="T1589" s="1631"/>
      <c r="U1589" s="1631"/>
      <c r="V1589" s="1631"/>
      <c r="W1589" s="1631"/>
      <c r="X1589" s="1631"/>
      <c r="Y1589" s="1631"/>
      <c r="Z1589" s="1631"/>
    </row>
    <row r="1590" spans="1:26" ht="12.75" customHeight="1">
      <c r="A1590" s="1990" t="s">
        <v>2251</v>
      </c>
      <c r="B1590" s="1218" t="s">
        <v>4156</v>
      </c>
      <c r="C1590" s="1890"/>
      <c r="D1590" s="1890"/>
      <c r="E1590" s="1992" t="e">
        <f>'Part IX Scoring Criteria'!#REF!</f>
        <v>#REF!</v>
      </c>
      <c r="F1590" s="1902" t="e">
        <f>'Part IX Scoring Criteria'!#REF!</f>
        <v>#REF!</v>
      </c>
      <c r="G1590" s="1902"/>
      <c r="H1590" s="1902"/>
      <c r="I1590" s="1902"/>
      <c r="J1590" s="1902"/>
      <c r="K1590" s="1902"/>
      <c r="L1590" s="1902"/>
      <c r="M1590" s="1902"/>
      <c r="N1590" s="1902"/>
      <c r="O1590" s="1817" t="e">
        <f>'Part IX Scoring Criteria'!#REF!</f>
        <v>#REF!</v>
      </c>
      <c r="P1590" s="1817" t="e">
        <f>'Part IX Scoring Criteria'!#REF!</f>
        <v>#REF!</v>
      </c>
      <c r="Q1590" s="1790" t="e">
        <f>'Part IX Scoring Criteria'!#REF!</f>
        <v>#REF!</v>
      </c>
      <c r="R1590" s="1790" t="e">
        <f>'Part IX Scoring Criteria'!#REF!</f>
        <v>#REF!</v>
      </c>
      <c r="S1590" s="1790" t="e">
        <f>'Part IX Scoring Criteria'!#REF!</f>
        <v>#REF!</v>
      </c>
      <c r="T1590" s="1631"/>
      <c r="U1590" s="1631"/>
      <c r="V1590" s="1631"/>
      <c r="W1590" s="1631"/>
      <c r="X1590" s="1631"/>
      <c r="Y1590" s="1631"/>
      <c r="Z1590" s="1631"/>
    </row>
    <row r="1591" spans="1:26" ht="12.75" customHeight="1">
      <c r="A1591" s="1990" t="s">
        <v>4460</v>
      </c>
      <c r="B1591" s="1218" t="s">
        <v>4461</v>
      </c>
      <c r="C1591" s="1890"/>
      <c r="D1591" s="1890"/>
      <c r="E1591" s="1992" t="e">
        <f>'Part IX Scoring Criteria'!#REF!</f>
        <v>#REF!</v>
      </c>
      <c r="F1591" s="1902" t="e">
        <f>'Part IX Scoring Criteria'!#REF!</f>
        <v>#REF!</v>
      </c>
      <c r="G1591" s="1902"/>
      <c r="H1591" s="1902"/>
      <c r="I1591" s="1902"/>
      <c r="J1591" s="1902"/>
      <c r="K1591" s="1902"/>
      <c r="L1591" s="1902"/>
      <c r="M1591" s="1902"/>
      <c r="N1591" s="1902"/>
      <c r="O1591" s="1817" t="e">
        <f>'Part IX Scoring Criteria'!#REF!</f>
        <v>#REF!</v>
      </c>
      <c r="P1591" s="1817" t="e">
        <f>'Part IX Scoring Criteria'!#REF!</f>
        <v>#REF!</v>
      </c>
      <c r="Q1591" s="1790" t="e">
        <f>'Part IX Scoring Criteria'!#REF!</f>
        <v>#REF!</v>
      </c>
      <c r="R1591" s="1790" t="e">
        <f>'Part IX Scoring Criteria'!#REF!</f>
        <v>#REF!</v>
      </c>
      <c r="S1591" s="1790" t="e">
        <f>'Part IX Scoring Criteria'!#REF!</f>
        <v>#REF!</v>
      </c>
      <c r="T1591" s="1631"/>
      <c r="U1591" s="1631"/>
      <c r="V1591" s="1631"/>
      <c r="W1591" s="1631"/>
      <c r="X1591" s="1631"/>
      <c r="Y1591" s="1631"/>
      <c r="Z1591" s="1631"/>
    </row>
    <row r="1592" spans="1:26" ht="12.75" customHeight="1">
      <c r="A1592" s="1990" t="s">
        <v>4104</v>
      </c>
      <c r="B1592" s="1218" t="s">
        <v>4157</v>
      </c>
      <c r="C1592" s="1890"/>
      <c r="D1592" s="1890"/>
      <c r="E1592" s="1991" t="e">
        <f>'Part IX Scoring Criteria'!#REF!</f>
        <v>#REF!</v>
      </c>
      <c r="F1592" s="1902" t="e">
        <f>'Part IX Scoring Criteria'!#REF!</f>
        <v>#REF!</v>
      </c>
      <c r="G1592" s="1902"/>
      <c r="H1592" s="1902"/>
      <c r="I1592" s="1902"/>
      <c r="J1592" s="1902"/>
      <c r="K1592" s="1902"/>
      <c r="L1592" s="1902"/>
      <c r="M1592" s="1902"/>
      <c r="N1592" s="1902"/>
      <c r="O1592" s="1817" t="e">
        <f>'Part IX Scoring Criteria'!#REF!</f>
        <v>#REF!</v>
      </c>
      <c r="P1592" s="1817" t="e">
        <f>'Part IX Scoring Criteria'!#REF!</f>
        <v>#REF!</v>
      </c>
      <c r="Q1592" s="1790" t="e">
        <f>'Part IX Scoring Criteria'!#REF!</f>
        <v>#REF!</v>
      </c>
      <c r="R1592" s="1790" t="e">
        <f>'Part IX Scoring Criteria'!#REF!</f>
        <v>#REF!</v>
      </c>
      <c r="S1592" s="1790" t="e">
        <f>'Part IX Scoring Criteria'!#REF!</f>
        <v>#REF!</v>
      </c>
      <c r="T1592" s="1631"/>
      <c r="U1592" s="1631"/>
      <c r="V1592" s="1631"/>
      <c r="W1592" s="1631"/>
      <c r="X1592" s="1631"/>
      <c r="Y1592" s="1631"/>
      <c r="Z1592" s="1631"/>
    </row>
    <row r="1593" spans="1:26" ht="12.75" customHeight="1">
      <c r="A1593" s="1990" t="s">
        <v>4105</v>
      </c>
      <c r="B1593" s="1218" t="s">
        <v>4158</v>
      </c>
      <c r="C1593" s="1890"/>
      <c r="D1593" s="1890"/>
      <c r="E1593" s="1991" t="e">
        <f>'Part IX Scoring Criteria'!#REF!</f>
        <v>#REF!</v>
      </c>
      <c r="F1593" s="1902" t="e">
        <f>'Part IX Scoring Criteria'!#REF!</f>
        <v>#REF!</v>
      </c>
      <c r="G1593" s="1902"/>
      <c r="H1593" s="1902"/>
      <c r="I1593" s="1902"/>
      <c r="J1593" s="1902"/>
      <c r="K1593" s="1902"/>
      <c r="L1593" s="1902"/>
      <c r="M1593" s="1902"/>
      <c r="N1593" s="1902"/>
      <c r="O1593" s="1817" t="e">
        <f>'Part IX Scoring Criteria'!#REF!</f>
        <v>#REF!</v>
      </c>
      <c r="P1593" s="1817" t="e">
        <f>'Part IX Scoring Criteria'!#REF!</f>
        <v>#REF!</v>
      </c>
      <c r="Q1593" s="1790" t="e">
        <f>'Part IX Scoring Criteria'!#REF!</f>
        <v>#REF!</v>
      </c>
      <c r="R1593" s="1790" t="e">
        <f>'Part IX Scoring Criteria'!#REF!</f>
        <v>#REF!</v>
      </c>
      <c r="S1593" s="1790" t="e">
        <f>'Part IX Scoring Criteria'!#REF!</f>
        <v>#REF!</v>
      </c>
      <c r="T1593" s="1631"/>
      <c r="U1593" s="1631"/>
      <c r="V1593" s="1631"/>
      <c r="W1593" s="1631"/>
      <c r="X1593" s="1631"/>
      <c r="Y1593" s="1631"/>
      <c r="Z1593" s="1631"/>
    </row>
    <row r="1594" spans="1:26" ht="12.75" customHeight="1">
      <c r="A1594" s="1990" t="s">
        <v>4103</v>
      </c>
      <c r="B1594" s="1218" t="s">
        <v>4159</v>
      </c>
      <c r="C1594" s="1890"/>
      <c r="D1594" s="1890"/>
      <c r="E1594" s="1991" t="e">
        <f>'Part IX Scoring Criteria'!#REF!</f>
        <v>#REF!</v>
      </c>
      <c r="F1594" s="1902" t="e">
        <f>'Part IX Scoring Criteria'!#REF!</f>
        <v>#REF!</v>
      </c>
      <c r="G1594" s="1902"/>
      <c r="H1594" s="1902"/>
      <c r="I1594" s="1902"/>
      <c r="J1594" s="1902"/>
      <c r="K1594" s="1902"/>
      <c r="L1594" s="1902"/>
      <c r="M1594" s="1902"/>
      <c r="N1594" s="1902"/>
      <c r="O1594" s="1817" t="e">
        <f>'Part IX Scoring Criteria'!#REF!</f>
        <v>#REF!</v>
      </c>
      <c r="P1594" s="1817" t="e">
        <f>'Part IX Scoring Criteria'!#REF!</f>
        <v>#REF!</v>
      </c>
      <c r="Q1594" s="1790" t="e">
        <f>'Part IX Scoring Criteria'!#REF!</f>
        <v>#REF!</v>
      </c>
      <c r="R1594" s="1790" t="e">
        <f>'Part IX Scoring Criteria'!#REF!</f>
        <v>#REF!</v>
      </c>
      <c r="S1594" s="1790" t="e">
        <f>'Part IX Scoring Criteria'!#REF!</f>
        <v>#REF!</v>
      </c>
      <c r="T1594" s="1631"/>
      <c r="U1594" s="1631"/>
      <c r="V1594" s="1631"/>
      <c r="W1594" s="1631"/>
      <c r="X1594" s="1631"/>
      <c r="Y1594" s="1631"/>
      <c r="Z1594" s="1631"/>
    </row>
    <row r="1595" spans="1:26" ht="12.75" customHeight="1">
      <c r="A1595" s="1990" t="s">
        <v>4106</v>
      </c>
      <c r="B1595" s="1218" t="s">
        <v>4160</v>
      </c>
      <c r="C1595" s="1890"/>
      <c r="D1595" s="1890"/>
      <c r="E1595" s="1992" t="e">
        <f>'Part IX Scoring Criteria'!#REF!</f>
        <v>#REF!</v>
      </c>
      <c r="F1595" s="1902" t="e">
        <f>'Part IX Scoring Criteria'!#REF!</f>
        <v>#REF!</v>
      </c>
      <c r="G1595" s="1902"/>
      <c r="H1595" s="1902"/>
      <c r="I1595" s="1902"/>
      <c r="J1595" s="1902"/>
      <c r="K1595" s="1902"/>
      <c r="L1595" s="1902"/>
      <c r="M1595" s="1902"/>
      <c r="N1595" s="1902"/>
      <c r="O1595" s="1817" t="e">
        <f>'Part IX Scoring Criteria'!#REF!</f>
        <v>#REF!</v>
      </c>
      <c r="P1595" s="1817" t="e">
        <f>'Part IX Scoring Criteria'!#REF!</f>
        <v>#REF!</v>
      </c>
      <c r="Q1595" s="1790" t="e">
        <f>'Part IX Scoring Criteria'!#REF!</f>
        <v>#REF!</v>
      </c>
      <c r="R1595" s="1790" t="e">
        <f>'Part IX Scoring Criteria'!#REF!</f>
        <v>#REF!</v>
      </c>
      <c r="S1595" s="1790" t="e">
        <f>'Part IX Scoring Criteria'!#REF!</f>
        <v>#REF!</v>
      </c>
      <c r="T1595" s="1631"/>
      <c r="U1595" s="1631"/>
      <c r="V1595" s="1631"/>
      <c r="W1595" s="1631"/>
      <c r="X1595" s="1631"/>
      <c r="Y1595" s="1631"/>
      <c r="Z1595" s="1631"/>
    </row>
    <row r="1596" spans="1:26" ht="15">
      <c r="A1596" s="1976"/>
      <c r="B1596" s="1976"/>
      <c r="C1596" s="1976"/>
      <c r="D1596" s="521"/>
      <c r="E1596" s="521"/>
      <c r="F1596" s="1813"/>
      <c r="G1596" s="1813"/>
      <c r="H1596" s="1813"/>
      <c r="I1596" s="1813"/>
      <c r="J1596" s="1841"/>
      <c r="K1596" s="1841"/>
      <c r="L1596" s="1841"/>
      <c r="M1596" s="1895"/>
      <c r="N1596" s="1813"/>
      <c r="O1596" s="1639"/>
      <c r="P1596" s="1975"/>
      <c r="Q1596" s="1976"/>
      <c r="R1596" s="1976"/>
      <c r="S1596" s="1976"/>
      <c r="T1596" s="1976"/>
      <c r="U1596" s="1976"/>
      <c r="V1596" s="1976"/>
      <c r="W1596" s="1976"/>
      <c r="X1596" s="1976"/>
      <c r="Y1596" s="1976"/>
      <c r="Z1596" s="1976"/>
    </row>
    <row r="1597" spans="1:26" ht="15">
      <c r="A1597" s="1977" t="s">
        <v>740</v>
      </c>
      <c r="B1597" s="1978" t="s">
        <v>3590</v>
      </c>
      <c r="C1597" s="1993"/>
      <c r="D1597" s="1993"/>
      <c r="E1597" s="521"/>
      <c r="F1597" s="1993"/>
      <c r="G1597" s="1894"/>
      <c r="H1597" s="521"/>
      <c r="I1597" s="1994" t="s">
        <v>3490</v>
      </c>
      <c r="J1597" s="1993"/>
      <c r="K1597" s="1993"/>
      <c r="L1597" s="1993"/>
      <c r="M1597" s="1813">
        <v>3</v>
      </c>
      <c r="N1597" s="1630"/>
      <c r="O1597" s="1975">
        <f>'Part IX Scoring Criteria'!O47</f>
        <v>0</v>
      </c>
      <c r="P1597" s="1975">
        <f>'Part IX Scoring Criteria'!P47</f>
        <v>0</v>
      </c>
      <c r="Q1597" s="1813" t="s">
        <v>441</v>
      </c>
      <c r="R1597" s="1942" t="str">
        <f>IF(OR($O1597=$M1597,$O1597=0,$O1597=""),"","* * Check Score! * *")</f>
        <v/>
      </c>
      <c r="S1597" s="1993"/>
      <c r="T1597" s="1993"/>
      <c r="U1597" s="1993"/>
      <c r="V1597" s="1993"/>
      <c r="W1597" s="1993"/>
      <c r="X1597" s="1993"/>
      <c r="Y1597" s="1993"/>
      <c r="Z1597" s="1993"/>
    </row>
    <row r="1598" spans="1:26" ht="15">
      <c r="A1598" s="1995"/>
      <c r="B1598" s="1996"/>
      <c r="C1598" s="1976"/>
      <c r="D1598" s="1976"/>
      <c r="E1598" s="521"/>
      <c r="F1598" s="1976"/>
      <c r="G1598" s="1860"/>
      <c r="H1598" s="521"/>
      <c r="I1598" s="1994"/>
      <c r="J1598" s="1976"/>
      <c r="K1598" s="1753"/>
      <c r="L1598" s="1997"/>
      <c r="M1598" s="1813"/>
      <c r="N1598" s="1630"/>
      <c r="O1598" s="1975"/>
      <c r="P1598" s="1975"/>
      <c r="Q1598" s="1813"/>
      <c r="R1598" s="1942"/>
      <c r="S1598" s="1976"/>
      <c r="T1598" s="1976"/>
      <c r="U1598" s="1976"/>
      <c r="V1598" s="1976"/>
      <c r="W1598" s="1976"/>
      <c r="X1598" s="1976"/>
      <c r="Y1598" s="1976"/>
      <c r="Z1598" s="1976"/>
    </row>
    <row r="1599" spans="1:26" ht="15" customHeight="1">
      <c r="A1599" s="1825" t="s">
        <v>1983</v>
      </c>
      <c r="B1599" s="1998" t="s">
        <v>2625</v>
      </c>
      <c r="C1599" s="1976"/>
      <c r="D1599" s="1976"/>
      <c r="E1599" s="521"/>
      <c r="F1599" s="1976"/>
      <c r="G1599" s="1860"/>
      <c r="H1599" s="1785" t="s">
        <v>3591</v>
      </c>
      <c r="I1599" s="1785"/>
      <c r="J1599" s="1997">
        <f>'Part VI-Revenues &amp; Expenses'!$O$65</f>
        <v>84</v>
      </c>
      <c r="K1599" s="1999"/>
      <c r="L1599" s="1976"/>
      <c r="M1599" s="1813"/>
      <c r="N1599" s="1630"/>
      <c r="O1599" s="1976"/>
      <c r="P1599" s="1976"/>
      <c r="Q1599" s="1630"/>
      <c r="R1599" s="1942"/>
      <c r="S1599" s="1976"/>
      <c r="T1599" s="1976"/>
      <c r="U1599" s="1976"/>
      <c r="V1599" s="1976"/>
      <c r="W1599" s="1976"/>
      <c r="X1599" s="1976"/>
      <c r="Y1599" s="1976"/>
      <c r="Z1599" s="1976"/>
    </row>
    <row r="1600" spans="1:26" ht="15" customHeight="1">
      <c r="A1600" s="1825"/>
      <c r="B1600" s="1785" t="s">
        <v>3592</v>
      </c>
      <c r="C1600" s="1785"/>
      <c r="D1600" s="1785"/>
      <c r="E1600" s="1785"/>
      <c r="F1600" s="1785"/>
      <c r="G1600" s="1966"/>
      <c r="H1600" s="2000" t="s">
        <v>3593</v>
      </c>
      <c r="I1600" s="2000" t="s">
        <v>3594</v>
      </c>
      <c r="J1600" s="1966"/>
      <c r="K1600" s="521" t="s">
        <v>3374</v>
      </c>
      <c r="L1600" s="521"/>
      <c r="M1600" s="1813"/>
      <c r="N1600" s="1630"/>
      <c r="O1600" s="1993"/>
      <c r="P1600" s="1993"/>
      <c r="Q1600" s="1630"/>
      <c r="R1600" s="1942"/>
      <c r="S1600" s="1993"/>
      <c r="T1600" s="1993"/>
      <c r="U1600" s="1993"/>
      <c r="V1600" s="1993"/>
      <c r="W1600" s="1993"/>
      <c r="X1600" s="1993"/>
      <c r="Y1600" s="1993"/>
      <c r="Z1600" s="1993"/>
    </row>
    <row r="1601" spans="1:26" ht="15" customHeight="1">
      <c r="A1601" s="1993"/>
      <c r="B1601" s="1785"/>
      <c r="C1601" s="1785"/>
      <c r="D1601" s="1785"/>
      <c r="E1601" s="1785"/>
      <c r="F1601" s="1785"/>
      <c r="G1601" s="1867" t="s">
        <v>3716</v>
      </c>
      <c r="H1601" s="1867"/>
      <c r="I1601" s="1867"/>
      <c r="J1601" s="1867"/>
      <c r="K1601" s="1759" t="s">
        <v>3593</v>
      </c>
      <c r="L1601" s="1759" t="s">
        <v>3594</v>
      </c>
      <c r="M1601" s="1812">
        <v>2</v>
      </c>
      <c r="N1601" s="2001" t="s">
        <v>1983</v>
      </c>
      <c r="O1601" s="2002">
        <f>'Part IX Scoring Criteria'!O51</f>
        <v>0</v>
      </c>
      <c r="P1601" s="2002">
        <f>'Part IX Scoring Criteria'!P51</f>
        <v>0</v>
      </c>
      <c r="Q1601" s="1993"/>
      <c r="R1601" s="1993"/>
      <c r="S1601" s="1993"/>
      <c r="T1601" s="1993"/>
      <c r="U1601" s="1993"/>
      <c r="V1601" s="1993"/>
      <c r="W1601" s="1993"/>
      <c r="X1601" s="1993"/>
      <c r="Y1601" s="1993"/>
      <c r="Z1601" s="1993"/>
    </row>
    <row r="1602" spans="1:26" ht="15">
      <c r="A1602" s="2003"/>
      <c r="B1602" s="2004" t="s">
        <v>1986</v>
      </c>
      <c r="C1602" s="2005">
        <v>0.15</v>
      </c>
      <c r="D1602" s="1921" t="s">
        <v>3373</v>
      </c>
      <c r="E1602" s="2006"/>
      <c r="F1602" s="2006"/>
      <c r="G1602" s="2006"/>
      <c r="H1602" s="2007" t="e">
        <f>'Part IX Scoring Criteria'!#REF!</f>
        <v>#REF!</v>
      </c>
      <c r="I1602" s="2007">
        <f>'Part IX Scoring Criteria'!I52</f>
        <v>0</v>
      </c>
      <c r="J1602" s="2006"/>
      <c r="K1602" s="2008" t="e">
        <f>'Part IX Scoring Criteria'!#REF!</f>
        <v>#REF!</v>
      </c>
      <c r="L1602" s="2008" t="e">
        <f>'Part IX Scoring Criteria'!#REF!</f>
        <v>#REF!</v>
      </c>
      <c r="M1602" s="1633">
        <v>1</v>
      </c>
      <c r="N1602" s="2001" t="s">
        <v>1986</v>
      </c>
      <c r="O1602" s="2002">
        <f>'Part IX Scoring Criteria'!O52</f>
        <v>0</v>
      </c>
      <c r="P1602" s="2002">
        <f>'Part IX Scoring Criteria'!P52</f>
        <v>0</v>
      </c>
      <c r="Q1602" s="2006"/>
      <c r="R1602" s="2006"/>
      <c r="S1602" s="2006"/>
      <c r="T1602" s="2006"/>
      <c r="U1602" s="2006"/>
      <c r="V1602" s="2006"/>
      <c r="W1602" s="2006"/>
      <c r="X1602" s="2006"/>
      <c r="Y1602" s="2006"/>
      <c r="Z1602" s="2006"/>
    </row>
    <row r="1603" spans="1:26" ht="15">
      <c r="A1603" s="1938" t="s">
        <v>3344</v>
      </c>
      <c r="B1603" s="2004" t="s">
        <v>1988</v>
      </c>
      <c r="C1603" s="2005">
        <v>0.2</v>
      </c>
      <c r="D1603" s="1921" t="s">
        <v>3373</v>
      </c>
      <c r="E1603" s="2006"/>
      <c r="F1603" s="2006"/>
      <c r="G1603" s="2006"/>
      <c r="H1603" s="2007">
        <f>'Part IX Scoring Criteria'!H53</f>
        <v>0</v>
      </c>
      <c r="I1603" s="2007">
        <f>'Part IX Scoring Criteria'!I53</f>
        <v>0</v>
      </c>
      <c r="J1603" s="2006"/>
      <c r="K1603" s="2008">
        <f>'Part IX Scoring Criteria'!K53</f>
        <v>0</v>
      </c>
      <c r="L1603" s="2008">
        <f>'Part IX Scoring Criteria'!L53</f>
        <v>0</v>
      </c>
      <c r="M1603" s="1633">
        <v>2</v>
      </c>
      <c r="N1603" s="2001" t="s">
        <v>1988</v>
      </c>
      <c r="O1603" s="2002">
        <f>'Part IX Scoring Criteria'!O53</f>
        <v>0</v>
      </c>
      <c r="P1603" s="2002">
        <f>'Part IX Scoring Criteria'!P53</f>
        <v>0</v>
      </c>
      <c r="Q1603" s="2006"/>
      <c r="R1603" s="2006"/>
      <c r="S1603" s="2006"/>
      <c r="T1603" s="2006"/>
      <c r="U1603" s="2006"/>
      <c r="V1603" s="2006"/>
      <c r="W1603" s="2006"/>
      <c r="X1603" s="2006"/>
      <c r="Y1603" s="2006"/>
      <c r="Z1603" s="2006"/>
    </row>
    <row r="1604" spans="1:26" ht="15">
      <c r="A1604" s="1938"/>
      <c r="B1604" s="2004"/>
      <c r="C1604" s="2005"/>
      <c r="D1604" s="1921"/>
      <c r="E1604" s="2006"/>
      <c r="F1604" s="2006"/>
      <c r="G1604" s="2006"/>
      <c r="H1604" s="2006"/>
      <c r="I1604" s="2006"/>
      <c r="J1604" s="2006"/>
      <c r="K1604" s="2008"/>
      <c r="L1604" s="2008"/>
      <c r="M1604" s="1633"/>
      <c r="N1604" s="2001"/>
      <c r="O1604" s="2002"/>
      <c r="P1604" s="2002"/>
      <c r="Q1604" s="2006"/>
      <c r="R1604" s="2006"/>
      <c r="S1604" s="2006"/>
      <c r="T1604" s="2006"/>
      <c r="U1604" s="2006"/>
      <c r="V1604" s="2006"/>
      <c r="W1604" s="2006"/>
      <c r="X1604" s="2006"/>
      <c r="Y1604" s="2006"/>
      <c r="Z1604" s="2006"/>
    </row>
    <row r="1605" spans="1:26" ht="15" customHeight="1">
      <c r="A1605" s="1825" t="s">
        <v>1985</v>
      </c>
      <c r="B1605" s="1998" t="s">
        <v>4560</v>
      </c>
      <c r="C1605" s="2006"/>
      <c r="D1605" s="2006"/>
      <c r="E1605" s="1955"/>
      <c r="F1605" s="2006"/>
      <c r="G1605" s="2006"/>
      <c r="H1605" s="1867" t="s">
        <v>3653</v>
      </c>
      <c r="I1605" s="1867"/>
      <c r="J1605" s="2006"/>
      <c r="K1605" s="2006"/>
      <c r="L1605" s="2006"/>
      <c r="M1605" s="1812">
        <v>3</v>
      </c>
      <c r="N1605" s="1944" t="s">
        <v>1985</v>
      </c>
      <c r="O1605" s="2002">
        <f>'Part IX Scoring Criteria'!O55</f>
        <v>0</v>
      </c>
      <c r="P1605" s="2002">
        <f>'Part IX Scoring Criteria'!P55</f>
        <v>0</v>
      </c>
      <c r="Q1605" s="2006"/>
      <c r="R1605" s="2006"/>
      <c r="S1605" s="2006"/>
      <c r="T1605" s="2006"/>
      <c r="U1605" s="2006"/>
      <c r="V1605" s="2006"/>
      <c r="W1605" s="2006"/>
      <c r="X1605" s="2006"/>
      <c r="Y1605" s="2006"/>
      <c r="Z1605" s="2006"/>
    </row>
    <row r="1606" spans="1:26" ht="15">
      <c r="A1606" s="2003"/>
      <c r="B1606" s="2004" t="s">
        <v>1986</v>
      </c>
      <c r="C1606" s="2005">
        <v>0.3</v>
      </c>
      <c r="D1606" s="1921" t="s">
        <v>3652</v>
      </c>
      <c r="E1606" s="1955"/>
      <c r="F1606" s="1964"/>
      <c r="G1606" s="2006"/>
      <c r="H1606" s="2007">
        <f>'Part IX Scoring Criteria'!H56</f>
        <v>0</v>
      </c>
      <c r="I1606" s="2007">
        <f>'Part IX Scoring Criteria'!I56</f>
        <v>0</v>
      </c>
      <c r="J1606" s="2009"/>
      <c r="K1606" s="2008">
        <f>'Part IX Scoring Criteria'!K56</f>
        <v>0</v>
      </c>
      <c r="L1606" s="2008">
        <f>'Part IX Scoring Criteria'!L56</f>
        <v>0</v>
      </c>
      <c r="M1606" s="1633"/>
      <c r="N1606" s="2001" t="s">
        <v>1986</v>
      </c>
      <c r="O1606" s="2002" t="str">
        <f>'Part IX Scoring Criteria'!O56</f>
        <v>No</v>
      </c>
      <c r="P1606" s="2002" t="str">
        <f>'Part IX Scoring Criteria'!P56</f>
        <v>No</v>
      </c>
      <c r="Q1606" s="2006"/>
      <c r="R1606" s="2006"/>
      <c r="S1606" s="2006"/>
      <c r="T1606" s="2006"/>
      <c r="U1606" s="2006"/>
      <c r="V1606" s="2006"/>
      <c r="W1606" s="2006"/>
      <c r="X1606" s="2006"/>
      <c r="Y1606" s="2006"/>
      <c r="Z1606" s="2006"/>
    </row>
    <row r="1607" spans="1:26" ht="15">
      <c r="A1607" s="1938"/>
      <c r="B1607" s="2004" t="s">
        <v>1988</v>
      </c>
      <c r="C1607" s="1964" t="s">
        <v>3959</v>
      </c>
      <c r="D1607" s="2006"/>
      <c r="E1607" s="2010"/>
      <c r="F1607" s="1964"/>
      <c r="G1607" s="2006"/>
      <c r="H1607" s="2006"/>
      <c r="I1607" s="1971"/>
      <c r="J1607" s="1971"/>
      <c r="K1607" s="1971"/>
      <c r="L1607" s="1971"/>
      <c r="M1607" s="1971"/>
      <c r="N1607" s="2001" t="s">
        <v>1988</v>
      </c>
      <c r="O1607" s="1938">
        <f>'Part IX Scoring Criteria'!O57</f>
        <v>0</v>
      </c>
      <c r="P1607" s="1938">
        <f>'Part IX Scoring Criteria'!P57</f>
        <v>0</v>
      </c>
      <c r="Q1607" s="2006"/>
      <c r="R1607" s="2006"/>
      <c r="S1607" s="2006"/>
      <c r="T1607" s="2006"/>
      <c r="U1607" s="2006"/>
      <c r="V1607" s="2006"/>
      <c r="W1607" s="2006"/>
      <c r="X1607" s="2006"/>
      <c r="Y1607" s="2006"/>
      <c r="Z1607" s="2006"/>
    </row>
    <row r="1608" spans="1:26" ht="15">
      <c r="A1608" s="1631"/>
      <c r="B1608" s="1866" t="s">
        <v>1866</v>
      </c>
      <c r="C1608" s="2006"/>
      <c r="D1608" s="1897"/>
      <c r="E1608" s="1899"/>
      <c r="F1608" s="1899"/>
      <c r="G1608" s="1899"/>
      <c r="H1608" s="1899"/>
      <c r="I1608" s="1899"/>
      <c r="J1608" s="1899"/>
      <c r="K1608" s="1899"/>
      <c r="L1608" s="1899"/>
      <c r="M1608" s="1899"/>
      <c r="N1608" s="2011"/>
      <c r="O1608" s="1982"/>
      <c r="P1608" s="1813"/>
      <c r="Q1608" s="2006"/>
      <c r="R1608" s="1976"/>
      <c r="S1608" s="1976"/>
      <c r="T1608" s="1976"/>
      <c r="U1608" s="1976"/>
      <c r="V1608" s="1976"/>
      <c r="W1608" s="1976"/>
      <c r="X1608" s="1976"/>
      <c r="Y1608" s="1976"/>
      <c r="Z1608" s="1976"/>
    </row>
    <row r="1609" spans="1:26" ht="15.75">
      <c r="A1609" s="1900">
        <f>'Part IX Scoring Criteria'!A59</f>
        <v>0</v>
      </c>
      <c r="B1609" s="1900">
        <f>'Part IX Scoring Criteria'!B59</f>
        <v>0</v>
      </c>
      <c r="C1609" s="1900">
        <f>'Part IX Scoring Criteria'!C59</f>
        <v>0</v>
      </c>
      <c r="D1609" s="1900">
        <f>'Part IX Scoring Criteria'!D59</f>
        <v>0</v>
      </c>
      <c r="E1609" s="1900">
        <f>'Part IX Scoring Criteria'!E59</f>
        <v>0</v>
      </c>
      <c r="F1609" s="1900">
        <f>'Part IX Scoring Criteria'!F59</f>
        <v>0</v>
      </c>
      <c r="G1609" s="1900">
        <f>'Part IX Scoring Criteria'!G59</f>
        <v>0</v>
      </c>
      <c r="H1609" s="1900">
        <f>'Part IX Scoring Criteria'!H59</f>
        <v>0</v>
      </c>
      <c r="I1609" s="1900">
        <f>'Part IX Scoring Criteria'!I59</f>
        <v>0</v>
      </c>
      <c r="J1609" s="1900">
        <f>'Part IX Scoring Criteria'!J59</f>
        <v>0</v>
      </c>
      <c r="K1609" s="1900">
        <f>'Part IX Scoring Criteria'!K59</f>
        <v>0</v>
      </c>
      <c r="L1609" s="1900">
        <f>'Part IX Scoring Criteria'!L59</f>
        <v>0</v>
      </c>
      <c r="M1609" s="1900">
        <f>'Part IX Scoring Criteria'!M59</f>
        <v>0</v>
      </c>
      <c r="N1609" s="1900">
        <f>'Part IX Scoring Criteria'!N59</f>
        <v>0</v>
      </c>
      <c r="O1609" s="1900">
        <f>'Part IX Scoring Criteria'!O59</f>
        <v>0</v>
      </c>
      <c r="P1609" s="1900">
        <f>'Part IX Scoring Criteria'!P59</f>
        <v>0</v>
      </c>
      <c r="Q1609" s="1984"/>
      <c r="R1609" s="1976"/>
      <c r="S1609" s="1976"/>
      <c r="T1609" s="1976"/>
      <c r="U1609" s="1976"/>
      <c r="V1609" s="1976"/>
      <c r="W1609" s="1976"/>
      <c r="X1609" s="1976"/>
      <c r="Y1609" s="1976"/>
      <c r="Z1609" s="1976"/>
    </row>
    <row r="1610" spans="1:26">
      <c r="N1610" s="1637"/>
      <c r="O1610" s="1639"/>
      <c r="P1610" s="1639"/>
    </row>
    <row r="1611" spans="1:26" ht="15.75" customHeight="1">
      <c r="A1611" s="1977" t="s">
        <v>742</v>
      </c>
      <c r="B1611" s="1978" t="s">
        <v>4099</v>
      </c>
      <c r="C1611" s="1976"/>
      <c r="D1611" s="2012"/>
      <c r="E1611" s="1976"/>
      <c r="F1611" s="1976"/>
      <c r="G1611" s="1976"/>
      <c r="H1611" s="1976"/>
      <c r="I1611" s="1785" t="s">
        <v>3772</v>
      </c>
      <c r="J1611" s="1785"/>
      <c r="K1611" s="1785"/>
      <c r="L1611" s="1785"/>
      <c r="M1611" s="1813">
        <v>10</v>
      </c>
      <c r="N1611" s="1937"/>
      <c r="O1611" s="1975">
        <f>'Part IX Scoring Criteria'!O61</f>
        <v>0</v>
      </c>
      <c r="P1611" s="1975">
        <f>'Part IX Scoring Criteria'!P61</f>
        <v>0</v>
      </c>
      <c r="Q1611" s="1813" t="s">
        <v>441</v>
      </c>
      <c r="R1611" s="1976"/>
      <c r="S1611" s="1976"/>
      <c r="T1611" s="1976"/>
      <c r="U1611" s="1976"/>
      <c r="V1611" s="1976"/>
      <c r="W1611" s="1976"/>
      <c r="X1611" s="1976"/>
      <c r="Y1611" s="1976"/>
      <c r="Z1611" s="1976"/>
    </row>
    <row r="1612" spans="1:26" ht="15">
      <c r="A1612" s="1631"/>
      <c r="B1612" s="1976"/>
      <c r="C1612" s="1976"/>
      <c r="D1612" s="521"/>
      <c r="E1612" s="521"/>
      <c r="F1612" s="1813"/>
      <c r="G1612" s="1813"/>
      <c r="H1612" s="1785"/>
      <c r="I1612" s="1785"/>
      <c r="J1612" s="1785"/>
      <c r="K1612" s="1785"/>
      <c r="L1612" s="1785"/>
      <c r="M1612" s="1895"/>
      <c r="N1612" s="1813"/>
      <c r="O1612" s="1639"/>
      <c r="P1612" s="1975"/>
      <c r="Q1612" s="1976"/>
      <c r="R1612" s="1976"/>
      <c r="S1612" s="1976"/>
      <c r="T1612" s="1976"/>
      <c r="U1612" s="1976"/>
      <c r="V1612" s="1976"/>
      <c r="W1612" s="1976"/>
      <c r="X1612" s="1976"/>
      <c r="Y1612" s="1976"/>
      <c r="Z1612" s="1976"/>
    </row>
    <row r="1613" spans="1:26" ht="15">
      <c r="A1613" s="1825"/>
      <c r="B1613" s="1216" t="s">
        <v>3857</v>
      </c>
      <c r="C1613" s="1976"/>
      <c r="D1613" s="1631"/>
      <c r="E1613" s="1976"/>
      <c r="F1613" s="1976"/>
      <c r="G1613" s="1976"/>
      <c r="H1613" s="1976"/>
      <c r="I1613" s="1976"/>
      <c r="J1613" s="1976"/>
      <c r="K1613" s="1976"/>
      <c r="L1613" s="1976"/>
      <c r="M1613" s="1976"/>
      <c r="N1613" s="1937"/>
      <c r="O1613" s="1938">
        <f>'Part IX Scoring Criteria'!O63</f>
        <v>0</v>
      </c>
      <c r="P1613" s="1938">
        <f>'Part IX Scoring Criteria'!P63</f>
        <v>0</v>
      </c>
      <c r="Q1613" s="1976"/>
      <c r="R1613" s="1976"/>
      <c r="S1613" s="1976"/>
      <c r="T1613" s="1976"/>
      <c r="U1613" s="1976"/>
      <c r="V1613" s="1976"/>
      <c r="W1613" s="1976"/>
      <c r="X1613" s="1976"/>
      <c r="Y1613" s="1976"/>
      <c r="Z1613" s="1976"/>
    </row>
    <row r="1614" spans="1:26" ht="15" customHeight="1">
      <c r="A1614" s="1825" t="s">
        <v>1983</v>
      </c>
      <c r="B1614" s="1820" t="s">
        <v>1874</v>
      </c>
      <c r="C1614" s="1629"/>
      <c r="D1614" s="1629"/>
      <c r="E1614" s="1976"/>
      <c r="F1614" s="1628"/>
      <c r="G1614" s="1652" t="s">
        <v>2718</v>
      </c>
      <c r="H1614" s="1976"/>
      <c r="I1614" s="1830" t="s">
        <v>4561</v>
      </c>
      <c r="J1614" s="1830"/>
      <c r="K1614" s="1830"/>
      <c r="L1614" s="1830"/>
      <c r="M1614" s="1630">
        <v>10</v>
      </c>
      <c r="N1614" s="2013" t="s">
        <v>1983</v>
      </c>
      <c r="O1614" s="2014">
        <f>'Part IX Scoring Criteria'!O64</f>
        <v>0</v>
      </c>
      <c r="P1614" s="2014">
        <f>'Part IX Scoring Criteria'!P64</f>
        <v>0</v>
      </c>
      <c r="Q1614" s="2015" t="str">
        <f>IF(OR($O1614=$M1614,$O1614=0,$O1614=""),"","*CHECK!*")</f>
        <v/>
      </c>
      <c r="R1614" s="2016" t="s">
        <v>2706</v>
      </c>
      <c r="S1614" s="1976"/>
      <c r="T1614" s="1976"/>
      <c r="U1614" s="1976"/>
      <c r="V1614" s="1976"/>
      <c r="W1614" s="1976"/>
      <c r="X1614" s="1976"/>
      <c r="Y1614" s="1976"/>
      <c r="Z1614" s="1976"/>
    </row>
    <row r="1615" spans="1:26" ht="16.5">
      <c r="A1615" s="1825" t="s">
        <v>1985</v>
      </c>
      <c r="B1615" s="1820" t="s">
        <v>3846</v>
      </c>
      <c r="C1615" s="1976"/>
      <c r="D1615" s="2012"/>
      <c r="E1615" s="1976"/>
      <c r="F1615" s="2017"/>
      <c r="G1615" s="1652" t="s">
        <v>3988</v>
      </c>
      <c r="H1615" s="1976"/>
      <c r="I1615" s="1830"/>
      <c r="J1615" s="1830"/>
      <c r="K1615" s="1830"/>
      <c r="L1615" s="1830"/>
      <c r="M1615" s="1895" t="s">
        <v>1238</v>
      </c>
      <c r="N1615" s="1937" t="s">
        <v>1985</v>
      </c>
      <c r="O1615" s="2014">
        <f>'Part IX Scoring Criteria'!O65</f>
        <v>0</v>
      </c>
      <c r="P1615" s="2014">
        <f>'Part IX Scoring Criteria'!P65</f>
        <v>0</v>
      </c>
      <c r="Q1615" s="1976"/>
      <c r="R1615" s="2016" t="s">
        <v>2706</v>
      </c>
      <c r="S1615" s="1976"/>
      <c r="T1615" s="1976"/>
      <c r="U1615" s="1976"/>
      <c r="V1615" s="1976"/>
      <c r="W1615" s="1976"/>
      <c r="X1615" s="1976"/>
      <c r="Y1615" s="1976"/>
      <c r="Z1615" s="1976"/>
    </row>
    <row r="1616" spans="1:26" ht="15">
      <c r="A1616" s="1631"/>
      <c r="B1616" s="1994" t="s">
        <v>3757</v>
      </c>
      <c r="C1616" s="1631"/>
      <c r="D1616" s="1634"/>
      <c r="E1616" s="1634"/>
      <c r="F1616" s="1634"/>
      <c r="G1616" s="1634"/>
      <c r="H1616" s="521"/>
      <c r="I1616" s="1830"/>
      <c r="J1616" s="1830"/>
      <c r="K1616" s="1830"/>
      <c r="L1616" s="1830"/>
      <c r="M1616" s="1630"/>
      <c r="N1616" s="1637"/>
      <c r="O1616" s="1975"/>
      <c r="P1616" s="1639"/>
      <c r="Q1616" s="1976"/>
      <c r="R1616" s="1976"/>
      <c r="S1616" s="1976"/>
      <c r="T1616" s="1976"/>
      <c r="U1616" s="1976"/>
      <c r="V1616" s="1976"/>
      <c r="W1616" s="1976"/>
      <c r="X1616" s="1976"/>
      <c r="Y1616" s="1976"/>
      <c r="Z1616" s="1976"/>
    </row>
    <row r="1617" spans="1:26" ht="15.75">
      <c r="A1617" s="1900">
        <f>'Part IX Scoring Criteria'!A67</f>
        <v>0</v>
      </c>
      <c r="B1617" s="1900">
        <f>'Part IX Scoring Criteria'!B67</f>
        <v>0</v>
      </c>
      <c r="C1617" s="1900">
        <f>'Part IX Scoring Criteria'!C67</f>
        <v>0</v>
      </c>
      <c r="D1617" s="1900">
        <f>'Part IX Scoring Criteria'!D67</f>
        <v>0</v>
      </c>
      <c r="E1617" s="1900">
        <f>'Part IX Scoring Criteria'!E67</f>
        <v>0</v>
      </c>
      <c r="F1617" s="1900">
        <f>'Part IX Scoring Criteria'!F67</f>
        <v>0</v>
      </c>
      <c r="G1617" s="1900">
        <f>'Part IX Scoring Criteria'!G67</f>
        <v>0</v>
      </c>
      <c r="H1617" s="1900">
        <f>'Part IX Scoring Criteria'!H67</f>
        <v>0</v>
      </c>
      <c r="I1617" s="1900">
        <f>'Part IX Scoring Criteria'!I67</f>
        <v>0</v>
      </c>
      <c r="J1617" s="1900">
        <f>'Part IX Scoring Criteria'!J67</f>
        <v>0</v>
      </c>
      <c r="K1617" s="1900">
        <f>'Part IX Scoring Criteria'!K67</f>
        <v>0</v>
      </c>
      <c r="L1617" s="1900">
        <f>'Part IX Scoring Criteria'!L67</f>
        <v>0</v>
      </c>
      <c r="M1617" s="1900">
        <f>'Part IX Scoring Criteria'!M67</f>
        <v>0</v>
      </c>
      <c r="N1617" s="1900">
        <f>'Part IX Scoring Criteria'!N67</f>
        <v>0</v>
      </c>
      <c r="O1617" s="1900">
        <f>'Part IX Scoring Criteria'!O67</f>
        <v>0</v>
      </c>
      <c r="P1617" s="1900">
        <f>'Part IX Scoring Criteria'!P67</f>
        <v>0</v>
      </c>
      <c r="Q1617" s="1984"/>
      <c r="R1617" s="1984"/>
      <c r="S1617" s="1976"/>
      <c r="T1617" s="1976"/>
      <c r="U1617" s="1976"/>
      <c r="V1617" s="1976"/>
      <c r="W1617" s="1976"/>
      <c r="X1617" s="1976"/>
      <c r="Y1617" s="1976"/>
      <c r="Z1617" s="1976"/>
    </row>
    <row r="1618" spans="1:26" ht="15">
      <c r="A1618" s="1631"/>
      <c r="B1618" s="1866" t="s">
        <v>1866</v>
      </c>
      <c r="C1618" s="1631"/>
      <c r="D1618" s="1897"/>
      <c r="E1618" s="1899"/>
      <c r="F1618" s="1899"/>
      <c r="G1618" s="1899"/>
      <c r="H1618" s="1899"/>
      <c r="I1618" s="1899"/>
      <c r="J1618" s="1899"/>
      <c r="K1618" s="1899"/>
      <c r="L1618" s="1899"/>
      <c r="M1618" s="1899"/>
      <c r="N1618" s="2011"/>
      <c r="O1618" s="1982"/>
      <c r="P1618" s="1813"/>
      <c r="Q1618" s="2006"/>
      <c r="R1618" s="2006"/>
      <c r="S1618" s="1976"/>
      <c r="T1618" s="1976"/>
      <c r="U1618" s="1976"/>
      <c r="V1618" s="1976"/>
      <c r="W1618" s="1976"/>
      <c r="X1618" s="1976"/>
      <c r="Y1618" s="1976"/>
      <c r="Z1618" s="1976"/>
    </row>
    <row r="1619" spans="1:26" ht="15.75">
      <c r="A1619" s="1900">
        <f>'Part IX Scoring Criteria'!A69</f>
        <v>0</v>
      </c>
      <c r="B1619" s="1900">
        <f>'Part IX Scoring Criteria'!B69</f>
        <v>0</v>
      </c>
      <c r="C1619" s="1900">
        <f>'Part IX Scoring Criteria'!C69</f>
        <v>0</v>
      </c>
      <c r="D1619" s="1900">
        <f>'Part IX Scoring Criteria'!D69</f>
        <v>0</v>
      </c>
      <c r="E1619" s="1900">
        <f>'Part IX Scoring Criteria'!E69</f>
        <v>0</v>
      </c>
      <c r="F1619" s="1900">
        <f>'Part IX Scoring Criteria'!F69</f>
        <v>0</v>
      </c>
      <c r="G1619" s="1900">
        <f>'Part IX Scoring Criteria'!G69</f>
        <v>0</v>
      </c>
      <c r="H1619" s="1900">
        <f>'Part IX Scoring Criteria'!H69</f>
        <v>0</v>
      </c>
      <c r="I1619" s="1900">
        <f>'Part IX Scoring Criteria'!I69</f>
        <v>0</v>
      </c>
      <c r="J1619" s="1900">
        <f>'Part IX Scoring Criteria'!J69</f>
        <v>0</v>
      </c>
      <c r="K1619" s="1900">
        <f>'Part IX Scoring Criteria'!K69</f>
        <v>0</v>
      </c>
      <c r="L1619" s="1900">
        <f>'Part IX Scoring Criteria'!L69</f>
        <v>0</v>
      </c>
      <c r="M1619" s="1900">
        <f>'Part IX Scoring Criteria'!M69</f>
        <v>0</v>
      </c>
      <c r="N1619" s="1900">
        <f>'Part IX Scoring Criteria'!N69</f>
        <v>0</v>
      </c>
      <c r="O1619" s="1900">
        <f>'Part IX Scoring Criteria'!O69</f>
        <v>0</v>
      </c>
      <c r="P1619" s="1900">
        <f>'Part IX Scoring Criteria'!P69</f>
        <v>0</v>
      </c>
      <c r="Q1619" s="1984"/>
      <c r="R1619" s="1984"/>
      <c r="S1619" s="1976"/>
      <c r="T1619" s="1976"/>
      <c r="U1619" s="1976"/>
      <c r="V1619" s="1976"/>
      <c r="W1619" s="1976"/>
      <c r="X1619" s="1976"/>
      <c r="Y1619" s="1976"/>
      <c r="Z1619" s="1976"/>
    </row>
    <row r="1620" spans="1:26">
      <c r="M1620" s="1631"/>
      <c r="N1620" s="1630"/>
      <c r="O1620" s="1813"/>
      <c r="P1620" s="1813"/>
    </row>
    <row r="1621" spans="1:26" ht="15.75" customHeight="1">
      <c r="A1621" s="1977" t="s">
        <v>1792</v>
      </c>
      <c r="B1621" s="1978" t="s">
        <v>2631</v>
      </c>
      <c r="C1621" s="1976"/>
      <c r="D1621" s="2012"/>
      <c r="E1621" s="1976"/>
      <c r="F1621" s="1976"/>
      <c r="G1621" s="1976"/>
      <c r="H1621" s="1976"/>
      <c r="I1621" s="1976"/>
      <c r="J1621" s="1976"/>
      <c r="K1621" s="2018" t="s">
        <v>1879</v>
      </c>
      <c r="L1621" s="1976"/>
      <c r="M1621" s="1813">
        <v>6</v>
      </c>
      <c r="N1621" s="1937"/>
      <c r="O1621" s="1975">
        <f>'Part IX Scoring Criteria'!O71</f>
        <v>0</v>
      </c>
      <c r="P1621" s="1975">
        <f>'Part IX Scoring Criteria'!P71</f>
        <v>0</v>
      </c>
      <c r="Q1621" s="1813" t="s">
        <v>441</v>
      </c>
      <c r="R1621" s="2019" t="s">
        <v>4562</v>
      </c>
      <c r="S1621" s="2019"/>
      <c r="T1621" s="2019"/>
      <c r="U1621" s="2019"/>
      <c r="V1621" s="1976"/>
      <c r="W1621" s="1976"/>
      <c r="X1621" s="1976"/>
      <c r="Y1621" s="1976"/>
      <c r="Z1621" s="1976"/>
    </row>
    <row r="1622" spans="1:26" ht="15">
      <c r="A1622" s="1977"/>
      <c r="B1622" s="1634" t="s">
        <v>3962</v>
      </c>
      <c r="C1622" s="1976"/>
      <c r="D1622" s="2012"/>
      <c r="E1622" s="1976"/>
      <c r="F1622" s="1976"/>
      <c r="G1622" s="1976"/>
      <c r="H1622" s="1820" t="s">
        <v>2794</v>
      </c>
      <c r="I1622" s="1848"/>
      <c r="J1622" s="1820" t="str">
        <f>'Part I-Project Information'!$H$105</f>
        <v>N/A - 4% Bond</v>
      </c>
      <c r="K1622" s="1634"/>
      <c r="L1622" s="1976"/>
      <c r="M1622" s="1813"/>
      <c r="N1622" s="1937"/>
      <c r="O1622" s="2020" t="s">
        <v>3596</v>
      </c>
      <c r="P1622" s="2020" t="s">
        <v>3597</v>
      </c>
      <c r="Q1622" s="1813"/>
      <c r="R1622" s="2019"/>
      <c r="S1622" s="2019"/>
      <c r="T1622" s="2019"/>
      <c r="U1622" s="2019"/>
      <c r="V1622" s="1976"/>
      <c r="W1622" s="1976"/>
      <c r="X1622" s="1976"/>
      <c r="Y1622" s="1976"/>
      <c r="Z1622" s="1976"/>
    </row>
    <row r="1623" spans="1:26" ht="15">
      <c r="A1623" s="1977"/>
      <c r="B1623" s="2021" t="s">
        <v>1986</v>
      </c>
      <c r="C1623" s="1216" t="s">
        <v>3595</v>
      </c>
      <c r="D1623" s="2012"/>
      <c r="E1623" s="1976"/>
      <c r="F1623" s="1976"/>
      <c r="G1623" s="1976"/>
      <c r="H1623" s="1994"/>
      <c r="I1623" s="1866"/>
      <c r="J1623" s="1634"/>
      <c r="K1623" s="1634"/>
      <c r="L1623" s="1976"/>
      <c r="M1623" s="1813"/>
      <c r="N1623" s="1937"/>
      <c r="O1623" s="1938">
        <f>'Part IX Scoring Criteria'!O73</f>
        <v>0</v>
      </c>
      <c r="P1623" s="1938">
        <f>'Part IX Scoring Criteria'!P73</f>
        <v>0</v>
      </c>
      <c r="Q1623" s="1813"/>
      <c r="R1623" s="2019"/>
      <c r="S1623" s="2019"/>
      <c r="T1623" s="2019"/>
      <c r="U1623" s="2019"/>
      <c r="V1623" s="1976"/>
      <c r="W1623" s="1976"/>
      <c r="X1623" s="1976"/>
      <c r="Y1623" s="1976"/>
      <c r="Z1623" s="1976"/>
    </row>
    <row r="1624" spans="1:26" ht="15">
      <c r="A1624" s="1977"/>
      <c r="B1624" s="2021" t="s">
        <v>1988</v>
      </c>
      <c r="C1624" s="1216" t="s">
        <v>3960</v>
      </c>
      <c r="D1624" s="2012"/>
      <c r="E1624" s="1976"/>
      <c r="F1624" s="1976"/>
      <c r="G1624" s="1976"/>
      <c r="H1624" s="1994"/>
      <c r="I1624" s="1866"/>
      <c r="J1624" s="1634"/>
      <c r="K1624" s="1634"/>
      <c r="L1624" s="1976"/>
      <c r="M1624" s="1976"/>
      <c r="N1624" s="1937"/>
      <c r="O1624" s="1938">
        <f>'Part IX Scoring Criteria'!O74</f>
        <v>0</v>
      </c>
      <c r="P1624" s="1938">
        <f>'Part IX Scoring Criteria'!P74</f>
        <v>0</v>
      </c>
      <c r="Q1624" s="1813"/>
      <c r="R1624" s="2019"/>
      <c r="S1624" s="2019"/>
      <c r="T1624" s="2019"/>
      <c r="U1624" s="2019"/>
      <c r="V1624" s="1976"/>
      <c r="W1624" s="1976"/>
      <c r="X1624" s="1976"/>
      <c r="Y1624" s="1976"/>
      <c r="Z1624" s="1976"/>
    </row>
    <row r="1625" spans="1:26" ht="15">
      <c r="A1625" s="1977"/>
      <c r="B1625" s="2021" t="s">
        <v>2534</v>
      </c>
      <c r="C1625" s="1216" t="s">
        <v>3961</v>
      </c>
      <c r="D1625" s="2012"/>
      <c r="E1625" s="1976"/>
      <c r="F1625" s="1976"/>
      <c r="G1625" s="1976"/>
      <c r="H1625" s="1994"/>
      <c r="I1625" s="1866"/>
      <c r="J1625" s="1634"/>
      <c r="K1625" s="1634"/>
      <c r="L1625" s="1976"/>
      <c r="M1625" s="1976"/>
      <c r="N1625" s="1937"/>
      <c r="O1625" s="1938">
        <f>'Part IX Scoring Criteria'!O76</f>
        <v>0</v>
      </c>
      <c r="P1625" s="1938" t="e">
        <f>'Part IX Scoring Criteria'!#REF!</f>
        <v>#REF!</v>
      </c>
      <c r="Q1625" s="1813"/>
      <c r="R1625" s="2019"/>
      <c r="S1625" s="2019"/>
      <c r="T1625" s="2019"/>
      <c r="U1625" s="2019"/>
      <c r="V1625" s="1976"/>
      <c r="W1625" s="1976"/>
      <c r="X1625" s="1976"/>
      <c r="Y1625" s="1976"/>
      <c r="Z1625" s="1976"/>
    </row>
    <row r="1626" spans="1:26" ht="15">
      <c r="A1626" s="1977"/>
      <c r="B1626" s="1978"/>
      <c r="C1626" s="1976"/>
      <c r="D1626" s="2012"/>
      <c r="E1626" s="1976"/>
      <c r="F1626" s="1976"/>
      <c r="G1626" s="1976"/>
      <c r="H1626" s="1994"/>
      <c r="I1626" s="1866"/>
      <c r="J1626" s="1634"/>
      <c r="K1626" s="1634"/>
      <c r="L1626" s="1976"/>
      <c r="M1626" s="1813"/>
      <c r="N1626" s="1937"/>
      <c r="O1626" s="1975"/>
      <c r="P1626" s="1975"/>
      <c r="Q1626" s="1813"/>
      <c r="R1626" s="2019"/>
      <c r="S1626" s="2019"/>
      <c r="T1626" s="2019"/>
      <c r="U1626" s="2019"/>
      <c r="V1626" s="1976"/>
      <c r="W1626" s="1976"/>
      <c r="X1626" s="1976"/>
      <c r="Y1626" s="1976"/>
      <c r="Z1626" s="1976"/>
    </row>
    <row r="1627" spans="1:26" ht="15">
      <c r="A1627" s="1977"/>
      <c r="B1627" s="1634" t="s">
        <v>3968</v>
      </c>
      <c r="C1627" s="1976"/>
      <c r="D1627" s="2012"/>
      <c r="E1627" s="1976"/>
      <c r="F1627" s="1634" t="s">
        <v>3717</v>
      </c>
      <c r="G1627" s="1634"/>
      <c r="H1627" s="1634"/>
      <c r="I1627" s="1634"/>
      <c r="J1627" s="1634" t="s">
        <v>3718</v>
      </c>
      <c r="K1627" s="1634"/>
      <c r="L1627" s="1634"/>
      <c r="M1627" s="1634"/>
      <c r="N1627" s="1937"/>
      <c r="O1627" s="1786" t="s">
        <v>4563</v>
      </c>
      <c r="P1627" s="2022"/>
      <c r="Q1627" s="1813"/>
      <c r="R1627" s="2019"/>
      <c r="S1627" s="2019"/>
      <c r="T1627" s="2019"/>
      <c r="U1627" s="2019"/>
      <c r="V1627" s="1976"/>
      <c r="W1627" s="1976"/>
      <c r="X1627" s="1976"/>
      <c r="Y1627" s="1976"/>
      <c r="Z1627" s="1976"/>
    </row>
    <row r="1628" spans="1:26" ht="15">
      <c r="A1628" s="1977"/>
      <c r="B1628" s="1976"/>
      <c r="C1628" s="1634" t="s">
        <v>3967</v>
      </c>
      <c r="D1628" s="1711"/>
      <c r="E1628" s="1710"/>
      <c r="F1628" s="2023">
        <f>'Part IX Scoring Criteria'!F79</f>
        <v>0</v>
      </c>
      <c r="G1628" s="2023">
        <f>'Part IX Scoring Criteria'!G79</f>
        <v>0</v>
      </c>
      <c r="H1628" s="2023">
        <f>'Part IX Scoring Criteria'!H79</f>
        <v>0</v>
      </c>
      <c r="I1628" s="2023">
        <f>'Part IX Scoring Criteria'!I79</f>
        <v>0</v>
      </c>
      <c r="J1628" s="2023">
        <f>'Part IX Scoring Criteria'!J79</f>
        <v>0</v>
      </c>
      <c r="K1628" s="2023">
        <f>'Part IX Scoring Criteria'!K79</f>
        <v>0</v>
      </c>
      <c r="L1628" s="2023">
        <f>'Part IX Scoring Criteria'!L79</f>
        <v>0</v>
      </c>
      <c r="M1628" s="2023">
        <f>'Part IX Scoring Criteria'!M79</f>
        <v>0</v>
      </c>
      <c r="N1628" s="1937"/>
      <c r="O1628" s="1976"/>
      <c r="P1628" s="1976"/>
      <c r="Q1628" s="1813"/>
      <c r="R1628" s="2019"/>
      <c r="S1628" s="2019"/>
      <c r="T1628" s="2019"/>
      <c r="U1628" s="2019"/>
      <c r="V1628" s="1976"/>
      <c r="W1628" s="1976"/>
      <c r="X1628" s="1976"/>
      <c r="Y1628" s="1976"/>
      <c r="Z1628" s="1976"/>
    </row>
    <row r="1629" spans="1:26" ht="15">
      <c r="A1629" s="1976"/>
      <c r="B1629" s="1887"/>
      <c r="C1629" s="1976"/>
      <c r="D1629" s="521" t="s">
        <v>3969</v>
      </c>
      <c r="E1629" s="1710"/>
      <c r="F1629" s="2023">
        <f>'Part IX Scoring Criteria'!F80</f>
        <v>0</v>
      </c>
      <c r="G1629" s="2023">
        <f>'Part IX Scoring Criteria'!G80</f>
        <v>0</v>
      </c>
      <c r="H1629" s="2023">
        <f>'Part IX Scoring Criteria'!H80</f>
        <v>0</v>
      </c>
      <c r="I1629" s="2023">
        <f>'Part IX Scoring Criteria'!I80</f>
        <v>0</v>
      </c>
      <c r="J1629" s="2023">
        <f>'Part IX Scoring Criteria'!J80</f>
        <v>0</v>
      </c>
      <c r="K1629" s="2023">
        <f>'Part IX Scoring Criteria'!K80</f>
        <v>0</v>
      </c>
      <c r="L1629" s="2023">
        <f>'Part IX Scoring Criteria'!L80</f>
        <v>0</v>
      </c>
      <c r="M1629" s="2023">
        <f>'Part IX Scoring Criteria'!M80</f>
        <v>0</v>
      </c>
      <c r="N1629" s="1937"/>
      <c r="O1629" s="2024">
        <f>'Part IX Scoring Criteria'!O80</f>
        <v>0</v>
      </c>
      <c r="P1629" s="2024">
        <f>'Part IX Scoring Criteria'!P80</f>
        <v>0</v>
      </c>
      <c r="Q1629" s="1813"/>
      <c r="R1629" s="2019"/>
      <c r="S1629" s="2019"/>
      <c r="T1629" s="2019"/>
      <c r="U1629" s="2019"/>
      <c r="V1629" s="1976"/>
      <c r="W1629" s="1976"/>
      <c r="X1629" s="1976"/>
      <c r="Y1629" s="1976"/>
      <c r="Z1629" s="1976"/>
    </row>
    <row r="1630" spans="1:26" ht="15" customHeight="1">
      <c r="A1630" s="1887" t="s">
        <v>4145</v>
      </c>
      <c r="B1630" s="1887"/>
      <c r="C1630" s="1634" t="s">
        <v>4097</v>
      </c>
      <c r="D1630" s="1711"/>
      <c r="E1630" s="1710"/>
      <c r="F1630" s="2023">
        <f>'Part IX Scoring Criteria'!F81</f>
        <v>0</v>
      </c>
      <c r="G1630" s="2023">
        <f>'Part IX Scoring Criteria'!G81</f>
        <v>0</v>
      </c>
      <c r="H1630" s="2023">
        <f>'Part IX Scoring Criteria'!H81</f>
        <v>0</v>
      </c>
      <c r="I1630" s="2023">
        <f>'Part IX Scoring Criteria'!I81</f>
        <v>0</v>
      </c>
      <c r="J1630" s="2023">
        <f>'Part IX Scoring Criteria'!J81</f>
        <v>0</v>
      </c>
      <c r="K1630" s="2023">
        <f>'Part IX Scoring Criteria'!K81</f>
        <v>0</v>
      </c>
      <c r="L1630" s="2023">
        <f>'Part IX Scoring Criteria'!L81</f>
        <v>0</v>
      </c>
      <c r="M1630" s="2023">
        <f>'Part IX Scoring Criteria'!M81</f>
        <v>0</v>
      </c>
      <c r="N1630" s="1937"/>
      <c r="O1630" s="2024">
        <f>'Part IX Scoring Criteria'!O81</f>
        <v>0</v>
      </c>
      <c r="P1630" s="2024">
        <f>'Part IX Scoring Criteria'!P81</f>
        <v>0</v>
      </c>
      <c r="Q1630" s="1813"/>
      <c r="R1630" s="2019"/>
      <c r="S1630" s="2019"/>
      <c r="T1630" s="2019"/>
      <c r="U1630" s="2019"/>
      <c r="V1630" s="1976"/>
      <c r="W1630" s="1976"/>
      <c r="X1630" s="1976"/>
      <c r="Y1630" s="1976"/>
      <c r="Z1630" s="1976"/>
    </row>
    <row r="1631" spans="1:26" ht="15">
      <c r="A1631" s="1887"/>
      <c r="B1631" s="1887"/>
      <c r="C1631" s="1976"/>
      <c r="D1631" s="521" t="s">
        <v>4096</v>
      </c>
      <c r="E1631" s="1710"/>
      <c r="F1631" s="2023">
        <f>'Part IX Scoring Criteria'!F82</f>
        <v>0</v>
      </c>
      <c r="G1631" s="2023">
        <f>'Part IX Scoring Criteria'!G82</f>
        <v>0</v>
      </c>
      <c r="H1631" s="2023">
        <f>'Part IX Scoring Criteria'!H82</f>
        <v>0</v>
      </c>
      <c r="I1631" s="2023">
        <f>'Part IX Scoring Criteria'!I82</f>
        <v>0</v>
      </c>
      <c r="J1631" s="2023">
        <f>'Part IX Scoring Criteria'!J82</f>
        <v>0</v>
      </c>
      <c r="K1631" s="2023">
        <f>'Part IX Scoring Criteria'!K82</f>
        <v>0</v>
      </c>
      <c r="L1631" s="2023">
        <f>'Part IX Scoring Criteria'!L82</f>
        <v>0</v>
      </c>
      <c r="M1631" s="2023">
        <f>'Part IX Scoring Criteria'!M82</f>
        <v>0</v>
      </c>
      <c r="N1631" s="1937"/>
      <c r="O1631" s="2024">
        <f>'Part IX Scoring Criteria'!O82</f>
        <v>0</v>
      </c>
      <c r="P1631" s="2024">
        <f>'Part IX Scoring Criteria'!P82</f>
        <v>0</v>
      </c>
      <c r="Q1631" s="1813"/>
      <c r="R1631" s="2019"/>
      <c r="S1631" s="2019"/>
      <c r="T1631" s="2019"/>
      <c r="U1631" s="2019"/>
      <c r="V1631" s="1976"/>
      <c r="W1631" s="1976"/>
      <c r="X1631" s="1976"/>
      <c r="Y1631" s="1976"/>
      <c r="Z1631" s="1976"/>
    </row>
    <row r="1632" spans="1:26" ht="15">
      <c r="A1632" s="1977"/>
      <c r="B1632" s="1978"/>
      <c r="C1632" s="1976"/>
      <c r="D1632" s="2012"/>
      <c r="E1632" s="1976"/>
      <c r="F1632" s="1976"/>
      <c r="G1632" s="1976"/>
      <c r="H1632" s="1994"/>
      <c r="I1632" s="1866"/>
      <c r="J1632" s="1634"/>
      <c r="K1632" s="1634"/>
      <c r="L1632" s="1976"/>
      <c r="M1632" s="1813"/>
      <c r="N1632" s="1937"/>
      <c r="O1632" s="1975"/>
      <c r="P1632" s="1975"/>
      <c r="Q1632" s="1813"/>
      <c r="R1632" s="2019"/>
      <c r="S1632" s="2019"/>
      <c r="T1632" s="2019"/>
      <c r="U1632" s="2019"/>
      <c r="V1632" s="1976"/>
      <c r="W1632" s="1976"/>
      <c r="X1632" s="1976"/>
      <c r="Y1632" s="1976"/>
      <c r="Z1632" s="1976"/>
    </row>
    <row r="1633" spans="1:26" ht="15">
      <c r="A1633" s="2025" t="s">
        <v>2785</v>
      </c>
      <c r="B1633" s="1978"/>
      <c r="C1633" s="1976"/>
      <c r="D1633" s="2012"/>
      <c r="E1633" s="1976"/>
      <c r="F1633" s="2026" t="s">
        <v>4564</v>
      </c>
      <c r="G1633" s="1976"/>
      <c r="H1633" s="1976"/>
      <c r="I1633" s="1976"/>
      <c r="J1633" s="1976"/>
      <c r="K1633" s="1976"/>
      <c r="L1633" s="1976"/>
      <c r="M1633" s="1813"/>
      <c r="N1633" s="1813"/>
      <c r="O1633" s="1813"/>
      <c r="P1633" s="1813"/>
      <c r="Q1633" s="1813"/>
      <c r="R1633" s="2019"/>
      <c r="S1633" s="2019"/>
      <c r="T1633" s="2019"/>
      <c r="U1633" s="2019"/>
      <c r="V1633" s="1976"/>
      <c r="W1633" s="1976"/>
      <c r="X1633" s="1976"/>
      <c r="Y1633" s="1976"/>
      <c r="Z1633" s="1976"/>
    </row>
    <row r="1634" spans="1:26" ht="15" customHeight="1">
      <c r="A1634" s="1936" t="s">
        <v>1983</v>
      </c>
      <c r="B1634" s="1820" t="s">
        <v>3750</v>
      </c>
      <c r="C1634" s="1976"/>
      <c r="D1634" s="2012"/>
      <c r="E1634" s="1976"/>
      <c r="F1634" s="1994" t="s">
        <v>4565</v>
      </c>
      <c r="G1634" s="1976"/>
      <c r="H1634" s="1976"/>
      <c r="I1634" s="2027" t="s">
        <v>4566</v>
      </c>
      <c r="J1634" s="2027"/>
      <c r="K1634" s="2027"/>
      <c r="L1634" s="2027"/>
      <c r="M1634" s="1813">
        <v>6</v>
      </c>
      <c r="N1634" s="2001" t="s">
        <v>1983</v>
      </c>
      <c r="O1634" s="1863">
        <f>'Part IX Scoring Criteria'!O86</f>
        <v>0</v>
      </c>
      <c r="P1634" s="1863">
        <f>'Part IX Scoring Criteria'!P86</f>
        <v>0</v>
      </c>
      <c r="Q1634" s="1813"/>
      <c r="R1634" s="1976"/>
      <c r="S1634" s="1976"/>
      <c r="T1634" s="1976"/>
      <c r="U1634" s="1976"/>
      <c r="V1634" s="1976"/>
      <c r="W1634" s="1976"/>
      <c r="X1634" s="1976"/>
      <c r="Y1634" s="1976"/>
      <c r="Z1634" s="1976"/>
    </row>
    <row r="1635" spans="1:26" ht="15" customHeight="1">
      <c r="A1635" s="2028"/>
      <c r="B1635" s="2029" t="s">
        <v>1986</v>
      </c>
      <c r="C1635" s="1900" t="s">
        <v>4567</v>
      </c>
      <c r="D1635" s="1900"/>
      <c r="E1635" s="1900"/>
      <c r="F1635" s="1900"/>
      <c r="G1635" s="1900"/>
      <c r="H1635" s="1900"/>
      <c r="I1635" s="2027"/>
      <c r="J1635" s="2027"/>
      <c r="K1635" s="2027"/>
      <c r="L1635" s="2027"/>
      <c r="M1635" s="2030">
        <v>5</v>
      </c>
      <c r="N1635" s="2021" t="s">
        <v>1986</v>
      </c>
      <c r="O1635" s="2014">
        <f>'Part IX Scoring Criteria'!O87</f>
        <v>0</v>
      </c>
      <c r="P1635" s="2014">
        <f>'Part IX Scoring Criteria'!P87</f>
        <v>0</v>
      </c>
      <c r="Q1635" s="2015" t="str">
        <f>IF(OR($O1635=$M1635,$O1635=0,$O1635=""),"","*CHECK!*")</f>
        <v/>
      </c>
      <c r="R1635" s="2016" t="s">
        <v>2706</v>
      </c>
      <c r="S1635" s="2028"/>
      <c r="T1635" s="2028"/>
      <c r="U1635" s="2028"/>
      <c r="V1635" s="2028"/>
      <c r="W1635" s="2028"/>
      <c r="X1635" s="2028"/>
      <c r="Y1635" s="2028"/>
      <c r="Z1635" s="2028"/>
    </row>
    <row r="1636" spans="1:26" ht="15" customHeight="1">
      <c r="A1636" s="1938" t="s">
        <v>1353</v>
      </c>
      <c r="B1636" s="2029" t="s">
        <v>1988</v>
      </c>
      <c r="C1636" s="1921" t="s">
        <v>4568</v>
      </c>
      <c r="D1636" s="1921"/>
      <c r="E1636" s="1921"/>
      <c r="F1636" s="1921"/>
      <c r="G1636" s="1921"/>
      <c r="H1636" s="1921"/>
      <c r="I1636" s="2027"/>
      <c r="J1636" s="2027"/>
      <c r="K1636" s="2027"/>
      <c r="L1636" s="2027"/>
      <c r="M1636" s="2030">
        <v>4</v>
      </c>
      <c r="N1636" s="2021" t="s">
        <v>1988</v>
      </c>
      <c r="O1636" s="2014">
        <f>'Part IX Scoring Criteria'!O88</f>
        <v>0</v>
      </c>
      <c r="P1636" s="2014">
        <f>'Part IX Scoring Criteria'!P88</f>
        <v>0</v>
      </c>
      <c r="Q1636" s="2015" t="str">
        <f>IF(OR($O1636=$M1636,$O1636=0,$O1636=""),"","*CHECK!*")</f>
        <v/>
      </c>
      <c r="R1636" s="2016" t="s">
        <v>2706</v>
      </c>
      <c r="S1636" s="2028"/>
      <c r="T1636" s="2028"/>
      <c r="U1636" s="2028"/>
      <c r="V1636" s="2028"/>
      <c r="W1636" s="2028"/>
      <c r="X1636" s="2028"/>
      <c r="Y1636" s="2028"/>
      <c r="Z1636" s="2028"/>
    </row>
    <row r="1637" spans="1:26" ht="15" customHeight="1">
      <c r="A1637" s="2028"/>
      <c r="B1637" s="2029" t="s">
        <v>2534</v>
      </c>
      <c r="C1637" s="1921" t="s">
        <v>3751</v>
      </c>
      <c r="D1637" s="1921"/>
      <c r="E1637" s="1921"/>
      <c r="F1637" s="1921"/>
      <c r="G1637" s="1937" t="s">
        <v>4095</v>
      </c>
      <c r="H1637" s="1929" t="str">
        <f>'Part I-Project Information'!$H$82</f>
        <v>Family</v>
      </c>
      <c r="I1637" s="1890" t="str">
        <f>'Part IX Scoring Criteria'!I92</f>
        <v>&lt;&lt; Enter transit agency/service name here &gt;&gt;</v>
      </c>
      <c r="J1637" s="1890">
        <f>'Part IX Scoring Criteria'!J92</f>
        <v>0</v>
      </c>
      <c r="K1637" s="1890">
        <f>'Part IX Scoring Criteria'!K92</f>
        <v>0</v>
      </c>
      <c r="L1637" s="2165" t="str">
        <f>'Part IX Scoring Criteria'!L92</f>
        <v>&lt;Enter phone here&gt;</v>
      </c>
      <c r="M1637" s="2030">
        <v>1</v>
      </c>
      <c r="N1637" s="2021" t="s">
        <v>2534</v>
      </c>
      <c r="O1637" s="2014">
        <f>'Part IX Scoring Criteria'!O89</f>
        <v>0</v>
      </c>
      <c r="P1637" s="2014">
        <f>'Part IX Scoring Criteria'!P89</f>
        <v>0</v>
      </c>
      <c r="Q1637" s="2015" t="str">
        <f>IF(OR($O1637=$M1637,$O1637=0,$O1637=""),"","*CHECK!*")</f>
        <v/>
      </c>
      <c r="R1637" s="2016" t="s">
        <v>2706</v>
      </c>
      <c r="S1637" s="2028"/>
      <c r="T1637" s="2028"/>
      <c r="U1637" s="2028"/>
      <c r="V1637" s="2028"/>
      <c r="W1637" s="2028"/>
      <c r="X1637" s="2028"/>
      <c r="Y1637" s="2028"/>
      <c r="Z1637" s="2028"/>
    </row>
    <row r="1638" spans="1:26" ht="15">
      <c r="A1638" s="1936" t="s">
        <v>1985</v>
      </c>
      <c r="B1638" s="2031" t="s">
        <v>3752</v>
      </c>
      <c r="C1638" s="1484"/>
      <c r="D1638" s="1484"/>
      <c r="E1638" s="1484"/>
      <c r="F1638" s="2032" t="s">
        <v>4569</v>
      </c>
      <c r="G1638" s="2028"/>
      <c r="H1638" s="2028"/>
      <c r="I1638" s="1890">
        <f>'Part IX Scoring Criteria'!I93</f>
        <v>0</v>
      </c>
      <c r="J1638" s="1890">
        <f>'Part IX Scoring Criteria'!J93</f>
        <v>0</v>
      </c>
      <c r="K1638" s="1890">
        <f>'Part IX Scoring Criteria'!K93</f>
        <v>0</v>
      </c>
      <c r="L1638" s="2165">
        <f>'Part IX Scoring Criteria'!L93</f>
        <v>0</v>
      </c>
      <c r="M1638" s="2033">
        <v>3</v>
      </c>
      <c r="N1638" s="1944" t="s">
        <v>1985</v>
      </c>
      <c r="O1638" s="1863">
        <f>'Part IX Scoring Criteria'!O92</f>
        <v>0</v>
      </c>
      <c r="P1638" s="1863">
        <f>'Part IX Scoring Criteria'!P92</f>
        <v>0</v>
      </c>
      <c r="Q1638" s="2034"/>
      <c r="R1638" s="1845"/>
      <c r="S1638" s="2028"/>
      <c r="T1638" s="2028"/>
      <c r="U1638" s="2028"/>
      <c r="V1638" s="2028"/>
      <c r="W1638" s="2028"/>
      <c r="X1638" s="2028"/>
      <c r="Y1638" s="2028"/>
      <c r="Z1638" s="2028"/>
    </row>
    <row r="1639" spans="1:26" ht="15" customHeight="1">
      <c r="A1639" s="1825"/>
      <c r="B1639" s="2029" t="s">
        <v>1986</v>
      </c>
      <c r="C1639" s="1867" t="s">
        <v>4570</v>
      </c>
      <c r="D1639" s="1867"/>
      <c r="E1639" s="1867"/>
      <c r="F1639" s="1867"/>
      <c r="G1639" s="1867"/>
      <c r="H1639" s="1867"/>
      <c r="I1639" s="1890" t="str">
        <f>'Part IX Scoring Criteria'!I96</f>
        <v>&lt;&lt; Enter specific URL/webpage showing established schedule from transit agency website here &gt;&gt;</v>
      </c>
      <c r="J1639" s="1890">
        <f>'Part IX Scoring Criteria'!J96</f>
        <v>0</v>
      </c>
      <c r="K1639" s="1890">
        <f>'Part IX Scoring Criteria'!K96</f>
        <v>0</v>
      </c>
      <c r="L1639" s="1890">
        <f>'Part IX Scoring Criteria'!L96</f>
        <v>0</v>
      </c>
      <c r="M1639" s="2030">
        <v>3</v>
      </c>
      <c r="N1639" s="2021" t="s">
        <v>1986</v>
      </c>
      <c r="O1639" s="2014">
        <f>'Part IX Scoring Criteria'!O95</f>
        <v>0</v>
      </c>
      <c r="P1639" s="2014">
        <f>'Part IX Scoring Criteria'!P95</f>
        <v>0</v>
      </c>
      <c r="Q1639" s="2015" t="str">
        <f>IF(OR($O1639=$M1639,$O1639=0,$O1639=""),"","*CHECK!*")</f>
        <v/>
      </c>
      <c r="R1639" s="2016" t="s">
        <v>2706</v>
      </c>
      <c r="S1639" s="2028"/>
      <c r="T1639" s="2028"/>
      <c r="U1639" s="2028"/>
      <c r="V1639" s="2028"/>
      <c r="W1639" s="2028"/>
      <c r="X1639" s="2028"/>
      <c r="Y1639" s="2028"/>
      <c r="Z1639" s="2028"/>
    </row>
    <row r="1640" spans="1:26" ht="15" customHeight="1">
      <c r="A1640" s="1945" t="s">
        <v>1353</v>
      </c>
      <c r="B1640" s="2029" t="s">
        <v>1988</v>
      </c>
      <c r="C1640" s="1867" t="s">
        <v>4571</v>
      </c>
      <c r="D1640" s="1867"/>
      <c r="E1640" s="1867"/>
      <c r="F1640" s="1867"/>
      <c r="G1640" s="1867"/>
      <c r="H1640" s="1867"/>
      <c r="I1640" s="1890">
        <f>'Part IX Scoring Criteria'!I97</f>
        <v>0</v>
      </c>
      <c r="J1640" s="1890">
        <f>'Part IX Scoring Criteria'!J97</f>
        <v>0</v>
      </c>
      <c r="K1640" s="1890">
        <f>'Part IX Scoring Criteria'!K97</f>
        <v>0</v>
      </c>
      <c r="L1640" s="1890">
        <f>'Part IX Scoring Criteria'!L97</f>
        <v>0</v>
      </c>
      <c r="M1640" s="2030">
        <v>2</v>
      </c>
      <c r="N1640" s="2021" t="s">
        <v>1988</v>
      </c>
      <c r="O1640" s="2014">
        <f>'Part IX Scoring Criteria'!O96</f>
        <v>0</v>
      </c>
      <c r="P1640" s="2014">
        <f>'Part IX Scoring Criteria'!P96</f>
        <v>0</v>
      </c>
      <c r="Q1640" s="2015" t="str">
        <f>IF(OR($O1640=$M1640,$O1640=0,$O1640=""),"","*CHECK!*")</f>
        <v/>
      </c>
      <c r="R1640" s="2016" t="s">
        <v>2706</v>
      </c>
      <c r="S1640" s="1976"/>
      <c r="T1640" s="1976"/>
      <c r="U1640" s="1976"/>
      <c r="V1640" s="1976"/>
      <c r="W1640" s="1976"/>
      <c r="X1640" s="1976"/>
      <c r="Y1640" s="1976"/>
      <c r="Z1640" s="1976"/>
    </row>
    <row r="1641" spans="1:26" ht="15" customHeight="1">
      <c r="A1641" s="1945" t="s">
        <v>1353</v>
      </c>
      <c r="B1641" s="2029" t="s">
        <v>2534</v>
      </c>
      <c r="C1641" s="1900" t="s">
        <v>4572</v>
      </c>
      <c r="D1641" s="1900"/>
      <c r="E1641" s="1900"/>
      <c r="F1641" s="1900"/>
      <c r="G1641" s="1900"/>
      <c r="H1641" s="1900"/>
      <c r="I1641" s="1890" t="str">
        <f>'Part IX Scoring Criteria'!I98</f>
        <v>&lt;&lt; Enter specific URL/webpage showing established routes from transit agency website (if different) here &gt;&gt;</v>
      </c>
      <c r="J1641" s="1890">
        <f>'Part IX Scoring Criteria'!J98</f>
        <v>0</v>
      </c>
      <c r="K1641" s="1890">
        <f>'Part IX Scoring Criteria'!K98</f>
        <v>0</v>
      </c>
      <c r="L1641" s="1890">
        <f>'Part IX Scoring Criteria'!L98</f>
        <v>0</v>
      </c>
      <c r="M1641" s="2030">
        <v>1</v>
      </c>
      <c r="N1641" s="2021" t="s">
        <v>2534</v>
      </c>
      <c r="O1641" s="2014">
        <f>'Part IX Scoring Criteria'!O97</f>
        <v>0</v>
      </c>
      <c r="P1641" s="2014">
        <f>'Part IX Scoring Criteria'!P97</f>
        <v>0</v>
      </c>
      <c r="Q1641" s="2015" t="str">
        <f>IF(OR($O1641=$M1641,$O1641=0,$O1641=""),"","*CHECK!*")</f>
        <v/>
      </c>
      <c r="R1641" s="2016" t="s">
        <v>2706</v>
      </c>
      <c r="S1641" s="1976"/>
      <c r="T1641" s="1976"/>
      <c r="U1641" s="1976"/>
      <c r="V1641" s="1976"/>
      <c r="W1641" s="1976"/>
      <c r="X1641" s="1976"/>
      <c r="Y1641" s="1976"/>
      <c r="Z1641" s="1976"/>
    </row>
    <row r="1642" spans="1:26" ht="15">
      <c r="A1642" s="2025" t="s">
        <v>2787</v>
      </c>
      <c r="B1642" s="1820"/>
      <c r="C1642" s="1976"/>
      <c r="D1642" s="1976"/>
      <c r="E1642" s="2012"/>
      <c r="F1642" s="1976"/>
      <c r="G1642" s="1976"/>
      <c r="H1642" s="1976"/>
      <c r="I1642" s="1890">
        <f>'Part IX Scoring Criteria'!I99</f>
        <v>0</v>
      </c>
      <c r="J1642" s="1890">
        <f>'Part IX Scoring Criteria'!J99</f>
        <v>0</v>
      </c>
      <c r="K1642" s="1890">
        <f>'Part IX Scoring Criteria'!K99</f>
        <v>0</v>
      </c>
      <c r="L1642" s="1890">
        <f>'Part IX Scoring Criteria'!L99</f>
        <v>0</v>
      </c>
      <c r="M1642" s="1630"/>
      <c r="N1642" s="1630"/>
      <c r="O1642" s="1630"/>
      <c r="P1642" s="1630"/>
      <c r="Q1642" s="1942"/>
      <c r="R1642" s="1942"/>
      <c r="S1642" s="1976"/>
      <c r="T1642" s="1976"/>
      <c r="U1642" s="1976"/>
      <c r="V1642" s="1976"/>
      <c r="W1642" s="1976"/>
      <c r="X1642" s="1976"/>
      <c r="Y1642" s="1976"/>
      <c r="Z1642" s="1976"/>
    </row>
    <row r="1643" spans="1:26" ht="15">
      <c r="A1643" s="1825"/>
      <c r="B1643" s="2029" t="s">
        <v>1224</v>
      </c>
      <c r="C1643" s="1820" t="s">
        <v>4573</v>
      </c>
      <c r="D1643" s="1820"/>
      <c r="E1643" s="1820"/>
      <c r="F1643" s="1820"/>
      <c r="G1643" s="1820"/>
      <c r="H1643" s="1820"/>
      <c r="I1643" s="1820"/>
      <c r="J1643" s="1820"/>
      <c r="K1643" s="1820"/>
      <c r="L1643" s="1820"/>
      <c r="M1643" s="1630">
        <v>2</v>
      </c>
      <c r="N1643" s="2021" t="s">
        <v>1224</v>
      </c>
      <c r="O1643" s="1975">
        <f>'Part IX Scoring Criteria'!O100</f>
        <v>0</v>
      </c>
      <c r="P1643" s="1975">
        <f>'Part IX Scoring Criteria'!P100</f>
        <v>0</v>
      </c>
      <c r="Q1643" s="2015" t="str">
        <f>IF(OR($O1643=$M1643,$O1643=0,$O1643=""),"","*CHECK!*")</f>
        <v/>
      </c>
      <c r="R1643" s="2016" t="s">
        <v>2706</v>
      </c>
      <c r="S1643" s="1993"/>
      <c r="T1643" s="1993"/>
      <c r="U1643" s="1993"/>
      <c r="V1643" s="1993"/>
      <c r="W1643" s="1993"/>
      <c r="X1643" s="1993"/>
      <c r="Y1643" s="1993"/>
      <c r="Z1643" s="1993"/>
    </row>
    <row r="1644" spans="1:26" ht="15">
      <c r="A1644" s="521" t="s">
        <v>4574</v>
      </c>
      <c r="B1644" s="1820"/>
      <c r="C1644" s="1976"/>
      <c r="D1644" s="1976"/>
      <c r="E1644" s="2012"/>
      <c r="F1644" s="1976"/>
      <c r="G1644" s="1976"/>
      <c r="H1644" s="1976"/>
      <c r="I1644" s="1976"/>
      <c r="J1644" s="1976"/>
      <c r="K1644" s="1634"/>
      <c r="L1644" s="1976"/>
      <c r="M1644" s="1630"/>
      <c r="N1644" s="1630"/>
      <c r="O1644" s="1630"/>
      <c r="P1644" s="1630"/>
      <c r="Q1644" s="1942"/>
      <c r="R1644" s="1942"/>
      <c r="S1644" s="1976"/>
      <c r="T1644" s="1976"/>
      <c r="U1644" s="1976"/>
      <c r="V1644" s="1976"/>
      <c r="W1644" s="1976"/>
      <c r="X1644" s="1976"/>
      <c r="Y1644" s="1976"/>
      <c r="Z1644" s="1976"/>
    </row>
    <row r="1645" spans="1:26" ht="15">
      <c r="A1645" s="1631"/>
      <c r="B1645" s="1866" t="s">
        <v>1866</v>
      </c>
      <c r="C1645" s="1631"/>
      <c r="D1645" s="1866"/>
      <c r="E1645" s="1834"/>
      <c r="F1645" s="1834"/>
      <c r="G1645" s="1834"/>
      <c r="H1645" s="1834"/>
      <c r="I1645" s="1834"/>
      <c r="J1645" s="1834"/>
      <c r="K1645" s="1834"/>
      <c r="L1645" s="1834"/>
      <c r="M1645" s="1834"/>
      <c r="N1645" s="1923"/>
      <c r="O1645" s="1818"/>
      <c r="P1645" s="1813"/>
      <c r="Q1645" s="2006"/>
      <c r="R1645" s="1993"/>
      <c r="S1645" s="1993"/>
      <c r="T1645" s="1993"/>
      <c r="U1645" s="1993"/>
      <c r="V1645" s="1993"/>
      <c r="W1645" s="1993"/>
      <c r="X1645" s="1993"/>
      <c r="Y1645" s="1993"/>
      <c r="Z1645" s="1993"/>
    </row>
    <row r="1646" spans="1:26" ht="15.75">
      <c r="A1646" s="1900">
        <f>'Part IX Scoring Criteria'!A104</f>
        <v>0</v>
      </c>
      <c r="B1646" s="1900">
        <f>'Part IX Scoring Criteria'!B104</f>
        <v>0</v>
      </c>
      <c r="C1646" s="1900">
        <f>'Part IX Scoring Criteria'!C104</f>
        <v>0</v>
      </c>
      <c r="D1646" s="1900">
        <f>'Part IX Scoring Criteria'!D104</f>
        <v>0</v>
      </c>
      <c r="E1646" s="1900">
        <f>'Part IX Scoring Criteria'!E104</f>
        <v>0</v>
      </c>
      <c r="F1646" s="1900">
        <f>'Part IX Scoring Criteria'!F104</f>
        <v>0</v>
      </c>
      <c r="G1646" s="1900">
        <f>'Part IX Scoring Criteria'!G104</f>
        <v>0</v>
      </c>
      <c r="H1646" s="1900">
        <f>'Part IX Scoring Criteria'!H104</f>
        <v>0</v>
      </c>
      <c r="I1646" s="1900">
        <f>'Part IX Scoring Criteria'!I104</f>
        <v>0</v>
      </c>
      <c r="J1646" s="1900">
        <f>'Part IX Scoring Criteria'!J104</f>
        <v>0</v>
      </c>
      <c r="K1646" s="1900">
        <f>'Part IX Scoring Criteria'!K104</f>
        <v>0</v>
      </c>
      <c r="L1646" s="1900">
        <f>'Part IX Scoring Criteria'!L104</f>
        <v>0</v>
      </c>
      <c r="M1646" s="1900">
        <f>'Part IX Scoring Criteria'!M104</f>
        <v>0</v>
      </c>
      <c r="N1646" s="1900">
        <f>'Part IX Scoring Criteria'!N104</f>
        <v>0</v>
      </c>
      <c r="O1646" s="1900">
        <f>'Part IX Scoring Criteria'!O104</f>
        <v>0</v>
      </c>
      <c r="P1646" s="1900">
        <f>'Part IX Scoring Criteria'!P104</f>
        <v>0</v>
      </c>
      <c r="Q1646" s="1984"/>
      <c r="R1646" s="1976"/>
      <c r="S1646" s="1976"/>
      <c r="T1646" s="1976"/>
      <c r="U1646" s="1976"/>
      <c r="V1646" s="1976"/>
      <c r="W1646" s="1976"/>
      <c r="X1646" s="1976"/>
      <c r="Y1646" s="1976"/>
      <c r="Z1646" s="1976"/>
    </row>
    <row r="1647" spans="1:26" ht="15">
      <c r="N1647" s="1637"/>
      <c r="O1647" s="1639"/>
      <c r="P1647" s="1639"/>
      <c r="R1647" s="1976"/>
    </row>
    <row r="1648" spans="1:26" ht="15">
      <c r="A1648" s="1977" t="s">
        <v>1794</v>
      </c>
      <c r="B1648" s="1978" t="s">
        <v>217</v>
      </c>
      <c r="C1648" s="1976"/>
      <c r="D1648" s="521"/>
      <c r="E1648" s="521"/>
      <c r="F1648" s="1976"/>
      <c r="G1648" s="2035"/>
      <c r="H1648" s="2036"/>
      <c r="I1648" s="2036"/>
      <c r="J1648" s="2036"/>
      <c r="K1648" s="2036"/>
      <c r="L1648" s="2036"/>
      <c r="M1648" s="1813">
        <v>3</v>
      </c>
      <c r="N1648" s="2037"/>
      <c r="O1648" s="1975" t="e">
        <f>'Part IX Scoring Criteria'!#REF!</f>
        <v>#REF!</v>
      </c>
      <c r="P1648" s="1975" t="e">
        <f>'Part IX Scoring Criteria'!#REF!</f>
        <v>#REF!</v>
      </c>
      <c r="Q1648" s="1813" t="s">
        <v>441</v>
      </c>
      <c r="R1648" s="1976"/>
      <c r="S1648" s="1976"/>
      <c r="T1648" s="1976"/>
      <c r="U1648" s="1976"/>
      <c r="V1648" s="1976"/>
      <c r="W1648" s="1976"/>
      <c r="X1648" s="1976"/>
      <c r="Y1648" s="1976"/>
      <c r="Z1648" s="1976"/>
    </row>
    <row r="1649" spans="1:26" ht="15" customHeight="1">
      <c r="A1649" s="1976"/>
      <c r="B1649" s="2038" t="s">
        <v>4575</v>
      </c>
      <c r="C1649" s="2038"/>
      <c r="D1649" s="2038"/>
      <c r="E1649" s="2038"/>
      <c r="F1649" s="2038"/>
      <c r="G1649" s="2038"/>
      <c r="H1649" s="2038"/>
      <c r="I1649" s="1976"/>
      <c r="J1649" s="1976"/>
      <c r="K1649" s="1976"/>
      <c r="L1649" s="1976"/>
      <c r="M1649" s="1976"/>
      <c r="N1649" s="1976"/>
      <c r="O1649" s="1817" t="e">
        <f>IF(OR(AND(P1656&gt;0,P1657&gt;0),AND(P1657&gt;0,P1658&gt;0),AND(P1656&gt;0,P1658&gt;0)),"Choose A, B, or C.  See instructions.",IF(AND(P1658&gt;0,P1659&gt;0),"Choose A or B when choosing D.  See instructions.",""))</f>
        <v>#REF!</v>
      </c>
      <c r="P1649" s="1817"/>
      <c r="Q1649" s="1813"/>
      <c r="R1649" s="1976"/>
      <c r="S1649" s="1976"/>
      <c r="T1649" s="1976"/>
      <c r="U1649" s="1976"/>
      <c r="V1649" s="1976"/>
      <c r="W1649" s="1976"/>
      <c r="X1649" s="1976"/>
      <c r="Y1649" s="1976"/>
      <c r="Z1649" s="1976"/>
    </row>
    <row r="1650" spans="1:26" ht="13.5">
      <c r="A1650" s="2039"/>
      <c r="B1650" s="2038"/>
      <c r="C1650" s="2038"/>
      <c r="D1650" s="2038"/>
      <c r="E1650" s="2038"/>
      <c r="F1650" s="2038"/>
      <c r="G1650" s="2038"/>
      <c r="H1650" s="2038"/>
      <c r="I1650" s="1698" t="e">
        <f>'Part IX Scoring Criteria'!#REF!</f>
        <v>#REF!</v>
      </c>
      <c r="J1650" s="1698" t="e">
        <f>'Part IX Scoring Criteria'!#REF!</f>
        <v>#REF!</v>
      </c>
      <c r="K1650" s="1698" t="e">
        <f>'Part IX Scoring Criteria'!#REF!</f>
        <v>#REF!</v>
      </c>
      <c r="L1650" s="1698" t="e">
        <f>'Part IX Scoring Criteria'!#REF!</f>
        <v>#REF!</v>
      </c>
      <c r="M1650" s="2039"/>
      <c r="N1650" s="2039"/>
      <c r="O1650" s="1817"/>
      <c r="P1650" s="1817"/>
      <c r="Q1650" s="2039"/>
      <c r="R1650" s="2039"/>
      <c r="S1650" s="2039"/>
      <c r="T1650" s="2039"/>
      <c r="U1650" s="2039"/>
      <c r="V1650" s="2039"/>
      <c r="W1650" s="2039"/>
      <c r="X1650" s="2039"/>
      <c r="Y1650" s="2039"/>
      <c r="Z1650" s="2039"/>
    </row>
    <row r="1651" spans="1:26" ht="15">
      <c r="A1651" s="1976"/>
      <c r="B1651" s="1820" t="s">
        <v>2794</v>
      </c>
      <c r="C1651" s="1976"/>
      <c r="D1651" s="1976"/>
      <c r="E1651" s="1976"/>
      <c r="F1651" s="1976"/>
      <c r="G1651" s="2012"/>
      <c r="H1651" s="2012"/>
      <c r="I1651" s="2040" t="str">
        <f>'Part I-Project Information'!$H$105</f>
        <v>N/A - 4% Bond</v>
      </c>
      <c r="J1651" s="1976"/>
      <c r="L1651" s="1976"/>
      <c r="M1651" s="1813"/>
      <c r="N1651" s="2037"/>
      <c r="O1651" s="1817"/>
      <c r="P1651" s="1817"/>
      <c r="Q1651" s="1976"/>
      <c r="R1651" s="1976"/>
      <c r="S1651" s="1976"/>
      <c r="T1651" s="1976"/>
      <c r="U1651" s="1976"/>
      <c r="V1651" s="1976"/>
      <c r="W1651" s="1976"/>
      <c r="X1651" s="1976"/>
      <c r="Y1651" s="1976"/>
      <c r="Z1651" s="1976"/>
    </row>
    <row r="1652" spans="1:26" ht="15">
      <c r="A1652" s="1976"/>
      <c r="B1652" s="1820" t="s">
        <v>3971</v>
      </c>
      <c r="C1652" s="1976"/>
      <c r="D1652" s="1976"/>
      <c r="E1652" s="1976"/>
      <c r="F1652" s="1976"/>
      <c r="G1652" s="2012"/>
      <c r="H1652" s="2012"/>
      <c r="I1652" s="1894"/>
      <c r="J1652" s="1976"/>
      <c r="L1652" s="1976"/>
      <c r="M1652" s="1813"/>
      <c r="N1652" s="2037"/>
      <c r="O1652" s="1817"/>
      <c r="P1652" s="1817"/>
      <c r="Q1652" s="1976"/>
      <c r="R1652" s="1976"/>
      <c r="S1652" s="1976"/>
      <c r="T1652" s="1976"/>
      <c r="U1652" s="1976"/>
      <c r="V1652" s="1976"/>
      <c r="W1652" s="1976"/>
      <c r="X1652" s="1976"/>
      <c r="Y1652" s="1976"/>
      <c r="Z1652" s="1976"/>
    </row>
    <row r="1653" spans="1:26" ht="13.5">
      <c r="A1653" s="2039"/>
      <c r="B1653" s="2039"/>
      <c r="C1653" s="1851" t="s">
        <v>3975</v>
      </c>
      <c r="D1653" s="2039"/>
      <c r="E1653" s="2039"/>
      <c r="F1653" s="2039"/>
      <c r="G1653" s="2039"/>
      <c r="H1653" s="2039"/>
      <c r="I1653" s="1975" t="e">
        <f>'Part IX Scoring Criteria'!#REF!</f>
        <v>#REF!</v>
      </c>
      <c r="J1653" s="1975" t="e">
        <f>'Part IX Scoring Criteria'!#REF!</f>
        <v>#REF!</v>
      </c>
      <c r="K1653" s="1845"/>
      <c r="L1653" s="2039"/>
      <c r="M1653" s="2039"/>
      <c r="N1653" s="2039"/>
      <c r="O1653" s="1817"/>
      <c r="P1653" s="1817"/>
      <c r="Q1653" s="2039"/>
      <c r="R1653" s="2039"/>
      <c r="S1653" s="2039"/>
      <c r="T1653" s="2039"/>
      <c r="U1653" s="2039"/>
      <c r="V1653" s="2039"/>
      <c r="W1653" s="2039"/>
      <c r="X1653" s="2039"/>
      <c r="Y1653" s="2039"/>
      <c r="Z1653" s="2039"/>
    </row>
    <row r="1654" spans="1:26" ht="13.5">
      <c r="A1654" s="2039"/>
      <c r="B1654" s="2039"/>
      <c r="C1654" s="1851" t="s">
        <v>3976</v>
      </c>
      <c r="D1654" s="2039"/>
      <c r="E1654" s="2039"/>
      <c r="F1654" s="2039"/>
      <c r="G1654" s="2039"/>
      <c r="H1654" s="2039"/>
      <c r="I1654" s="1975" t="e">
        <f>'Part IX Scoring Criteria'!#REF!</f>
        <v>#REF!</v>
      </c>
      <c r="J1654" s="1975" t="e">
        <f>'Part IX Scoring Criteria'!#REF!</f>
        <v>#REF!</v>
      </c>
      <c r="K1654" s="1845"/>
      <c r="L1654" s="2039"/>
      <c r="M1654" s="2039"/>
      <c r="N1654" s="2039"/>
      <c r="O1654" s="2039" t="s">
        <v>3984</v>
      </c>
      <c r="P1654" s="2039"/>
      <c r="Q1654" s="2039"/>
      <c r="R1654" s="2039"/>
      <c r="S1654" s="2039"/>
      <c r="T1654" s="2039"/>
      <c r="U1654" s="2039"/>
      <c r="V1654" s="2039"/>
      <c r="W1654" s="2039"/>
      <c r="X1654" s="2039"/>
      <c r="Y1654" s="2039"/>
      <c r="Z1654" s="2039"/>
    </row>
    <row r="1655" spans="1:26" ht="15">
      <c r="A1655" s="1977"/>
      <c r="B1655" s="1894"/>
      <c r="C1655" s="1976"/>
      <c r="D1655" s="1976"/>
      <c r="E1655" s="1976"/>
      <c r="F1655" s="1976"/>
      <c r="G1655" s="2012"/>
      <c r="H1655" s="2012"/>
      <c r="I1655" s="1894"/>
      <c r="J1655" s="1976"/>
      <c r="L1655" s="1976"/>
      <c r="M1655" s="1813"/>
      <c r="N1655" s="1813"/>
      <c r="O1655" s="1813"/>
      <c r="P1655" s="1813"/>
      <c r="Q1655" s="1813"/>
      <c r="R1655" s="1976"/>
      <c r="S1655" s="1976"/>
      <c r="T1655" s="1976"/>
      <c r="U1655" s="1976"/>
      <c r="V1655" s="1976"/>
      <c r="W1655" s="1976"/>
      <c r="X1655" s="1976"/>
      <c r="Y1655" s="1976"/>
      <c r="Z1655" s="1976"/>
    </row>
    <row r="1656" spans="1:26" ht="13.5" customHeight="1">
      <c r="A1656" s="1825" t="s">
        <v>1983</v>
      </c>
      <c r="B1656" s="1820" t="s">
        <v>4576</v>
      </c>
      <c r="D1656" s="1631"/>
      <c r="K1656" s="1790" t="e">
        <f>IF(OR(AND(O1656&gt;0,O1657&gt;0),AND(O1657&gt;0,O1658&gt;0),AND(O1656&gt;0,O1658&gt;0)),"Choose A, B, or C.  See instructions.",IF(AND(O1658&gt;0,O1659&gt;0),"Choose A or B when choosing D.  See instructions.",""))</f>
        <v>#REF!</v>
      </c>
      <c r="L1656" s="1790"/>
      <c r="M1656" s="2030">
        <v>2</v>
      </c>
      <c r="N1656" s="1937" t="s">
        <v>1983</v>
      </c>
      <c r="O1656" s="2014" t="e">
        <f>'Part IX Scoring Criteria'!#REF!</f>
        <v>#REF!</v>
      </c>
      <c r="P1656" s="2014" t="e">
        <f>'Part IX Scoring Criteria'!#REF!</f>
        <v>#REF!</v>
      </c>
      <c r="Q1656" s="2015" t="e">
        <f>IF(OR($O1656=$M1656,$O1656=0,$O1656=""),"","*CHECK!*")</f>
        <v>#REF!</v>
      </c>
      <c r="R1656" s="2016" t="s">
        <v>2706</v>
      </c>
    </row>
    <row r="1657" spans="1:26" ht="13.5" customHeight="1">
      <c r="A1657" s="1825" t="s">
        <v>1985</v>
      </c>
      <c r="B1657" s="1820" t="s">
        <v>310</v>
      </c>
      <c r="D1657" s="1631"/>
      <c r="E1657" s="1631"/>
      <c r="K1657" s="1790"/>
      <c r="L1657" s="1790"/>
      <c r="M1657" s="2030">
        <v>1</v>
      </c>
      <c r="N1657" s="1937" t="s">
        <v>1985</v>
      </c>
      <c r="O1657" s="2014" t="e">
        <f>'Part IX Scoring Criteria'!#REF!</f>
        <v>#REF!</v>
      </c>
      <c r="P1657" s="2014" t="e">
        <f>'Part IX Scoring Criteria'!#REF!</f>
        <v>#REF!</v>
      </c>
      <c r="Q1657" s="2015" t="e">
        <f>IF(OR($O1657=$M1657,$O1657=0,$O1657=""),"","*CHECK!*")</f>
        <v>#REF!</v>
      </c>
      <c r="R1657" s="2016" t="s">
        <v>2706</v>
      </c>
    </row>
    <row r="1658" spans="1:26" ht="13.5" customHeight="1">
      <c r="A1658" s="1825" t="s">
        <v>749</v>
      </c>
      <c r="B1658" s="1820" t="s">
        <v>4577</v>
      </c>
      <c r="D1658" s="1631"/>
      <c r="E1658" s="1631"/>
      <c r="F1658" s="1631"/>
      <c r="K1658" s="1790"/>
      <c r="L1658" s="1790"/>
      <c r="M1658" s="2030">
        <v>3</v>
      </c>
      <c r="N1658" s="1937" t="s">
        <v>749</v>
      </c>
      <c r="O1658" s="2014" t="e">
        <f>'Part IX Scoring Criteria'!#REF!</f>
        <v>#REF!</v>
      </c>
      <c r="P1658" s="2014" t="e">
        <f>'Part IX Scoring Criteria'!#REF!</f>
        <v>#REF!</v>
      </c>
      <c r="Q1658" s="2015" t="e">
        <f>IF(OR($O1658=$M1658,$O1658=0,$O1658=""),"","*CHECK!*")</f>
        <v>#REF!</v>
      </c>
      <c r="R1658" s="2016" t="s">
        <v>2706</v>
      </c>
    </row>
    <row r="1659" spans="1:26" ht="13.5" customHeight="1">
      <c r="A1659" s="1825" t="s">
        <v>2115</v>
      </c>
      <c r="B1659" s="1820" t="s">
        <v>3781</v>
      </c>
      <c r="D1659" s="1631"/>
      <c r="E1659" s="1631"/>
      <c r="F1659" s="521" t="s">
        <v>3985</v>
      </c>
      <c r="J1659" s="1813" t="e">
        <f>'Part IX Scoring Criteria'!#REF!</f>
        <v>#REF!</v>
      </c>
      <c r="K1659" s="1790"/>
      <c r="L1659" s="1790"/>
      <c r="M1659" s="2030">
        <v>1</v>
      </c>
      <c r="N1659" s="1937" t="s">
        <v>2115</v>
      </c>
      <c r="O1659" s="2014" t="e">
        <f>'Part IX Scoring Criteria'!#REF!</f>
        <v>#REF!</v>
      </c>
      <c r="P1659" s="2014" t="e">
        <f>'Part IX Scoring Criteria'!#REF!</f>
        <v>#REF!</v>
      </c>
      <c r="Q1659" s="2015" t="e">
        <f>IF(OR($O1659=$M1659,$O1659=0,$O1659=""),"","*CHECK!*")</f>
        <v>#REF!</v>
      </c>
      <c r="R1659" s="2016" t="s">
        <v>2706</v>
      </c>
    </row>
    <row r="1660" spans="1:26" ht="15">
      <c r="A1660" s="1631"/>
      <c r="B1660" s="1994" t="s">
        <v>3757</v>
      </c>
      <c r="C1660" s="1631"/>
      <c r="D1660" s="1634"/>
      <c r="E1660" s="1634"/>
      <c r="F1660" s="1634"/>
      <c r="G1660" s="1634"/>
      <c r="H1660" s="1993"/>
      <c r="I1660" s="1993"/>
      <c r="J1660" s="1993"/>
      <c r="K1660" s="521"/>
      <c r="L1660" s="1993"/>
      <c r="M1660" s="1630"/>
      <c r="N1660" s="1630"/>
      <c r="O1660" s="1975"/>
      <c r="P1660" s="1813"/>
      <c r="Q1660" s="1993"/>
      <c r="R1660" s="1993"/>
      <c r="S1660" s="1993"/>
      <c r="T1660" s="1993"/>
      <c r="U1660" s="1993"/>
      <c r="V1660" s="1993"/>
      <c r="W1660" s="1993"/>
      <c r="X1660" s="1993"/>
      <c r="Y1660" s="1993"/>
      <c r="Z1660" s="1993"/>
    </row>
    <row r="1661" spans="1:26" ht="15.75">
      <c r="A1661" s="1890" t="e">
        <f>'Part IX Scoring Criteria'!#REF!</f>
        <v>#REF!</v>
      </c>
      <c r="B1661" s="1890" t="e">
        <f>'Part IX Scoring Criteria'!#REF!</f>
        <v>#REF!</v>
      </c>
      <c r="C1661" s="1890" t="e">
        <f>'Part IX Scoring Criteria'!#REF!</f>
        <v>#REF!</v>
      </c>
      <c r="D1661" s="1890" t="e">
        <f>'Part IX Scoring Criteria'!#REF!</f>
        <v>#REF!</v>
      </c>
      <c r="E1661" s="1890" t="e">
        <f>'Part IX Scoring Criteria'!#REF!</f>
        <v>#REF!</v>
      </c>
      <c r="F1661" s="1890" t="e">
        <f>'Part IX Scoring Criteria'!#REF!</f>
        <v>#REF!</v>
      </c>
      <c r="G1661" s="1890" t="e">
        <f>'Part IX Scoring Criteria'!#REF!</f>
        <v>#REF!</v>
      </c>
      <c r="H1661" s="1890" t="e">
        <f>'Part IX Scoring Criteria'!#REF!</f>
        <v>#REF!</v>
      </c>
      <c r="I1661" s="1890" t="e">
        <f>'Part IX Scoring Criteria'!#REF!</f>
        <v>#REF!</v>
      </c>
      <c r="J1661" s="1890" t="e">
        <f>'Part IX Scoring Criteria'!#REF!</f>
        <v>#REF!</v>
      </c>
      <c r="K1661" s="1890" t="e">
        <f>'Part IX Scoring Criteria'!#REF!</f>
        <v>#REF!</v>
      </c>
      <c r="L1661" s="1890" t="e">
        <f>'Part IX Scoring Criteria'!#REF!</f>
        <v>#REF!</v>
      </c>
      <c r="M1661" s="1890" t="e">
        <f>'Part IX Scoring Criteria'!#REF!</f>
        <v>#REF!</v>
      </c>
      <c r="N1661" s="1890" t="e">
        <f>'Part IX Scoring Criteria'!#REF!</f>
        <v>#REF!</v>
      </c>
      <c r="O1661" s="1890" t="e">
        <f>'Part IX Scoring Criteria'!#REF!</f>
        <v>#REF!</v>
      </c>
      <c r="P1661" s="1890" t="e">
        <f>'Part IX Scoring Criteria'!#REF!</f>
        <v>#REF!</v>
      </c>
      <c r="Q1661" s="1984"/>
      <c r="R1661" s="1976"/>
      <c r="S1661" s="1976"/>
      <c r="T1661" s="1976"/>
      <c r="U1661" s="1976"/>
      <c r="V1661" s="1976"/>
      <c r="W1661" s="1976"/>
      <c r="X1661" s="1976"/>
      <c r="Y1661" s="1976"/>
      <c r="Z1661" s="1976"/>
    </row>
    <row r="1662" spans="1:26" ht="15">
      <c r="A1662" s="1976"/>
      <c r="B1662" s="1866" t="s">
        <v>1866</v>
      </c>
      <c r="C1662" s="1631"/>
      <c r="D1662" s="1897"/>
      <c r="E1662" s="1899"/>
      <c r="F1662" s="1899"/>
      <c r="G1662" s="1899"/>
      <c r="H1662" s="1899"/>
      <c r="I1662" s="1899"/>
      <c r="J1662" s="1899"/>
      <c r="K1662" s="1899"/>
      <c r="L1662" s="1899"/>
      <c r="M1662" s="1899"/>
      <c r="N1662" s="2011"/>
      <c r="O1662" s="1982"/>
      <c r="P1662" s="1813"/>
      <c r="Q1662" s="2006"/>
      <c r="R1662" s="1976"/>
      <c r="S1662" s="1976"/>
      <c r="T1662" s="1976"/>
      <c r="U1662" s="1976"/>
      <c r="V1662" s="1976"/>
      <c r="W1662" s="1976"/>
      <c r="X1662" s="1976"/>
      <c r="Y1662" s="1976"/>
      <c r="Z1662" s="1976"/>
    </row>
    <row r="1663" spans="1:26" ht="15.75">
      <c r="A1663" s="1890" t="e">
        <f>'Part IX Scoring Criteria'!#REF!</f>
        <v>#REF!</v>
      </c>
      <c r="B1663" s="1890" t="e">
        <f>'Part IX Scoring Criteria'!#REF!</f>
        <v>#REF!</v>
      </c>
      <c r="C1663" s="1890" t="e">
        <f>'Part IX Scoring Criteria'!#REF!</f>
        <v>#REF!</v>
      </c>
      <c r="D1663" s="1890" t="e">
        <f>'Part IX Scoring Criteria'!#REF!</f>
        <v>#REF!</v>
      </c>
      <c r="E1663" s="1890" t="e">
        <f>'Part IX Scoring Criteria'!#REF!</f>
        <v>#REF!</v>
      </c>
      <c r="F1663" s="1890" t="e">
        <f>'Part IX Scoring Criteria'!#REF!</f>
        <v>#REF!</v>
      </c>
      <c r="G1663" s="1890" t="e">
        <f>'Part IX Scoring Criteria'!#REF!</f>
        <v>#REF!</v>
      </c>
      <c r="H1663" s="1890" t="e">
        <f>'Part IX Scoring Criteria'!#REF!</f>
        <v>#REF!</v>
      </c>
      <c r="I1663" s="1890" t="e">
        <f>'Part IX Scoring Criteria'!#REF!</f>
        <v>#REF!</v>
      </c>
      <c r="J1663" s="1890" t="e">
        <f>'Part IX Scoring Criteria'!#REF!</f>
        <v>#REF!</v>
      </c>
      <c r="K1663" s="1890" t="e">
        <f>'Part IX Scoring Criteria'!#REF!</f>
        <v>#REF!</v>
      </c>
      <c r="L1663" s="1890" t="e">
        <f>'Part IX Scoring Criteria'!#REF!</f>
        <v>#REF!</v>
      </c>
      <c r="M1663" s="1890" t="e">
        <f>'Part IX Scoring Criteria'!#REF!</f>
        <v>#REF!</v>
      </c>
      <c r="N1663" s="1890" t="e">
        <f>'Part IX Scoring Criteria'!#REF!</f>
        <v>#REF!</v>
      </c>
      <c r="O1663" s="1890" t="e">
        <f>'Part IX Scoring Criteria'!#REF!</f>
        <v>#REF!</v>
      </c>
      <c r="P1663" s="1890" t="e">
        <f>'Part IX Scoring Criteria'!#REF!</f>
        <v>#REF!</v>
      </c>
      <c r="Q1663" s="1984"/>
      <c r="R1663" s="1976"/>
      <c r="S1663" s="1976"/>
      <c r="T1663" s="1976"/>
      <c r="U1663" s="1976"/>
      <c r="V1663" s="1976"/>
      <c r="W1663" s="1976"/>
      <c r="X1663" s="1976"/>
      <c r="Y1663" s="1976"/>
      <c r="Z1663" s="1976"/>
    </row>
    <row r="1664" spans="1:26" ht="15">
      <c r="A1664" s="1631"/>
      <c r="B1664" s="1976"/>
      <c r="C1664" s="1976"/>
      <c r="D1664" s="521"/>
      <c r="E1664" s="521"/>
      <c r="F1664" s="1813"/>
      <c r="G1664" s="1813"/>
      <c r="H1664" s="1813"/>
      <c r="I1664" s="1813"/>
      <c r="J1664" s="1841"/>
      <c r="K1664" s="1841"/>
      <c r="L1664" s="1841"/>
      <c r="M1664" s="1895"/>
      <c r="N1664" s="1813"/>
      <c r="O1664" s="1639"/>
      <c r="P1664" s="1975"/>
      <c r="Q1664" s="1976"/>
      <c r="R1664" s="1976"/>
      <c r="S1664" s="1976"/>
      <c r="T1664" s="1976"/>
      <c r="U1664" s="1976"/>
      <c r="V1664" s="1976"/>
      <c r="W1664" s="1976"/>
      <c r="X1664" s="1976"/>
      <c r="Y1664" s="1976"/>
      <c r="Z1664" s="1976"/>
    </row>
    <row r="1665" spans="1:26" ht="15">
      <c r="A1665" s="1977" t="s">
        <v>530</v>
      </c>
      <c r="B1665" s="1978" t="s">
        <v>3986</v>
      </c>
      <c r="C1665" s="1976"/>
      <c r="D1665" s="521"/>
      <c r="E1665" s="521"/>
      <c r="F1665" s="1813"/>
      <c r="G1665" s="1813"/>
      <c r="H1665" s="1813"/>
      <c r="I1665" s="2026" t="s">
        <v>4564</v>
      </c>
      <c r="J1665" s="1841"/>
      <c r="K1665" s="1841"/>
      <c r="L1665" s="1841"/>
      <c r="M1665" s="1813">
        <v>3</v>
      </c>
      <c r="N1665" s="1813"/>
      <c r="O1665" s="1975">
        <f>'Part IX Scoring Criteria'!O107</f>
        <v>0</v>
      </c>
      <c r="P1665" s="1975">
        <f>'Part IX Scoring Criteria'!P107</f>
        <v>0</v>
      </c>
      <c r="Q1665" s="1813" t="s">
        <v>441</v>
      </c>
      <c r="R1665" s="1976"/>
      <c r="S1665" s="1976"/>
      <c r="T1665" s="1976"/>
      <c r="U1665" s="1976"/>
      <c r="V1665" s="1976"/>
      <c r="W1665" s="1976"/>
      <c r="X1665" s="1976"/>
      <c r="Y1665" s="1976"/>
      <c r="Z1665" s="1976"/>
    </row>
    <row r="1666" spans="1:26" ht="15">
      <c r="A1666" s="1631"/>
      <c r="B1666" s="1976"/>
      <c r="C1666" s="1976"/>
      <c r="D1666" s="521"/>
      <c r="E1666" s="521"/>
      <c r="F1666" s="1813"/>
      <c r="G1666" s="1813"/>
      <c r="H1666" s="1813"/>
      <c r="I1666" s="1813"/>
      <c r="J1666" s="1841"/>
      <c r="K1666" s="1841"/>
      <c r="L1666" s="1841"/>
      <c r="M1666" s="1895"/>
      <c r="N1666" s="1813"/>
      <c r="O1666" s="1639"/>
      <c r="P1666" s="1975"/>
      <c r="Q1666" s="1976"/>
      <c r="R1666" s="1976"/>
      <c r="S1666" s="1976"/>
      <c r="T1666" s="1976"/>
      <c r="U1666" s="1976"/>
      <c r="V1666" s="1976"/>
      <c r="W1666" s="1976"/>
      <c r="X1666" s="1976"/>
      <c r="Y1666" s="1976"/>
      <c r="Z1666" s="1976"/>
    </row>
    <row r="1667" spans="1:26" ht="15">
      <c r="A1667" s="1825" t="s">
        <v>1983</v>
      </c>
      <c r="B1667" s="1820" t="s">
        <v>3987</v>
      </c>
      <c r="C1667" s="1993"/>
      <c r="D1667" s="2012"/>
      <c r="E1667" s="1216" t="s">
        <v>4101</v>
      </c>
      <c r="F1667" s="1976"/>
      <c r="G1667" s="1929"/>
      <c r="H1667" s="1976"/>
      <c r="I1667" s="1937" t="s">
        <v>4095</v>
      </c>
      <c r="J1667" s="1929" t="str">
        <f>'Part I-Project Information'!$H$82</f>
        <v>Family</v>
      </c>
      <c r="K1667" s="2012"/>
      <c r="L1667" s="1942" t="str">
        <f>IF(OR($O1667=$M1667,$O1667=0,$O1667=""),"","* * Check Score! * *")</f>
        <v/>
      </c>
      <c r="M1667" s="1630">
        <v>3</v>
      </c>
      <c r="N1667" s="1937" t="s">
        <v>1983</v>
      </c>
      <c r="O1667" s="1975">
        <f>'Part IX Scoring Criteria'!O109</f>
        <v>0</v>
      </c>
      <c r="P1667" s="1975">
        <f>'Part IX Scoring Criteria'!P109</f>
        <v>0</v>
      </c>
      <c r="Q1667" s="2015" t="str">
        <f>IF(OR($O1667=$M1667,$O1667=0,$O1667=""),"","*CHECK!*")</f>
        <v/>
      </c>
      <c r="R1667" s="2016" t="s">
        <v>2706</v>
      </c>
      <c r="S1667" s="1976"/>
      <c r="T1667" s="1976"/>
      <c r="U1667" s="1976"/>
      <c r="V1667" s="1976"/>
      <c r="W1667" s="1976"/>
      <c r="X1667" s="1976"/>
      <c r="Y1667" s="1976"/>
      <c r="Z1667" s="1976"/>
    </row>
    <row r="1668" spans="1:26" ht="15">
      <c r="A1668" s="1631"/>
      <c r="B1668" s="1976"/>
      <c r="C1668" s="1976"/>
      <c r="D1668" s="521"/>
      <c r="E1668" s="521"/>
      <c r="F1668" s="1813"/>
      <c r="G1668" s="1813"/>
      <c r="H1668" s="1813"/>
      <c r="I1668" s="1813"/>
      <c r="J1668" s="1841"/>
      <c r="K1668" s="1841"/>
      <c r="L1668" s="1841"/>
      <c r="M1668" s="1895"/>
      <c r="N1668" s="1813"/>
      <c r="O1668" s="1639"/>
      <c r="P1668" s="1975"/>
      <c r="Q1668" s="1976"/>
      <c r="R1668" s="1976"/>
      <c r="S1668" s="1976"/>
      <c r="T1668" s="1976"/>
      <c r="U1668" s="1976"/>
      <c r="V1668" s="1976"/>
      <c r="W1668" s="1976"/>
      <c r="X1668" s="1976"/>
      <c r="Y1668" s="1976"/>
      <c r="Z1668" s="1976"/>
    </row>
    <row r="1669" spans="1:26" ht="18.75">
      <c r="A1669" s="1825" t="s">
        <v>1985</v>
      </c>
      <c r="B1669" s="1820" t="s">
        <v>3989</v>
      </c>
      <c r="C1669" s="1993"/>
      <c r="D1669" s="2041"/>
      <c r="E1669" s="1689" t="s">
        <v>4205</v>
      </c>
      <c r="F1669" s="1976"/>
      <c r="G1669" s="1929"/>
      <c r="H1669" s="1976"/>
      <c r="I1669" s="2042"/>
      <c r="J1669" s="2012"/>
      <c r="K1669" s="1976"/>
      <c r="L1669" s="1942" t="e">
        <f>IF(OR($O1669&lt;=$M1669,$O1669=0,$O1669=""),"","* * Check Score! * *")</f>
        <v>#REF!</v>
      </c>
      <c r="M1669" s="1637">
        <v>3</v>
      </c>
      <c r="N1669" s="1937" t="s">
        <v>1985</v>
      </c>
      <c r="O1669" s="1975" t="e">
        <f>'Part IX Scoring Criteria'!#REF!</f>
        <v>#REF!</v>
      </c>
      <c r="P1669" s="1975" t="e">
        <f>'Part IX Scoring Criteria'!#REF!</f>
        <v>#REF!</v>
      </c>
      <c r="Q1669" s="2043"/>
      <c r="R1669" s="2043"/>
      <c r="S1669" s="2043"/>
      <c r="T1669" s="2043"/>
      <c r="U1669" s="1976"/>
      <c r="V1669" s="1976"/>
      <c r="W1669" s="1976"/>
      <c r="X1669" s="1976"/>
      <c r="Y1669" s="1976"/>
      <c r="Z1669" s="1976"/>
    </row>
    <row r="1670" spans="1:26" ht="18.75">
      <c r="A1670" s="1935"/>
      <c r="B1670" s="2044" t="s">
        <v>4131</v>
      </c>
      <c r="C1670" s="1841"/>
      <c r="D1670" s="1960"/>
      <c r="E1670" s="1960"/>
      <c r="F1670" s="1960"/>
      <c r="G1670" s="521"/>
      <c r="H1670" s="2093" t="e">
        <f>'Part IX Scoring Criteria'!#REF!</f>
        <v>#REF!</v>
      </c>
      <c r="I1670" s="1960"/>
      <c r="J1670" s="1960"/>
      <c r="K1670" s="1960"/>
      <c r="L1670" s="1960"/>
      <c r="M1670" s="1895"/>
      <c r="N1670" s="2013"/>
      <c r="O1670" s="521"/>
      <c r="P1670" s="521"/>
      <c r="Q1670" s="2043"/>
      <c r="R1670" s="2043"/>
      <c r="S1670" s="2043"/>
      <c r="T1670" s="2043"/>
      <c r="U1670" s="521"/>
      <c r="V1670" s="521"/>
      <c r="W1670" s="521"/>
      <c r="X1670" s="521"/>
      <c r="Y1670" s="521"/>
      <c r="Z1670" s="521"/>
    </row>
    <row r="1671" spans="1:26" ht="22.5">
      <c r="A1671" s="1935"/>
      <c r="B1671" s="521"/>
      <c r="C1671" s="2045" t="s">
        <v>4132</v>
      </c>
      <c r="D1671" s="1867" t="e">
        <f>'Part IX Scoring Criteria'!#REF!</f>
        <v>#REF!</v>
      </c>
      <c r="E1671" s="1867" t="e">
        <f>'Part IX Scoring Criteria'!#REF!</f>
        <v>#REF!</v>
      </c>
      <c r="F1671" s="1867" t="e">
        <f>'Part IX Scoring Criteria'!#REF!</f>
        <v>#REF!</v>
      </c>
      <c r="G1671" s="1867" t="e">
        <f>'Part IX Scoring Criteria'!#REF!</f>
        <v>#REF!</v>
      </c>
      <c r="H1671" s="1867" t="e">
        <f>'Part IX Scoring Criteria'!#REF!</f>
        <v>#REF!</v>
      </c>
      <c r="I1671" s="1867" t="e">
        <f>'Part IX Scoring Criteria'!#REF!</f>
        <v>#REF!</v>
      </c>
      <c r="J1671" s="1867" t="e">
        <f>'Part IX Scoring Criteria'!#REF!</f>
        <v>#REF!</v>
      </c>
      <c r="K1671" s="1867" t="e">
        <f>'Part IX Scoring Criteria'!#REF!</f>
        <v>#REF!</v>
      </c>
      <c r="L1671" s="1867" t="e">
        <f>'Part IX Scoring Criteria'!#REF!</f>
        <v>#REF!</v>
      </c>
      <c r="M1671" s="1867" t="e">
        <f>'Part IX Scoring Criteria'!#REF!</f>
        <v>#REF!</v>
      </c>
      <c r="N1671" s="1867" t="e">
        <f>'Part IX Scoring Criteria'!#REF!</f>
        <v>#REF!</v>
      </c>
      <c r="O1671" s="1867" t="e">
        <f>'Part IX Scoring Criteria'!#REF!</f>
        <v>#REF!</v>
      </c>
      <c r="P1671" s="1867" t="e">
        <f>'Part IX Scoring Criteria'!#REF!</f>
        <v>#REF!</v>
      </c>
      <c r="Q1671" s="2043"/>
      <c r="R1671" s="2043"/>
      <c r="S1671" s="2043"/>
      <c r="T1671" s="2043"/>
      <c r="U1671" s="521"/>
      <c r="V1671" s="521"/>
      <c r="W1671" s="521"/>
      <c r="X1671" s="521"/>
      <c r="Y1671" s="521"/>
      <c r="Z1671" s="521"/>
    </row>
    <row r="1672" spans="1:26" ht="18.75">
      <c r="A1672" s="1631"/>
      <c r="B1672" s="1976"/>
      <c r="C1672" s="1976"/>
      <c r="D1672" s="521"/>
      <c r="E1672" s="521"/>
      <c r="F1672" s="1813"/>
      <c r="G1672" s="1976"/>
      <c r="H1672" s="1813"/>
      <c r="I1672" s="1813"/>
      <c r="J1672" s="1841"/>
      <c r="K1672" s="1841"/>
      <c r="L1672" s="1841"/>
      <c r="M1672" s="1895"/>
      <c r="N1672" s="1813"/>
      <c r="O1672" s="1639"/>
      <c r="P1672" s="1975"/>
      <c r="Q1672" s="2043"/>
      <c r="R1672" s="2043"/>
      <c r="S1672" s="2043"/>
      <c r="T1672" s="2043"/>
      <c r="U1672" s="1976"/>
      <c r="V1672" s="1976"/>
      <c r="W1672" s="1976"/>
      <c r="X1672" s="1976"/>
      <c r="Y1672" s="1976"/>
      <c r="Z1672" s="1976"/>
    </row>
    <row r="1673" spans="1:26" ht="18.75">
      <c r="A1673" s="1825"/>
      <c r="B1673" s="2046" t="s">
        <v>1986</v>
      </c>
      <c r="C1673" s="1820" t="s">
        <v>3990</v>
      </c>
      <c r="D1673" s="1993"/>
      <c r="E1673" s="1993"/>
      <c r="F1673" s="521"/>
      <c r="G1673" s="521"/>
      <c r="H1673" s="1993"/>
      <c r="I1673" s="1993"/>
      <c r="J1673" s="1993"/>
      <c r="K1673" s="1993"/>
      <c r="L1673" s="1942" t="str">
        <f>IF(OR($O1673=$M1673,$O1673=0,$O1673=""),"","* * Check Score! * *")</f>
        <v/>
      </c>
      <c r="M1673" s="1633">
        <v>2</v>
      </c>
      <c r="N1673" s="2013" t="s">
        <v>1986</v>
      </c>
      <c r="O1673" s="1975">
        <f>'Part IX Scoring Criteria'!O115</f>
        <v>0</v>
      </c>
      <c r="P1673" s="1975">
        <f>'Part IX Scoring Criteria'!P115</f>
        <v>0</v>
      </c>
      <c r="Q1673" s="2015" t="str">
        <f>IF(OR($O1673=$M1673,$O1673=0,$O1673=""),"","*CHECK!*")</f>
        <v/>
      </c>
      <c r="R1673" s="2016" t="s">
        <v>2706</v>
      </c>
      <c r="S1673" s="2043"/>
      <c r="T1673" s="2043"/>
      <c r="U1673" s="1993"/>
      <c r="V1673" s="1993"/>
      <c r="W1673" s="1993"/>
      <c r="X1673" s="1993"/>
      <c r="Y1673" s="1993"/>
      <c r="Z1673" s="1993"/>
    </row>
    <row r="1674" spans="1:26" ht="18.75">
      <c r="A1674" s="1825"/>
      <c r="B1674" s="2046"/>
      <c r="C1674" s="521" t="s">
        <v>3991</v>
      </c>
      <c r="D1674" s="1993"/>
      <c r="E1674" s="521"/>
      <c r="F1674" s="521"/>
      <c r="G1674" s="521"/>
      <c r="H1674" s="1993"/>
      <c r="I1674" s="1993"/>
      <c r="J1674" s="1993"/>
      <c r="K1674" s="1993"/>
      <c r="L1674" s="1993"/>
      <c r="M1674" s="1633"/>
      <c r="N1674" s="1633"/>
      <c r="O1674" s="1938">
        <f>'Part IX Scoring Criteria'!O116</f>
        <v>0</v>
      </c>
      <c r="P1674" s="1938">
        <f>'Part IX Scoring Criteria'!P116</f>
        <v>0</v>
      </c>
      <c r="Q1674" s="2043"/>
      <c r="R1674" s="2043"/>
      <c r="S1674" s="2043"/>
      <c r="T1674" s="2043"/>
      <c r="U1674" s="1993"/>
      <c r="V1674" s="1993"/>
      <c r="W1674" s="1993"/>
      <c r="X1674" s="1993"/>
      <c r="Y1674" s="1993"/>
      <c r="Z1674" s="1993"/>
    </row>
    <row r="1675" spans="1:26" ht="18.75">
      <c r="A1675" s="1825"/>
      <c r="B1675" s="2046"/>
      <c r="C1675" s="521" t="s">
        <v>4578</v>
      </c>
      <c r="D1675" s="1652" t="s">
        <v>4102</v>
      </c>
      <c r="E1675" s="1993"/>
      <c r="F1675" s="521"/>
      <c r="G1675" s="521"/>
      <c r="H1675" s="1785">
        <f>'Part IX Scoring Criteria'!H117</f>
        <v>0</v>
      </c>
      <c r="I1675" s="1785">
        <f>'Part IX Scoring Criteria'!I117</f>
        <v>0</v>
      </c>
      <c r="J1675" s="1785">
        <f>'Part IX Scoring Criteria'!J117</f>
        <v>0</v>
      </c>
      <c r="K1675" s="1785">
        <f>'Part IX Scoring Criteria'!K117</f>
        <v>0</v>
      </c>
      <c r="L1675" s="1785">
        <f>'Part IX Scoring Criteria'!L117</f>
        <v>0</v>
      </c>
      <c r="M1675" s="1785">
        <f>'Part IX Scoring Criteria'!M117</f>
        <v>0</v>
      </c>
      <c r="N1675" s="1785">
        <f>'Part IX Scoring Criteria'!N117</f>
        <v>0</v>
      </c>
      <c r="O1675" s="1785">
        <f>'Part IX Scoring Criteria'!O117</f>
        <v>0</v>
      </c>
      <c r="P1675" s="1785">
        <f>'Part IX Scoring Criteria'!P117</f>
        <v>0</v>
      </c>
      <c r="Q1675" s="2043"/>
      <c r="R1675" s="2043"/>
      <c r="S1675" s="2043"/>
      <c r="T1675" s="2043"/>
      <c r="U1675" s="1993"/>
      <c r="V1675" s="1993"/>
      <c r="W1675" s="1993"/>
      <c r="X1675" s="1993"/>
      <c r="Y1675" s="1993"/>
      <c r="Z1675" s="1993"/>
    </row>
    <row r="1676" spans="1:26" ht="18.75">
      <c r="A1676" s="1825"/>
      <c r="B1676" s="521"/>
      <c r="C1676" s="521" t="s">
        <v>3994</v>
      </c>
      <c r="D1676" s="1993"/>
      <c r="E1676" s="521"/>
      <c r="F1676" s="521"/>
      <c r="G1676" s="521"/>
      <c r="H1676" s="1993"/>
      <c r="I1676" s="1993"/>
      <c r="J1676" s="1993"/>
      <c r="K1676" s="1993"/>
      <c r="L1676" s="1993"/>
      <c r="M1676" s="1630"/>
      <c r="N1676" s="1944" t="s">
        <v>3783</v>
      </c>
      <c r="O1676" s="1938">
        <f>'Part IX Scoring Criteria'!O118</f>
        <v>0</v>
      </c>
      <c r="P1676" s="1938">
        <f>'Part IX Scoring Criteria'!P118</f>
        <v>0</v>
      </c>
      <c r="Q1676" s="2043"/>
      <c r="R1676" s="2043"/>
      <c r="S1676" s="2043"/>
      <c r="T1676" s="2043"/>
      <c r="U1676" s="1993"/>
      <c r="V1676" s="1993"/>
      <c r="W1676" s="1993"/>
      <c r="X1676" s="1993"/>
      <c r="Y1676" s="1993"/>
      <c r="Z1676" s="1993"/>
    </row>
    <row r="1677" spans="1:26" ht="18.75">
      <c r="A1677" s="1935"/>
      <c r="B1677" s="2047"/>
      <c r="C1677" s="521" t="s">
        <v>3995</v>
      </c>
      <c r="D1677" s="521"/>
      <c r="E1677" s="521"/>
      <c r="F1677" s="521"/>
      <c r="G1677" s="521"/>
      <c r="H1677" s="521"/>
      <c r="I1677" s="521"/>
      <c r="J1677" s="521"/>
      <c r="K1677" s="521"/>
      <c r="L1677" s="521"/>
      <c r="M1677" s="1895"/>
      <c r="N1677" s="1937" t="s">
        <v>3784</v>
      </c>
      <c r="O1677" s="1938">
        <f>'Part IX Scoring Criteria'!O119</f>
        <v>0</v>
      </c>
      <c r="P1677" s="1938">
        <f>'Part IX Scoring Criteria'!P119</f>
        <v>0</v>
      </c>
      <c r="Q1677" s="2043"/>
      <c r="R1677" s="2043"/>
      <c r="S1677" s="2043"/>
      <c r="T1677" s="2043"/>
      <c r="U1677" s="521"/>
      <c r="V1677" s="521"/>
      <c r="W1677" s="521"/>
      <c r="X1677" s="521"/>
      <c r="Y1677" s="521"/>
      <c r="Z1677" s="521"/>
    </row>
    <row r="1678" spans="1:26">
      <c r="A1678" s="1935"/>
      <c r="B1678" s="1216"/>
      <c r="C1678" s="1216" t="s">
        <v>4129</v>
      </c>
      <c r="D1678" s="1216"/>
      <c r="E1678" s="521"/>
      <c r="F1678" s="521"/>
      <c r="G1678" s="521"/>
      <c r="H1678" s="1216"/>
      <c r="I1678" s="1216"/>
      <c r="J1678" s="1216"/>
      <c r="K1678" s="1216"/>
      <c r="L1678" s="1955" t="s">
        <v>3820</v>
      </c>
      <c r="M1678" s="1955"/>
      <c r="N1678" s="1955"/>
      <c r="O1678" s="1955" t="s">
        <v>3819</v>
      </c>
      <c r="P1678" s="1955"/>
      <c r="Q1678" s="521"/>
      <c r="R1678" s="1216"/>
      <c r="S1678" s="1216"/>
      <c r="T1678" s="1216"/>
      <c r="U1678" s="1216"/>
      <c r="V1678" s="1216"/>
      <c r="W1678" s="1216"/>
      <c r="X1678" s="1216"/>
      <c r="Y1678" s="1216"/>
      <c r="Z1678" s="1216"/>
    </row>
    <row r="1679" spans="1:26">
      <c r="A1679" s="1935"/>
      <c r="B1679" s="1937"/>
      <c r="C1679" s="1900">
        <f>'Part IX Scoring Criteria'!C121</f>
        <v>0</v>
      </c>
      <c r="D1679" s="1900">
        <f>'Part IX Scoring Criteria'!D121</f>
        <v>0</v>
      </c>
      <c r="E1679" s="1900">
        <f>'Part IX Scoring Criteria'!E121</f>
        <v>0</v>
      </c>
      <c r="F1679" s="1900">
        <f>'Part IX Scoring Criteria'!F121</f>
        <v>0</v>
      </c>
      <c r="G1679" s="1900">
        <f>'Part IX Scoring Criteria'!G121</f>
        <v>0</v>
      </c>
      <c r="H1679" s="1900">
        <f>'Part IX Scoring Criteria'!H121</f>
        <v>0</v>
      </c>
      <c r="I1679" s="1900">
        <f>'Part IX Scoring Criteria'!I121</f>
        <v>0</v>
      </c>
      <c r="J1679" s="1900">
        <f>'Part IX Scoring Criteria'!J121</f>
        <v>0</v>
      </c>
      <c r="K1679" s="1900">
        <f>'Part IX Scoring Criteria'!K121</f>
        <v>0</v>
      </c>
      <c r="L1679" s="1921" t="str">
        <f>'Part IX Scoring Criteria'!L121</f>
        <v>&lt;&lt; Select &gt;&gt;</v>
      </c>
      <c r="M1679" s="1921">
        <f>'Part IX Scoring Criteria'!M121</f>
        <v>0</v>
      </c>
      <c r="N1679" s="1921">
        <f>'Part IX Scoring Criteria'!N121</f>
        <v>0</v>
      </c>
      <c r="O1679" s="2166">
        <f>'Part IX Scoring Criteria'!O121</f>
        <v>0</v>
      </c>
      <c r="P1679" s="2166">
        <f>'Part IX Scoring Criteria'!P121</f>
        <v>0</v>
      </c>
      <c r="Q1679" s="1894" t="str">
        <f>IF(O1679&gt;15, "Too much!","")</f>
        <v/>
      </c>
      <c r="R1679" s="1216"/>
      <c r="S1679" s="1216"/>
      <c r="T1679" s="1216"/>
      <c r="U1679" s="1216"/>
      <c r="V1679" s="1216"/>
      <c r="W1679" s="1216"/>
      <c r="X1679" s="1216"/>
      <c r="Y1679" s="1216"/>
      <c r="Z1679" s="1216"/>
    </row>
    <row r="1680" spans="1:26">
      <c r="A1680" s="1935"/>
      <c r="B1680" s="1944"/>
      <c r="C1680" s="1900">
        <f>'Part IX Scoring Criteria'!C122</f>
        <v>0</v>
      </c>
      <c r="D1680" s="1900">
        <f>'Part IX Scoring Criteria'!D122</f>
        <v>0</v>
      </c>
      <c r="E1680" s="1900">
        <f>'Part IX Scoring Criteria'!E122</f>
        <v>0</v>
      </c>
      <c r="F1680" s="1900">
        <f>'Part IX Scoring Criteria'!F122</f>
        <v>0</v>
      </c>
      <c r="G1680" s="1900">
        <f>'Part IX Scoring Criteria'!G122</f>
        <v>0</v>
      </c>
      <c r="H1680" s="1900">
        <f>'Part IX Scoring Criteria'!H122</f>
        <v>0</v>
      </c>
      <c r="I1680" s="1900">
        <f>'Part IX Scoring Criteria'!I122</f>
        <v>0</v>
      </c>
      <c r="J1680" s="1900">
        <f>'Part IX Scoring Criteria'!J122</f>
        <v>0</v>
      </c>
      <c r="K1680" s="1900">
        <f>'Part IX Scoring Criteria'!K122</f>
        <v>0</v>
      </c>
      <c r="L1680" s="1921" t="str">
        <f>'Part IX Scoring Criteria'!L122</f>
        <v>&lt;&lt; Select &gt;&gt;</v>
      </c>
      <c r="M1680" s="1921">
        <f>'Part IX Scoring Criteria'!M122</f>
        <v>0</v>
      </c>
      <c r="N1680" s="1921">
        <f>'Part IX Scoring Criteria'!N122</f>
        <v>0</v>
      </c>
      <c r="O1680" s="2166">
        <f>'Part IX Scoring Criteria'!O122</f>
        <v>0</v>
      </c>
      <c r="P1680" s="2166">
        <f>'Part IX Scoring Criteria'!P122</f>
        <v>0</v>
      </c>
      <c r="Q1680" s="1894" t="str">
        <f>IF(O1680&gt;15, "Too much!","")</f>
        <v/>
      </c>
      <c r="R1680" s="1216"/>
      <c r="S1680" s="1216"/>
      <c r="T1680" s="1216"/>
      <c r="U1680" s="1216"/>
      <c r="V1680" s="1216"/>
      <c r="W1680" s="1216"/>
      <c r="X1680" s="1216"/>
      <c r="Y1680" s="1216"/>
      <c r="Z1680" s="1216"/>
    </row>
    <row r="1681" spans="1:26">
      <c r="A1681" s="1935"/>
      <c r="B1681" s="1937"/>
      <c r="C1681" s="1900">
        <f>'Part IX Scoring Criteria'!C123</f>
        <v>0</v>
      </c>
      <c r="D1681" s="1900">
        <f>'Part IX Scoring Criteria'!D123</f>
        <v>0</v>
      </c>
      <c r="E1681" s="1900">
        <f>'Part IX Scoring Criteria'!E123</f>
        <v>0</v>
      </c>
      <c r="F1681" s="1900">
        <f>'Part IX Scoring Criteria'!F123</f>
        <v>0</v>
      </c>
      <c r="G1681" s="1900">
        <f>'Part IX Scoring Criteria'!G123</f>
        <v>0</v>
      </c>
      <c r="H1681" s="1900">
        <f>'Part IX Scoring Criteria'!H123</f>
        <v>0</v>
      </c>
      <c r="I1681" s="1900">
        <f>'Part IX Scoring Criteria'!I123</f>
        <v>0</v>
      </c>
      <c r="J1681" s="1900">
        <f>'Part IX Scoring Criteria'!J123</f>
        <v>0</v>
      </c>
      <c r="K1681" s="1900">
        <f>'Part IX Scoring Criteria'!K123</f>
        <v>0</v>
      </c>
      <c r="L1681" s="1921" t="str">
        <f>'Part IX Scoring Criteria'!L123</f>
        <v>&lt;&lt; Select &gt;&gt;</v>
      </c>
      <c r="M1681" s="1921">
        <f>'Part IX Scoring Criteria'!M123</f>
        <v>0</v>
      </c>
      <c r="N1681" s="1921">
        <f>'Part IX Scoring Criteria'!N123</f>
        <v>0</v>
      </c>
      <c r="O1681" s="2166">
        <f>'Part IX Scoring Criteria'!O123</f>
        <v>0</v>
      </c>
      <c r="P1681" s="2166">
        <f>'Part IX Scoring Criteria'!P123</f>
        <v>0</v>
      </c>
      <c r="Q1681" s="1894" t="str">
        <f>IF(O1681&gt;15, "Too much!","")</f>
        <v/>
      </c>
      <c r="R1681" s="1216"/>
      <c r="S1681" s="1216"/>
      <c r="T1681" s="1216"/>
      <c r="U1681" s="1216"/>
      <c r="V1681" s="1216"/>
      <c r="W1681" s="1216"/>
      <c r="X1681" s="1216"/>
      <c r="Y1681" s="1216"/>
      <c r="Z1681" s="1216"/>
    </row>
    <row r="1682" spans="1:26">
      <c r="A1682" s="1935"/>
      <c r="B1682" s="1937"/>
      <c r="C1682" s="1900">
        <f>'Part IX Scoring Criteria'!C124</f>
        <v>0</v>
      </c>
      <c r="D1682" s="1900">
        <f>'Part IX Scoring Criteria'!D124</f>
        <v>0</v>
      </c>
      <c r="E1682" s="1900">
        <f>'Part IX Scoring Criteria'!E124</f>
        <v>0</v>
      </c>
      <c r="F1682" s="1900">
        <f>'Part IX Scoring Criteria'!F124</f>
        <v>0</v>
      </c>
      <c r="G1682" s="1900">
        <f>'Part IX Scoring Criteria'!G124</f>
        <v>0</v>
      </c>
      <c r="H1682" s="1900">
        <f>'Part IX Scoring Criteria'!H124</f>
        <v>0</v>
      </c>
      <c r="I1682" s="1900">
        <f>'Part IX Scoring Criteria'!I124</f>
        <v>0</v>
      </c>
      <c r="J1682" s="1900">
        <f>'Part IX Scoring Criteria'!J124</f>
        <v>0</v>
      </c>
      <c r="K1682" s="1900">
        <f>'Part IX Scoring Criteria'!K124</f>
        <v>0</v>
      </c>
      <c r="L1682" s="1921" t="str">
        <f>'Part IX Scoring Criteria'!L124</f>
        <v>&lt;&lt; Select &gt;&gt;</v>
      </c>
      <c r="M1682" s="1921">
        <f>'Part IX Scoring Criteria'!M124</f>
        <v>0</v>
      </c>
      <c r="N1682" s="1921">
        <f>'Part IX Scoring Criteria'!N124</f>
        <v>0</v>
      </c>
      <c r="O1682" s="2166">
        <f>'Part IX Scoring Criteria'!O124</f>
        <v>0</v>
      </c>
      <c r="P1682" s="2166">
        <f>'Part IX Scoring Criteria'!P124</f>
        <v>0</v>
      </c>
      <c r="Q1682" s="1894" t="str">
        <f>IF(O1682&gt;15, "Too much!","")</f>
        <v/>
      </c>
      <c r="R1682" s="1216"/>
      <c r="S1682" s="1216"/>
      <c r="T1682" s="1216"/>
      <c r="U1682" s="1216"/>
      <c r="V1682" s="1216"/>
      <c r="W1682" s="1216"/>
      <c r="X1682" s="1216"/>
      <c r="Y1682" s="1216"/>
      <c r="Z1682" s="1216"/>
    </row>
    <row r="1683" spans="1:26" ht="15">
      <c r="A1683" s="1993"/>
      <c r="B1683" s="2046"/>
      <c r="C1683" s="521" t="s">
        <v>4579</v>
      </c>
      <c r="D1683" s="521" t="s">
        <v>3996</v>
      </c>
      <c r="E1683" s="521"/>
      <c r="F1683" s="521"/>
      <c r="G1683" s="521"/>
      <c r="H1683" s="1993"/>
      <c r="I1683" s="1993"/>
      <c r="J1683" s="1993"/>
      <c r="K1683" s="1993"/>
      <c r="L1683" s="1993"/>
      <c r="M1683" s="1993"/>
      <c r="N1683" s="1944" t="s">
        <v>3783</v>
      </c>
      <c r="O1683" s="1938">
        <f>'Part IX Scoring Criteria'!O125</f>
        <v>0</v>
      </c>
      <c r="P1683" s="1938">
        <f>'Part IX Scoring Criteria'!P125</f>
        <v>0</v>
      </c>
      <c r="Q1683" s="1652"/>
      <c r="R1683" s="1216"/>
      <c r="S1683" s="1216"/>
      <c r="T1683" s="1216"/>
      <c r="U1683" s="1216"/>
      <c r="V1683" s="1993"/>
      <c r="W1683" s="1993"/>
      <c r="X1683" s="1993"/>
      <c r="Y1683" s="1993"/>
      <c r="Z1683" s="1993"/>
    </row>
    <row r="1684" spans="1:26" ht="15">
      <c r="A1684" s="1825"/>
      <c r="B1684" s="521"/>
      <c r="C1684" s="1993"/>
      <c r="D1684" s="521" t="s">
        <v>3997</v>
      </c>
      <c r="E1684" s="521"/>
      <c r="F1684" s="521"/>
      <c r="G1684" s="521"/>
      <c r="H1684" s="1993"/>
      <c r="I1684" s="1993"/>
      <c r="J1684" s="1993"/>
      <c r="K1684" s="1993"/>
      <c r="L1684" s="1993"/>
      <c r="M1684" s="1630"/>
      <c r="N1684" s="1937" t="s">
        <v>3784</v>
      </c>
      <c r="O1684" s="1938">
        <f>'Part IX Scoring Criteria'!O126</f>
        <v>0</v>
      </c>
      <c r="P1684" s="1938">
        <f>'Part IX Scoring Criteria'!P126</f>
        <v>0</v>
      </c>
      <c r="Q1684" s="1652"/>
      <c r="R1684" s="1216"/>
      <c r="S1684" s="1216"/>
      <c r="T1684" s="1216"/>
      <c r="U1684" s="1216"/>
      <c r="V1684" s="1993"/>
      <c r="W1684" s="1993"/>
      <c r="X1684" s="1993"/>
      <c r="Y1684" s="1993"/>
      <c r="Z1684" s="1993"/>
    </row>
    <row r="1685" spans="1:26">
      <c r="A1685" s="1935"/>
      <c r="B1685" s="2047"/>
      <c r="C1685" s="521"/>
      <c r="D1685" s="1216" t="s">
        <v>4133</v>
      </c>
      <c r="E1685" s="521"/>
      <c r="F1685" s="521"/>
      <c r="G1685" s="521"/>
      <c r="H1685" s="521"/>
      <c r="I1685" s="521"/>
      <c r="J1685" s="521"/>
      <c r="K1685" s="521"/>
      <c r="L1685" s="521"/>
      <c r="M1685" s="1895"/>
      <c r="N1685" s="521"/>
      <c r="O1685" s="521"/>
      <c r="P1685" s="521"/>
      <c r="Q1685" s="521"/>
      <c r="R1685" s="1216"/>
      <c r="S1685" s="1216"/>
      <c r="T1685" s="1216"/>
      <c r="U1685" s="1216"/>
      <c r="V1685" s="521"/>
      <c r="W1685" s="521"/>
      <c r="X1685" s="521"/>
      <c r="Y1685" s="521"/>
      <c r="Z1685" s="521"/>
    </row>
    <row r="1686" spans="1:26">
      <c r="A1686" s="1935"/>
      <c r="B1686" s="1935"/>
      <c r="C1686" s="1841" t="s">
        <v>4161</v>
      </c>
      <c r="D1686" s="1935"/>
      <c r="E1686" s="1935"/>
      <c r="F1686" s="1935"/>
      <c r="G1686" s="1938">
        <f>'Part IX Scoring Criteria'!O128</f>
        <v>0</v>
      </c>
      <c r="H1686" s="1938">
        <f>'Part IX Scoring Criteria'!P128</f>
        <v>0</v>
      </c>
      <c r="I1686" s="1841" t="s">
        <v>4164</v>
      </c>
      <c r="J1686" s="1216"/>
      <c r="K1686" s="1216"/>
      <c r="L1686" s="1935"/>
      <c r="M1686" s="1935"/>
      <c r="N1686" s="1935"/>
      <c r="O1686" s="1938" t="e">
        <f>'Part IX Scoring Criteria'!#REF!</f>
        <v>#REF!</v>
      </c>
      <c r="P1686" s="1938" t="e">
        <f>'Part IX Scoring Criteria'!#REF!</f>
        <v>#REF!</v>
      </c>
      <c r="Q1686" s="521"/>
      <c r="R1686" s="1216"/>
      <c r="S1686" s="1216"/>
      <c r="T1686" s="1216"/>
      <c r="U1686" s="1216"/>
      <c r="V1686" s="1216"/>
      <c r="W1686" s="1216"/>
      <c r="X1686" s="1216"/>
      <c r="Y1686" s="1216"/>
      <c r="Z1686" s="1216"/>
    </row>
    <row r="1687" spans="1:26">
      <c r="A1687" s="1935"/>
      <c r="B1687" s="1935"/>
      <c r="C1687" s="1841" t="s">
        <v>4162</v>
      </c>
      <c r="D1687" s="1935"/>
      <c r="E1687" s="1935"/>
      <c r="F1687" s="1935"/>
      <c r="G1687" s="1938">
        <f>'Part IX Scoring Criteria'!O129</f>
        <v>0</v>
      </c>
      <c r="H1687" s="1938">
        <f>'Part IX Scoring Criteria'!P129</f>
        <v>0</v>
      </c>
      <c r="I1687" s="521" t="s">
        <v>4165</v>
      </c>
      <c r="J1687" s="1216"/>
      <c r="K1687" s="1216"/>
      <c r="L1687" s="1935"/>
      <c r="M1687" s="1935"/>
      <c r="N1687" s="1935"/>
      <c r="O1687" s="1938" t="e">
        <f>'Part IX Scoring Criteria'!#REF!</f>
        <v>#REF!</v>
      </c>
      <c r="P1687" s="1938" t="e">
        <f>'Part IX Scoring Criteria'!#REF!</f>
        <v>#REF!</v>
      </c>
      <c r="Q1687" s="521"/>
      <c r="R1687" s="1216"/>
      <c r="S1687" s="1216"/>
      <c r="T1687" s="1216"/>
      <c r="U1687" s="1216"/>
      <c r="V1687" s="1216"/>
      <c r="W1687" s="1216"/>
      <c r="X1687" s="1216"/>
      <c r="Y1687" s="1216"/>
      <c r="Z1687" s="1216"/>
    </row>
    <row r="1688" spans="1:26">
      <c r="A1688" s="1935"/>
      <c r="B1688" s="1935"/>
      <c r="C1688" s="1841" t="s">
        <v>4163</v>
      </c>
      <c r="D1688" s="1935"/>
      <c r="E1688" s="1935"/>
      <c r="F1688" s="1935"/>
      <c r="G1688" s="1938">
        <f>'Part IX Scoring Criteria'!O130</f>
        <v>0</v>
      </c>
      <c r="H1688" s="1938">
        <f>'Part IX Scoring Criteria'!P130</f>
        <v>0</v>
      </c>
      <c r="I1688" s="1841" t="s">
        <v>4166</v>
      </c>
      <c r="J1688" s="1216"/>
      <c r="K1688" s="1216"/>
      <c r="L1688" s="1935"/>
      <c r="M1688" s="1935"/>
      <c r="N1688" s="1935"/>
      <c r="O1688" s="1938" t="e">
        <f>'Part IX Scoring Criteria'!#REF!</f>
        <v>#REF!</v>
      </c>
      <c r="P1688" s="1938" t="e">
        <f>'Part IX Scoring Criteria'!#REF!</f>
        <v>#REF!</v>
      </c>
      <c r="Q1688" s="521"/>
      <c r="R1688" s="1216"/>
      <c r="S1688" s="1216"/>
      <c r="T1688" s="1216"/>
      <c r="U1688" s="1216"/>
      <c r="V1688" s="1216"/>
      <c r="W1688" s="1216"/>
      <c r="X1688" s="1216"/>
      <c r="Y1688" s="1216"/>
      <c r="Z1688" s="1216"/>
    </row>
    <row r="1689" spans="1:26" ht="12.75" customHeight="1">
      <c r="A1689" s="1935"/>
      <c r="B1689" s="1935"/>
      <c r="C1689" s="1785" t="e">
        <f>'Part IX Scoring Criteria'!#REF!</f>
        <v>#REF!</v>
      </c>
      <c r="D1689" s="1785" t="e">
        <f>'Part IX Scoring Criteria'!#REF!</f>
        <v>#REF!</v>
      </c>
      <c r="E1689" s="1785" t="e">
        <f>'Part IX Scoring Criteria'!#REF!</f>
        <v>#REF!</v>
      </c>
      <c r="F1689" s="1785" t="e">
        <f>'Part IX Scoring Criteria'!#REF!</f>
        <v>#REF!</v>
      </c>
      <c r="G1689" s="1938" t="e">
        <f>'Part IX Scoring Criteria'!#REF!</f>
        <v>#REF!</v>
      </c>
      <c r="H1689" s="1938" t="e">
        <f>'Part IX Scoring Criteria'!#REF!</f>
        <v>#REF!</v>
      </c>
      <c r="I1689" s="1785" t="str">
        <f>'Part IX Scoring Criteria'!E134</f>
        <v>• Other: Describe here</v>
      </c>
      <c r="J1689" s="1785">
        <f>'Part IX Scoring Criteria'!F134</f>
        <v>0</v>
      </c>
      <c r="K1689" s="1785">
        <f>'Part IX Scoring Criteria'!G134</f>
        <v>0</v>
      </c>
      <c r="L1689" s="1785">
        <f>'Part IX Scoring Criteria'!H134</f>
        <v>0</v>
      </c>
      <c r="M1689" s="1785">
        <f>'Part IX Scoring Criteria'!I134</f>
        <v>0</v>
      </c>
      <c r="N1689" s="1785">
        <f>'Part IX Scoring Criteria'!J134</f>
        <v>0</v>
      </c>
      <c r="O1689" s="1938" t="e">
        <f>'Part IX Scoring Criteria'!#REF!</f>
        <v>#REF!</v>
      </c>
      <c r="P1689" s="1938" t="e">
        <f>'Part IX Scoring Criteria'!#REF!</f>
        <v>#REF!</v>
      </c>
      <c r="Q1689" s="521"/>
      <c r="R1689" s="1216"/>
      <c r="S1689" s="1216"/>
      <c r="T1689" s="1216"/>
      <c r="U1689" s="1216"/>
      <c r="V1689" s="1216"/>
      <c r="W1689" s="1216"/>
      <c r="X1689" s="1216"/>
      <c r="Y1689" s="1216"/>
      <c r="Z1689" s="1216"/>
    </row>
    <row r="1690" spans="1:26" ht="15">
      <c r="A1690" s="1936"/>
      <c r="B1690" s="2028"/>
      <c r="C1690" s="2048"/>
      <c r="D1690" s="2048"/>
      <c r="E1690" s="2048"/>
      <c r="F1690" s="2048"/>
      <c r="G1690" s="2048"/>
      <c r="H1690" s="2048"/>
      <c r="I1690" s="2048"/>
      <c r="J1690" s="2048"/>
      <c r="K1690" s="2048"/>
      <c r="L1690" s="2048"/>
      <c r="M1690" s="2030"/>
      <c r="N1690" s="2049"/>
      <c r="O1690" s="2049"/>
      <c r="P1690" s="2049"/>
      <c r="Q1690" s="1218"/>
      <c r="R1690" s="2028"/>
      <c r="S1690" s="2028"/>
      <c r="T1690" s="2028"/>
      <c r="U1690" s="2028"/>
      <c r="V1690" s="2028"/>
      <c r="W1690" s="2028"/>
      <c r="X1690" s="2028"/>
      <c r="Y1690" s="2028"/>
      <c r="Z1690" s="2028"/>
    </row>
    <row r="1691" spans="1:26" ht="18.75">
      <c r="A1691" s="1936"/>
      <c r="B1691" s="2050" t="s">
        <v>1988</v>
      </c>
      <c r="C1691" s="2031" t="s">
        <v>3821</v>
      </c>
      <c r="D1691" s="1921"/>
      <c r="E1691" s="2028"/>
      <c r="F1691" s="1921"/>
      <c r="G1691" s="1921"/>
      <c r="H1691" s="1921"/>
      <c r="I1691" s="1921"/>
      <c r="J1691" s="1921"/>
      <c r="K1691" s="1921"/>
      <c r="L1691" s="1942" t="str">
        <f>IF(OR($O1691=$M1691,$O1691=0,$O1691=""),"","* * Check Score! * *")</f>
        <v/>
      </c>
      <c r="M1691" s="1480">
        <v>1</v>
      </c>
      <c r="N1691" s="2013" t="s">
        <v>1988</v>
      </c>
      <c r="O1691" s="1975">
        <f>'Part IX Scoring Criteria'!O137</f>
        <v>0</v>
      </c>
      <c r="P1691" s="1975">
        <f>'Part IX Scoring Criteria'!P137</f>
        <v>0</v>
      </c>
      <c r="Q1691" s="2015" t="str">
        <f>IF(OR($O1691=$M1691,$O1691=0,$O1691=""),"","*CHECK!*")</f>
        <v/>
      </c>
      <c r="R1691" s="2016" t="s">
        <v>2706</v>
      </c>
      <c r="S1691" s="2043"/>
      <c r="T1691" s="2043"/>
      <c r="U1691" s="2043"/>
      <c r="V1691" s="2028"/>
      <c r="W1691" s="2028"/>
      <c r="X1691" s="2028"/>
      <c r="Y1691" s="2028"/>
      <c r="Z1691" s="2028"/>
    </row>
    <row r="1692" spans="1:26" ht="18.75">
      <c r="A1692" s="1935"/>
      <c r="B1692" s="521"/>
      <c r="C1692" s="521" t="s">
        <v>3998</v>
      </c>
      <c r="D1692" s="1960"/>
      <c r="E1692" s="1960"/>
      <c r="F1692" s="1960"/>
      <c r="G1692" s="1960"/>
      <c r="H1692" s="1960"/>
      <c r="I1692" s="1960"/>
      <c r="J1692" s="1960"/>
      <c r="K1692" s="1960"/>
      <c r="L1692" s="1960"/>
      <c r="M1692" s="1895"/>
      <c r="N1692" s="521"/>
      <c r="O1692" s="1938">
        <f>'Part IX Scoring Criteria'!O138</f>
        <v>0</v>
      </c>
      <c r="P1692" s="1938">
        <f>'Part IX Scoring Criteria'!P138</f>
        <v>0</v>
      </c>
      <c r="Q1692" s="521"/>
      <c r="R1692" s="2043"/>
      <c r="S1692" s="2043"/>
      <c r="T1692" s="2043"/>
      <c r="U1692" s="2043"/>
      <c r="V1692" s="521"/>
      <c r="W1692" s="521"/>
      <c r="X1692" s="521"/>
      <c r="Y1692" s="521"/>
      <c r="Z1692" s="521"/>
    </row>
    <row r="1693" spans="1:26" ht="18.75">
      <c r="A1693" s="1935"/>
      <c r="B1693" s="2046"/>
      <c r="C1693" s="521" t="s">
        <v>4580</v>
      </c>
      <c r="D1693" s="1960"/>
      <c r="E1693" s="1960"/>
      <c r="F1693" s="1960"/>
      <c r="G1693" s="1841" t="s">
        <v>3999</v>
      </c>
      <c r="H1693" s="521"/>
      <c r="I1693" s="1960"/>
      <c r="J1693" s="1960"/>
      <c r="K1693" s="1960"/>
      <c r="L1693" s="1960"/>
      <c r="M1693" s="1937" t="s">
        <v>2435</v>
      </c>
      <c r="N1693" s="1937" t="s">
        <v>3783</v>
      </c>
      <c r="O1693" s="1938">
        <f>'Part IX Scoring Criteria'!O139</f>
        <v>0</v>
      </c>
      <c r="P1693" s="1938">
        <f>'Part IX Scoring Criteria'!P139</f>
        <v>0</v>
      </c>
      <c r="Q1693" s="521"/>
      <c r="R1693" s="2043"/>
      <c r="S1693" s="2043"/>
      <c r="T1693" s="2043"/>
      <c r="U1693" s="2043"/>
      <c r="V1693" s="521"/>
      <c r="W1693" s="521"/>
      <c r="X1693" s="521"/>
      <c r="Y1693" s="521"/>
      <c r="Z1693" s="521"/>
    </row>
    <row r="1694" spans="1:26" ht="18.75">
      <c r="A1694" s="1935"/>
      <c r="B1694" s="2047"/>
      <c r="C1694" s="521"/>
      <c r="D1694" s="1960"/>
      <c r="E1694" s="1960"/>
      <c r="F1694" s="1960"/>
      <c r="G1694" s="1841" t="s">
        <v>4000</v>
      </c>
      <c r="H1694" s="521"/>
      <c r="I1694" s="1960"/>
      <c r="J1694" s="1960"/>
      <c r="K1694" s="1960"/>
      <c r="L1694" s="1960"/>
      <c r="M1694" s="1895"/>
      <c r="N1694" s="1944" t="s">
        <v>3784</v>
      </c>
      <c r="O1694" s="1938">
        <f>'Part IX Scoring Criteria'!O140</f>
        <v>0</v>
      </c>
      <c r="P1694" s="1938">
        <f>'Part IX Scoring Criteria'!P140</f>
        <v>0</v>
      </c>
      <c r="Q1694" s="521"/>
      <c r="R1694" s="2043"/>
      <c r="S1694" s="2043"/>
      <c r="T1694" s="2043"/>
      <c r="U1694" s="2043"/>
      <c r="V1694" s="521"/>
      <c r="W1694" s="521"/>
      <c r="X1694" s="521"/>
      <c r="Y1694" s="521"/>
      <c r="Z1694" s="521"/>
    </row>
    <row r="1695" spans="1:26" ht="18.75">
      <c r="A1695" s="1937"/>
      <c r="B1695" s="2047"/>
      <c r="C1695" s="521"/>
      <c r="D1695" s="1960"/>
      <c r="E1695" s="1960"/>
      <c r="F1695" s="1960"/>
      <c r="G1695" s="1841" t="s">
        <v>4001</v>
      </c>
      <c r="H1695" s="521"/>
      <c r="I1695" s="1960"/>
      <c r="J1695" s="1960"/>
      <c r="K1695" s="1960"/>
      <c r="L1695" s="1960"/>
      <c r="M1695" s="1895"/>
      <c r="N1695" s="1937" t="s">
        <v>3785</v>
      </c>
      <c r="O1695" s="1938">
        <f>'Part IX Scoring Criteria'!O141</f>
        <v>0</v>
      </c>
      <c r="P1695" s="1938">
        <f>'Part IX Scoring Criteria'!P141</f>
        <v>0</v>
      </c>
      <c r="Q1695" s="521"/>
      <c r="R1695" s="2043"/>
      <c r="S1695" s="2043"/>
      <c r="T1695" s="2043"/>
      <c r="U1695" s="2043"/>
      <c r="V1695" s="521"/>
      <c r="W1695" s="521"/>
      <c r="X1695" s="521"/>
      <c r="Y1695" s="521"/>
      <c r="Z1695" s="521"/>
    </row>
    <row r="1696" spans="1:26" ht="18.75">
      <c r="A1696" s="1935"/>
      <c r="B1696" s="2047"/>
      <c r="C1696" s="521"/>
      <c r="D1696" s="1960"/>
      <c r="E1696" s="1960"/>
      <c r="F1696" s="1960"/>
      <c r="G1696" s="1841" t="s">
        <v>4002</v>
      </c>
      <c r="H1696" s="521"/>
      <c r="I1696" s="1960"/>
      <c r="J1696" s="1960"/>
      <c r="K1696" s="1960"/>
      <c r="L1696" s="1960"/>
      <c r="M1696" s="1895"/>
      <c r="N1696" s="1937" t="s">
        <v>3787</v>
      </c>
      <c r="O1696" s="1938">
        <f>'Part IX Scoring Criteria'!O142</f>
        <v>0</v>
      </c>
      <c r="P1696" s="1938">
        <f>'Part IX Scoring Criteria'!P142</f>
        <v>0</v>
      </c>
      <c r="Q1696" s="521"/>
      <c r="R1696" s="2043"/>
      <c r="S1696" s="2043"/>
      <c r="T1696" s="2043"/>
      <c r="U1696" s="2043"/>
      <c r="V1696" s="521"/>
      <c r="W1696" s="521"/>
      <c r="X1696" s="521"/>
      <c r="Y1696" s="521"/>
      <c r="Z1696" s="521"/>
    </row>
    <row r="1697" spans="1:26">
      <c r="A1697" s="1935"/>
      <c r="B1697" s="2047"/>
      <c r="C1697" s="521"/>
      <c r="D1697" s="1960"/>
      <c r="E1697" s="1960"/>
      <c r="F1697" s="1960"/>
      <c r="G1697" s="1841" t="s">
        <v>4003</v>
      </c>
      <c r="H1697" s="521"/>
      <c r="I1697" s="1960"/>
      <c r="J1697" s="1960"/>
      <c r="K1697" s="1960"/>
      <c r="L1697" s="1960"/>
      <c r="M1697" s="1895"/>
      <c r="N1697" s="1944" t="s">
        <v>3788</v>
      </c>
      <c r="O1697" s="1938">
        <f>'Part IX Scoring Criteria'!O143</f>
        <v>0</v>
      </c>
      <c r="P1697" s="1938">
        <f>'Part IX Scoring Criteria'!P143</f>
        <v>0</v>
      </c>
      <c r="Q1697" s="521"/>
      <c r="R1697" s="521"/>
      <c r="S1697" s="521"/>
      <c r="T1697" s="521"/>
      <c r="U1697" s="521"/>
      <c r="V1697" s="521"/>
      <c r="W1697" s="521"/>
      <c r="X1697" s="521"/>
      <c r="Y1697" s="521"/>
      <c r="Z1697" s="521"/>
    </row>
    <row r="1698" spans="1:26">
      <c r="A1698" s="1935"/>
      <c r="B1698" s="2046"/>
      <c r="C1698" s="1841" t="s">
        <v>4581</v>
      </c>
      <c r="D1698" s="1960"/>
      <c r="E1698" s="1960"/>
      <c r="F1698" s="1960"/>
      <c r="G1698" s="1960"/>
      <c r="H1698" s="1960"/>
      <c r="I1698" s="1960"/>
      <c r="J1698" s="1960"/>
      <c r="K1698" s="1960"/>
      <c r="L1698" s="1960"/>
      <c r="M1698" s="1937"/>
      <c r="N1698" s="1937" t="s">
        <v>2436</v>
      </c>
      <c r="O1698" s="1938">
        <f>'Part IX Scoring Criteria'!O144</f>
        <v>0</v>
      </c>
      <c r="P1698" s="1938">
        <f>'Part IX Scoring Criteria'!P144</f>
        <v>0</v>
      </c>
      <c r="Q1698" s="521"/>
      <c r="R1698" s="521"/>
      <c r="S1698" s="521"/>
      <c r="T1698" s="521"/>
      <c r="U1698" s="521"/>
      <c r="V1698" s="521"/>
      <c r="W1698" s="521"/>
      <c r="X1698" s="521"/>
      <c r="Y1698" s="521"/>
      <c r="Z1698" s="521"/>
    </row>
    <row r="1699" spans="1:26">
      <c r="A1699" s="1935"/>
      <c r="B1699" s="2029"/>
      <c r="C1699" s="1216" t="s">
        <v>3835</v>
      </c>
      <c r="D1699" s="1216"/>
      <c r="E1699" s="521"/>
      <c r="F1699" s="521"/>
      <c r="G1699" s="1216" t="s">
        <v>4134</v>
      </c>
      <c r="H1699" s="1216"/>
      <c r="I1699" s="1216"/>
      <c r="J1699" s="1216"/>
      <c r="K1699" s="1216"/>
      <c r="L1699" s="1216"/>
      <c r="M1699" s="1955"/>
      <c r="N1699" s="1955"/>
      <c r="O1699" s="1955"/>
      <c r="P1699" s="1955"/>
      <c r="Q1699" s="521"/>
      <c r="R1699" s="1216"/>
      <c r="S1699" s="1216"/>
      <c r="T1699" s="1216"/>
      <c r="U1699" s="1216"/>
      <c r="V1699" s="1216"/>
      <c r="W1699" s="1216"/>
      <c r="X1699" s="1216"/>
      <c r="Y1699" s="1216"/>
      <c r="Z1699" s="1216"/>
    </row>
    <row r="1700" spans="1:26">
      <c r="A1700" s="1935"/>
      <c r="B1700" s="1937"/>
      <c r="C1700" s="1900">
        <f>'Part IX Scoring Criteria'!C146</f>
        <v>0</v>
      </c>
      <c r="D1700" s="1900">
        <f>'Part IX Scoring Criteria'!D146</f>
        <v>0</v>
      </c>
      <c r="E1700" s="1900">
        <f>'Part IX Scoring Criteria'!E146</f>
        <v>0</v>
      </c>
      <c r="F1700" s="1900">
        <f>'Part IX Scoring Criteria'!F146</f>
        <v>0</v>
      </c>
      <c r="G1700" s="1900">
        <f>'Part IX Scoring Criteria'!G146</f>
        <v>0</v>
      </c>
      <c r="H1700" s="1900">
        <f>'Part IX Scoring Criteria'!H146</f>
        <v>0</v>
      </c>
      <c r="I1700" s="1900">
        <f>'Part IX Scoring Criteria'!I146</f>
        <v>0</v>
      </c>
      <c r="J1700" s="1900">
        <f>'Part IX Scoring Criteria'!J146</f>
        <v>0</v>
      </c>
      <c r="K1700" s="1900">
        <f>'Part IX Scoring Criteria'!K146</f>
        <v>0</v>
      </c>
      <c r="L1700" s="1900">
        <f>'Part IX Scoring Criteria'!L146</f>
        <v>0</v>
      </c>
      <c r="M1700" s="1900">
        <f>'Part IX Scoring Criteria'!M146</f>
        <v>0</v>
      </c>
      <c r="N1700" s="1900">
        <f>'Part IX Scoring Criteria'!N146</f>
        <v>0</v>
      </c>
      <c r="O1700" s="1900">
        <f>'Part IX Scoring Criteria'!O146</f>
        <v>0</v>
      </c>
      <c r="P1700" s="1900">
        <f>'Part IX Scoring Criteria'!P146</f>
        <v>0</v>
      </c>
      <c r="Q1700" s="521"/>
      <c r="R1700" s="1216"/>
      <c r="S1700" s="1216"/>
      <c r="T1700" s="1216"/>
      <c r="U1700" s="1216"/>
      <c r="V1700" s="1216"/>
      <c r="W1700" s="1216"/>
      <c r="X1700" s="1216"/>
      <c r="Y1700" s="1216"/>
      <c r="Z1700" s="1216"/>
    </row>
    <row r="1701" spans="1:26">
      <c r="A1701" s="1935"/>
      <c r="B1701" s="1944"/>
      <c r="C1701" s="1900">
        <f>'Part IX Scoring Criteria'!C147</f>
        <v>0</v>
      </c>
      <c r="D1701" s="1900">
        <f>'Part IX Scoring Criteria'!D147</f>
        <v>0</v>
      </c>
      <c r="E1701" s="1900">
        <f>'Part IX Scoring Criteria'!E147</f>
        <v>0</v>
      </c>
      <c r="F1701" s="1900">
        <f>'Part IX Scoring Criteria'!F147</f>
        <v>0</v>
      </c>
      <c r="G1701" s="1900">
        <f>'Part IX Scoring Criteria'!G147</f>
        <v>0</v>
      </c>
      <c r="H1701" s="1900">
        <f>'Part IX Scoring Criteria'!H147</f>
        <v>0</v>
      </c>
      <c r="I1701" s="1900">
        <f>'Part IX Scoring Criteria'!I147</f>
        <v>0</v>
      </c>
      <c r="J1701" s="1900">
        <f>'Part IX Scoring Criteria'!J147</f>
        <v>0</v>
      </c>
      <c r="K1701" s="1900">
        <f>'Part IX Scoring Criteria'!K147</f>
        <v>0</v>
      </c>
      <c r="L1701" s="1900">
        <f>'Part IX Scoring Criteria'!L147</f>
        <v>0</v>
      </c>
      <c r="M1701" s="1900">
        <f>'Part IX Scoring Criteria'!M147</f>
        <v>0</v>
      </c>
      <c r="N1701" s="1900">
        <f>'Part IX Scoring Criteria'!N147</f>
        <v>0</v>
      </c>
      <c r="O1701" s="1900">
        <f>'Part IX Scoring Criteria'!O147</f>
        <v>0</v>
      </c>
      <c r="P1701" s="1900">
        <f>'Part IX Scoring Criteria'!P147</f>
        <v>0</v>
      </c>
      <c r="Q1701" s="521"/>
      <c r="R1701" s="1216"/>
      <c r="S1701" s="1216"/>
      <c r="T1701" s="1216"/>
      <c r="U1701" s="1216"/>
      <c r="V1701" s="1216"/>
      <c r="W1701" s="1216"/>
      <c r="X1701" s="1216"/>
      <c r="Y1701" s="1216"/>
      <c r="Z1701" s="1216"/>
    </row>
    <row r="1702" spans="1:26" ht="12.75" customHeight="1">
      <c r="A1702" s="1785" t="s">
        <v>4168</v>
      </c>
      <c r="B1702" s="1785"/>
      <c r="C1702" s="1900">
        <f>'Part IX Scoring Criteria'!C148</f>
        <v>0</v>
      </c>
      <c r="D1702" s="1900">
        <f>'Part IX Scoring Criteria'!D148</f>
        <v>0</v>
      </c>
      <c r="E1702" s="1900">
        <f>'Part IX Scoring Criteria'!E148</f>
        <v>0</v>
      </c>
      <c r="F1702" s="1900">
        <f>'Part IX Scoring Criteria'!F148</f>
        <v>0</v>
      </c>
      <c r="G1702" s="1900">
        <f>'Part IX Scoring Criteria'!G148</f>
        <v>0</v>
      </c>
      <c r="H1702" s="1900">
        <f>'Part IX Scoring Criteria'!H148</f>
        <v>0</v>
      </c>
      <c r="I1702" s="1900">
        <f>'Part IX Scoring Criteria'!I148</f>
        <v>0</v>
      </c>
      <c r="J1702" s="1900">
        <f>'Part IX Scoring Criteria'!J148</f>
        <v>0</v>
      </c>
      <c r="K1702" s="1900">
        <f>'Part IX Scoring Criteria'!K148</f>
        <v>0</v>
      </c>
      <c r="L1702" s="1900">
        <f>'Part IX Scoring Criteria'!L148</f>
        <v>0</v>
      </c>
      <c r="M1702" s="1900">
        <f>'Part IX Scoring Criteria'!M148</f>
        <v>0</v>
      </c>
      <c r="N1702" s="1900">
        <f>'Part IX Scoring Criteria'!N148</f>
        <v>0</v>
      </c>
      <c r="O1702" s="1900">
        <f>'Part IX Scoring Criteria'!O148</f>
        <v>0</v>
      </c>
      <c r="P1702" s="1900">
        <f>'Part IX Scoring Criteria'!P148</f>
        <v>0</v>
      </c>
      <c r="Q1702" s="521"/>
      <c r="R1702" s="1216"/>
      <c r="S1702" s="1216"/>
      <c r="T1702" s="1216"/>
      <c r="U1702" s="1216"/>
      <c r="V1702" s="1216"/>
      <c r="W1702" s="1216"/>
      <c r="X1702" s="1216"/>
      <c r="Y1702" s="1216"/>
      <c r="Z1702" s="1216"/>
    </row>
    <row r="1703" spans="1:26">
      <c r="A1703" s="1785"/>
      <c r="B1703" s="1785"/>
      <c r="C1703" s="1900">
        <f>'Part IX Scoring Criteria'!C149</f>
        <v>0</v>
      </c>
      <c r="D1703" s="1900">
        <f>'Part IX Scoring Criteria'!D149</f>
        <v>0</v>
      </c>
      <c r="E1703" s="1900">
        <f>'Part IX Scoring Criteria'!E149</f>
        <v>0</v>
      </c>
      <c r="F1703" s="1900">
        <f>'Part IX Scoring Criteria'!F149</f>
        <v>0</v>
      </c>
      <c r="G1703" s="1900">
        <f>'Part IX Scoring Criteria'!G149</f>
        <v>0</v>
      </c>
      <c r="H1703" s="1900">
        <f>'Part IX Scoring Criteria'!H149</f>
        <v>0</v>
      </c>
      <c r="I1703" s="1900">
        <f>'Part IX Scoring Criteria'!I149</f>
        <v>0</v>
      </c>
      <c r="J1703" s="1900">
        <f>'Part IX Scoring Criteria'!J149</f>
        <v>0</v>
      </c>
      <c r="K1703" s="1900">
        <f>'Part IX Scoring Criteria'!K149</f>
        <v>0</v>
      </c>
      <c r="L1703" s="1900">
        <f>'Part IX Scoring Criteria'!L149</f>
        <v>0</v>
      </c>
      <c r="M1703" s="1900">
        <f>'Part IX Scoring Criteria'!M149</f>
        <v>0</v>
      </c>
      <c r="N1703" s="1900">
        <f>'Part IX Scoring Criteria'!N149</f>
        <v>0</v>
      </c>
      <c r="O1703" s="1900">
        <f>'Part IX Scoring Criteria'!O149</f>
        <v>0</v>
      </c>
      <c r="P1703" s="1900">
        <f>'Part IX Scoring Criteria'!P149</f>
        <v>0</v>
      </c>
      <c r="Q1703" s="521"/>
      <c r="R1703" s="1216"/>
      <c r="S1703" s="1216"/>
      <c r="T1703" s="1216"/>
      <c r="U1703" s="1216"/>
      <c r="V1703" s="1216"/>
      <c r="W1703" s="1216"/>
      <c r="X1703" s="1216"/>
      <c r="Y1703" s="1216"/>
      <c r="Z1703" s="1216"/>
    </row>
    <row r="1704" spans="1:26" ht="15">
      <c r="A1704" s="1785"/>
      <c r="B1704" s="1785"/>
      <c r="C1704" s="1631"/>
      <c r="D1704" s="1897"/>
      <c r="E1704" s="1899"/>
      <c r="F1704" s="1899"/>
      <c r="G1704" s="1899"/>
      <c r="H1704" s="1899"/>
      <c r="I1704" s="1899"/>
      <c r="J1704" s="1899"/>
      <c r="K1704" s="1899"/>
      <c r="L1704" s="1899"/>
      <c r="M1704" s="1899"/>
      <c r="N1704" s="2011"/>
      <c r="O1704" s="1982"/>
      <c r="P1704" s="1813"/>
      <c r="Q1704" s="2006"/>
      <c r="R1704" s="1976"/>
      <c r="S1704" s="1976"/>
      <c r="T1704" s="1976"/>
      <c r="U1704" s="1976"/>
      <c r="V1704" s="1976"/>
      <c r="W1704" s="1976"/>
      <c r="X1704" s="1976"/>
      <c r="Y1704" s="1976"/>
      <c r="Z1704" s="1976"/>
    </row>
    <row r="1705" spans="1:26" ht="15.75">
      <c r="A1705" s="1900">
        <f>'Part IX Scoring Criteria'!A151</f>
        <v>0</v>
      </c>
      <c r="B1705" s="1900">
        <f>'Part IX Scoring Criteria'!B151</f>
        <v>0</v>
      </c>
      <c r="C1705" s="1900">
        <f>'Part IX Scoring Criteria'!C151</f>
        <v>0</v>
      </c>
      <c r="D1705" s="1900">
        <f>'Part IX Scoring Criteria'!D151</f>
        <v>0</v>
      </c>
      <c r="E1705" s="1900">
        <f>'Part IX Scoring Criteria'!E151</f>
        <v>0</v>
      </c>
      <c r="F1705" s="1900">
        <f>'Part IX Scoring Criteria'!F151</f>
        <v>0</v>
      </c>
      <c r="G1705" s="1900">
        <f>'Part IX Scoring Criteria'!G151</f>
        <v>0</v>
      </c>
      <c r="H1705" s="1900">
        <f>'Part IX Scoring Criteria'!H151</f>
        <v>0</v>
      </c>
      <c r="I1705" s="1900">
        <f>'Part IX Scoring Criteria'!I151</f>
        <v>0</v>
      </c>
      <c r="J1705" s="1900">
        <f>'Part IX Scoring Criteria'!J151</f>
        <v>0</v>
      </c>
      <c r="K1705" s="1900">
        <f>'Part IX Scoring Criteria'!K151</f>
        <v>0</v>
      </c>
      <c r="L1705" s="1900">
        <f>'Part IX Scoring Criteria'!L151</f>
        <v>0</v>
      </c>
      <c r="M1705" s="1900">
        <f>'Part IX Scoring Criteria'!M151</f>
        <v>0</v>
      </c>
      <c r="N1705" s="1900">
        <f>'Part IX Scoring Criteria'!N151</f>
        <v>0</v>
      </c>
      <c r="O1705" s="1900">
        <f>'Part IX Scoring Criteria'!O151</f>
        <v>0</v>
      </c>
      <c r="P1705" s="1900">
        <f>'Part IX Scoring Criteria'!P151</f>
        <v>0</v>
      </c>
      <c r="Q1705" s="1984"/>
      <c r="R1705" s="1976"/>
      <c r="S1705" s="1976"/>
      <c r="T1705" s="1976"/>
      <c r="U1705" s="1976"/>
      <c r="V1705" s="1976"/>
      <c r="W1705" s="1976"/>
      <c r="X1705" s="1976"/>
      <c r="Y1705" s="1976"/>
      <c r="Z1705" s="1976"/>
    </row>
    <row r="1706" spans="1:26" ht="15">
      <c r="A1706" s="1631"/>
      <c r="B1706" s="1976"/>
      <c r="C1706" s="1899"/>
      <c r="D1706" s="1899"/>
      <c r="E1706" s="1899"/>
      <c r="F1706" s="1899"/>
      <c r="G1706" s="1899"/>
      <c r="H1706" s="1899"/>
      <c r="I1706" s="1899"/>
      <c r="J1706" s="1899"/>
      <c r="K1706" s="1899"/>
      <c r="L1706" s="1899"/>
      <c r="M1706" s="1899"/>
      <c r="N1706" s="2011"/>
      <c r="O1706" s="1982"/>
      <c r="P1706" s="1813"/>
      <c r="Q1706" s="1976"/>
      <c r="R1706" s="1976"/>
      <c r="S1706" s="1976"/>
      <c r="T1706" s="1976"/>
      <c r="U1706" s="1976"/>
      <c r="V1706" s="1976"/>
      <c r="W1706" s="1976"/>
      <c r="X1706" s="1976"/>
      <c r="Y1706" s="1976"/>
      <c r="Z1706" s="1976"/>
    </row>
    <row r="1707" spans="1:26" ht="15">
      <c r="A1707" s="1977" t="s">
        <v>772</v>
      </c>
      <c r="B1707" s="1978" t="s">
        <v>3970</v>
      </c>
      <c r="C1707" s="1899"/>
      <c r="D1707" s="1899"/>
      <c r="E1707" s="1899"/>
      <c r="F1707" s="1899"/>
      <c r="G1707" s="1899"/>
      <c r="H1707" s="1899"/>
      <c r="I1707" s="1899"/>
      <c r="J1707" s="1899"/>
      <c r="K1707" s="1899"/>
      <c r="L1707" s="1899"/>
      <c r="M1707" s="1813">
        <v>5</v>
      </c>
      <c r="N1707" s="2011"/>
      <c r="O1707" s="1975">
        <f>'Part IX Scoring Criteria'!O153</f>
        <v>0</v>
      </c>
      <c r="P1707" s="1975">
        <f>'Part IX Scoring Criteria'!P153</f>
        <v>0</v>
      </c>
      <c r="Q1707" s="1813" t="s">
        <v>441</v>
      </c>
      <c r="R1707" s="1976"/>
      <c r="S1707" s="1976"/>
      <c r="T1707" s="1976"/>
      <c r="U1707" s="1976"/>
      <c r="V1707" s="1976"/>
      <c r="W1707" s="1976"/>
      <c r="X1707" s="1976"/>
      <c r="Y1707" s="1976"/>
      <c r="Z1707" s="1976"/>
    </row>
    <row r="1708" spans="1:26" ht="15">
      <c r="A1708" s="1631"/>
      <c r="B1708" s="1976"/>
      <c r="C1708" s="1899"/>
      <c r="D1708" s="1899"/>
      <c r="E1708" s="1899"/>
      <c r="F1708" s="1899"/>
      <c r="G1708" s="1899"/>
      <c r="H1708" s="1899"/>
      <c r="I1708" s="1899"/>
      <c r="J1708" s="1899"/>
      <c r="K1708" s="1899"/>
      <c r="L1708" s="1899"/>
      <c r="M1708" s="1899"/>
      <c r="N1708" s="2011"/>
      <c r="O1708" s="1982"/>
      <c r="P1708" s="1813"/>
      <c r="Q1708" s="1976"/>
      <c r="R1708" s="1976"/>
      <c r="S1708" s="1976"/>
      <c r="T1708" s="1976"/>
      <c r="U1708" s="1976"/>
      <c r="V1708" s="1976"/>
      <c r="W1708" s="1976"/>
      <c r="X1708" s="1976"/>
      <c r="Y1708" s="1976"/>
      <c r="Z1708" s="1976"/>
    </row>
    <row r="1709" spans="1:26" ht="15">
      <c r="A1709" s="1825" t="s">
        <v>1983</v>
      </c>
      <c r="B1709" s="1629" t="s">
        <v>4007</v>
      </c>
      <c r="C1709" s="1993"/>
      <c r="D1709" s="2041"/>
      <c r="E1709" s="2041"/>
      <c r="F1709" s="1993"/>
      <c r="G1709" s="2041"/>
      <c r="H1709" s="2041"/>
      <c r="I1709" s="2041"/>
      <c r="J1709" s="2041"/>
      <c r="K1709" s="2041"/>
      <c r="L1709" s="2041"/>
      <c r="M1709" s="1630">
        <v>3</v>
      </c>
      <c r="N1709" s="2013"/>
      <c r="O1709" s="1630">
        <f>'Part IX Scoring Criteria'!O155</f>
        <v>0</v>
      </c>
      <c r="P1709" s="1630">
        <f>'Part IX Scoring Criteria'!P155</f>
        <v>0</v>
      </c>
      <c r="Q1709" s="1993"/>
      <c r="R1709" s="1652"/>
      <c r="S1709" s="1993"/>
      <c r="T1709" s="1993"/>
      <c r="U1709" s="1993"/>
      <c r="V1709" s="1993"/>
      <c r="W1709" s="1993"/>
      <c r="X1709" s="1993"/>
      <c r="Y1709" s="1993"/>
      <c r="Z1709" s="1993"/>
    </row>
    <row r="1710" spans="1:26" ht="15">
      <c r="A1710" s="1976"/>
      <c r="B1710" s="1841" t="s">
        <v>3830</v>
      </c>
      <c r="C1710" s="1964"/>
      <c r="D1710" s="1964"/>
      <c r="E1710" s="1964"/>
      <c r="F1710" s="1964"/>
      <c r="G1710" s="1964"/>
      <c r="H1710" s="1964"/>
      <c r="I1710" s="1964"/>
      <c r="J1710" s="1964"/>
      <c r="K1710" s="1964"/>
      <c r="L1710" s="1964"/>
      <c r="M1710" s="1964"/>
      <c r="N1710" s="1964"/>
      <c r="O1710" s="1938">
        <f>'Part IX Scoring Criteria'!O156</f>
        <v>0</v>
      </c>
      <c r="P1710" s="1938">
        <f>'Part IX Scoring Criteria'!P156</f>
        <v>0</v>
      </c>
      <c r="Q1710" s="1976"/>
      <c r="R1710" s="1942"/>
      <c r="S1710" s="1976"/>
      <c r="T1710" s="1976"/>
      <c r="U1710" s="1976"/>
      <c r="V1710" s="1976"/>
      <c r="W1710" s="1976"/>
      <c r="X1710" s="1976"/>
      <c r="Y1710" s="1976"/>
      <c r="Z1710" s="1976"/>
    </row>
    <row r="1711" spans="1:26" ht="15">
      <c r="A1711" s="1825"/>
      <c r="B1711" s="1904"/>
      <c r="C1711" s="1904"/>
      <c r="D1711" s="1904"/>
      <c r="E1711" s="1904"/>
      <c r="F1711" s="1904"/>
      <c r="G1711" s="1904"/>
      <c r="H1711" s="1904"/>
      <c r="I1711" s="1904"/>
      <c r="J1711" s="1904"/>
      <c r="K1711" s="1904"/>
      <c r="L1711" s="1904"/>
      <c r="M1711" s="1904"/>
      <c r="N1711" s="1976"/>
      <c r="O1711" s="1976"/>
      <c r="P1711" s="1976"/>
      <c r="Q1711" s="1976"/>
      <c r="R1711" s="1942"/>
      <c r="S1711" s="1976"/>
      <c r="T1711" s="1976"/>
      <c r="U1711" s="1976"/>
      <c r="V1711" s="1976"/>
      <c r="W1711" s="1976"/>
      <c r="X1711" s="1976"/>
      <c r="Y1711" s="1976"/>
      <c r="Z1711" s="1976"/>
    </row>
    <row r="1712" spans="1:26" ht="15" customHeight="1">
      <c r="A1712" s="1825"/>
      <c r="B1712" s="1900" t="s">
        <v>4582</v>
      </c>
      <c r="C1712" s="1900"/>
      <c r="D1712" s="1900"/>
      <c r="E1712" s="521" t="s">
        <v>3827</v>
      </c>
      <c r="F1712" s="1993"/>
      <c r="G1712" s="521"/>
      <c r="H1712" s="1993"/>
      <c r="I1712" s="1867">
        <f>'Part IX Scoring Criteria'!I158</f>
        <v>0</v>
      </c>
      <c r="J1712" s="1867">
        <f>'Part IX Scoring Criteria'!J158</f>
        <v>0</v>
      </c>
      <c r="K1712" s="1867">
        <f>'Part IX Scoring Criteria'!K158</f>
        <v>0</v>
      </c>
      <c r="L1712" s="1867">
        <f>'Part IX Scoring Criteria'!L158</f>
        <v>0</v>
      </c>
      <c r="M1712" s="1976"/>
      <c r="N1712" s="1976"/>
      <c r="O1712" s="1976"/>
      <c r="P1712" s="1976"/>
      <c r="Q1712" s="1976"/>
      <c r="R1712" s="1976"/>
      <c r="S1712" s="1976"/>
      <c r="T1712" s="1976"/>
      <c r="U1712" s="1976"/>
      <c r="V1712" s="1976"/>
      <c r="W1712" s="1976"/>
      <c r="X1712" s="1976"/>
      <c r="Y1712" s="1976"/>
      <c r="Z1712" s="1976"/>
    </row>
    <row r="1713" spans="1:26" ht="15">
      <c r="A1713" s="1825"/>
      <c r="B1713" s="1900"/>
      <c r="C1713" s="1900"/>
      <c r="D1713" s="1900"/>
      <c r="E1713" s="1841" t="s">
        <v>3829</v>
      </c>
      <c r="F1713" s="1942"/>
      <c r="G1713" s="1993"/>
      <c r="H1713" s="1993"/>
      <c r="I1713" s="1841"/>
      <c r="J1713" s="1834"/>
      <c r="K1713" s="1834"/>
      <c r="L1713" s="1834"/>
      <c r="M1713" s="1993"/>
      <c r="N1713" s="1867"/>
      <c r="O1713" s="1938">
        <f>'Part IX Scoring Criteria'!O159</f>
        <v>0</v>
      </c>
      <c r="P1713" s="1938">
        <f>'Part IX Scoring Criteria'!P159</f>
        <v>0</v>
      </c>
      <c r="Q1713" s="1867"/>
      <c r="R1713" s="1976"/>
      <c r="S1713" s="1976"/>
      <c r="T1713" s="1976"/>
      <c r="U1713" s="1976"/>
      <c r="V1713" s="1976"/>
      <c r="W1713" s="1976"/>
      <c r="X1713" s="1976"/>
      <c r="Y1713" s="1976"/>
      <c r="Z1713" s="1976"/>
    </row>
    <row r="1714" spans="1:26" ht="15">
      <c r="A1714" s="1631"/>
      <c r="B1714" s="1976"/>
      <c r="C1714" s="1899"/>
      <c r="D1714" s="1899"/>
      <c r="E1714" s="521" t="s">
        <v>2904</v>
      </c>
      <c r="F1714" s="521" t="str">
        <f>'Part I-Project Information'!$H$82</f>
        <v>Family</v>
      </c>
      <c r="G1714" s="521"/>
      <c r="H1714" s="1976"/>
      <c r="I1714" s="1899"/>
      <c r="J1714" s="1899"/>
      <c r="K1714" s="1899"/>
      <c r="L1714" s="1899"/>
      <c r="M1714" s="1899"/>
      <c r="N1714" s="2011"/>
      <c r="O1714" s="1982"/>
      <c r="P1714" s="1813"/>
      <c r="Q1714" s="1976"/>
      <c r="R1714" s="1976"/>
      <c r="S1714" s="1976"/>
      <c r="T1714" s="1976"/>
      <c r="U1714" s="1976"/>
      <c r="V1714" s="1976"/>
      <c r="W1714" s="1976"/>
      <c r="X1714" s="1976"/>
      <c r="Y1714" s="1976"/>
      <c r="Z1714" s="1976"/>
    </row>
    <row r="1715" spans="1:26" ht="15" customHeight="1">
      <c r="A1715" s="1825"/>
      <c r="B1715" s="1741"/>
      <c r="C1715" s="1873"/>
      <c r="D1715" s="1873"/>
      <c r="E1715" s="2051"/>
      <c r="F1715" s="1976"/>
      <c r="G1715" s="1976"/>
      <c r="H1715" s="1904" t="s">
        <v>3825</v>
      </c>
      <c r="I1715" s="1867" t="s">
        <v>3870</v>
      </c>
      <c r="J1715" s="1867"/>
      <c r="K1715" s="1867"/>
      <c r="L1715" s="1867"/>
      <c r="M1715" s="1706" t="s">
        <v>3824</v>
      </c>
      <c r="N1715" s="1706"/>
      <c r="O1715" s="1706" t="s">
        <v>3828</v>
      </c>
      <c r="P1715" s="1706"/>
      <c r="Q1715" s="1867"/>
      <c r="R1715" s="1976"/>
      <c r="S1715" s="1976"/>
      <c r="T1715" s="1976"/>
      <c r="U1715" s="1976"/>
      <c r="V1715" s="1976"/>
      <c r="W1715" s="1976"/>
      <c r="X1715" s="1976"/>
      <c r="Y1715" s="1976"/>
      <c r="Z1715" s="1976"/>
    </row>
    <row r="1716" spans="1:26" ht="23.25">
      <c r="A1716" s="1825"/>
      <c r="B1716" s="2052" t="s">
        <v>3822</v>
      </c>
      <c r="C1716" s="1834"/>
      <c r="D1716" s="1652" t="s">
        <v>4583</v>
      </c>
      <c r="E1716" s="1652"/>
      <c r="F1716" s="1652"/>
      <c r="G1716" s="1920" t="s">
        <v>3398</v>
      </c>
      <c r="H1716" s="1904"/>
      <c r="I1716" s="1943">
        <v>2014</v>
      </c>
      <c r="J1716" s="1943">
        <v>2015</v>
      </c>
      <c r="K1716" s="1943">
        <v>2016</v>
      </c>
      <c r="L1716" s="1943">
        <v>2017</v>
      </c>
      <c r="M1716" s="1706"/>
      <c r="N1716" s="1706"/>
      <c r="O1716" s="1706"/>
      <c r="P1716" s="1706"/>
      <c r="Q1716" s="2053" t="s">
        <v>3823</v>
      </c>
      <c r="R1716" s="2053"/>
      <c r="S1716" s="1976"/>
      <c r="T1716" s="1976"/>
      <c r="U1716" s="1976"/>
      <c r="V1716" s="1976"/>
      <c r="W1716" s="1976"/>
      <c r="X1716" s="1976"/>
      <c r="Y1716" s="1976"/>
      <c r="Z1716" s="1976"/>
    </row>
    <row r="1717" spans="1:26" ht="15">
      <c r="A1717" s="1937" t="s">
        <v>2435</v>
      </c>
      <c r="B1717" s="1873" t="s">
        <v>4006</v>
      </c>
      <c r="C1717" s="1976"/>
      <c r="D1717" s="1867">
        <f>'Part IX Scoring Criteria'!D166</f>
        <v>0</v>
      </c>
      <c r="E1717" s="1867">
        <f>'Part IX Scoring Criteria'!E166</f>
        <v>0</v>
      </c>
      <c r="F1717" s="1867">
        <f>'Part IX Scoring Criteria'!F166</f>
        <v>0</v>
      </c>
      <c r="G1717" s="2167">
        <f>'Part IX Scoring Criteria'!G166</f>
        <v>0</v>
      </c>
      <c r="H1717" s="1928">
        <f>'Part IX Scoring Criteria'!H166</f>
        <v>0</v>
      </c>
      <c r="I1717" s="2056">
        <f>'Part IX Scoring Criteria'!I166</f>
        <v>0</v>
      </c>
      <c r="J1717" s="2056">
        <f>'Part IX Scoring Criteria'!J166</f>
        <v>0</v>
      </c>
      <c r="K1717" s="2056">
        <f>'Part IX Scoring Criteria'!K166</f>
        <v>0</v>
      </c>
      <c r="L1717" s="2056" t="e">
        <f>'Part IX Scoring Criteria'!#REF!</f>
        <v>#REF!</v>
      </c>
      <c r="M1717" s="2054" t="e">
        <f>IF(I1717+J1717+K1717+L1717=0,"",AVERAGE(I1717,J1717,K1717,L1717))</f>
        <v>#REF!</v>
      </c>
      <c r="N1717" s="2054"/>
      <c r="O1717" s="1633" t="e">
        <f>IF(M1717="","",IF(M1717&gt;Q1717,"Yes",IF(M1717&lt;Q1717,"No","")))</f>
        <v>#REF!</v>
      </c>
      <c r="P1717" s="1976"/>
      <c r="Q1717" s="1851">
        <v>73.400000000000006</v>
      </c>
      <c r="R1717" s="1851"/>
      <c r="S1717" s="1976"/>
      <c r="T1717" s="1976"/>
      <c r="U1717" s="1976"/>
      <c r="V1717" s="1976"/>
      <c r="W1717" s="1976"/>
      <c r="X1717" s="1976"/>
      <c r="Y1717" s="1976"/>
      <c r="Z1717" s="1976"/>
    </row>
    <row r="1718" spans="1:26" ht="15">
      <c r="A1718" s="1944" t="s">
        <v>2436</v>
      </c>
      <c r="B1718" s="1873" t="s">
        <v>4169</v>
      </c>
      <c r="C1718" s="1976"/>
      <c r="D1718" s="1867">
        <f>'Part IX Scoring Criteria'!D167</f>
        <v>0</v>
      </c>
      <c r="E1718" s="1867">
        <f>'Part IX Scoring Criteria'!E167</f>
        <v>0</v>
      </c>
      <c r="F1718" s="1867">
        <f>'Part IX Scoring Criteria'!F167</f>
        <v>0</v>
      </c>
      <c r="G1718" s="2167">
        <f>'Part IX Scoring Criteria'!G167</f>
        <v>0</v>
      </c>
      <c r="H1718" s="1928">
        <f>'Part IX Scoring Criteria'!H167</f>
        <v>0</v>
      </c>
      <c r="I1718" s="2056">
        <f>'Part IX Scoring Criteria'!I167</f>
        <v>0</v>
      </c>
      <c r="J1718" s="2056">
        <f>'Part IX Scoring Criteria'!J167</f>
        <v>0</v>
      </c>
      <c r="K1718" s="2056">
        <f>'Part IX Scoring Criteria'!K167</f>
        <v>0</v>
      </c>
      <c r="L1718" s="2056" t="e">
        <f>'Part IX Scoring Criteria'!#REF!</f>
        <v>#REF!</v>
      </c>
      <c r="M1718" s="2054" t="e">
        <f>IF(I1718+J1718+K1718+L1718=0,"",AVERAGE(I1718,J1718,K1718,L1718))</f>
        <v>#REF!</v>
      </c>
      <c r="N1718" s="2054"/>
      <c r="O1718" s="1633" t="e">
        <f>IF(M1718="","",IF(M1718&gt;Q1718,"Yes",IF(M1718&lt;Q1718,"No","")))</f>
        <v>#REF!</v>
      </c>
      <c r="P1718" s="1976"/>
      <c r="Q1718" s="1851">
        <v>72.099999999999994</v>
      </c>
      <c r="R1718" s="1851"/>
      <c r="S1718" s="1976"/>
      <c r="T1718" s="1976"/>
      <c r="U1718" s="1976"/>
      <c r="V1718" s="1976"/>
      <c r="W1718" s="1976"/>
      <c r="X1718" s="1976"/>
      <c r="Y1718" s="1976"/>
      <c r="Z1718" s="1976"/>
    </row>
    <row r="1719" spans="1:26" ht="15">
      <c r="A1719" s="1937" t="s">
        <v>2437</v>
      </c>
      <c r="B1719" s="1873" t="s">
        <v>4004</v>
      </c>
      <c r="C1719" s="1976"/>
      <c r="D1719" s="1867">
        <f>'Part IX Scoring Criteria'!D168</f>
        <v>0</v>
      </c>
      <c r="E1719" s="1867">
        <f>'Part IX Scoring Criteria'!E168</f>
        <v>0</v>
      </c>
      <c r="F1719" s="1867">
        <f>'Part IX Scoring Criteria'!F168</f>
        <v>0</v>
      </c>
      <c r="G1719" s="2167">
        <f>'Part IX Scoring Criteria'!G168</f>
        <v>0</v>
      </c>
      <c r="H1719" s="1928">
        <f>'Part IX Scoring Criteria'!H168</f>
        <v>0</v>
      </c>
      <c r="I1719" s="2056">
        <f>'Part IX Scoring Criteria'!I168</f>
        <v>0</v>
      </c>
      <c r="J1719" s="2056">
        <f>'Part IX Scoring Criteria'!J168</f>
        <v>0</v>
      </c>
      <c r="K1719" s="2056">
        <f>'Part IX Scoring Criteria'!K168</f>
        <v>0</v>
      </c>
      <c r="L1719" s="2056" t="e">
        <f>'Part IX Scoring Criteria'!#REF!</f>
        <v>#REF!</v>
      </c>
      <c r="M1719" s="2054" t="e">
        <f>IF(I1719+J1719+K1719+L1719=0,"",AVERAGE(I1719,J1719,K1719,L1719))</f>
        <v>#REF!</v>
      </c>
      <c r="N1719" s="2054"/>
      <c r="O1719" s="1633" t="e">
        <f>IF(M1719="","",IF(M1719&gt;Q1719,"Yes",IF(M1719&lt;Q1719,"No","")))</f>
        <v>#REF!</v>
      </c>
      <c r="P1719" s="1976"/>
      <c r="Q1719" s="1851">
        <v>73.3</v>
      </c>
      <c r="R1719" s="1851"/>
      <c r="S1719" s="1976"/>
      <c r="T1719" s="1976"/>
      <c r="U1719" s="1976"/>
      <c r="V1719" s="1976"/>
      <c r="W1719" s="1976"/>
      <c r="X1719" s="1976"/>
      <c r="Y1719" s="1976"/>
      <c r="Z1719" s="1976"/>
    </row>
    <row r="1720" spans="1:26" ht="15">
      <c r="A1720" s="1937"/>
      <c r="B1720" s="1873"/>
      <c r="C1720" s="1976"/>
      <c r="D1720" s="1976"/>
      <c r="E1720" s="1976"/>
      <c r="F1720" s="1976"/>
      <c r="G1720" s="1976"/>
      <c r="H1720" s="1976"/>
      <c r="I1720" s="1976"/>
      <c r="J1720" s="1976"/>
      <c r="K1720" s="1976"/>
      <c r="L1720" s="1976"/>
      <c r="M1720" s="1976"/>
      <c r="N1720" s="1976"/>
      <c r="O1720" s="1976"/>
      <c r="P1720" s="1976"/>
      <c r="Q1720" s="1976"/>
      <c r="R1720" s="1976"/>
      <c r="S1720" s="1976"/>
      <c r="T1720" s="1976"/>
      <c r="U1720" s="1976"/>
      <c r="V1720" s="1976"/>
      <c r="W1720" s="1976"/>
      <c r="X1720" s="1976"/>
      <c r="Y1720" s="1976"/>
      <c r="Z1720" s="1976"/>
    </row>
    <row r="1721" spans="1:26" ht="15">
      <c r="A1721" s="1937" t="s">
        <v>2438</v>
      </c>
      <c r="B1721" s="2055" t="s">
        <v>4006</v>
      </c>
      <c r="C1721" s="1976"/>
      <c r="D1721" s="1964">
        <f>IF(D1717="","",D1717)</f>
        <v>0</v>
      </c>
      <c r="E1721" s="1976"/>
      <c r="F1721" s="1976"/>
      <c r="G1721" s="1943">
        <f t="shared" ref="G1721:H1723" si="320">IF(G1717="","",G1717)</f>
        <v>0</v>
      </c>
      <c r="H1721" s="1943">
        <f t="shared" si="320"/>
        <v>0</v>
      </c>
      <c r="I1721" s="2056" t="e">
        <f>'Part IX Scoring Criteria'!#REF!</f>
        <v>#REF!</v>
      </c>
      <c r="J1721" s="2056" t="e">
        <f>'Part IX Scoring Criteria'!#REF!</f>
        <v>#REF!</v>
      </c>
      <c r="K1721" s="2056" t="e">
        <f>'Part IX Scoring Criteria'!#REF!</f>
        <v>#REF!</v>
      </c>
      <c r="L1721" s="2056" t="e">
        <f>'Part IX Scoring Criteria'!#REF!</f>
        <v>#REF!</v>
      </c>
      <c r="M1721" s="2054" t="e">
        <f>IF(I1721+J1721+K1721+L1721=0,"",AVERAGE(I1721,J1721,K1721,L1721))</f>
        <v>#REF!</v>
      </c>
      <c r="N1721" s="2054"/>
      <c r="O1721" s="1976"/>
      <c r="P1721" s="1633" t="e">
        <f>IF(M1721="","",IF(M1721&gt;Q1717,"Yes",IF(M1721&lt;Q1717,"No","")))</f>
        <v>#REF!</v>
      </c>
      <c r="Q1721" s="1976"/>
      <c r="R1721" s="1976"/>
      <c r="S1721" s="1976"/>
      <c r="T1721" s="1976"/>
      <c r="U1721" s="1976"/>
      <c r="V1721" s="1976"/>
      <c r="W1721" s="1976"/>
      <c r="X1721" s="1976"/>
      <c r="Y1721" s="1976"/>
      <c r="Z1721" s="1976"/>
    </row>
    <row r="1722" spans="1:26" ht="15">
      <c r="A1722" s="1944" t="s">
        <v>2439</v>
      </c>
      <c r="B1722" s="2055" t="s">
        <v>4005</v>
      </c>
      <c r="C1722" s="1976"/>
      <c r="D1722" s="1964">
        <f>IF(D1718="","",D1718)</f>
        <v>0</v>
      </c>
      <c r="E1722" s="1976"/>
      <c r="F1722" s="1976"/>
      <c r="G1722" s="1943">
        <f t="shared" si="320"/>
        <v>0</v>
      </c>
      <c r="H1722" s="1943">
        <f t="shared" si="320"/>
        <v>0</v>
      </c>
      <c r="I1722" s="2056" t="e">
        <f>'Part IX Scoring Criteria'!#REF!</f>
        <v>#REF!</v>
      </c>
      <c r="J1722" s="2056" t="e">
        <f>'Part IX Scoring Criteria'!#REF!</f>
        <v>#REF!</v>
      </c>
      <c r="K1722" s="2056" t="e">
        <f>'Part IX Scoring Criteria'!#REF!</f>
        <v>#REF!</v>
      </c>
      <c r="L1722" s="2056" t="e">
        <f>'Part IX Scoring Criteria'!#REF!</f>
        <v>#REF!</v>
      </c>
      <c r="M1722" s="2054" t="e">
        <f>IF(I1722+J1722+K1722+L1722=0,"",AVERAGE(I1722,J1722,K1722,L1722))</f>
        <v>#REF!</v>
      </c>
      <c r="N1722" s="2054"/>
      <c r="O1722" s="1976"/>
      <c r="P1722" s="1633" t="e">
        <f>IF(M1722="","",IF(M1722&gt;Q1718,"Yes",IF(M1722&lt;Q1718,"No","")))</f>
        <v>#REF!</v>
      </c>
      <c r="Q1722" s="1976"/>
      <c r="R1722" s="1976"/>
      <c r="S1722" s="1976"/>
      <c r="T1722" s="1976"/>
      <c r="U1722" s="1976"/>
      <c r="V1722" s="1976"/>
      <c r="W1722" s="1976"/>
      <c r="X1722" s="1976"/>
      <c r="Y1722" s="1976"/>
      <c r="Z1722" s="1976"/>
    </row>
    <row r="1723" spans="1:26" ht="15">
      <c r="A1723" s="1937" t="s">
        <v>2455</v>
      </c>
      <c r="B1723" s="2055" t="s">
        <v>4004</v>
      </c>
      <c r="C1723" s="1976"/>
      <c r="D1723" s="1964">
        <f>IF(D1719="","",D1719)</f>
        <v>0</v>
      </c>
      <c r="E1723" s="1976"/>
      <c r="F1723" s="1976"/>
      <c r="G1723" s="1943">
        <f t="shared" si="320"/>
        <v>0</v>
      </c>
      <c r="H1723" s="1943">
        <f t="shared" si="320"/>
        <v>0</v>
      </c>
      <c r="I1723" s="2056" t="e">
        <f>'Part IX Scoring Criteria'!#REF!</f>
        <v>#REF!</v>
      </c>
      <c r="J1723" s="2056" t="e">
        <f>'Part IX Scoring Criteria'!#REF!</f>
        <v>#REF!</v>
      </c>
      <c r="K1723" s="2056" t="e">
        <f>'Part IX Scoring Criteria'!#REF!</f>
        <v>#REF!</v>
      </c>
      <c r="L1723" s="2056" t="e">
        <f>'Part IX Scoring Criteria'!#REF!</f>
        <v>#REF!</v>
      </c>
      <c r="M1723" s="2054" t="e">
        <f>IF(I1723+J1723+K1723+L1723=0,"",AVERAGE(I1723,J1723,K1723,L1723))</f>
        <v>#REF!</v>
      </c>
      <c r="N1723" s="2054"/>
      <c r="O1723" s="1976"/>
      <c r="P1723" s="1633" t="e">
        <f>IF(M1723="","",IF(M1723&gt;Q1719,"Yes",IF(M1723&lt;Q1719,"No","")))</f>
        <v>#REF!</v>
      </c>
      <c r="Q1723" s="1976"/>
      <c r="R1723" s="1976"/>
      <c r="S1723" s="1976"/>
      <c r="T1723" s="1976"/>
      <c r="U1723" s="1976"/>
      <c r="V1723" s="1976"/>
      <c r="W1723" s="1976"/>
      <c r="X1723" s="1976"/>
      <c r="Y1723" s="1976"/>
      <c r="Z1723" s="1976"/>
    </row>
    <row r="1724" spans="1:26" ht="15">
      <c r="A1724" s="1631"/>
      <c r="B1724" s="1976"/>
      <c r="C1724" s="1899"/>
      <c r="D1724" s="1899"/>
      <c r="E1724" s="1899"/>
      <c r="F1724" s="1899"/>
      <c r="G1724" s="1899"/>
      <c r="H1724" s="1899"/>
      <c r="I1724" s="1899"/>
      <c r="J1724" s="1899"/>
      <c r="K1724" s="1899"/>
      <c r="L1724" s="1899"/>
      <c r="M1724" s="1899"/>
      <c r="N1724" s="2011"/>
      <c r="O1724" s="1982"/>
      <c r="P1724" s="1813"/>
      <c r="Q1724" s="1976"/>
      <c r="R1724" s="1976"/>
      <c r="S1724" s="1976"/>
      <c r="T1724" s="1976"/>
      <c r="U1724" s="1976"/>
      <c r="V1724" s="1976"/>
      <c r="W1724" s="1976"/>
      <c r="X1724" s="1976"/>
      <c r="Y1724" s="1976"/>
      <c r="Z1724" s="1976"/>
    </row>
    <row r="1725" spans="1:26" ht="15">
      <c r="A1725" s="1825" t="s">
        <v>1985</v>
      </c>
      <c r="B1725" s="1629" t="s">
        <v>4008</v>
      </c>
      <c r="C1725" s="1993"/>
      <c r="D1725" s="2041"/>
      <c r="E1725" s="2041"/>
      <c r="F1725" s="2026" t="s">
        <v>3391</v>
      </c>
      <c r="G1725" s="1993"/>
      <c r="H1725" s="1841" t="s">
        <v>3871</v>
      </c>
      <c r="I1725" s="1993"/>
      <c r="J1725" s="1993"/>
      <c r="K1725" s="1993"/>
      <c r="L1725" s="1993"/>
      <c r="M1725" s="1630">
        <v>2</v>
      </c>
      <c r="N1725" s="2013"/>
      <c r="O1725" s="1975">
        <f>'Part IX Scoring Criteria'!O171</f>
        <v>0</v>
      </c>
      <c r="P1725" s="1975">
        <f>'Part IX Scoring Criteria'!P171</f>
        <v>0</v>
      </c>
      <c r="Q1725" s="1813"/>
      <c r="R1725" s="2057"/>
      <c r="S1725" s="1993"/>
      <c r="T1725" s="1993"/>
      <c r="U1725" s="1993"/>
      <c r="V1725" s="1993"/>
      <c r="W1725" s="1993"/>
      <c r="X1725" s="1993"/>
      <c r="Y1725" s="1993"/>
      <c r="Z1725" s="1993"/>
    </row>
    <row r="1726" spans="1:26" ht="12.75" customHeight="1">
      <c r="A1726" s="1216"/>
      <c r="B1726" s="1216"/>
      <c r="C1726" s="1216"/>
      <c r="D1726" s="1216"/>
      <c r="E1726" s="2058" t="s">
        <v>4171</v>
      </c>
      <c r="F1726" s="2058" t="s">
        <v>3661</v>
      </c>
      <c r="G1726" s="1808" t="s">
        <v>3399</v>
      </c>
      <c r="H1726" s="1808"/>
      <c r="I1726" s="1808"/>
      <c r="J1726" s="1808"/>
      <c r="K1726" s="1808"/>
      <c r="L1726" s="1808"/>
      <c r="M1726" s="1808"/>
      <c r="N1726" s="1808"/>
      <c r="O1726" s="1216"/>
      <c r="P1726" s="1965"/>
      <c r="Q1726" s="1216"/>
      <c r="R1726" s="1216" t="s">
        <v>2833</v>
      </c>
      <c r="S1726" s="1216"/>
      <c r="T1726" s="1955" t="str">
        <f>'Part I-Project Information'!$F$38</f>
        <v>Stonecrest</v>
      </c>
      <c r="U1726" s="1955"/>
      <c r="V1726" s="1955"/>
      <c r="W1726" s="1955"/>
      <c r="X1726" s="1955"/>
      <c r="Y1726" s="1216"/>
      <c r="Z1726" s="1216"/>
    </row>
    <row r="1727" spans="1:26" ht="12.75" customHeight="1">
      <c r="A1727" s="1935"/>
      <c r="B1727" s="2058" t="s">
        <v>4011</v>
      </c>
      <c r="C1727" s="2058"/>
      <c r="D1727" s="2058"/>
      <c r="E1727" s="2058"/>
      <c r="F1727" s="2058"/>
      <c r="G1727" s="1900" t="s">
        <v>4010</v>
      </c>
      <c r="H1727" s="1900"/>
      <c r="I1727" s="1900"/>
      <c r="J1727" s="1900"/>
      <c r="K1727" s="1900"/>
      <c r="L1727" s="1900"/>
      <c r="M1727" s="1900"/>
      <c r="N1727" s="1900"/>
      <c r="O1727" s="2058" t="s">
        <v>3662</v>
      </c>
      <c r="P1727" s="2058"/>
      <c r="Q1727" s="1216"/>
      <c r="R1727" s="1955" t="s">
        <v>2834</v>
      </c>
      <c r="S1727" s="1216"/>
      <c r="T1727" s="1955" t="str">
        <f>'Part I-Project Information'!$J$39</f>
        <v>DeKalb</v>
      </c>
      <c r="U1727" s="1955"/>
      <c r="V1727" s="1955"/>
      <c r="W1727" s="1955"/>
      <c r="X1727" s="1955"/>
      <c r="Y1727" s="1216"/>
      <c r="Z1727" s="1216"/>
    </row>
    <row r="1728" spans="1:26">
      <c r="A1728" s="1935"/>
      <c r="B1728" s="521" t="s">
        <v>3831</v>
      </c>
      <c r="C1728" s="521"/>
      <c r="D1728" s="521"/>
      <c r="E1728" s="2059">
        <v>3000</v>
      </c>
      <c r="F1728" s="2059">
        <v>6000</v>
      </c>
      <c r="G1728" s="2060">
        <v>15000</v>
      </c>
      <c r="H1728" s="2060"/>
      <c r="I1728" s="2060"/>
      <c r="J1728" s="2060"/>
      <c r="K1728" s="2060"/>
      <c r="L1728" s="2060"/>
      <c r="M1728" s="2060"/>
      <c r="N1728" s="2060"/>
      <c r="O1728" s="2060">
        <v>20000</v>
      </c>
      <c r="P1728" s="2060"/>
      <c r="Q1728" s="1216"/>
      <c r="R1728" s="1964" t="s">
        <v>2835</v>
      </c>
      <c r="S1728" s="1216"/>
      <c r="T1728" s="1955" t="str">
        <f>'Part I-Project Information'!$O$40</f>
        <v>Atlanta-Sandy Springs-Marietta</v>
      </c>
      <c r="U1728" s="1955"/>
      <c r="V1728" s="1955"/>
      <c r="W1728" s="1955"/>
      <c r="X1728" s="1955"/>
      <c r="Y1728" s="1216"/>
      <c r="Z1728" s="1216"/>
    </row>
    <row r="1729" spans="1:26" ht="12.75" customHeight="1">
      <c r="A1729" s="1935"/>
      <c r="B1729" s="1867" t="s">
        <v>4009</v>
      </c>
      <c r="C1729" s="1867"/>
      <c r="D1729" s="1867"/>
      <c r="E1729" s="2059">
        <v>4500</v>
      </c>
      <c r="F1729" s="2059">
        <v>9000</v>
      </c>
      <c r="G1729" s="2060">
        <v>22500</v>
      </c>
      <c r="H1729" s="2060"/>
      <c r="I1729" s="2060"/>
      <c r="J1729" s="2060"/>
      <c r="K1729" s="2060"/>
      <c r="L1729" s="2060"/>
      <c r="M1729" s="2060"/>
      <c r="N1729" s="2060"/>
      <c r="O1729" s="2060">
        <v>30000</v>
      </c>
      <c r="P1729" s="2060"/>
      <c r="Q1729" s="521"/>
      <c r="R1729" s="1841" t="s">
        <v>3864</v>
      </c>
      <c r="S1729" s="521"/>
      <c r="T1729" s="521" t="str">
        <f>VLOOKUP('Part I-Project Information'!$J$39,'DCA Underwriting Assumptions'!$G$158:$J$317,4)</f>
        <v>MSA</v>
      </c>
      <c r="U1729" s="521"/>
      <c r="V1729" s="521"/>
      <c r="W1729" s="521"/>
      <c r="X1729" s="521"/>
      <c r="Y1729" s="521"/>
      <c r="Z1729" s="521"/>
    </row>
    <row r="1730" spans="1:26">
      <c r="A1730" s="1935"/>
      <c r="B1730" s="1935"/>
      <c r="C1730" s="1216"/>
      <c r="D1730" s="1216"/>
      <c r="E1730" s="1216"/>
      <c r="F1730" s="1216"/>
      <c r="G1730" s="1216"/>
      <c r="H1730" s="1216"/>
      <c r="I1730" s="1216"/>
      <c r="J1730" s="1216"/>
      <c r="K1730" s="1943"/>
      <c r="L1730" s="1943"/>
      <c r="M1730" s="1216"/>
      <c r="N1730" s="1216"/>
      <c r="O1730" s="1216"/>
      <c r="P1730" s="1216"/>
      <c r="Q1730" s="1216"/>
      <c r="R1730" s="1216"/>
      <c r="S1730" s="1216"/>
      <c r="T1730" s="1216"/>
      <c r="U1730" s="1216"/>
      <c r="V1730" s="1216"/>
      <c r="W1730" s="1216"/>
      <c r="X1730" s="1216"/>
      <c r="Y1730" s="1216"/>
      <c r="Z1730" s="1216"/>
    </row>
    <row r="1731" spans="1:26">
      <c r="A1731" s="1216"/>
      <c r="B1731" s="2061" t="s">
        <v>3865</v>
      </c>
      <c r="C1731" s="1216"/>
      <c r="D1731" s="1216"/>
      <c r="E1731" s="2062"/>
      <c r="F1731" s="2062"/>
      <c r="G1731" s="2062"/>
      <c r="H1731" s="1216"/>
      <c r="I1731" s="2062">
        <f>'Part IX Scoring Criteria'!I177</f>
        <v>0</v>
      </c>
      <c r="J1731" s="2062">
        <f>'Part IX Scoring Criteria'!J177</f>
        <v>0</v>
      </c>
      <c r="K1731" s="1216"/>
      <c r="L1731" s="1216"/>
      <c r="M1731" s="1216"/>
      <c r="N1731" s="1216"/>
      <c r="O1731" s="1216"/>
      <c r="P1731" s="1216"/>
      <c r="Q1731" s="1216"/>
      <c r="R1731" s="1216" t="s">
        <v>3627</v>
      </c>
      <c r="S1731" s="1216"/>
      <c r="T1731" s="1955" t="str">
        <f>'Part I-Project Information'!$K$40</f>
        <v>Urban</v>
      </c>
      <c r="U1731" s="1955"/>
      <c r="V1731" s="1955"/>
      <c r="W1731" s="1955"/>
      <c r="X1731" s="1955"/>
      <c r="Y1731" s="1216"/>
      <c r="Z1731" s="1216"/>
    </row>
    <row r="1732" spans="1:26" ht="13.5">
      <c r="A1732" s="2055"/>
      <c r="B1732" s="1964" t="s">
        <v>3626</v>
      </c>
      <c r="C1732" s="1216"/>
      <c r="D1732" s="1216"/>
      <c r="E1732" s="1216"/>
      <c r="F1732" s="1216"/>
      <c r="G1732" s="1216"/>
      <c r="H1732" s="2063" t="str">
        <f>IF(I1732&lt;I1731,"Threshold not met!","")</f>
        <v/>
      </c>
      <c r="I1732" s="2062">
        <f>'Part IX Scoring Criteria'!I178</f>
        <v>0</v>
      </c>
      <c r="J1732" s="2062">
        <f>'Part IX Scoring Criteria'!J178</f>
        <v>0</v>
      </c>
      <c r="K1732" s="1860" t="str">
        <f>IF(J1732&lt;J1731,"Threshold not met!","")</f>
        <v/>
      </c>
      <c r="L1732" s="1216"/>
      <c r="M1732" s="1216"/>
      <c r="N1732" s="1216"/>
      <c r="O1732" s="1216"/>
      <c r="P1732" s="1216"/>
      <c r="Q1732" s="1216"/>
      <c r="R1732" s="1216"/>
      <c r="S1732" s="1216"/>
      <c r="T1732" s="1216"/>
      <c r="U1732" s="1216"/>
      <c r="V1732" s="1216"/>
      <c r="W1732" s="1216"/>
      <c r="X1732" s="1216"/>
      <c r="Y1732" s="1216"/>
      <c r="Z1732" s="1216"/>
    </row>
    <row r="1733" spans="1:26" ht="13.5">
      <c r="A1733" s="2055"/>
      <c r="B1733" s="1964"/>
      <c r="C1733" s="1216"/>
      <c r="D1733" s="1216"/>
      <c r="E1733" s="1216"/>
      <c r="F1733" s="1216"/>
      <c r="G1733" s="1216"/>
      <c r="H1733" s="1216"/>
      <c r="I1733" s="1216"/>
      <c r="J1733" s="1216"/>
      <c r="K1733" s="1216"/>
      <c r="L1733" s="1216"/>
      <c r="M1733" s="1216"/>
      <c r="N1733" s="1216"/>
      <c r="O1733" s="1216"/>
      <c r="P1733" s="1216"/>
      <c r="Q1733" s="1216"/>
      <c r="R1733" s="1216"/>
      <c r="S1733" s="1216"/>
      <c r="T1733" s="1216"/>
      <c r="U1733" s="1216"/>
      <c r="V1733" s="1216"/>
      <c r="W1733" s="1216"/>
      <c r="X1733" s="1216"/>
      <c r="Y1733" s="1216"/>
      <c r="Z1733" s="1216"/>
    </row>
    <row r="1734" spans="1:26">
      <c r="A1734" s="1216"/>
      <c r="B1734" s="2004" t="s">
        <v>1986</v>
      </c>
      <c r="C1734" s="521" t="s">
        <v>4170</v>
      </c>
      <c r="D1734" s="1955"/>
      <c r="E1734" s="1955"/>
      <c r="F1734" s="1955"/>
      <c r="G1734" s="1955"/>
      <c r="H1734" s="2064" t="s">
        <v>1986</v>
      </c>
      <c r="I1734" s="2008" t="str">
        <f>'Part IX Scoring Criteria'!I180</f>
        <v/>
      </c>
      <c r="J1734" s="2008" t="str">
        <f>'Part IX Scoring Criteria'!J180</f>
        <v/>
      </c>
      <c r="K1734" s="1216"/>
      <c r="L1734" s="1216"/>
      <c r="M1734" s="1216"/>
      <c r="N1734" s="1216"/>
      <c r="O1734" s="1216"/>
      <c r="P1734" s="1216"/>
      <c r="Q1734" s="1216"/>
      <c r="R1734" s="1216"/>
      <c r="S1734" s="1216"/>
      <c r="T1734" s="1216"/>
      <c r="U1734" s="1216"/>
      <c r="V1734" s="1216"/>
      <c r="W1734" s="1216"/>
      <c r="X1734" s="1216"/>
      <c r="Y1734" s="1216"/>
      <c r="Z1734" s="1216"/>
    </row>
    <row r="1735" spans="1:26">
      <c r="A1735" s="1950" t="s">
        <v>1353</v>
      </c>
      <c r="B1735" s="2004" t="s">
        <v>1988</v>
      </c>
      <c r="C1735" s="521" t="s">
        <v>4012</v>
      </c>
      <c r="D1735" s="2051"/>
      <c r="E1735" s="2051"/>
      <c r="F1735" s="2051"/>
      <c r="G1735" s="1216"/>
      <c r="H1735" s="2064" t="s">
        <v>1988</v>
      </c>
      <c r="I1735" s="2065" t="str">
        <f>'Part IX Scoring Criteria'!I181</f>
        <v/>
      </c>
      <c r="J1735" s="2065" t="str">
        <f>'Part IX Scoring Criteria'!J181</f>
        <v/>
      </c>
      <c r="K1735" s="1216"/>
      <c r="L1735" s="1216"/>
      <c r="M1735" s="1216"/>
      <c r="N1735" s="1216"/>
      <c r="O1735" s="1216"/>
      <c r="P1735" s="1216"/>
      <c r="Q1735" s="1216"/>
      <c r="R1735" s="1216"/>
      <c r="S1735" s="1216"/>
      <c r="T1735" s="1216"/>
      <c r="U1735" s="1216"/>
      <c r="V1735" s="1216"/>
      <c r="W1735" s="1216"/>
      <c r="X1735" s="1216"/>
      <c r="Y1735" s="1216"/>
      <c r="Z1735" s="1216"/>
    </row>
    <row r="1736" spans="1:26">
      <c r="A1736" s="1950"/>
      <c r="B1736" s="1825"/>
      <c r="C1736" s="1964" t="s">
        <v>3887</v>
      </c>
      <c r="D1736" s="2051"/>
      <c r="E1736" s="2051"/>
      <c r="F1736" s="2051"/>
      <c r="G1736" s="2042"/>
      <c r="H1736" s="1216"/>
      <c r="I1736" s="1949">
        <f>'Part IX Scoring Criteria'!I182</f>
        <v>0</v>
      </c>
      <c r="J1736" s="1949">
        <f>'Part IX Scoring Criteria'!J182</f>
        <v>0</v>
      </c>
      <c r="K1736" s="1216"/>
      <c r="L1736" s="1216"/>
      <c r="M1736" s="1943"/>
      <c r="N1736" s="1216"/>
      <c r="O1736" s="1216"/>
      <c r="P1736" s="1216"/>
      <c r="Q1736" s="1216"/>
      <c r="R1736" s="1216"/>
      <c r="S1736" s="1216"/>
      <c r="T1736" s="1216"/>
      <c r="U1736" s="1216"/>
      <c r="V1736" s="1216"/>
      <c r="W1736" s="1216"/>
      <c r="X1736" s="1216"/>
      <c r="Y1736" s="1216"/>
      <c r="Z1736" s="1216"/>
    </row>
    <row r="1737" spans="1:26">
      <c r="A1737" s="1935"/>
      <c r="B1737" s="1935"/>
      <c r="C1737" s="1216"/>
      <c r="D1737" s="1216"/>
      <c r="E1737" s="1216"/>
      <c r="F1737" s="1216"/>
      <c r="G1737" s="1216"/>
      <c r="H1737" s="1216"/>
      <c r="I1737" s="1216"/>
      <c r="J1737" s="1216"/>
      <c r="K1737" s="1943"/>
      <c r="L1737" s="1943"/>
      <c r="M1737" s="1216"/>
      <c r="N1737" s="1216"/>
      <c r="O1737" s="1216"/>
      <c r="P1737" s="1216"/>
      <c r="Q1737" s="1216"/>
      <c r="R1737" s="1216"/>
      <c r="S1737" s="1216"/>
      <c r="T1737" s="1216"/>
      <c r="U1737" s="1216"/>
      <c r="V1737" s="1216"/>
      <c r="W1737" s="1216"/>
      <c r="X1737" s="1216"/>
      <c r="Y1737" s="1216"/>
      <c r="Z1737" s="1216"/>
    </row>
    <row r="1738" spans="1:26" ht="15">
      <c r="A1738" s="1631"/>
      <c r="B1738" s="1994" t="s">
        <v>3757</v>
      </c>
      <c r="C1738" s="1631"/>
      <c r="D1738" s="1634"/>
      <c r="E1738" s="1634"/>
      <c r="F1738" s="1634"/>
      <c r="G1738" s="1634"/>
      <c r="H1738" s="521"/>
      <c r="I1738" s="521"/>
      <c r="J1738" s="521"/>
      <c r="K1738" s="521"/>
      <c r="L1738" s="1976"/>
      <c r="M1738" s="1630"/>
      <c r="N1738" s="1637"/>
      <c r="O1738" s="1975"/>
      <c r="P1738" s="1639"/>
      <c r="Q1738" s="1976"/>
      <c r="R1738" s="1976"/>
      <c r="S1738" s="1976"/>
      <c r="T1738" s="1976"/>
      <c r="U1738" s="1976"/>
      <c r="V1738" s="1976"/>
      <c r="W1738" s="1976"/>
      <c r="X1738" s="1976"/>
      <c r="Y1738" s="1976"/>
      <c r="Z1738" s="1976"/>
    </row>
    <row r="1739" spans="1:26" ht="15.75">
      <c r="A1739" s="1900">
        <f>'Part IX Scoring Criteria'!A185</f>
        <v>0</v>
      </c>
      <c r="B1739" s="1900">
        <f>'Part IX Scoring Criteria'!B185</f>
        <v>0</v>
      </c>
      <c r="C1739" s="1900">
        <f>'Part IX Scoring Criteria'!C185</f>
        <v>0</v>
      </c>
      <c r="D1739" s="1900">
        <f>'Part IX Scoring Criteria'!D185</f>
        <v>0</v>
      </c>
      <c r="E1739" s="1900">
        <f>'Part IX Scoring Criteria'!E185</f>
        <v>0</v>
      </c>
      <c r="F1739" s="1900">
        <f>'Part IX Scoring Criteria'!F185</f>
        <v>0</v>
      </c>
      <c r="G1739" s="1900">
        <f>'Part IX Scoring Criteria'!G185</f>
        <v>0</v>
      </c>
      <c r="H1739" s="1900">
        <f>'Part IX Scoring Criteria'!H185</f>
        <v>0</v>
      </c>
      <c r="I1739" s="1900">
        <f>'Part IX Scoring Criteria'!I185</f>
        <v>0</v>
      </c>
      <c r="J1739" s="1900">
        <f>'Part IX Scoring Criteria'!J185</f>
        <v>0</v>
      </c>
      <c r="K1739" s="1900">
        <f>'Part IX Scoring Criteria'!K185</f>
        <v>0</v>
      </c>
      <c r="L1739" s="1900">
        <f>'Part IX Scoring Criteria'!L185</f>
        <v>0</v>
      </c>
      <c r="M1739" s="1900">
        <f>'Part IX Scoring Criteria'!M185</f>
        <v>0</v>
      </c>
      <c r="N1739" s="1900">
        <f>'Part IX Scoring Criteria'!N185</f>
        <v>0</v>
      </c>
      <c r="O1739" s="1900">
        <f>'Part IX Scoring Criteria'!O185</f>
        <v>0</v>
      </c>
      <c r="P1739" s="1900">
        <f>'Part IX Scoring Criteria'!P185</f>
        <v>0</v>
      </c>
      <c r="Q1739" s="1984"/>
      <c r="R1739" s="1976"/>
      <c r="S1739" s="1976"/>
      <c r="T1739" s="1976"/>
      <c r="U1739" s="1976"/>
      <c r="V1739" s="1976"/>
      <c r="W1739" s="1976"/>
      <c r="X1739" s="1976"/>
      <c r="Y1739" s="1976"/>
      <c r="Z1739" s="1976"/>
    </row>
    <row r="1740" spans="1:26" ht="15">
      <c r="A1740" s="1631"/>
      <c r="B1740" s="1897" t="s">
        <v>1866</v>
      </c>
      <c r="C1740" s="1631"/>
      <c r="D1740" s="1897"/>
      <c r="E1740" s="1899"/>
      <c r="F1740" s="1899"/>
      <c r="G1740" s="1899"/>
      <c r="H1740" s="1899"/>
      <c r="I1740" s="1899"/>
      <c r="J1740" s="1899"/>
      <c r="K1740" s="1899"/>
      <c r="L1740" s="1899"/>
      <c r="M1740" s="1899"/>
      <c r="N1740" s="2011"/>
      <c r="O1740" s="1982"/>
      <c r="P1740" s="1813"/>
      <c r="Q1740" s="2006"/>
      <c r="R1740" s="1976"/>
      <c r="S1740" s="1976"/>
      <c r="T1740" s="1976"/>
      <c r="U1740" s="1976"/>
      <c r="V1740" s="1976"/>
      <c r="W1740" s="1976"/>
      <c r="X1740" s="1976"/>
      <c r="Y1740" s="1976"/>
      <c r="Z1740" s="1976"/>
    </row>
    <row r="1741" spans="1:26" ht="15.75">
      <c r="A1741" s="1900">
        <f>'Part IX Scoring Criteria'!A187</f>
        <v>0</v>
      </c>
      <c r="B1741" s="1900">
        <f>'Part IX Scoring Criteria'!B187</f>
        <v>0</v>
      </c>
      <c r="C1741" s="1900">
        <f>'Part IX Scoring Criteria'!C187</f>
        <v>0</v>
      </c>
      <c r="D1741" s="1900">
        <f>'Part IX Scoring Criteria'!D187</f>
        <v>0</v>
      </c>
      <c r="E1741" s="1900">
        <f>'Part IX Scoring Criteria'!E187</f>
        <v>0</v>
      </c>
      <c r="F1741" s="1900">
        <f>'Part IX Scoring Criteria'!F187</f>
        <v>0</v>
      </c>
      <c r="G1741" s="1900">
        <f>'Part IX Scoring Criteria'!G187</f>
        <v>0</v>
      </c>
      <c r="H1741" s="1900">
        <f>'Part IX Scoring Criteria'!H187</f>
        <v>0</v>
      </c>
      <c r="I1741" s="1900">
        <f>'Part IX Scoring Criteria'!I187</f>
        <v>0</v>
      </c>
      <c r="J1741" s="1900">
        <f>'Part IX Scoring Criteria'!J187</f>
        <v>0</v>
      </c>
      <c r="K1741" s="1900">
        <f>'Part IX Scoring Criteria'!K187</f>
        <v>0</v>
      </c>
      <c r="L1741" s="1900">
        <f>'Part IX Scoring Criteria'!L187</f>
        <v>0</v>
      </c>
      <c r="M1741" s="1900">
        <f>'Part IX Scoring Criteria'!M187</f>
        <v>0</v>
      </c>
      <c r="N1741" s="1900">
        <f>'Part IX Scoring Criteria'!N187</f>
        <v>0</v>
      </c>
      <c r="O1741" s="1900">
        <f>'Part IX Scoring Criteria'!O187</f>
        <v>0</v>
      </c>
      <c r="P1741" s="1900">
        <f>'Part IX Scoring Criteria'!P187</f>
        <v>0</v>
      </c>
      <c r="Q1741" s="1984"/>
      <c r="R1741" s="1976"/>
      <c r="S1741" s="1976"/>
      <c r="T1741" s="1976"/>
      <c r="U1741" s="1976"/>
      <c r="V1741" s="1976"/>
      <c r="W1741" s="1976"/>
      <c r="X1741" s="1976"/>
      <c r="Y1741" s="1976"/>
      <c r="Z1741" s="1976"/>
    </row>
    <row r="1742" spans="1:26" ht="15">
      <c r="A1742" s="1631"/>
      <c r="B1742" s="1976"/>
      <c r="C1742" s="1899"/>
      <c r="D1742" s="1899"/>
      <c r="E1742" s="1899"/>
      <c r="F1742" s="1899"/>
      <c r="G1742" s="1899"/>
      <c r="H1742" s="1899"/>
      <c r="I1742" s="1899"/>
      <c r="J1742" s="1899"/>
      <c r="K1742" s="1899"/>
      <c r="L1742" s="1899"/>
      <c r="M1742" s="1899"/>
      <c r="N1742" s="2011"/>
      <c r="O1742" s="1982"/>
      <c r="P1742" s="1813"/>
      <c r="Q1742" s="1976"/>
      <c r="R1742" s="1976"/>
      <c r="S1742" s="1976"/>
      <c r="T1742" s="1976"/>
      <c r="U1742" s="1976"/>
      <c r="V1742" s="1976"/>
      <c r="W1742" s="1976"/>
      <c r="X1742" s="1976"/>
      <c r="Y1742" s="1976"/>
      <c r="Z1742" s="1976"/>
    </row>
    <row r="1743" spans="1:26" ht="15">
      <c r="A1743" s="1977" t="s">
        <v>292</v>
      </c>
      <c r="B1743" s="1978" t="s">
        <v>4018</v>
      </c>
      <c r="C1743" s="1993"/>
      <c r="D1743" s="1994"/>
      <c r="E1743" s="1994"/>
      <c r="F1743" s="1993"/>
      <c r="G1743" s="1993"/>
      <c r="H1743" s="1842" t="s">
        <v>4019</v>
      </c>
      <c r="I1743" s="2066"/>
      <c r="J1743" s="2066"/>
      <c r="K1743" s="1895"/>
      <c r="L1743" s="1895"/>
      <c r="M1743" s="1813">
        <v>7</v>
      </c>
      <c r="N1743" s="1630"/>
      <c r="O1743" s="1975">
        <f>'Part IX Scoring Criteria'!O189</f>
        <v>0</v>
      </c>
      <c r="P1743" s="1975">
        <f>'Part IX Scoring Criteria'!P189</f>
        <v>0</v>
      </c>
      <c r="Q1743" s="1813" t="s">
        <v>441</v>
      </c>
      <c r="R1743" s="1976"/>
      <c r="S1743" s="1993"/>
      <c r="T1743" s="1993"/>
      <c r="U1743" s="1993"/>
      <c r="V1743" s="1993"/>
      <c r="W1743" s="1993"/>
      <c r="X1743" s="1993"/>
      <c r="Y1743" s="1993"/>
      <c r="Z1743" s="1993"/>
    </row>
    <row r="1744" spans="1:26" ht="18.75">
      <c r="A1744" s="1935"/>
      <c r="B1744" s="1964"/>
      <c r="D1744" s="1943"/>
      <c r="E1744" s="1964"/>
      <c r="G1744" s="2067"/>
      <c r="H1744" s="1964"/>
      <c r="I1744" s="1841"/>
      <c r="K1744" s="1841"/>
      <c r="R1744" s="2043"/>
      <c r="S1744" s="2043"/>
    </row>
    <row r="1745" spans="1:26" ht="15">
      <c r="A1745" s="1813"/>
      <c r="B1745" s="1820" t="s">
        <v>4584</v>
      </c>
      <c r="C1745" s="1820"/>
      <c r="D1745" s="1820"/>
      <c r="E1745" s="1652" t="s">
        <v>4181</v>
      </c>
      <c r="F1745" s="1820"/>
      <c r="G1745" s="1820"/>
      <c r="H1745" s="1820"/>
      <c r="I1745" s="1820"/>
      <c r="J1745" s="1820"/>
      <c r="K1745" s="1820"/>
      <c r="L1745" s="1820"/>
      <c r="M1745" s="1820"/>
      <c r="N1745" s="1820"/>
      <c r="O1745" s="1820"/>
      <c r="P1745" s="1820"/>
      <c r="Q1745" s="1976"/>
      <c r="R1745" s="1976"/>
      <c r="S1745" s="1976"/>
      <c r="T1745" s="1976"/>
      <c r="U1745" s="1976"/>
      <c r="V1745" s="1976"/>
      <c r="W1745" s="1976"/>
      <c r="X1745" s="1976"/>
      <c r="Y1745" s="1976"/>
      <c r="Z1745" s="1976"/>
    </row>
    <row r="1746" spans="1:26" ht="15">
      <c r="A1746" s="1813"/>
      <c r="B1746" s="1976"/>
      <c r="C1746" s="1820"/>
      <c r="D1746" s="1820"/>
      <c r="E1746" s="1820"/>
      <c r="F1746" s="1820"/>
      <c r="G1746" s="1820"/>
      <c r="H1746" s="1820"/>
      <c r="I1746" s="1820"/>
      <c r="J1746" s="1820"/>
      <c r="K1746" s="1943" t="s">
        <v>2510</v>
      </c>
      <c r="L1746" s="1943" t="s">
        <v>2510</v>
      </c>
      <c r="M1746" s="1976"/>
      <c r="N1746" s="1955"/>
      <c r="O1746" s="1976"/>
      <c r="P1746" s="1955"/>
      <c r="Q1746" s="1976"/>
      <c r="R1746" s="1976"/>
      <c r="S1746" s="1976"/>
      <c r="T1746" s="1976"/>
      <c r="U1746" s="1976"/>
      <c r="V1746" s="1976"/>
      <c r="W1746" s="1976"/>
      <c r="X1746" s="1976"/>
      <c r="Y1746" s="1976"/>
      <c r="Z1746" s="1976"/>
    </row>
    <row r="1747" spans="1:26" ht="12.75" customHeight="1">
      <c r="A1747" s="1913"/>
      <c r="B1747" s="1944" t="s">
        <v>2435</v>
      </c>
      <c r="C1747" s="1900" t="s">
        <v>4136</v>
      </c>
      <c r="D1747" s="1900"/>
      <c r="E1747" s="1900"/>
      <c r="F1747" s="1900"/>
      <c r="G1747" s="1900"/>
      <c r="H1747" s="1900"/>
      <c r="I1747" s="1900"/>
      <c r="J1747" s="1944" t="s">
        <v>2435</v>
      </c>
      <c r="K1747" s="1938">
        <f>'Part IX Scoring Criteria'!K193</f>
        <v>0</v>
      </c>
      <c r="L1747" s="1938">
        <f>'Part IX Scoring Criteria'!L193</f>
        <v>0</v>
      </c>
      <c r="M1747" s="2168" t="str">
        <f>'Part IX Scoring Criteria'!M193</f>
        <v>&lt;Enter page nbr(s) from Plan&gt;</v>
      </c>
      <c r="N1747" s="2168">
        <f>'Part IX Scoring Criteria'!N193</f>
        <v>0</v>
      </c>
      <c r="O1747" s="2168">
        <f>'Part IX Scoring Criteria'!O193</f>
        <v>0</v>
      </c>
      <c r="P1747" s="2168">
        <f>'Part IX Scoring Criteria'!P193</f>
        <v>0</v>
      </c>
      <c r="Q1747" s="1913"/>
      <c r="R1747" s="1913"/>
      <c r="S1747" s="1913"/>
      <c r="T1747" s="1913"/>
      <c r="U1747" s="1913"/>
      <c r="V1747" s="1913"/>
      <c r="W1747" s="1913"/>
      <c r="X1747" s="1913"/>
      <c r="Y1747" s="1913"/>
      <c r="Z1747" s="1913"/>
    </row>
    <row r="1748" spans="1:26" ht="15">
      <c r="A1748" s="1639"/>
      <c r="B1748" s="1937"/>
      <c r="C1748" s="1900"/>
      <c r="D1748" s="1900"/>
      <c r="E1748" s="1900"/>
      <c r="F1748" s="1900"/>
      <c r="G1748" s="1900"/>
      <c r="H1748" s="1900"/>
      <c r="I1748" s="1900"/>
      <c r="J1748" s="1976"/>
      <c r="K1748" s="2068"/>
      <c r="L1748" s="2068"/>
      <c r="M1748" s="1976"/>
      <c r="N1748" s="1976"/>
      <c r="O1748" s="1976"/>
      <c r="P1748" s="1976"/>
      <c r="Q1748" s="1976"/>
      <c r="R1748" s="1976"/>
      <c r="S1748" s="1976"/>
      <c r="T1748" s="1976"/>
      <c r="U1748" s="1976"/>
      <c r="V1748" s="1976"/>
      <c r="W1748" s="1976"/>
      <c r="X1748" s="1976"/>
      <c r="Y1748" s="1976"/>
      <c r="Z1748" s="1976"/>
    </row>
    <row r="1749" spans="1:26" ht="15" customHeight="1">
      <c r="A1749" s="1639"/>
      <c r="B1749" s="1944" t="s">
        <v>2436</v>
      </c>
      <c r="C1749" s="1900" t="s">
        <v>4585</v>
      </c>
      <c r="D1749" s="1900"/>
      <c r="E1749" s="1900"/>
      <c r="F1749" s="1900"/>
      <c r="G1749" s="1900"/>
      <c r="H1749" s="1976"/>
      <c r="I1749" s="1976"/>
      <c r="J1749" s="1937" t="s">
        <v>2436</v>
      </c>
      <c r="K1749" s="1938">
        <f>'Part IX Scoring Criteria'!K195</f>
        <v>0</v>
      </c>
      <c r="L1749" s="1938">
        <f>'Part IX Scoring Criteria'!L195</f>
        <v>0</v>
      </c>
      <c r="M1749" s="2168" t="str">
        <f>'Part IX Scoring Criteria'!M195</f>
        <v>&lt;Enter page nbr(s) from Plan&gt;</v>
      </c>
      <c r="N1749" s="2168">
        <f>'Part IX Scoring Criteria'!N195</f>
        <v>0</v>
      </c>
      <c r="O1749" s="2168">
        <f>'Part IX Scoring Criteria'!O195</f>
        <v>0</v>
      </c>
      <c r="P1749" s="2168">
        <f>'Part IX Scoring Criteria'!P195</f>
        <v>0</v>
      </c>
      <c r="Q1749" s="1976"/>
      <c r="R1749" s="1976"/>
      <c r="S1749" s="1976"/>
      <c r="T1749" s="1976"/>
      <c r="U1749" s="1976"/>
      <c r="V1749" s="1976"/>
      <c r="W1749" s="1976"/>
      <c r="X1749" s="1976"/>
      <c r="Y1749" s="1976"/>
      <c r="Z1749" s="1976"/>
    </row>
    <row r="1750" spans="1:26" ht="12.75" customHeight="1">
      <c r="A1750" s="1913"/>
      <c r="B1750" s="1944" t="s">
        <v>2437</v>
      </c>
      <c r="C1750" s="1921" t="s">
        <v>2825</v>
      </c>
      <c r="D1750" s="1921"/>
      <c r="E1750" s="1921"/>
      <c r="F1750" s="1921"/>
      <c r="G1750" s="1921"/>
      <c r="H1750" s="1921"/>
      <c r="I1750" s="1913"/>
      <c r="J1750" s="1944" t="s">
        <v>2437</v>
      </c>
      <c r="K1750" s="1938">
        <f>'Part IX Scoring Criteria'!K196</f>
        <v>0</v>
      </c>
      <c r="L1750" s="1938">
        <f>'Part IX Scoring Criteria'!L196</f>
        <v>0</v>
      </c>
      <c r="M1750" s="2168" t="str">
        <f>'Part IX Scoring Criteria'!M196</f>
        <v>&lt;Enter page nbr(s) from Plan&gt;</v>
      </c>
      <c r="N1750" s="2168">
        <f>'Part IX Scoring Criteria'!N196</f>
        <v>0</v>
      </c>
      <c r="O1750" s="2168">
        <f>'Part IX Scoring Criteria'!O196</f>
        <v>0</v>
      </c>
      <c r="P1750" s="2168">
        <f>'Part IX Scoring Criteria'!P196</f>
        <v>0</v>
      </c>
      <c r="Q1750" s="1913"/>
      <c r="R1750" s="1913"/>
      <c r="S1750" s="1913"/>
      <c r="T1750" s="1913"/>
      <c r="U1750" s="1913"/>
      <c r="V1750" s="1913"/>
      <c r="W1750" s="1913"/>
      <c r="X1750" s="1913"/>
      <c r="Y1750" s="1913"/>
      <c r="Z1750" s="1913"/>
    </row>
    <row r="1751" spans="1:26" ht="12.75" customHeight="1">
      <c r="A1751" s="1913"/>
      <c r="B1751" s="1944" t="s">
        <v>2438</v>
      </c>
      <c r="C1751" s="1218" t="s">
        <v>4022</v>
      </c>
      <c r="D1751" s="1921"/>
      <c r="E1751" s="1921"/>
      <c r="F1751" s="1921"/>
      <c r="G1751" s="1921"/>
      <c r="H1751" s="1921"/>
      <c r="I1751" s="1913"/>
      <c r="J1751" s="1944" t="s">
        <v>2438</v>
      </c>
      <c r="K1751" s="1938">
        <f>'Part IX Scoring Criteria'!K198</f>
        <v>0</v>
      </c>
      <c r="L1751" s="1938">
        <f>'Part IX Scoring Criteria'!L198</f>
        <v>0</v>
      </c>
      <c r="M1751" s="2168" t="str">
        <f>'Part IX Scoring Criteria'!M198</f>
        <v>&lt;Enter page nbr(s) from Plan&gt;</v>
      </c>
      <c r="N1751" s="2168">
        <f>'Part IX Scoring Criteria'!N198</f>
        <v>0</v>
      </c>
      <c r="O1751" s="2168">
        <f>'Part IX Scoring Criteria'!O198</f>
        <v>0</v>
      </c>
      <c r="P1751" s="2168">
        <f>'Part IX Scoring Criteria'!P198</f>
        <v>0</v>
      </c>
      <c r="Q1751" s="1913"/>
      <c r="R1751" s="1913"/>
      <c r="S1751" s="1913"/>
      <c r="T1751" s="1913"/>
      <c r="U1751" s="1913"/>
      <c r="V1751" s="1913"/>
      <c r="W1751" s="1913"/>
      <c r="X1751" s="1913"/>
      <c r="Y1751" s="1913"/>
      <c r="Z1751" s="1913"/>
    </row>
    <row r="1752" spans="1:26">
      <c r="A1752" s="1913"/>
      <c r="B1752" s="1944"/>
      <c r="C1752" s="1913"/>
      <c r="D1752" s="1921" t="s">
        <v>4178</v>
      </c>
      <c r="E1752" s="1921"/>
      <c r="F1752" s="1913"/>
      <c r="G1752" s="1913"/>
      <c r="H1752" s="1921"/>
      <c r="I1752" s="1913"/>
      <c r="J1752" s="1944"/>
      <c r="K1752" s="1938" t="e">
        <f>'Part IX Scoring Criteria'!#REF!</f>
        <v>#REF!</v>
      </c>
      <c r="L1752" s="1938" t="e">
        <f>'Part IX Scoring Criteria'!#REF!</f>
        <v>#REF!</v>
      </c>
      <c r="M1752" s="1913"/>
      <c r="N1752" s="1913"/>
      <c r="O1752" s="1913"/>
      <c r="P1752" s="1913"/>
      <c r="Q1752" s="1913"/>
      <c r="R1752" s="1913"/>
      <c r="S1752" s="1913"/>
      <c r="T1752" s="1913"/>
      <c r="U1752" s="1913"/>
      <c r="V1752" s="1913"/>
      <c r="W1752" s="1913"/>
      <c r="X1752" s="1913"/>
      <c r="Y1752" s="1913"/>
      <c r="Z1752" s="1913"/>
    </row>
    <row r="1753" spans="1:26" ht="12.75" customHeight="1">
      <c r="A1753" s="1913"/>
      <c r="B1753" s="1944" t="s">
        <v>2439</v>
      </c>
      <c r="C1753" s="1921" t="s">
        <v>4013</v>
      </c>
      <c r="D1753" s="1921"/>
      <c r="E1753" s="1921"/>
      <c r="F1753" s="1921"/>
      <c r="G1753" s="1921"/>
      <c r="H1753" s="1921"/>
      <c r="I1753" s="1913"/>
      <c r="J1753" s="1944" t="s">
        <v>2439</v>
      </c>
      <c r="K1753" s="1938">
        <f>'Part IX Scoring Criteria'!K197</f>
        <v>0</v>
      </c>
      <c r="L1753" s="1938">
        <f>'Part IX Scoring Criteria'!L197</f>
        <v>0</v>
      </c>
      <c r="M1753" s="2168" t="str">
        <f>'Part IX Scoring Criteria'!M197</f>
        <v>&lt;Enter page nbr(s) from Plan&gt;</v>
      </c>
      <c r="N1753" s="2168">
        <f>'Part IX Scoring Criteria'!N197</f>
        <v>0</v>
      </c>
      <c r="O1753" s="2168">
        <f>'Part IX Scoring Criteria'!O197</f>
        <v>0</v>
      </c>
      <c r="P1753" s="2168">
        <f>'Part IX Scoring Criteria'!P197</f>
        <v>0</v>
      </c>
      <c r="Q1753" s="1913"/>
      <c r="R1753" s="1913"/>
      <c r="S1753" s="1913"/>
      <c r="T1753" s="1913"/>
      <c r="U1753" s="1913"/>
      <c r="V1753" s="1913"/>
      <c r="W1753" s="1913"/>
      <c r="X1753" s="1913"/>
      <c r="Y1753" s="1913"/>
      <c r="Z1753" s="1913"/>
    </row>
    <row r="1754" spans="1:26" ht="12.75" customHeight="1">
      <c r="A1754" s="1913"/>
      <c r="B1754" s="1944" t="s">
        <v>2455</v>
      </c>
      <c r="C1754" s="1921" t="s">
        <v>2826</v>
      </c>
      <c r="D1754" s="1921"/>
      <c r="E1754" s="1921"/>
      <c r="F1754" s="1921"/>
      <c r="G1754" s="1921"/>
      <c r="H1754" s="1913"/>
      <c r="I1754" s="1913"/>
      <c r="J1754" s="1944" t="s">
        <v>2455</v>
      </c>
      <c r="K1754" s="1938">
        <f>'Part IX Scoring Criteria'!K199</f>
        <v>0</v>
      </c>
      <c r="L1754" s="1938">
        <f>'Part IX Scoring Criteria'!L199</f>
        <v>0</v>
      </c>
      <c r="M1754" s="2168" t="str">
        <f>'Part IX Scoring Criteria'!M199</f>
        <v>&lt;Enter page nbr(s) from Plan&gt;</v>
      </c>
      <c r="N1754" s="2168">
        <f>'Part IX Scoring Criteria'!N199</f>
        <v>0</v>
      </c>
      <c r="O1754" s="2168">
        <f>'Part IX Scoring Criteria'!O199</f>
        <v>0</v>
      </c>
      <c r="P1754" s="2168">
        <f>'Part IX Scoring Criteria'!P199</f>
        <v>0</v>
      </c>
      <c r="Q1754" s="1913"/>
      <c r="R1754" s="1913"/>
      <c r="S1754" s="1913"/>
      <c r="T1754" s="1913"/>
      <c r="U1754" s="1913"/>
      <c r="V1754" s="1913"/>
      <c r="W1754" s="1913"/>
      <c r="X1754" s="1913"/>
      <c r="Y1754" s="1913"/>
      <c r="Z1754" s="1913"/>
    </row>
    <row r="1755" spans="1:26">
      <c r="A1755" s="1913"/>
      <c r="B1755" s="1944" t="s">
        <v>2456</v>
      </c>
      <c r="C1755" s="1921" t="s">
        <v>4014</v>
      </c>
      <c r="D1755" s="1921"/>
      <c r="E1755" s="1921"/>
      <c r="F1755" s="1921"/>
      <c r="G1755" s="1913"/>
      <c r="H1755" s="1913"/>
      <c r="I1755" s="1913"/>
      <c r="J1755" s="1944" t="s">
        <v>2456</v>
      </c>
      <c r="K1755" s="1938">
        <f>'Part IX Scoring Criteria'!K200</f>
        <v>0</v>
      </c>
      <c r="L1755" s="1938">
        <f>'Part IX Scoring Criteria'!L200</f>
        <v>0</v>
      </c>
      <c r="M1755" s="1913"/>
      <c r="N1755" s="1913"/>
      <c r="O1755" s="1913"/>
      <c r="P1755" s="1913"/>
      <c r="Q1755" s="1913"/>
      <c r="R1755" s="1913"/>
      <c r="S1755" s="1913"/>
      <c r="T1755" s="1913"/>
      <c r="U1755" s="1913"/>
      <c r="V1755" s="1913"/>
      <c r="W1755" s="1913"/>
      <c r="X1755" s="1913"/>
      <c r="Y1755" s="1913"/>
      <c r="Z1755" s="1913"/>
    </row>
    <row r="1756" spans="1:26">
      <c r="A1756" s="1913"/>
      <c r="B1756" s="1944"/>
      <c r="C1756" s="1921"/>
      <c r="D1756" s="1921" t="s">
        <v>4015</v>
      </c>
      <c r="E1756" s="1921"/>
      <c r="F1756" s="2069" t="e">
        <f>'Part IX Scoring Criteria'!#REF!</f>
        <v>#REF!</v>
      </c>
      <c r="G1756" s="2069" t="e">
        <f>'Part IX Scoring Criteria'!#REF!</f>
        <v>#REF!</v>
      </c>
      <c r="H1756" s="1913"/>
      <c r="I1756" s="1921" t="s">
        <v>4016</v>
      </c>
      <c r="J1756" s="1913"/>
      <c r="K1756" s="2069">
        <f>'Part IX Scoring Criteria'!K201</f>
        <v>0</v>
      </c>
      <c r="L1756" s="2069">
        <f>'Part IX Scoring Criteria'!L201</f>
        <v>0</v>
      </c>
      <c r="M1756" s="1913"/>
      <c r="N1756" s="1913"/>
      <c r="O1756" s="1913"/>
      <c r="P1756" s="1913"/>
      <c r="Q1756" s="1913"/>
      <c r="R1756" s="1913"/>
      <c r="S1756" s="1913"/>
      <c r="T1756" s="1913"/>
      <c r="U1756" s="1913"/>
      <c r="V1756" s="1913"/>
      <c r="W1756" s="1913"/>
      <c r="X1756" s="1913"/>
      <c r="Y1756" s="1913"/>
      <c r="Z1756" s="1913"/>
    </row>
    <row r="1757" spans="1:26">
      <c r="A1757" s="1913"/>
      <c r="B1757" s="1944" t="s">
        <v>2457</v>
      </c>
      <c r="C1757" s="1921" t="s">
        <v>4586</v>
      </c>
      <c r="D1757" s="1921"/>
      <c r="E1757" s="1921"/>
      <c r="F1757" s="1921"/>
      <c r="G1757" s="1913"/>
      <c r="H1757" s="1913"/>
      <c r="I1757" s="1913"/>
      <c r="J1757" s="1944" t="s">
        <v>2457</v>
      </c>
      <c r="K1757" s="1938">
        <f>'Part IX Scoring Criteria'!K202</f>
        <v>0</v>
      </c>
      <c r="L1757" s="1938">
        <f>'Part IX Scoring Criteria'!L202</f>
        <v>0</v>
      </c>
      <c r="M1757" s="1913"/>
      <c r="N1757" s="1913"/>
      <c r="O1757" s="1913"/>
      <c r="P1757" s="1913"/>
      <c r="Q1757" s="1913"/>
      <c r="R1757" s="1913"/>
      <c r="S1757" s="1913"/>
      <c r="T1757" s="1913"/>
      <c r="U1757" s="1913"/>
      <c r="V1757" s="1913"/>
      <c r="W1757" s="1913"/>
      <c r="X1757" s="1913"/>
      <c r="Y1757" s="1913"/>
      <c r="Z1757" s="1913"/>
    </row>
    <row r="1758" spans="1:26">
      <c r="A1758" s="1935"/>
      <c r="B1758" s="1964"/>
      <c r="D1758" s="1943"/>
      <c r="E1758" s="1964"/>
      <c r="G1758" s="2067"/>
      <c r="H1758" s="1964"/>
      <c r="I1758" s="1841"/>
      <c r="K1758" s="1841"/>
    </row>
    <row r="1759" spans="1:26">
      <c r="B1759" s="1929" t="s">
        <v>4137</v>
      </c>
      <c r="E1759" s="1631"/>
      <c r="G1759" s="2038" t="e">
        <f>'Part IX Scoring Criteria'!#REF!</f>
        <v>#REF!</v>
      </c>
      <c r="H1759" s="2038" t="e">
        <f>'Part IX Scoring Criteria'!#REF!</f>
        <v>#REF!</v>
      </c>
      <c r="I1759" s="2038" t="e">
        <f>'Part IX Scoring Criteria'!#REF!</f>
        <v>#REF!</v>
      </c>
      <c r="J1759" s="2038" t="e">
        <f>'Part IX Scoring Criteria'!#REF!</f>
        <v>#REF!</v>
      </c>
      <c r="K1759" s="2038" t="e">
        <f>'Part IX Scoring Criteria'!#REF!</f>
        <v>#REF!</v>
      </c>
      <c r="L1759" s="2038" t="e">
        <f>'Part IX Scoring Criteria'!#REF!</f>
        <v>#REF!</v>
      </c>
      <c r="M1759" s="2038" t="e">
        <f>'Part IX Scoring Criteria'!#REF!</f>
        <v>#REF!</v>
      </c>
      <c r="N1759" s="2038" t="e">
        <f>'Part IX Scoring Criteria'!#REF!</f>
        <v>#REF!</v>
      </c>
      <c r="O1759" s="2038" t="e">
        <f>'Part IX Scoring Criteria'!#REF!</f>
        <v>#REF!</v>
      </c>
      <c r="P1759" s="2038" t="e">
        <f>'Part IX Scoring Criteria'!#REF!</f>
        <v>#REF!</v>
      </c>
      <c r="Q1759" s="2057"/>
    </row>
    <row r="1760" spans="1:26">
      <c r="B1760" s="1937"/>
      <c r="C1760" s="521"/>
      <c r="K1760" s="1841"/>
      <c r="M1760" s="1639"/>
      <c r="N1760" s="1639"/>
      <c r="O1760" s="1639"/>
      <c r="P1760" s="1639"/>
    </row>
    <row r="1761" spans="1:26">
      <c r="A1761" s="1825" t="s">
        <v>1983</v>
      </c>
      <c r="B1761" s="1820" t="s">
        <v>4017</v>
      </c>
      <c r="M1761" s="1630">
        <v>5</v>
      </c>
      <c r="N1761" s="1935" t="s">
        <v>1983</v>
      </c>
      <c r="O1761" s="2070">
        <f>'Part IX Scoring Criteria'!O205</f>
        <v>0</v>
      </c>
      <c r="P1761" s="2070">
        <f>'Part IX Scoring Criteria'!P205</f>
        <v>0</v>
      </c>
      <c r="Q1761" s="1689"/>
      <c r="X1761" s="1639"/>
      <c r="Y1761" s="1937"/>
    </row>
    <row r="1762" spans="1:26" ht="12.75" customHeight="1">
      <c r="A1762" s="1935"/>
      <c r="B1762" s="2050" t="s">
        <v>1986</v>
      </c>
      <c r="C1762" s="1900" t="s">
        <v>4587</v>
      </c>
      <c r="D1762" s="1900"/>
      <c r="E1762" s="1900"/>
      <c r="F1762" s="1900"/>
      <c r="G1762" s="1900"/>
      <c r="H1762" s="1900"/>
      <c r="I1762" s="1900"/>
      <c r="J1762" s="1900"/>
      <c r="K1762" s="1900"/>
      <c r="L1762" s="1942" t="str">
        <f>IF(OR($O1762=$M1762,$O1762=0,$O1762=""),"","* * Check Score! * *")</f>
        <v/>
      </c>
      <c r="M1762" s="1948">
        <v>3</v>
      </c>
      <c r="N1762" s="2021" t="s">
        <v>1986</v>
      </c>
      <c r="O1762" s="2014">
        <f>'Part IX Scoring Criteria'!O206</f>
        <v>0</v>
      </c>
      <c r="P1762" s="2014">
        <f>'Part IX Scoring Criteria'!P206</f>
        <v>0</v>
      </c>
      <c r="Q1762" s="2015" t="str">
        <f>IF(OR($O1762=$M1762,$O1762=0,$O1762=""),"","*CHECK!*")</f>
        <v/>
      </c>
      <c r="R1762" s="1648" t="s">
        <v>2706</v>
      </c>
    </row>
    <row r="1763" spans="1:26" ht="12.75" customHeight="1">
      <c r="A1763" s="1935"/>
      <c r="B1763" s="2050" t="s">
        <v>1988</v>
      </c>
      <c r="C1763" s="1965" t="s">
        <v>4588</v>
      </c>
      <c r="D1763" s="1965"/>
      <c r="E1763" s="1965"/>
      <c r="F1763" s="1965"/>
      <c r="G1763" s="1965"/>
      <c r="H1763" s="1965"/>
      <c r="I1763" s="1965"/>
      <c r="J1763" s="1965"/>
      <c r="K1763" s="1965"/>
      <c r="L1763" s="1942" t="str">
        <f>IF(OR($O1763=$M1763,$O1763=0,$O1763=""),"","* * Check Score! * *")</f>
        <v/>
      </c>
      <c r="M1763" s="1948">
        <v>2</v>
      </c>
      <c r="N1763" s="2021" t="s">
        <v>1988</v>
      </c>
      <c r="O1763" s="2014">
        <f>'Part IX Scoring Criteria'!O207</f>
        <v>0</v>
      </c>
      <c r="P1763" s="2014">
        <f>'Part IX Scoring Criteria'!P207</f>
        <v>0</v>
      </c>
      <c r="Q1763" s="2015" t="str">
        <f>IF(OR($O1763=$M1763,$O1763=0,$O1763=""),"","*CHECK!*")</f>
        <v/>
      </c>
      <c r="R1763" s="1648" t="s">
        <v>2706</v>
      </c>
    </row>
    <row r="1764" spans="1:26">
      <c r="A1764" s="1935"/>
      <c r="B1764" s="1964"/>
      <c r="C1764" s="1964" t="s">
        <v>3782</v>
      </c>
      <c r="E1764" s="1964" t="str">
        <f>'Part I-Project Information'!$N$39</f>
        <v>Yes</v>
      </c>
      <c r="G1764" s="1964" t="s">
        <v>3576</v>
      </c>
      <c r="I1764" s="2071" t="str">
        <f>'Part I-Project Information'!$O$38</f>
        <v>233.10</v>
      </c>
      <c r="J1764" s="2071"/>
      <c r="K1764" s="1841" t="s">
        <v>3375</v>
      </c>
      <c r="M1764" s="1841" t="str">
        <f>'Part IV-A-Uses of Funds'!$H$152</f>
        <v>DDA/QCT</v>
      </c>
    </row>
    <row r="1765" spans="1:26">
      <c r="A1765" s="1935"/>
      <c r="B1765" s="1964"/>
      <c r="D1765" s="1943"/>
      <c r="E1765" s="1964"/>
      <c r="G1765" s="1841"/>
      <c r="K1765" s="1841"/>
      <c r="L1765" s="1841"/>
    </row>
    <row r="1766" spans="1:26">
      <c r="A1766" s="1825" t="s">
        <v>1985</v>
      </c>
      <c r="B1766" s="1820" t="s">
        <v>4020</v>
      </c>
      <c r="D1766" s="1631"/>
      <c r="K1766" s="1829"/>
      <c r="L1766" s="1942" t="str">
        <f>IF(OR($O1766=$M1766,$O1766=0,$O1766=""),"","* * Check Score! * *")</f>
        <v/>
      </c>
      <c r="M1766" s="1630">
        <v>2</v>
      </c>
      <c r="N1766" s="1935" t="s">
        <v>1985</v>
      </c>
      <c r="O1766" s="1975">
        <f>'Part IX Scoring Criteria'!O210</f>
        <v>0</v>
      </c>
      <c r="P1766" s="1975">
        <f>'Part IX Scoring Criteria'!P210</f>
        <v>0</v>
      </c>
      <c r="Q1766" s="2015" t="str">
        <f>IF(OR($O1766=$M1766,$O1766=0,$O1766=""),"","*CHECK!*")</f>
        <v/>
      </c>
      <c r="R1766" s="1648" t="s">
        <v>2706</v>
      </c>
    </row>
    <row r="1767" spans="1:26" ht="18.75">
      <c r="A1767" s="1825"/>
      <c r="B1767" s="521" t="s">
        <v>2794</v>
      </c>
      <c r="C1767" s="1976"/>
      <c r="D1767" s="521"/>
      <c r="E1767" s="521"/>
      <c r="F1767" s="1813"/>
      <c r="G1767" s="1976"/>
      <c r="H1767" s="1216"/>
      <c r="I1767" s="1976"/>
      <c r="J1767" s="1894" t="str">
        <f>'Part I-Project Information'!$H$105</f>
        <v>N/A - 4% Bond</v>
      </c>
      <c r="K1767" s="1841"/>
      <c r="L1767" s="1976"/>
      <c r="M1767" s="1976"/>
      <c r="N1767" s="1976"/>
      <c r="O1767" s="1976"/>
      <c r="P1767" s="1976"/>
      <c r="Q1767" s="1976"/>
      <c r="R1767" s="1976"/>
      <c r="S1767" s="1976"/>
      <c r="T1767" s="1942" t="str">
        <f>IF(OR($O1766=$M1766,$O1766=0,$O1766=""),"","* * Check Score! * *")</f>
        <v/>
      </c>
      <c r="U1767" s="1976"/>
      <c r="V1767" s="2043"/>
      <c r="W1767" s="2043"/>
      <c r="X1767" s="1976"/>
      <c r="Y1767" s="1976"/>
      <c r="Z1767" s="1976"/>
    </row>
    <row r="1768" spans="1:26" ht="18.75">
      <c r="A1768" s="1941"/>
      <c r="B1768" s="521" t="s">
        <v>3861</v>
      </c>
      <c r="C1768" s="1976"/>
      <c r="D1768" s="1976"/>
      <c r="E1768" s="1976"/>
      <c r="F1768" s="1976"/>
      <c r="G1768" s="1976"/>
      <c r="H1768" s="1976"/>
      <c r="I1768" s="1976"/>
      <c r="J1768" s="1867">
        <f>'Part IX Scoring Criteria'!J212</f>
        <v>0</v>
      </c>
      <c r="K1768" s="1867">
        <f>'Part IX Scoring Criteria'!K212</f>
        <v>0</v>
      </c>
      <c r="L1768" s="1867">
        <f>'Part IX Scoring Criteria'!L212</f>
        <v>0</v>
      </c>
      <c r="M1768" s="1976"/>
      <c r="N1768" s="1976"/>
      <c r="O1768" s="1976"/>
      <c r="P1768" s="1976"/>
      <c r="Q1768" s="1976"/>
      <c r="R1768" s="1976"/>
      <c r="S1768" s="1976"/>
      <c r="T1768" s="1976"/>
      <c r="U1768" s="1976"/>
      <c r="V1768" s="2043"/>
      <c r="W1768" s="2043"/>
      <c r="X1768" s="1976"/>
      <c r="Y1768" s="1976"/>
      <c r="Z1768" s="1976"/>
    </row>
    <row r="1769" spans="1:26" ht="18.75">
      <c r="A1769" s="1941"/>
      <c r="B1769" s="1964" t="s">
        <v>3862</v>
      </c>
      <c r="C1769" s="1976"/>
      <c r="D1769" s="1976"/>
      <c r="E1769" s="1976"/>
      <c r="F1769" s="1976"/>
      <c r="G1769" s="1976"/>
      <c r="H1769" s="1976"/>
      <c r="I1769" s="2063" t="str">
        <f>IF($J$215="Government", "Additional documentation required - see QAP.","")</f>
        <v/>
      </c>
      <c r="J1769" s="1955" t="str">
        <f>'Part IX Scoring Criteria'!J213</f>
        <v>&lt;Select unrelated 3rd party type&gt;</v>
      </c>
      <c r="K1769" s="1955">
        <f>'Part IX Scoring Criteria'!K213</f>
        <v>0</v>
      </c>
      <c r="L1769" s="1955">
        <f>'Part IX Scoring Criteria'!L213</f>
        <v>0</v>
      </c>
      <c r="M1769" s="1921" t="s">
        <v>3625</v>
      </c>
      <c r="N1769" s="1976"/>
      <c r="O1769" s="1976"/>
      <c r="P1769" s="1976"/>
      <c r="Q1769" s="1976"/>
      <c r="R1769" s="1976"/>
      <c r="S1769" s="1976"/>
      <c r="T1769" s="1976"/>
      <c r="U1769" s="1976"/>
      <c r="V1769" s="2043"/>
      <c r="W1769" s="2043"/>
      <c r="X1769" s="1976"/>
      <c r="Y1769" s="1976"/>
      <c r="Z1769" s="1976"/>
    </row>
    <row r="1770" spans="1:26" ht="18.75">
      <c r="A1770" s="1879"/>
      <c r="B1770" s="1964" t="s">
        <v>4195</v>
      </c>
      <c r="F1770" s="1913"/>
      <c r="G1770" s="1913"/>
      <c r="H1770" s="1913"/>
      <c r="L1770" s="1929">
        <f>'Part IX Scoring Criteria'!J215</f>
        <v>0</v>
      </c>
      <c r="M1770" s="2169" t="e">
        <f>'Part IX Scoring Criteria'!#REF!</f>
        <v>#REF!</v>
      </c>
      <c r="N1770" s="2169" t="e">
        <f>'Part IX Scoring Criteria'!#REF!</f>
        <v>#REF!</v>
      </c>
      <c r="O1770" s="2169" t="e">
        <f>'Part IX Scoring Criteria'!#REF!</f>
        <v>#REF!</v>
      </c>
      <c r="P1770" s="2169" t="e">
        <f>'Part IX Scoring Criteria'!#REF!</f>
        <v>#REF!</v>
      </c>
      <c r="V1770" s="2043"/>
      <c r="W1770" s="2043"/>
    </row>
    <row r="1771" spans="1:26" ht="18.75">
      <c r="A1771" s="1879"/>
      <c r="B1771" s="1921" t="s">
        <v>3791</v>
      </c>
      <c r="G1771" s="1921"/>
      <c r="J1771" s="2170">
        <f>'Part IX Scoring Criteria'!O215</f>
        <v>0</v>
      </c>
      <c r="K1771" s="2072" t="s">
        <v>3790</v>
      </c>
      <c r="L1771" s="1913"/>
      <c r="N1771" s="1637"/>
      <c r="O1771" s="1639"/>
      <c r="P1771" s="1639"/>
      <c r="V1771" s="2043"/>
      <c r="W1771" s="2043"/>
    </row>
    <row r="1772" spans="1:26" ht="18.75" customHeight="1">
      <c r="A1772" s="2073" t="s">
        <v>4175</v>
      </c>
      <c r="B1772" s="1900" t="s">
        <v>4172</v>
      </c>
      <c r="C1772" s="1900"/>
      <c r="D1772" s="1890">
        <f>'Part IX Scoring Criteria'!D218</f>
        <v>0</v>
      </c>
      <c r="E1772" s="1890">
        <f>'Part IX Scoring Criteria'!E218</f>
        <v>0</v>
      </c>
      <c r="F1772" s="1890">
        <f>'Part IX Scoring Criteria'!F218</f>
        <v>0</v>
      </c>
      <c r="G1772" s="1890">
        <f>'Part IX Scoring Criteria'!G218</f>
        <v>0</v>
      </c>
      <c r="H1772" s="1890">
        <f>'Part IX Scoring Criteria'!H218</f>
        <v>0</v>
      </c>
      <c r="I1772" s="1890">
        <f>'Part IX Scoring Criteria'!I218</f>
        <v>0</v>
      </c>
      <c r="J1772" s="1890">
        <f>'Part IX Scoring Criteria'!J218</f>
        <v>0</v>
      </c>
      <c r="K1772" s="1890">
        <f>'Part IX Scoring Criteria'!K218</f>
        <v>0</v>
      </c>
      <c r="L1772" s="1890">
        <f>'Part IX Scoring Criteria'!L218</f>
        <v>0</v>
      </c>
      <c r="M1772" s="1890">
        <f>'Part IX Scoring Criteria'!M218</f>
        <v>0</v>
      </c>
      <c r="N1772" s="1890">
        <f>'Part IX Scoring Criteria'!N218</f>
        <v>0</v>
      </c>
      <c r="O1772" s="1890">
        <f>'Part IX Scoring Criteria'!O218</f>
        <v>0</v>
      </c>
      <c r="P1772" s="1890">
        <f>'Part IX Scoring Criteria'!P218</f>
        <v>0</v>
      </c>
      <c r="Q1772" s="1984"/>
      <c r="V1772" s="2043"/>
      <c r="W1772" s="2043"/>
    </row>
    <row r="1773" spans="1:26" ht="18.75" customHeight="1">
      <c r="A1773" s="2073"/>
      <c r="B1773" s="1900" t="s">
        <v>4173</v>
      </c>
      <c r="C1773" s="1900"/>
      <c r="D1773" s="1890">
        <f>'Part IX Scoring Criteria'!D219</f>
        <v>0</v>
      </c>
      <c r="E1773" s="1890">
        <f>'Part IX Scoring Criteria'!E219</f>
        <v>0</v>
      </c>
      <c r="F1773" s="1890">
        <f>'Part IX Scoring Criteria'!F219</f>
        <v>0</v>
      </c>
      <c r="G1773" s="1890">
        <f>'Part IX Scoring Criteria'!G219</f>
        <v>0</v>
      </c>
      <c r="H1773" s="1890">
        <f>'Part IX Scoring Criteria'!H219</f>
        <v>0</v>
      </c>
      <c r="I1773" s="1890">
        <f>'Part IX Scoring Criteria'!I219</f>
        <v>0</v>
      </c>
      <c r="J1773" s="1890">
        <f>'Part IX Scoring Criteria'!J219</f>
        <v>0</v>
      </c>
      <c r="K1773" s="1890">
        <f>'Part IX Scoring Criteria'!K219</f>
        <v>0</v>
      </c>
      <c r="L1773" s="1890">
        <f>'Part IX Scoring Criteria'!L219</f>
        <v>0</v>
      </c>
      <c r="M1773" s="1890">
        <f>'Part IX Scoring Criteria'!M219</f>
        <v>0</v>
      </c>
      <c r="N1773" s="1890">
        <f>'Part IX Scoring Criteria'!N219</f>
        <v>0</v>
      </c>
      <c r="O1773" s="1890">
        <f>'Part IX Scoring Criteria'!O219</f>
        <v>0</v>
      </c>
      <c r="P1773" s="1890">
        <f>'Part IX Scoring Criteria'!P219</f>
        <v>0</v>
      </c>
      <c r="Q1773" s="1984"/>
      <c r="V1773" s="2043"/>
      <c r="W1773" s="2043"/>
    </row>
    <row r="1774" spans="1:26" ht="18.75" customHeight="1">
      <c r="A1774" s="2073"/>
      <c r="B1774" s="1785" t="s">
        <v>4174</v>
      </c>
      <c r="C1774" s="1785"/>
      <c r="D1774" s="1890">
        <f>'Part IX Scoring Criteria'!D220</f>
        <v>0</v>
      </c>
      <c r="E1774" s="1890">
        <f>'Part IX Scoring Criteria'!E220</f>
        <v>0</v>
      </c>
      <c r="F1774" s="1890">
        <f>'Part IX Scoring Criteria'!F220</f>
        <v>0</v>
      </c>
      <c r="G1774" s="1890">
        <f>'Part IX Scoring Criteria'!G220</f>
        <v>0</v>
      </c>
      <c r="H1774" s="1890">
        <f>'Part IX Scoring Criteria'!H220</f>
        <v>0</v>
      </c>
      <c r="I1774" s="1890">
        <f>'Part IX Scoring Criteria'!I220</f>
        <v>0</v>
      </c>
      <c r="J1774" s="1890">
        <f>'Part IX Scoring Criteria'!J220</f>
        <v>0</v>
      </c>
      <c r="K1774" s="1890">
        <f>'Part IX Scoring Criteria'!K220</f>
        <v>0</v>
      </c>
      <c r="L1774" s="1890">
        <f>'Part IX Scoring Criteria'!L220</f>
        <v>0</v>
      </c>
      <c r="M1774" s="1890">
        <f>'Part IX Scoring Criteria'!M220</f>
        <v>0</v>
      </c>
      <c r="N1774" s="1890">
        <f>'Part IX Scoring Criteria'!N220</f>
        <v>0</v>
      </c>
      <c r="O1774" s="1890">
        <f>'Part IX Scoring Criteria'!O220</f>
        <v>0</v>
      </c>
      <c r="P1774" s="1890">
        <f>'Part IX Scoring Criteria'!P220</f>
        <v>0</v>
      </c>
      <c r="Q1774" s="1984"/>
      <c r="V1774" s="2043"/>
      <c r="W1774" s="2043"/>
    </row>
    <row r="1775" spans="1:26" ht="18.75">
      <c r="B1775" s="521" t="s">
        <v>3454</v>
      </c>
      <c r="G1775" s="521" t="s">
        <v>2629</v>
      </c>
      <c r="H1775" s="521"/>
      <c r="J1775" s="2171">
        <f>'Part IX Scoring Criteria'!J221</f>
        <v>0</v>
      </c>
      <c r="K1775" s="2171">
        <f>'Part IX Scoring Criteria'!K221</f>
        <v>0</v>
      </c>
      <c r="L1775" s="2074">
        <f>'Part IX Scoring Criteria'!L221</f>
        <v>0</v>
      </c>
      <c r="M1775" s="2074">
        <f>'Part IX Scoring Criteria'!M221</f>
        <v>0</v>
      </c>
      <c r="N1775" s="1637"/>
      <c r="O1775" s="1639"/>
      <c r="P1775" s="1639"/>
      <c r="V1775" s="2043"/>
      <c r="W1775" s="2043"/>
    </row>
    <row r="1776" spans="1:26" ht="18.75">
      <c r="A1776" s="1631"/>
      <c r="B1776" s="1976"/>
      <c r="C1776" s="521" t="s">
        <v>4589</v>
      </c>
      <c r="D1776" s="1899"/>
      <c r="E1776" s="1976"/>
      <c r="F1776" s="1976"/>
      <c r="G1776" s="2074">
        <f>'Part IV-A-Uses of Funds'!$G$132</f>
        <v>18093801</v>
      </c>
      <c r="H1776" s="2074"/>
      <c r="I1776" s="1976"/>
      <c r="J1776" s="2075">
        <f>'Part IX Scoring Criteria'!J222</f>
        <v>0</v>
      </c>
      <c r="K1776" s="2075">
        <f>'Part IX Scoring Criteria'!K222</f>
        <v>0</v>
      </c>
      <c r="L1776" s="2075">
        <f>'Part IX Scoring Criteria'!L222</f>
        <v>0</v>
      </c>
      <c r="M1776" s="2075">
        <f>'Part IX Scoring Criteria'!M222</f>
        <v>0</v>
      </c>
      <c r="N1776" s="1976"/>
      <c r="O1776" s="1976"/>
      <c r="P1776" s="1976"/>
      <c r="Q1776" s="1976"/>
      <c r="R1776" s="1976"/>
      <c r="S1776" s="1976"/>
      <c r="T1776" s="1976"/>
      <c r="U1776" s="1976"/>
      <c r="V1776" s="2043"/>
      <c r="W1776" s="2043"/>
      <c r="X1776" s="1976"/>
      <c r="Y1776" s="1976"/>
      <c r="Z1776" s="1976"/>
    </row>
    <row r="1777" spans="1:26" ht="15">
      <c r="A1777" s="1631"/>
      <c r="B1777" s="1994" t="s">
        <v>3757</v>
      </c>
      <c r="C1777" s="1631"/>
      <c r="D1777" s="1634"/>
      <c r="E1777" s="1634"/>
      <c r="F1777" s="1634"/>
      <c r="G1777" s="1634"/>
      <c r="H1777" s="521"/>
      <c r="I1777" s="521"/>
      <c r="J1777" s="521"/>
      <c r="K1777" s="521"/>
      <c r="L1777" s="1993"/>
      <c r="M1777" s="1630"/>
      <c r="N1777" s="1630"/>
      <c r="O1777" s="1975"/>
      <c r="P1777" s="1813"/>
      <c r="Q1777" s="1993"/>
      <c r="R1777" s="1993"/>
      <c r="S1777" s="1993"/>
      <c r="T1777" s="1993"/>
      <c r="U1777" s="1993"/>
      <c r="V1777" s="1993"/>
      <c r="W1777" s="1993"/>
      <c r="X1777" s="1993"/>
      <c r="Y1777" s="1993"/>
      <c r="Z1777" s="1993"/>
    </row>
    <row r="1778" spans="1:26" ht="15.75">
      <c r="A1778" s="1900">
        <f>'Part IX Scoring Criteria'!A224</f>
        <v>0</v>
      </c>
      <c r="B1778" s="1900">
        <f>'Part IX Scoring Criteria'!B224</f>
        <v>0</v>
      </c>
      <c r="C1778" s="1900">
        <f>'Part IX Scoring Criteria'!C224</f>
        <v>0</v>
      </c>
      <c r="D1778" s="1900">
        <f>'Part IX Scoring Criteria'!D224</f>
        <v>0</v>
      </c>
      <c r="E1778" s="1900">
        <f>'Part IX Scoring Criteria'!E224</f>
        <v>0</v>
      </c>
      <c r="F1778" s="1900">
        <f>'Part IX Scoring Criteria'!F224</f>
        <v>0</v>
      </c>
      <c r="G1778" s="1900">
        <f>'Part IX Scoring Criteria'!G224</f>
        <v>0</v>
      </c>
      <c r="H1778" s="1900">
        <f>'Part IX Scoring Criteria'!H224</f>
        <v>0</v>
      </c>
      <c r="I1778" s="1900">
        <f>'Part IX Scoring Criteria'!I224</f>
        <v>0</v>
      </c>
      <c r="J1778" s="1900">
        <f>'Part IX Scoring Criteria'!J224</f>
        <v>0</v>
      </c>
      <c r="K1778" s="1900">
        <f>'Part IX Scoring Criteria'!K224</f>
        <v>0</v>
      </c>
      <c r="L1778" s="1900">
        <f>'Part IX Scoring Criteria'!L224</f>
        <v>0</v>
      </c>
      <c r="M1778" s="1900">
        <f>'Part IX Scoring Criteria'!M224</f>
        <v>0</v>
      </c>
      <c r="N1778" s="1900">
        <f>'Part IX Scoring Criteria'!N224</f>
        <v>0</v>
      </c>
      <c r="O1778" s="1900">
        <f>'Part IX Scoring Criteria'!O224</f>
        <v>0</v>
      </c>
      <c r="P1778" s="1900">
        <f>'Part IX Scoring Criteria'!P224</f>
        <v>0</v>
      </c>
      <c r="Q1778" s="1984"/>
      <c r="R1778" s="1976"/>
      <c r="S1778" s="1976"/>
      <c r="T1778" s="1976"/>
      <c r="U1778" s="1976"/>
      <c r="V1778" s="1976"/>
      <c r="W1778" s="1976"/>
      <c r="X1778" s="1976"/>
      <c r="Y1778" s="1976"/>
      <c r="Z1778" s="1976"/>
    </row>
    <row r="1779" spans="1:26" ht="15">
      <c r="A1779" s="1631"/>
      <c r="B1779" s="1866" t="s">
        <v>1866</v>
      </c>
      <c r="C1779" s="1631"/>
      <c r="D1779" s="1866"/>
      <c r="E1779" s="1834"/>
      <c r="F1779" s="1834"/>
      <c r="G1779" s="1834"/>
      <c r="H1779" s="1834"/>
      <c r="I1779" s="1834"/>
      <c r="J1779" s="1834"/>
      <c r="K1779" s="1834"/>
      <c r="L1779" s="1834"/>
      <c r="M1779" s="1834"/>
      <c r="N1779" s="1923"/>
      <c r="O1779" s="1818"/>
      <c r="P1779" s="1813"/>
      <c r="Q1779" s="2006"/>
      <c r="R1779" s="1993"/>
      <c r="S1779" s="1993"/>
      <c r="T1779" s="1993"/>
      <c r="U1779" s="1993"/>
      <c r="V1779" s="1993"/>
      <c r="W1779" s="1993"/>
      <c r="X1779" s="1993"/>
      <c r="Y1779" s="1993"/>
      <c r="Z1779" s="1993"/>
    </row>
    <row r="1780" spans="1:26" ht="15.75">
      <c r="A1780" s="1900">
        <f>'Part IX Scoring Criteria'!A226</f>
        <v>0</v>
      </c>
      <c r="B1780" s="1900">
        <f>'Part IX Scoring Criteria'!B226</f>
        <v>0</v>
      </c>
      <c r="C1780" s="1900">
        <f>'Part IX Scoring Criteria'!C226</f>
        <v>0</v>
      </c>
      <c r="D1780" s="1900">
        <f>'Part IX Scoring Criteria'!D226</f>
        <v>0</v>
      </c>
      <c r="E1780" s="1900">
        <f>'Part IX Scoring Criteria'!E226</f>
        <v>0</v>
      </c>
      <c r="F1780" s="1900">
        <f>'Part IX Scoring Criteria'!F226</f>
        <v>0</v>
      </c>
      <c r="G1780" s="1900">
        <f>'Part IX Scoring Criteria'!G226</f>
        <v>0</v>
      </c>
      <c r="H1780" s="1900">
        <f>'Part IX Scoring Criteria'!H226</f>
        <v>0</v>
      </c>
      <c r="I1780" s="1900">
        <f>'Part IX Scoring Criteria'!I226</f>
        <v>0</v>
      </c>
      <c r="J1780" s="1900">
        <f>'Part IX Scoring Criteria'!J226</f>
        <v>0</v>
      </c>
      <c r="K1780" s="1900">
        <f>'Part IX Scoring Criteria'!K226</f>
        <v>0</v>
      </c>
      <c r="L1780" s="1900">
        <f>'Part IX Scoring Criteria'!L226</f>
        <v>0</v>
      </c>
      <c r="M1780" s="1900">
        <f>'Part IX Scoring Criteria'!M226</f>
        <v>0</v>
      </c>
      <c r="N1780" s="1900">
        <f>'Part IX Scoring Criteria'!N226</f>
        <v>0</v>
      </c>
      <c r="O1780" s="1900">
        <f>'Part IX Scoring Criteria'!O226</f>
        <v>0</v>
      </c>
      <c r="P1780" s="1900">
        <f>'Part IX Scoring Criteria'!P226</f>
        <v>0</v>
      </c>
      <c r="Q1780" s="1984"/>
      <c r="R1780" s="1976"/>
      <c r="S1780" s="1976"/>
      <c r="T1780" s="1976"/>
      <c r="U1780" s="1976"/>
      <c r="V1780" s="1976"/>
      <c r="W1780" s="1976"/>
      <c r="X1780" s="1976"/>
      <c r="Y1780" s="1976"/>
      <c r="Z1780" s="1976"/>
    </row>
    <row r="1781" spans="1:26" ht="15">
      <c r="A1781" s="1631"/>
      <c r="B1781" s="1976"/>
      <c r="C1781" s="1899"/>
      <c r="D1781" s="1899"/>
      <c r="E1781" s="1899"/>
      <c r="F1781" s="1899"/>
      <c r="G1781" s="1899"/>
      <c r="H1781" s="1899"/>
      <c r="I1781" s="1899"/>
      <c r="J1781" s="1899"/>
      <c r="K1781" s="1899"/>
      <c r="L1781" s="1899"/>
      <c r="M1781" s="1899"/>
      <c r="N1781" s="2011"/>
      <c r="O1781" s="1982"/>
      <c r="P1781" s="1813"/>
      <c r="Q1781" s="1976"/>
      <c r="R1781" s="1976"/>
      <c r="S1781" s="1976"/>
      <c r="T1781" s="1976"/>
      <c r="U1781" s="1976"/>
      <c r="V1781" s="1976"/>
      <c r="W1781" s="1976"/>
      <c r="X1781" s="1976"/>
      <c r="Y1781" s="1976"/>
      <c r="Z1781" s="1976"/>
    </row>
    <row r="1782" spans="1:26" ht="15">
      <c r="A1782" s="1977" t="s">
        <v>426</v>
      </c>
      <c r="B1782" s="1978" t="s">
        <v>4021</v>
      </c>
      <c r="C1782" s="1899"/>
      <c r="D1782" s="1899"/>
      <c r="E1782" s="1899"/>
      <c r="F1782" s="1899"/>
      <c r="G1782" s="1899"/>
      <c r="H1782" s="1899"/>
      <c r="I1782" s="1899"/>
      <c r="J1782" s="1899"/>
      <c r="K1782" s="1928" t="s">
        <v>3246</v>
      </c>
      <c r="L1782" s="1928" t="s">
        <v>256</v>
      </c>
      <c r="M1782" s="1813">
        <v>3</v>
      </c>
      <c r="N1782" s="2011"/>
      <c r="O1782" s="1982"/>
      <c r="P1782" s="1975">
        <f>'Part IX Scoring Criteria'!P228</f>
        <v>0</v>
      </c>
      <c r="Q1782" s="1813" t="s">
        <v>441</v>
      </c>
      <c r="R1782" s="1648" t="s">
        <v>2706</v>
      </c>
      <c r="S1782" s="1976"/>
      <c r="T1782" s="1976"/>
      <c r="U1782" s="1976"/>
      <c r="V1782" s="1976"/>
      <c r="W1782" s="1976"/>
      <c r="X1782" s="1976"/>
      <c r="Y1782" s="1976"/>
      <c r="Z1782" s="1976"/>
    </row>
    <row r="1783" spans="1:26" ht="15">
      <c r="A1783" s="1825"/>
      <c r="B1783" s="1929" t="s">
        <v>4023</v>
      </c>
      <c r="C1783" s="1976"/>
      <c r="D1783" s="1216" t="s">
        <v>4024</v>
      </c>
      <c r="E1783" s="1976"/>
      <c r="F1783" s="1976"/>
      <c r="G1783" s="1976"/>
      <c r="H1783" s="1976"/>
      <c r="I1783" s="1976"/>
      <c r="J1783" s="1976"/>
      <c r="K1783" s="2070">
        <f>'Part IX Scoring Criteria'!K231</f>
        <v>0</v>
      </c>
      <c r="L1783" s="2070">
        <f>'Part IX Scoring Criteria'!L231</f>
        <v>0</v>
      </c>
      <c r="M1783" s="1976"/>
      <c r="N1783" s="1937" t="s">
        <v>2435</v>
      </c>
      <c r="O1783" s="1938">
        <f>'Part IX Scoring Criteria'!O231</f>
        <v>0</v>
      </c>
      <c r="P1783" s="1938">
        <f>'Part IX Scoring Criteria'!P231</f>
        <v>0</v>
      </c>
      <c r="Q1783" s="1976"/>
      <c r="R1783" s="1942"/>
      <c r="S1783" s="1976"/>
      <c r="T1783" s="1976"/>
      <c r="U1783" s="1976"/>
      <c r="V1783" s="1976"/>
      <c r="W1783" s="1976"/>
      <c r="X1783" s="1976"/>
      <c r="Y1783" s="1976"/>
      <c r="Z1783" s="1976"/>
    </row>
    <row r="1784" spans="1:26" ht="18.75">
      <c r="A1784" s="1825"/>
      <c r="B1784" s="1976"/>
      <c r="C1784" s="1976"/>
      <c r="D1784" s="1216" t="s">
        <v>4025</v>
      </c>
      <c r="E1784" s="1976"/>
      <c r="F1784" s="1976"/>
      <c r="G1784" s="1976"/>
      <c r="H1784" s="1976"/>
      <c r="I1784" s="1976"/>
      <c r="J1784" s="1976"/>
      <c r="K1784" s="2070">
        <f>'Part IX Scoring Criteria'!K232</f>
        <v>0</v>
      </c>
      <c r="L1784" s="2070">
        <f>'Part IX Scoring Criteria'!L232</f>
        <v>0</v>
      </c>
      <c r="M1784" s="1976"/>
      <c r="N1784" s="1937" t="s">
        <v>2436</v>
      </c>
      <c r="O1784" s="1938">
        <f>'Part IX Scoring Criteria'!O232</f>
        <v>0</v>
      </c>
      <c r="P1784" s="1938">
        <f>'Part IX Scoring Criteria'!P232</f>
        <v>0</v>
      </c>
      <c r="Q1784" s="1976"/>
      <c r="R1784" s="2043"/>
      <c r="S1784" s="2043"/>
      <c r="T1784" s="1976"/>
      <c r="U1784" s="1976"/>
      <c r="V1784" s="1976"/>
      <c r="W1784" s="1976"/>
      <c r="X1784" s="1976"/>
      <c r="Y1784" s="1976"/>
      <c r="Z1784" s="1976"/>
    </row>
    <row r="1785" spans="1:26" ht="18.75">
      <c r="A1785" s="1825"/>
      <c r="B1785" s="1976"/>
      <c r="C1785" s="1976"/>
      <c r="D1785" s="1216" t="s">
        <v>4026</v>
      </c>
      <c r="E1785" s="1976"/>
      <c r="F1785" s="1976"/>
      <c r="G1785" s="1976"/>
      <c r="H1785" s="1976"/>
      <c r="I1785" s="1976"/>
      <c r="J1785" s="1976"/>
      <c r="K1785" s="1976"/>
      <c r="L1785" s="1976"/>
      <c r="M1785" s="1976"/>
      <c r="N1785" s="1937" t="s">
        <v>2437</v>
      </c>
      <c r="O1785" s="1938">
        <f>'Part IX Scoring Criteria'!O233</f>
        <v>0</v>
      </c>
      <c r="P1785" s="1938">
        <f>'Part IX Scoring Criteria'!P233</f>
        <v>0</v>
      </c>
      <c r="Q1785" s="1976"/>
      <c r="R1785" s="2043"/>
      <c r="S1785" s="2043"/>
      <c r="T1785" s="1976"/>
      <c r="U1785" s="1976"/>
      <c r="V1785" s="1976"/>
      <c r="W1785" s="1976"/>
      <c r="X1785" s="1976"/>
      <c r="Y1785" s="1976"/>
      <c r="Z1785" s="1976"/>
    </row>
    <row r="1786" spans="1:26" ht="18.75">
      <c r="A1786" s="1825"/>
      <c r="B1786" s="1976"/>
      <c r="C1786" s="1976"/>
      <c r="D1786" s="1216" t="s">
        <v>4027</v>
      </c>
      <c r="E1786" s="1976"/>
      <c r="F1786" s="1976"/>
      <c r="G1786" s="1976"/>
      <c r="H1786" s="1976"/>
      <c r="I1786" s="1976"/>
      <c r="J1786" s="1976"/>
      <c r="K1786" s="1976"/>
      <c r="L1786" s="1976"/>
      <c r="M1786" s="1976"/>
      <c r="N1786" s="1937" t="s">
        <v>2438</v>
      </c>
      <c r="O1786" s="1937"/>
      <c r="P1786" s="1938">
        <f>'Part IX Scoring Criteria'!P234</f>
        <v>0</v>
      </c>
      <c r="Q1786" s="1976"/>
      <c r="R1786" s="2043"/>
      <c r="S1786" s="2043"/>
      <c r="T1786" s="1976"/>
      <c r="U1786" s="1976"/>
      <c r="V1786" s="1976"/>
      <c r="W1786" s="1976"/>
      <c r="X1786" s="1976"/>
      <c r="Y1786" s="1976"/>
      <c r="Z1786" s="1976"/>
    </row>
    <row r="1787" spans="1:26" ht="18.75">
      <c r="A1787" s="1825"/>
      <c r="B1787" s="1976"/>
      <c r="C1787" s="1976"/>
      <c r="D1787" s="1216" t="s">
        <v>4028</v>
      </c>
      <c r="E1787" s="1976"/>
      <c r="F1787" s="1976"/>
      <c r="G1787" s="1976"/>
      <c r="H1787" s="1976"/>
      <c r="I1787" s="1976"/>
      <c r="J1787" s="1976"/>
      <c r="K1787" s="1976"/>
      <c r="L1787" s="1976"/>
      <c r="M1787" s="1976"/>
      <c r="N1787" s="1937" t="s">
        <v>2439</v>
      </c>
      <c r="O1787" s="1938">
        <f>'Part IX Scoring Criteria'!O235</f>
        <v>0</v>
      </c>
      <c r="P1787" s="1938">
        <f>'Part IX Scoring Criteria'!P235</f>
        <v>0</v>
      </c>
      <c r="Q1787" s="1976"/>
      <c r="R1787" s="2043"/>
      <c r="S1787" s="2043"/>
      <c r="T1787" s="1976"/>
      <c r="U1787" s="1976"/>
      <c r="V1787" s="1976"/>
      <c r="W1787" s="1976"/>
      <c r="X1787" s="1976"/>
      <c r="Y1787" s="1976"/>
      <c r="Z1787" s="1976"/>
    </row>
    <row r="1788" spans="1:26" ht="15">
      <c r="A1788" s="1631"/>
      <c r="B1788" s="1976"/>
      <c r="C1788" s="1899"/>
      <c r="D1788" s="1899"/>
      <c r="E1788" s="1899"/>
      <c r="F1788" s="1899"/>
      <c r="G1788" s="1899"/>
      <c r="H1788" s="1899"/>
      <c r="I1788" s="1899"/>
      <c r="J1788" s="1899"/>
      <c r="K1788" s="1899"/>
      <c r="L1788" s="1899"/>
      <c r="M1788" s="1899"/>
      <c r="N1788" s="2011"/>
      <c r="O1788" s="1982"/>
      <c r="P1788" s="1813"/>
      <c r="Q1788" s="1976"/>
      <c r="R1788" s="1976"/>
      <c r="S1788" s="1976"/>
      <c r="T1788" s="1976"/>
      <c r="U1788" s="1976"/>
      <c r="V1788" s="1976"/>
      <c r="W1788" s="1976"/>
      <c r="X1788" s="1976"/>
      <c r="Y1788" s="1976"/>
      <c r="Z1788" s="1976"/>
    </row>
    <row r="1789" spans="1:26">
      <c r="A1789" s="1825" t="s">
        <v>1983</v>
      </c>
      <c r="B1789" s="1820" t="s">
        <v>4590</v>
      </c>
      <c r="D1789" s="1631"/>
      <c r="G1789" s="1964" t="s">
        <v>3786</v>
      </c>
      <c r="Q1789" s="1689"/>
    </row>
    <row r="1790" spans="1:26">
      <c r="A1790" s="1935"/>
      <c r="B1790" s="521" t="s">
        <v>3866</v>
      </c>
      <c r="C1790" s="1631"/>
      <c r="D1790" s="521">
        <f>'Part IX Scoring Criteria'!D239</f>
        <v>0</v>
      </c>
      <c r="E1790" s="521">
        <f>'Part IX Scoring Criteria'!E239</f>
        <v>0</v>
      </c>
      <c r="F1790" s="521">
        <f>'Part IX Scoring Criteria'!F239</f>
        <v>0</v>
      </c>
      <c r="G1790" s="521">
        <f>'Part IX Scoring Criteria'!G239</f>
        <v>0</v>
      </c>
      <c r="H1790" s="521">
        <f>'Part IX Scoring Criteria'!H239</f>
        <v>0</v>
      </c>
      <c r="I1790" s="1841" t="s">
        <v>2704</v>
      </c>
      <c r="J1790" s="521">
        <f>'Part IX Scoring Criteria'!J239</f>
        <v>0</v>
      </c>
      <c r="K1790" s="521">
        <f>'Part IX Scoring Criteria'!K239</f>
        <v>0</v>
      </c>
      <c r="L1790" s="521">
        <f>'Part IX Scoring Criteria'!L239</f>
        <v>0</v>
      </c>
      <c r="M1790" s="521">
        <f>'Part IX Scoring Criteria'!M239</f>
        <v>0</v>
      </c>
      <c r="N1790" s="521">
        <f>'Part IX Scoring Criteria'!N239</f>
        <v>0</v>
      </c>
      <c r="O1790" s="1631"/>
      <c r="P1790" s="1631"/>
      <c r="Q1790" s="1689"/>
      <c r="R1790" s="1631"/>
      <c r="S1790" s="1631"/>
      <c r="T1790" s="1631"/>
      <c r="U1790" s="1631"/>
      <c r="V1790" s="1631"/>
      <c r="W1790" s="1631"/>
      <c r="X1790" s="1631"/>
      <c r="Y1790" s="1631"/>
      <c r="Z1790" s="1631"/>
    </row>
    <row r="1791" spans="1:26" ht="18.75">
      <c r="A1791" s="1935"/>
      <c r="B1791" s="521" t="s">
        <v>2194</v>
      </c>
      <c r="C1791" s="1631"/>
      <c r="D1791" s="521">
        <f>'Part IX Scoring Criteria'!D240</f>
        <v>0</v>
      </c>
      <c r="E1791" s="521">
        <f>'Part IX Scoring Criteria'!E240</f>
        <v>0</v>
      </c>
      <c r="F1791" s="521">
        <f>'Part IX Scoring Criteria'!F240</f>
        <v>0</v>
      </c>
      <c r="G1791" s="521" t="s">
        <v>1721</v>
      </c>
      <c r="H1791" s="2172">
        <f>'Part IX Scoring Criteria'!H240</f>
        <v>0</v>
      </c>
      <c r="I1791" s="1841"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31"/>
      <c r="P1791" s="1631"/>
      <c r="Q1791" s="1689"/>
      <c r="R1791" s="1631"/>
      <c r="S1791" s="1631"/>
      <c r="T1791" s="1631"/>
      <c r="U1791" s="1631"/>
      <c r="V1791" s="2043"/>
      <c r="W1791" s="2043"/>
      <c r="X1791" s="1631"/>
      <c r="Y1791" s="1631"/>
      <c r="Z1791" s="1631"/>
    </row>
    <row r="1792" spans="1:26">
      <c r="A1792" s="1935"/>
      <c r="C1792" s="1893"/>
      <c r="D1792" s="1893"/>
      <c r="E1792" s="1893"/>
      <c r="F1792" s="1893"/>
      <c r="G1792" s="1893"/>
      <c r="H1792" s="1893"/>
      <c r="I1792" s="1893"/>
      <c r="J1792" s="1893"/>
      <c r="K1792" s="1893"/>
      <c r="L1792" s="1893"/>
      <c r="Q1792" s="1689"/>
    </row>
    <row r="1793" spans="1:26">
      <c r="A1793" s="1935"/>
      <c r="B1793" s="2050" t="s">
        <v>1986</v>
      </c>
      <c r="C1793" s="1893" t="s">
        <v>4029</v>
      </c>
      <c r="D1793" s="1921"/>
      <c r="E1793" s="1921"/>
      <c r="F1793" s="1921"/>
      <c r="G1793" s="1921"/>
      <c r="H1793" s="1921"/>
      <c r="I1793" s="1921"/>
      <c r="J1793" s="1921"/>
      <c r="K1793" s="1921"/>
      <c r="L1793" s="1921"/>
      <c r="M1793" s="1921"/>
      <c r="N1793" s="1921"/>
      <c r="O1793" s="1895" t="s">
        <v>2510</v>
      </c>
      <c r="P1793" s="1895" t="s">
        <v>2510</v>
      </c>
      <c r="Q1793" s="1921"/>
    </row>
    <row r="1794" spans="1:26" ht="18.75" customHeight="1">
      <c r="A1794" s="1895"/>
      <c r="B1794" s="1952"/>
      <c r="C1794" s="1867" t="s">
        <v>4591</v>
      </c>
      <c r="D1794" s="1867"/>
      <c r="E1794" s="1867"/>
      <c r="F1794" s="1867"/>
      <c r="G1794" s="1867"/>
      <c r="H1794" s="1867"/>
      <c r="I1794" s="1867"/>
      <c r="J1794" s="1867"/>
      <c r="K1794" s="1867"/>
      <c r="L1794" s="1867"/>
      <c r="M1794" s="1631"/>
      <c r="N1794" s="2001" t="s">
        <v>1986</v>
      </c>
      <c r="O1794" s="1945">
        <f>'Part IX Scoring Criteria'!O243</f>
        <v>0</v>
      </c>
      <c r="P1794" s="1945">
        <f>'Part IX Scoring Criteria'!P243</f>
        <v>0</v>
      </c>
      <c r="Q1794" s="1921"/>
      <c r="S1794" s="1631"/>
      <c r="T1794" s="1631"/>
      <c r="U1794" s="1631"/>
      <c r="V1794" s="2043"/>
      <c r="W1794" s="2043"/>
      <c r="X1794" s="1631"/>
      <c r="Y1794" s="1631"/>
      <c r="Z1794" s="1631"/>
    </row>
    <row r="1795" spans="1:26" ht="18.75" customHeight="1">
      <c r="A1795" s="1935"/>
      <c r="B1795" s="1937" t="s">
        <v>2435</v>
      </c>
      <c r="C1795" s="521" t="s">
        <v>4031</v>
      </c>
      <c r="D1795" s="521">
        <f>'Part IX Scoring Criteria'!D244</f>
        <v>0</v>
      </c>
      <c r="E1795" s="521">
        <f>'Part IX Scoring Criteria'!E244</f>
        <v>0</v>
      </c>
      <c r="F1795" s="521">
        <f>'Part IX Scoring Criteria'!F244</f>
        <v>0</v>
      </c>
      <c r="G1795" s="521">
        <f>'Part IX Scoring Criteria'!G244</f>
        <v>0</v>
      </c>
      <c r="H1795" s="521">
        <f>'Part IX Scoring Criteria'!H244</f>
        <v>0</v>
      </c>
      <c r="I1795" s="1841" t="s">
        <v>2704</v>
      </c>
      <c r="J1795" s="521">
        <f>'Part IX Scoring Criteria'!J244</f>
        <v>0</v>
      </c>
      <c r="K1795" s="521">
        <f>'Part IX Scoring Criteria'!K244</f>
        <v>0</v>
      </c>
      <c r="L1795" s="521">
        <f>'Part IX Scoring Criteria'!L244</f>
        <v>0</v>
      </c>
      <c r="M1795" s="521">
        <f>'Part IX Scoring Criteria'!M244</f>
        <v>0</v>
      </c>
      <c r="N1795" s="521">
        <f>'Part IX Scoring Criteria'!N244</f>
        <v>0</v>
      </c>
      <c r="O1795" s="1785" t="s">
        <v>4033</v>
      </c>
      <c r="P1795" s="1785"/>
      <c r="Q1795" s="1921"/>
      <c r="S1795" s="1631"/>
      <c r="T1795" s="1631"/>
      <c r="U1795" s="1631"/>
      <c r="V1795" s="2043"/>
      <c r="W1795" s="2043"/>
      <c r="X1795" s="1631"/>
      <c r="Y1795" s="1631"/>
      <c r="Z1795" s="1631"/>
    </row>
    <row r="1796" spans="1:26" ht="18.75">
      <c r="A1796" s="1935"/>
      <c r="B1796" s="1631"/>
      <c r="C1796" s="521" t="s">
        <v>2194</v>
      </c>
      <c r="D1796" s="521">
        <f>'Part IX Scoring Criteria'!D245</f>
        <v>0</v>
      </c>
      <c r="E1796" s="521">
        <f>'Part IX Scoring Criteria'!E245</f>
        <v>0</v>
      </c>
      <c r="F1796" s="521">
        <f>'Part IX Scoring Criteria'!F245</f>
        <v>0</v>
      </c>
      <c r="G1796" s="521" t="s">
        <v>1721</v>
      </c>
      <c r="H1796" s="2172">
        <f>'Part IX Scoring Criteria'!H245</f>
        <v>0</v>
      </c>
      <c r="I1796" s="1841"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38">
        <f>'Part IX Scoring Criteria'!O245</f>
        <v>0</v>
      </c>
      <c r="P1796" s="1938">
        <f>'Part IX Scoring Criteria'!P245</f>
        <v>0</v>
      </c>
      <c r="Q1796" s="1921"/>
      <c r="S1796" s="1631"/>
      <c r="T1796" s="1631"/>
      <c r="U1796" s="1631"/>
      <c r="V1796" s="2043"/>
      <c r="W1796" s="2043"/>
      <c r="X1796" s="1631"/>
      <c r="Y1796" s="1631"/>
      <c r="Z1796" s="1631"/>
    </row>
    <row r="1797" spans="1:26" ht="18.75" customHeight="1">
      <c r="A1797" s="1935"/>
      <c r="B1797" s="1937" t="s">
        <v>2436</v>
      </c>
      <c r="C1797" s="521" t="s">
        <v>4032</v>
      </c>
      <c r="D1797" s="521">
        <f>'Part IX Scoring Criteria'!D246</f>
        <v>0</v>
      </c>
      <c r="E1797" s="521">
        <f>'Part IX Scoring Criteria'!E246</f>
        <v>0</v>
      </c>
      <c r="F1797" s="521">
        <f>'Part IX Scoring Criteria'!F246</f>
        <v>0</v>
      </c>
      <c r="G1797" s="521">
        <f>'Part IX Scoring Criteria'!G246</f>
        <v>0</v>
      </c>
      <c r="H1797" s="521">
        <f>'Part IX Scoring Criteria'!H246</f>
        <v>0</v>
      </c>
      <c r="I1797" s="1841" t="s">
        <v>2704</v>
      </c>
      <c r="J1797" s="521">
        <f>'Part IX Scoring Criteria'!J246</f>
        <v>0</v>
      </c>
      <c r="K1797" s="521">
        <f>'Part IX Scoring Criteria'!K246</f>
        <v>0</v>
      </c>
      <c r="L1797" s="521">
        <f>'Part IX Scoring Criteria'!L246</f>
        <v>0</v>
      </c>
      <c r="M1797" s="521">
        <f>'Part IX Scoring Criteria'!M246</f>
        <v>0</v>
      </c>
      <c r="N1797" s="521">
        <f>'Part IX Scoring Criteria'!N246</f>
        <v>0</v>
      </c>
      <c r="O1797" s="1785" t="s">
        <v>4033</v>
      </c>
      <c r="P1797" s="1785"/>
      <c r="Q1797" s="1921"/>
      <c r="S1797" s="1631"/>
      <c r="T1797" s="1631"/>
      <c r="U1797" s="1631"/>
      <c r="V1797" s="2043"/>
      <c r="W1797" s="2043"/>
      <c r="X1797" s="1631"/>
      <c r="Y1797" s="1631"/>
      <c r="Z1797" s="1631"/>
    </row>
    <row r="1798" spans="1:26" ht="18.75">
      <c r="A1798" s="1935"/>
      <c r="B1798" s="1631"/>
      <c r="C1798" s="521" t="s">
        <v>2194</v>
      </c>
      <c r="D1798" s="521">
        <f>'Part IX Scoring Criteria'!D247</f>
        <v>0</v>
      </c>
      <c r="E1798" s="521">
        <f>'Part IX Scoring Criteria'!E247</f>
        <v>0</v>
      </c>
      <c r="F1798" s="521">
        <f>'Part IX Scoring Criteria'!F247</f>
        <v>0</v>
      </c>
      <c r="G1798" s="521" t="s">
        <v>1721</v>
      </c>
      <c r="H1798" s="2172">
        <f>'Part IX Scoring Criteria'!H247</f>
        <v>0</v>
      </c>
      <c r="I1798" s="1841"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38">
        <f>'Part IX Scoring Criteria'!O247</f>
        <v>0</v>
      </c>
      <c r="P1798" s="1938">
        <f>'Part IX Scoring Criteria'!P247</f>
        <v>0</v>
      </c>
      <c r="Q1798" s="1921"/>
      <c r="S1798" s="1631"/>
      <c r="T1798" s="1631"/>
      <c r="U1798" s="1631"/>
      <c r="V1798" s="2043"/>
      <c r="W1798" s="2043"/>
      <c r="X1798" s="1631"/>
      <c r="Y1798" s="1631"/>
      <c r="Z1798" s="1631"/>
    </row>
    <row r="1799" spans="1:26">
      <c r="A1799" s="1935"/>
      <c r="B1799" s="2050" t="s">
        <v>1988</v>
      </c>
      <c r="C1799" s="1893" t="s">
        <v>4034</v>
      </c>
      <c r="D1799" s="1921"/>
      <c r="E1799" s="1921"/>
      <c r="F1799" s="1921"/>
      <c r="G1799" s="1964" t="s">
        <v>3786</v>
      </c>
      <c r="H1799" s="1921"/>
      <c r="I1799" s="1921"/>
      <c r="J1799" s="1921"/>
      <c r="K1799" s="1921"/>
      <c r="L1799" s="1921"/>
      <c r="M1799" s="1921"/>
      <c r="N1799" s="1921"/>
      <c r="O1799" s="1895" t="s">
        <v>2510</v>
      </c>
      <c r="P1799" s="1895" t="s">
        <v>2510</v>
      </c>
      <c r="Q1799" s="1921"/>
    </row>
    <row r="1800" spans="1:26" ht="18.75" customHeight="1">
      <c r="A1800" s="1935"/>
      <c r="B1800" s="2076"/>
      <c r="C1800" s="1900" t="s">
        <v>4592</v>
      </c>
      <c r="D1800" s="1900"/>
      <c r="E1800" s="1900"/>
      <c r="F1800" s="1900"/>
      <c r="G1800" s="1900"/>
      <c r="H1800" s="1900"/>
      <c r="I1800" s="1900"/>
      <c r="J1800" s="1900"/>
      <c r="K1800" s="1900"/>
      <c r="L1800" s="1900"/>
      <c r="M1800" s="1900"/>
      <c r="N1800" s="2001" t="s">
        <v>1988</v>
      </c>
      <c r="O1800" s="1945">
        <f>'Part IX Scoring Criteria'!O249</f>
        <v>0</v>
      </c>
      <c r="P1800" s="1945">
        <f>'Part IX Scoring Criteria'!P249</f>
        <v>0</v>
      </c>
      <c r="Q1800" s="1947"/>
      <c r="V1800" s="2043"/>
      <c r="W1800" s="2043"/>
    </row>
    <row r="1801" spans="1:26" ht="18.75">
      <c r="A1801" s="1935"/>
      <c r="B1801" s="1937" t="s">
        <v>2435</v>
      </c>
      <c r="C1801" s="1952" t="s">
        <v>4140</v>
      </c>
      <c r="D1801" s="1899"/>
      <c r="E1801" s="1899"/>
      <c r="F1801" s="1899"/>
      <c r="G1801" s="1899"/>
      <c r="H1801" s="1899"/>
      <c r="I1801" s="1899"/>
      <c r="J1801" s="1899"/>
      <c r="K1801" s="1899"/>
      <c r="L1801" s="1899"/>
      <c r="M1801" s="1899"/>
      <c r="N1801" s="1899"/>
      <c r="O1801" s="1899"/>
      <c r="P1801" s="1899"/>
      <c r="Q1801" s="1947"/>
      <c r="V1801" s="2043"/>
      <c r="W1801" s="2043"/>
    </row>
    <row r="1802" spans="1:26" ht="18.75">
      <c r="A1802" s="1935"/>
      <c r="B1802" s="1631"/>
      <c r="C1802" s="1900" t="str">
        <f>'Part IX Scoring Criteria'!C251</f>
        <v>1.)</v>
      </c>
      <c r="D1802" s="1900">
        <f>'Part IX Scoring Criteria'!D251</f>
        <v>0</v>
      </c>
      <c r="E1802" s="1900">
        <f>'Part IX Scoring Criteria'!E251</f>
        <v>0</v>
      </c>
      <c r="F1802" s="1900">
        <f>'Part IX Scoring Criteria'!F251</f>
        <v>0</v>
      </c>
      <c r="G1802" s="1900">
        <f>'Part IX Scoring Criteria'!G251</f>
        <v>0</v>
      </c>
      <c r="H1802" s="1900">
        <f>'Part IX Scoring Criteria'!H251</f>
        <v>0</v>
      </c>
      <c r="I1802" s="1900">
        <f>'Part IX Scoring Criteria'!I251</f>
        <v>0</v>
      </c>
      <c r="J1802" s="1900">
        <f>'Part IX Scoring Criteria'!J251</f>
        <v>0</v>
      </c>
      <c r="K1802" s="1900">
        <f>'Part IX Scoring Criteria'!K251</f>
        <v>0</v>
      </c>
      <c r="L1802" s="1900">
        <f>'Part IX Scoring Criteria'!L251</f>
        <v>0</v>
      </c>
      <c r="M1802" s="1900">
        <f>'Part IX Scoring Criteria'!M251</f>
        <v>0</v>
      </c>
      <c r="N1802" s="1900">
        <f>'Part IX Scoring Criteria'!N251</f>
        <v>0</v>
      </c>
      <c r="O1802" s="1900">
        <f>'Part IX Scoring Criteria'!O251</f>
        <v>0</v>
      </c>
      <c r="P1802" s="1900">
        <f>'Part IX Scoring Criteria'!P251</f>
        <v>0</v>
      </c>
      <c r="Q1802" s="1984"/>
      <c r="V1802" s="2043"/>
      <c r="W1802" s="2043"/>
    </row>
    <row r="1803" spans="1:26" ht="18.75">
      <c r="A1803" s="1935"/>
      <c r="B1803" s="2076"/>
      <c r="C1803" s="1900" t="str">
        <f>'Part IX Scoring Criteria'!C252</f>
        <v>2.)</v>
      </c>
      <c r="D1803" s="1900">
        <f>'Part IX Scoring Criteria'!D252</f>
        <v>0</v>
      </c>
      <c r="E1803" s="1900">
        <f>'Part IX Scoring Criteria'!E252</f>
        <v>0</v>
      </c>
      <c r="F1803" s="1900">
        <f>'Part IX Scoring Criteria'!F252</f>
        <v>0</v>
      </c>
      <c r="G1803" s="1900">
        <f>'Part IX Scoring Criteria'!G252</f>
        <v>0</v>
      </c>
      <c r="H1803" s="1900">
        <f>'Part IX Scoring Criteria'!H252</f>
        <v>0</v>
      </c>
      <c r="I1803" s="1900">
        <f>'Part IX Scoring Criteria'!I252</f>
        <v>0</v>
      </c>
      <c r="J1803" s="1900">
        <f>'Part IX Scoring Criteria'!J252</f>
        <v>0</v>
      </c>
      <c r="K1803" s="1900">
        <f>'Part IX Scoring Criteria'!K252</f>
        <v>0</v>
      </c>
      <c r="L1803" s="1900">
        <f>'Part IX Scoring Criteria'!L252</f>
        <v>0</v>
      </c>
      <c r="M1803" s="1900">
        <f>'Part IX Scoring Criteria'!M252</f>
        <v>0</v>
      </c>
      <c r="N1803" s="1900">
        <f>'Part IX Scoring Criteria'!N252</f>
        <v>0</v>
      </c>
      <c r="O1803" s="1900">
        <f>'Part IX Scoring Criteria'!O252</f>
        <v>0</v>
      </c>
      <c r="P1803" s="1900">
        <f>'Part IX Scoring Criteria'!P252</f>
        <v>0</v>
      </c>
      <c r="Q1803" s="1947"/>
      <c r="V1803" s="2043"/>
      <c r="W1803" s="2043"/>
    </row>
    <row r="1804" spans="1:26" ht="18.75">
      <c r="A1804" s="1935"/>
      <c r="B1804" s="2076"/>
      <c r="C1804" s="1900" t="str">
        <f>'Part IX Scoring Criteria'!C253</f>
        <v>3.)</v>
      </c>
      <c r="D1804" s="1900">
        <f>'Part IX Scoring Criteria'!D253</f>
        <v>0</v>
      </c>
      <c r="E1804" s="1900">
        <f>'Part IX Scoring Criteria'!E253</f>
        <v>0</v>
      </c>
      <c r="F1804" s="1900">
        <f>'Part IX Scoring Criteria'!F253</f>
        <v>0</v>
      </c>
      <c r="G1804" s="1900">
        <f>'Part IX Scoring Criteria'!G253</f>
        <v>0</v>
      </c>
      <c r="H1804" s="1900">
        <f>'Part IX Scoring Criteria'!H253</f>
        <v>0</v>
      </c>
      <c r="I1804" s="1900">
        <f>'Part IX Scoring Criteria'!I253</f>
        <v>0</v>
      </c>
      <c r="J1804" s="1900">
        <f>'Part IX Scoring Criteria'!J253</f>
        <v>0</v>
      </c>
      <c r="K1804" s="1900">
        <f>'Part IX Scoring Criteria'!K253</f>
        <v>0</v>
      </c>
      <c r="L1804" s="1900">
        <f>'Part IX Scoring Criteria'!L253</f>
        <v>0</v>
      </c>
      <c r="M1804" s="1900">
        <f>'Part IX Scoring Criteria'!M253</f>
        <v>0</v>
      </c>
      <c r="N1804" s="1900">
        <f>'Part IX Scoring Criteria'!N253</f>
        <v>0</v>
      </c>
      <c r="O1804" s="1900">
        <f>'Part IX Scoring Criteria'!O253</f>
        <v>0</v>
      </c>
      <c r="P1804" s="1900">
        <f>'Part IX Scoring Criteria'!P253</f>
        <v>0</v>
      </c>
      <c r="Q1804" s="1947"/>
      <c r="V1804" s="2043"/>
      <c r="W1804" s="2043"/>
    </row>
    <row r="1805" spans="1:26" ht="18.75" customHeight="1">
      <c r="A1805" s="1935"/>
      <c r="B1805" s="1937" t="s">
        <v>2436</v>
      </c>
      <c r="C1805" s="1952" t="s">
        <v>4138</v>
      </c>
      <c r="D1805" s="1899"/>
      <c r="E1805" s="1899"/>
      <c r="F1805" s="1899"/>
      <c r="G1805" s="1899"/>
      <c r="H1805" s="1899"/>
      <c r="I1805" s="1899"/>
      <c r="J1805" s="1899"/>
      <c r="K1805" s="1899"/>
      <c r="L1805" s="1900" t="s">
        <v>4142</v>
      </c>
      <c r="M1805" s="1900"/>
      <c r="N1805" s="1921" t="s">
        <v>4143</v>
      </c>
      <c r="O1805" s="1921"/>
      <c r="P1805" s="1921"/>
      <c r="Q1805" s="1947"/>
      <c r="V1805" s="2043"/>
      <c r="W1805" s="2043"/>
    </row>
    <row r="1806" spans="1:26" ht="18.75">
      <c r="A1806" s="1935"/>
      <c r="B1806" s="2076"/>
      <c r="C1806" s="1900" t="str">
        <f>'Part IX Scoring Criteria'!C255</f>
        <v>1.)</v>
      </c>
      <c r="D1806" s="1900">
        <f>'Part IX Scoring Criteria'!D255</f>
        <v>0</v>
      </c>
      <c r="E1806" s="1900">
        <f>'Part IX Scoring Criteria'!E255</f>
        <v>0</v>
      </c>
      <c r="F1806" s="1900">
        <f>'Part IX Scoring Criteria'!F255</f>
        <v>0</v>
      </c>
      <c r="G1806" s="1900">
        <f>'Part IX Scoring Criteria'!G255</f>
        <v>0</v>
      </c>
      <c r="H1806" s="1900">
        <f>'Part IX Scoring Criteria'!H255</f>
        <v>0</v>
      </c>
      <c r="I1806" s="1900">
        <f>'Part IX Scoring Criteria'!I255</f>
        <v>0</v>
      </c>
      <c r="J1806" s="1900">
        <f>'Part IX Scoring Criteria'!J255</f>
        <v>0</v>
      </c>
      <c r="K1806" s="1900">
        <f>'Part IX Scoring Criteria'!K255</f>
        <v>0</v>
      </c>
      <c r="L1806" s="1900">
        <f>'Part IX Scoring Criteria'!L255</f>
        <v>0</v>
      </c>
      <c r="M1806" s="1900">
        <f>'Part IX Scoring Criteria'!M255</f>
        <v>0</v>
      </c>
      <c r="N1806" s="1900">
        <f>'Part IX Scoring Criteria'!N255</f>
        <v>0</v>
      </c>
      <c r="O1806" s="1900">
        <f>'Part IX Scoring Criteria'!O255</f>
        <v>0</v>
      </c>
      <c r="P1806" s="1900">
        <f>'Part IX Scoring Criteria'!P255</f>
        <v>0</v>
      </c>
      <c r="Q1806" s="1984"/>
      <c r="V1806" s="2043"/>
      <c r="W1806" s="2043"/>
    </row>
    <row r="1807" spans="1:26" ht="18.75">
      <c r="A1807" s="1935"/>
      <c r="B1807" s="2076"/>
      <c r="C1807" s="1900" t="str">
        <f>'Part IX Scoring Criteria'!C256</f>
        <v>2.)</v>
      </c>
      <c r="D1807" s="1900">
        <f>'Part IX Scoring Criteria'!D256</f>
        <v>0</v>
      </c>
      <c r="E1807" s="1900">
        <f>'Part IX Scoring Criteria'!E256</f>
        <v>0</v>
      </c>
      <c r="F1807" s="1900">
        <f>'Part IX Scoring Criteria'!F256</f>
        <v>0</v>
      </c>
      <c r="G1807" s="1900">
        <f>'Part IX Scoring Criteria'!G256</f>
        <v>0</v>
      </c>
      <c r="H1807" s="1900">
        <f>'Part IX Scoring Criteria'!H256</f>
        <v>0</v>
      </c>
      <c r="I1807" s="1900">
        <f>'Part IX Scoring Criteria'!I256</f>
        <v>0</v>
      </c>
      <c r="J1807" s="1900">
        <f>'Part IX Scoring Criteria'!J256</f>
        <v>0</v>
      </c>
      <c r="K1807" s="1900">
        <f>'Part IX Scoring Criteria'!K256</f>
        <v>0</v>
      </c>
      <c r="L1807" s="1900">
        <f>'Part IX Scoring Criteria'!L256</f>
        <v>0</v>
      </c>
      <c r="M1807" s="1900">
        <f>'Part IX Scoring Criteria'!M256</f>
        <v>0</v>
      </c>
      <c r="N1807" s="1900">
        <f>'Part IX Scoring Criteria'!N256</f>
        <v>0</v>
      </c>
      <c r="O1807" s="1900">
        <f>'Part IX Scoring Criteria'!O256</f>
        <v>0</v>
      </c>
      <c r="P1807" s="1900">
        <f>'Part IX Scoring Criteria'!P256</f>
        <v>0</v>
      </c>
      <c r="Q1807" s="1947"/>
      <c r="V1807" s="2043"/>
      <c r="W1807" s="2043"/>
    </row>
    <row r="1808" spans="1:26" ht="18.75">
      <c r="A1808" s="1935"/>
      <c r="B1808" s="2076"/>
      <c r="C1808" s="1900" t="str">
        <f>'Part IX Scoring Criteria'!C257</f>
        <v>3.)</v>
      </c>
      <c r="D1808" s="1900">
        <f>'Part IX Scoring Criteria'!D257</f>
        <v>0</v>
      </c>
      <c r="E1808" s="1900">
        <f>'Part IX Scoring Criteria'!E257</f>
        <v>0</v>
      </c>
      <c r="F1808" s="1900">
        <f>'Part IX Scoring Criteria'!F257</f>
        <v>0</v>
      </c>
      <c r="G1808" s="1900">
        <f>'Part IX Scoring Criteria'!G257</f>
        <v>0</v>
      </c>
      <c r="H1808" s="1900">
        <f>'Part IX Scoring Criteria'!H257</f>
        <v>0</v>
      </c>
      <c r="I1808" s="1900">
        <f>'Part IX Scoring Criteria'!I257</f>
        <v>0</v>
      </c>
      <c r="J1808" s="1900">
        <f>'Part IX Scoring Criteria'!J257</f>
        <v>0</v>
      </c>
      <c r="K1808" s="1900">
        <f>'Part IX Scoring Criteria'!K257</f>
        <v>0</v>
      </c>
      <c r="L1808" s="1900">
        <f>'Part IX Scoring Criteria'!L257</f>
        <v>0</v>
      </c>
      <c r="M1808" s="1900">
        <f>'Part IX Scoring Criteria'!M257</f>
        <v>0</v>
      </c>
      <c r="N1808" s="1900">
        <f>'Part IX Scoring Criteria'!N257</f>
        <v>0</v>
      </c>
      <c r="O1808" s="1900">
        <f>'Part IX Scoring Criteria'!O257</f>
        <v>0</v>
      </c>
      <c r="P1808" s="1900">
        <f>'Part IX Scoring Criteria'!P257</f>
        <v>0</v>
      </c>
      <c r="Q1808" s="1947"/>
      <c r="V1808" s="2043"/>
      <c r="W1808" s="2043"/>
    </row>
    <row r="1809" spans="1:26">
      <c r="A1809" s="1935"/>
      <c r="B1809" s="2050" t="s">
        <v>2534</v>
      </c>
      <c r="C1809" s="1893" t="s">
        <v>4035</v>
      </c>
      <c r="D1809" s="1921"/>
      <c r="E1809" s="1921"/>
      <c r="F1809" s="1921"/>
      <c r="G1809" s="1921"/>
      <c r="H1809" s="1921"/>
      <c r="I1809" s="1921"/>
      <c r="J1809" s="1921"/>
      <c r="K1809" s="1921"/>
      <c r="L1809" s="1921"/>
      <c r="M1809" s="1921"/>
      <c r="N1809" s="1921"/>
      <c r="O1809" s="1895"/>
      <c r="P1809" s="1895"/>
      <c r="Q1809" s="1921"/>
    </row>
    <row r="1810" spans="1:26" ht="18.75" customHeight="1">
      <c r="A1810" s="1935"/>
      <c r="B1810" s="2077"/>
      <c r="C1810" s="1867" t="s">
        <v>4039</v>
      </c>
      <c r="D1810" s="1867"/>
      <c r="E1810" s="1867"/>
      <c r="F1810" s="1867"/>
      <c r="G1810" s="1867"/>
      <c r="H1810" s="1867"/>
      <c r="I1810" s="1867"/>
      <c r="J1810" s="1867"/>
      <c r="K1810" s="1867"/>
      <c r="L1810" s="1867"/>
      <c r="M1810" s="1867"/>
      <c r="N1810" s="2001" t="s">
        <v>2534</v>
      </c>
      <c r="O1810" s="1938">
        <f>'Part IX Scoring Criteria'!O259</f>
        <v>0</v>
      </c>
      <c r="P1810" s="1938">
        <f>'Part IX Scoring Criteria'!P259</f>
        <v>0</v>
      </c>
      <c r="Q1810" s="1947"/>
      <c r="R1810" s="1631"/>
      <c r="S1810" s="1631"/>
      <c r="T1810" s="1631"/>
      <c r="U1810" s="1631"/>
      <c r="V1810" s="2043"/>
      <c r="W1810" s="2043"/>
      <c r="X1810" s="1631"/>
      <c r="Y1810" s="1631"/>
      <c r="Z1810" s="1631"/>
    </row>
    <row r="1811" spans="1:26">
      <c r="A1811" s="1825"/>
      <c r="B1811" s="2046" t="s">
        <v>1224</v>
      </c>
      <c r="C1811" s="1894" t="s">
        <v>3789</v>
      </c>
      <c r="D1811" s="1631"/>
      <c r="Q1811" s="1630"/>
    </row>
    <row r="1812" spans="1:26" ht="18.75" customHeight="1">
      <c r="A1812" s="1935"/>
      <c r="B1812" s="2077"/>
      <c r="C1812" s="1900" t="s">
        <v>4041</v>
      </c>
      <c r="D1812" s="1900"/>
      <c r="E1812" s="1900"/>
      <c r="F1812" s="1900"/>
      <c r="G1812" s="1900"/>
      <c r="H1812" s="1900"/>
      <c r="I1812" s="1900"/>
      <c r="J1812" s="1900"/>
      <c r="K1812" s="1900"/>
      <c r="L1812" s="1900"/>
      <c r="M1812" s="1900"/>
      <c r="N1812" s="2001" t="s">
        <v>1224</v>
      </c>
      <c r="O1812" s="1945">
        <f>'Part IX Scoring Criteria'!O261</f>
        <v>0</v>
      </c>
      <c r="P1812" s="1945">
        <f>'Part IX Scoring Criteria'!P261</f>
        <v>0</v>
      </c>
      <c r="Q1812" s="1947"/>
      <c r="R1812" s="1631"/>
      <c r="S1812" s="1631"/>
      <c r="T1812" s="1631"/>
      <c r="U1812" s="1631"/>
      <c r="V1812" s="2043"/>
      <c r="W1812" s="2043"/>
      <c r="X1812" s="1631"/>
      <c r="Y1812" s="1631"/>
      <c r="Z1812" s="1631"/>
    </row>
    <row r="1813" spans="1:26" ht="18.75" customHeight="1">
      <c r="A1813" s="1935"/>
      <c r="B1813" s="1937" t="s">
        <v>2435</v>
      </c>
      <c r="C1813" s="1867" t="s">
        <v>4042</v>
      </c>
      <c r="D1813" s="1867"/>
      <c r="E1813" s="1867"/>
      <c r="F1813" s="1867"/>
      <c r="G1813" s="1867"/>
      <c r="H1813" s="1867"/>
      <c r="I1813" s="1867"/>
      <c r="J1813" s="1867"/>
      <c r="K1813" s="1867"/>
      <c r="L1813" s="1867"/>
      <c r="M1813" s="1867"/>
      <c r="N1813" s="1937" t="s">
        <v>2435</v>
      </c>
      <c r="O1813" s="1938">
        <f>'Part IX Scoring Criteria'!O263</f>
        <v>0</v>
      </c>
      <c r="P1813" s="1938">
        <f>'Part IX Scoring Criteria'!P263</f>
        <v>0</v>
      </c>
      <c r="Q1813" s="1947"/>
      <c r="R1813" s="1631"/>
      <c r="S1813" s="1631"/>
      <c r="T1813" s="1631"/>
      <c r="U1813" s="1631"/>
      <c r="V1813" s="2043"/>
      <c r="W1813" s="2043"/>
      <c r="X1813" s="1631"/>
      <c r="Y1813" s="1631"/>
      <c r="Z1813" s="1631"/>
    </row>
    <row r="1814" spans="1:26" ht="18.75" customHeight="1">
      <c r="A1814" s="1935"/>
      <c r="B1814" s="1937" t="s">
        <v>2436</v>
      </c>
      <c r="C1814" s="1867" t="s">
        <v>4043</v>
      </c>
      <c r="D1814" s="1867"/>
      <c r="E1814" s="1867"/>
      <c r="F1814" s="1867"/>
      <c r="G1814" s="1867"/>
      <c r="H1814" s="1867"/>
      <c r="I1814" s="1867"/>
      <c r="J1814" s="1867"/>
      <c r="K1814" s="1867"/>
      <c r="L1814" s="1867"/>
      <c r="M1814" s="1867"/>
      <c r="N1814" s="1937" t="s">
        <v>2436</v>
      </c>
      <c r="O1814" s="1938">
        <f>'Part IX Scoring Criteria'!O264</f>
        <v>0</v>
      </c>
      <c r="P1814" s="1938">
        <f>'Part IX Scoring Criteria'!P264</f>
        <v>0</v>
      </c>
      <c r="Q1814" s="1947"/>
      <c r="R1814" s="1631"/>
      <c r="S1814" s="1631"/>
      <c r="T1814" s="1631"/>
      <c r="U1814" s="1631"/>
      <c r="V1814" s="2043"/>
      <c r="W1814" s="2043"/>
      <c r="X1814" s="1631"/>
      <c r="Y1814" s="1631"/>
      <c r="Z1814" s="1631"/>
    </row>
    <row r="1815" spans="1:26" ht="18.75">
      <c r="B1815" s="1937"/>
      <c r="C1815" s="1216"/>
      <c r="G1815" s="1964"/>
      <c r="L1815" s="2078"/>
      <c r="M1815" s="2078"/>
      <c r="Q1815" s="1947"/>
      <c r="V1815" s="2043"/>
      <c r="W1815" s="2043"/>
    </row>
    <row r="1816" spans="1:26">
      <c r="A1816" s="1825" t="s">
        <v>1985</v>
      </c>
      <c r="B1816" s="1820" t="s">
        <v>4593</v>
      </c>
      <c r="D1816" s="1631"/>
      <c r="G1816" s="1964" t="s">
        <v>3786</v>
      </c>
      <c r="O1816" s="1895" t="s">
        <v>2510</v>
      </c>
      <c r="P1816" s="1895" t="s">
        <v>2510</v>
      </c>
      <c r="Q1816" s="1689"/>
    </row>
    <row r="1817" spans="1:26" ht="18.75" customHeight="1">
      <c r="A1817" s="1935"/>
      <c r="B1817" s="2050" t="s">
        <v>1986</v>
      </c>
      <c r="C1817" s="1900" t="s">
        <v>4037</v>
      </c>
      <c r="D1817" s="1900"/>
      <c r="E1817" s="1900"/>
      <c r="F1817" s="1900"/>
      <c r="G1817" s="1900"/>
      <c r="H1817" s="1900"/>
      <c r="I1817" s="1900"/>
      <c r="J1817" s="1900"/>
      <c r="K1817" s="1900"/>
      <c r="L1817" s="1900"/>
      <c r="M1817" s="2079" t="s">
        <v>1985</v>
      </c>
      <c r="N1817" s="2001" t="s">
        <v>1986</v>
      </c>
      <c r="O1817" s="1945">
        <f>'Part IX Scoring Criteria'!O269</f>
        <v>0</v>
      </c>
      <c r="P1817" s="1945">
        <f>'Part IX Scoring Criteria'!P269</f>
        <v>0</v>
      </c>
      <c r="Q1817" s="1689"/>
      <c r="V1817" s="2043"/>
      <c r="W1817" s="2043"/>
    </row>
    <row r="1818" spans="1:26" ht="18.75">
      <c r="A1818" s="1935"/>
      <c r="B1818" s="2050" t="s">
        <v>1988</v>
      </c>
      <c r="C1818" s="1841" t="s">
        <v>4038</v>
      </c>
      <c r="D1818" s="1867"/>
      <c r="E1818" s="1867"/>
      <c r="F1818" s="1867"/>
      <c r="G1818" s="1867"/>
      <c r="H1818" s="1867"/>
      <c r="I1818" s="1867"/>
      <c r="J1818" s="1867"/>
      <c r="K1818" s="1867"/>
      <c r="L1818" s="1867"/>
      <c r="M1818" s="1867"/>
      <c r="N1818" s="2001" t="s">
        <v>1988</v>
      </c>
      <c r="O1818" s="1938">
        <f>'Part IX Scoring Criteria'!O270</f>
        <v>0</v>
      </c>
      <c r="P1818" s="1938">
        <f>'Part IX Scoring Criteria'!P270</f>
        <v>0</v>
      </c>
      <c r="Q1818" s="1947"/>
      <c r="R1818" s="1631"/>
      <c r="S1818" s="1631"/>
      <c r="T1818" s="1631"/>
      <c r="U1818" s="1631"/>
      <c r="V1818" s="2080"/>
      <c r="W1818" s="2080"/>
      <c r="X1818" s="1631"/>
      <c r="Y1818" s="1631"/>
      <c r="Z1818" s="1631"/>
    </row>
    <row r="1819" spans="1:26" ht="15">
      <c r="A1819" s="1631"/>
      <c r="B1819" s="1994" t="s">
        <v>3757</v>
      </c>
      <c r="C1819" s="1631"/>
      <c r="D1819" s="1634"/>
      <c r="E1819" s="1634"/>
      <c r="F1819" s="1634"/>
      <c r="G1819" s="1634"/>
      <c r="H1819" s="521"/>
      <c r="I1819" s="521"/>
      <c r="J1819" s="1976"/>
      <c r="K1819" s="1976"/>
      <c r="L1819" s="1976"/>
      <c r="M1819" s="1630"/>
      <c r="N1819" s="1637"/>
      <c r="O1819" s="1975"/>
      <c r="P1819" s="1639"/>
      <c r="Q1819" s="1976"/>
      <c r="R1819" s="1976"/>
      <c r="S1819" s="1976"/>
      <c r="T1819" s="1976"/>
      <c r="U1819" s="1976"/>
      <c r="V1819" s="1976"/>
      <c r="W1819" s="1976"/>
      <c r="X1819" s="1976"/>
      <c r="Y1819" s="1976"/>
      <c r="Z1819" s="1976"/>
    </row>
    <row r="1820" spans="1:26" ht="15.75">
      <c r="A1820" s="1890">
        <f>'Part IX Scoring Criteria'!A273</f>
        <v>0</v>
      </c>
      <c r="B1820" s="1890">
        <f>'Part IX Scoring Criteria'!B273</f>
        <v>0</v>
      </c>
      <c r="C1820" s="1890">
        <f>'Part IX Scoring Criteria'!C273</f>
        <v>0</v>
      </c>
      <c r="D1820" s="1890">
        <f>'Part IX Scoring Criteria'!D273</f>
        <v>0</v>
      </c>
      <c r="E1820" s="1890">
        <f>'Part IX Scoring Criteria'!E273</f>
        <v>0</v>
      </c>
      <c r="F1820" s="1890">
        <f>'Part IX Scoring Criteria'!F273</f>
        <v>0</v>
      </c>
      <c r="G1820" s="1890">
        <f>'Part IX Scoring Criteria'!G273</f>
        <v>0</v>
      </c>
      <c r="H1820" s="1890">
        <f>'Part IX Scoring Criteria'!H273</f>
        <v>0</v>
      </c>
      <c r="I1820" s="1890">
        <f>'Part IX Scoring Criteria'!I273</f>
        <v>0</v>
      </c>
      <c r="J1820" s="1890">
        <f>'Part IX Scoring Criteria'!J273</f>
        <v>0</v>
      </c>
      <c r="K1820" s="1890">
        <f>'Part IX Scoring Criteria'!K273</f>
        <v>0</v>
      </c>
      <c r="L1820" s="1890">
        <f>'Part IX Scoring Criteria'!L273</f>
        <v>0</v>
      </c>
      <c r="M1820" s="1890">
        <f>'Part IX Scoring Criteria'!M273</f>
        <v>0</v>
      </c>
      <c r="N1820" s="1890">
        <f>'Part IX Scoring Criteria'!N273</f>
        <v>0</v>
      </c>
      <c r="O1820" s="1890">
        <f>'Part IX Scoring Criteria'!O273</f>
        <v>0</v>
      </c>
      <c r="P1820" s="1890">
        <f>'Part IX Scoring Criteria'!P273</f>
        <v>0</v>
      </c>
      <c r="Q1820" s="1984"/>
      <c r="R1820" s="1976"/>
      <c r="S1820" s="1976"/>
      <c r="T1820" s="1976"/>
      <c r="U1820" s="1976"/>
      <c r="V1820" s="1976"/>
      <c r="W1820" s="1976"/>
      <c r="X1820" s="1976"/>
      <c r="Y1820" s="1976"/>
      <c r="Z1820" s="1976"/>
    </row>
    <row r="1821" spans="1:26" ht="15">
      <c r="A1821" s="1631"/>
      <c r="B1821" s="1897" t="s">
        <v>1866</v>
      </c>
      <c r="C1821" s="1631"/>
      <c r="D1821" s="1897"/>
      <c r="E1821" s="1899"/>
      <c r="F1821" s="1899"/>
      <c r="G1821" s="1899"/>
      <c r="H1821" s="1899"/>
      <c r="I1821" s="1899"/>
      <c r="J1821" s="1899"/>
      <c r="K1821" s="1899"/>
      <c r="L1821" s="1899"/>
      <c r="M1821" s="1899"/>
      <c r="N1821" s="2011"/>
      <c r="O1821" s="1982"/>
      <c r="P1821" s="1813"/>
      <c r="Q1821" s="2006"/>
      <c r="R1821" s="1976"/>
      <c r="S1821" s="1976"/>
      <c r="T1821" s="1976"/>
      <c r="U1821" s="1976"/>
      <c r="V1821" s="1976"/>
      <c r="W1821" s="1976"/>
      <c r="X1821" s="1976"/>
      <c r="Y1821" s="1976"/>
      <c r="Z1821" s="1976"/>
    </row>
    <row r="1822" spans="1:26" ht="15.75">
      <c r="A1822" s="1890">
        <f>'Part IX Scoring Criteria'!A275</f>
        <v>0</v>
      </c>
      <c r="B1822" s="1890">
        <f>'Part IX Scoring Criteria'!B275</f>
        <v>0</v>
      </c>
      <c r="C1822" s="1890">
        <f>'Part IX Scoring Criteria'!C275</f>
        <v>0</v>
      </c>
      <c r="D1822" s="1890">
        <f>'Part IX Scoring Criteria'!D275</f>
        <v>0</v>
      </c>
      <c r="E1822" s="1890">
        <f>'Part IX Scoring Criteria'!E275</f>
        <v>0</v>
      </c>
      <c r="F1822" s="1890">
        <f>'Part IX Scoring Criteria'!F275</f>
        <v>0</v>
      </c>
      <c r="G1822" s="1890">
        <f>'Part IX Scoring Criteria'!G275</f>
        <v>0</v>
      </c>
      <c r="H1822" s="1890">
        <f>'Part IX Scoring Criteria'!H275</f>
        <v>0</v>
      </c>
      <c r="I1822" s="1890">
        <f>'Part IX Scoring Criteria'!I275</f>
        <v>0</v>
      </c>
      <c r="J1822" s="1890">
        <f>'Part IX Scoring Criteria'!J275</f>
        <v>0</v>
      </c>
      <c r="K1822" s="1890">
        <f>'Part IX Scoring Criteria'!K275</f>
        <v>0</v>
      </c>
      <c r="L1822" s="1890">
        <f>'Part IX Scoring Criteria'!L275</f>
        <v>0</v>
      </c>
      <c r="M1822" s="1890">
        <f>'Part IX Scoring Criteria'!M275</f>
        <v>0</v>
      </c>
      <c r="N1822" s="1890">
        <f>'Part IX Scoring Criteria'!N275</f>
        <v>0</v>
      </c>
      <c r="O1822" s="1890">
        <f>'Part IX Scoring Criteria'!O275</f>
        <v>0</v>
      </c>
      <c r="P1822" s="1890">
        <f>'Part IX Scoring Criteria'!P275</f>
        <v>0</v>
      </c>
      <c r="Q1822" s="1984"/>
      <c r="R1822" s="1976"/>
      <c r="S1822" s="1976"/>
      <c r="T1822" s="1976"/>
      <c r="U1822" s="1976"/>
      <c r="V1822" s="1976"/>
      <c r="W1822" s="1976"/>
      <c r="X1822" s="1976"/>
      <c r="Y1822" s="1976"/>
      <c r="Z1822" s="1976"/>
    </row>
    <row r="1823" spans="1:26">
      <c r="N1823" s="1637"/>
      <c r="O1823" s="1639"/>
      <c r="P1823" s="1639"/>
    </row>
    <row r="1824" spans="1:26" ht="15">
      <c r="A1824" s="1977" t="s">
        <v>362</v>
      </c>
      <c r="B1824" s="1978" t="s">
        <v>2786</v>
      </c>
      <c r="C1824" s="1993"/>
      <c r="D1824" s="1994"/>
      <c r="E1824" s="1994"/>
      <c r="F1824" s="1993"/>
      <c r="G1824" s="1993"/>
      <c r="H1824" s="1652" t="s">
        <v>4183</v>
      </c>
      <c r="I1824" s="1993"/>
      <c r="J1824" s="1993"/>
      <c r="K1824" s="1993"/>
      <c r="L1824" s="1993"/>
      <c r="M1824" s="1813">
        <v>7</v>
      </c>
      <c r="N1824" s="1630"/>
      <c r="O1824" s="1816">
        <f>'Part IX Scoring Criteria'!O277</f>
        <v>0</v>
      </c>
      <c r="P1824" s="1816">
        <f>'Part IX Scoring Criteria'!P277</f>
        <v>0</v>
      </c>
      <c r="Q1824" s="1813" t="s">
        <v>441</v>
      </c>
      <c r="R1824" s="1976"/>
      <c r="S1824" s="1993"/>
      <c r="T1824" s="1993"/>
      <c r="U1824" s="1993"/>
      <c r="V1824" s="1993"/>
      <c r="W1824" s="1993"/>
      <c r="X1824" s="1993"/>
      <c r="Y1824" s="1993"/>
      <c r="Z1824" s="1993"/>
    </row>
    <row r="1825" spans="1:26" ht="15">
      <c r="A1825" s="1977"/>
      <c r="B1825" s="1978"/>
      <c r="C1825" s="1993"/>
      <c r="D1825" s="1994"/>
      <c r="E1825" s="1994"/>
      <c r="F1825" s="1993"/>
      <c r="G1825" s="1993"/>
      <c r="H1825" s="1652"/>
      <c r="I1825" s="1993"/>
      <c r="J1825" s="1993"/>
      <c r="K1825" s="1993"/>
      <c r="L1825" s="1993"/>
      <c r="M1825" s="1938"/>
      <c r="N1825" s="1993"/>
      <c r="O1825" s="1993"/>
      <c r="P1825" s="1993"/>
      <c r="Q1825" s="1813"/>
      <c r="R1825" s="1976"/>
      <c r="S1825" s="1993"/>
      <c r="T1825" s="1993"/>
      <c r="U1825" s="1993"/>
      <c r="V1825" s="1993"/>
      <c r="W1825" s="1993"/>
      <c r="X1825" s="1993"/>
      <c r="Y1825" s="1993"/>
      <c r="Z1825" s="1993"/>
    </row>
    <row r="1826" spans="1:26" ht="15">
      <c r="A1826" s="2081" t="s">
        <v>3602</v>
      </c>
      <c r="B1826" s="1820" t="s">
        <v>3600</v>
      </c>
      <c r="C1826" s="1993"/>
      <c r="D1826" s="1994"/>
      <c r="E1826" s="1994"/>
      <c r="F1826" s="1993"/>
      <c r="G1826" s="1993"/>
      <c r="H1826" s="1652"/>
      <c r="I1826" s="1993"/>
      <c r="J1826" s="1993"/>
      <c r="K1826" s="1993"/>
      <c r="L1826" s="1993"/>
      <c r="M1826" s="1630">
        <v>3</v>
      </c>
      <c r="N1826" s="2038" t="s">
        <v>4046</v>
      </c>
      <c r="O1826" s="1816">
        <f>'Part IX Scoring Criteria'!O279</f>
        <v>0</v>
      </c>
      <c r="P1826" s="1813">
        <f>'Part IX Scoring Criteria'!P279</f>
        <v>0</v>
      </c>
      <c r="Q1826" s="1813"/>
      <c r="R1826" s="1976"/>
      <c r="S1826" s="1993"/>
      <c r="T1826" s="1993"/>
      <c r="U1826" s="1993"/>
      <c r="V1826" s="1993"/>
      <c r="W1826" s="1993"/>
      <c r="X1826" s="1993"/>
      <c r="Y1826" s="1993"/>
      <c r="Z1826" s="1993"/>
    </row>
    <row r="1827" spans="1:26">
      <c r="A1827" s="2081"/>
      <c r="B1827" s="1634" t="s">
        <v>2794</v>
      </c>
      <c r="C1827" s="1486"/>
      <c r="D1827" s="1486"/>
      <c r="H1827" s="1820" t="str">
        <f>'Part I-Project Information'!$H$105</f>
        <v>N/A - 4% Bond</v>
      </c>
      <c r="N1827" s="2038"/>
      <c r="O1827" s="1943" t="s">
        <v>2510</v>
      </c>
      <c r="P1827" s="1943" t="s">
        <v>2510</v>
      </c>
    </row>
    <row r="1828" spans="1:26" ht="12.75" customHeight="1">
      <c r="A1828" s="2081"/>
      <c r="B1828" s="2046" t="s">
        <v>1986</v>
      </c>
      <c r="C1828" s="1216" t="s">
        <v>2685</v>
      </c>
      <c r="M1828" s="1637"/>
      <c r="N1828" s="2038"/>
      <c r="O1828" s="1938">
        <f>'Part IX Scoring Criteria'!O281</f>
        <v>0</v>
      </c>
      <c r="P1828" s="1938">
        <f>'Part IX Scoring Criteria'!P281</f>
        <v>0</v>
      </c>
      <c r="Q1828" s="2082" t="str">
        <f>IF(AND(O1828="Yes",O1831="Yes"),"Only 1 or 4 can be 'Yes'!","")</f>
        <v/>
      </c>
      <c r="R1828" s="2082"/>
    </row>
    <row r="1829" spans="1:26" ht="12.75" customHeight="1">
      <c r="B1829" s="2046" t="s">
        <v>1988</v>
      </c>
      <c r="C1829" s="1216" t="s">
        <v>2739</v>
      </c>
      <c r="G1829" s="1216" t="s">
        <v>2389</v>
      </c>
      <c r="H1829" s="2173" t="str">
        <f>'Part IX Scoring Criteria'!H282</f>
        <v>&lt; Select &gt;</v>
      </c>
      <c r="I1829" s="1216" t="s">
        <v>2740</v>
      </c>
      <c r="L1829" s="521" t="s">
        <v>2738</v>
      </c>
      <c r="M1829" s="1894" t="str">
        <f>IF(O1829&gt;H1829,"CHECK ACTUAL PERCENT!!!","")</f>
        <v/>
      </c>
      <c r="N1829" s="2013" t="s">
        <v>1988</v>
      </c>
      <c r="O1829" s="2083">
        <f>'Part IX Scoring Criteria'!O282</f>
        <v>0</v>
      </c>
      <c r="P1829" s="2083">
        <f>'Part IX Scoring Criteria'!P282</f>
        <v>0</v>
      </c>
      <c r="Q1829" s="2082"/>
      <c r="R1829" s="2082"/>
    </row>
    <row r="1830" spans="1:26" ht="12.75" customHeight="1">
      <c r="B1830" s="2046" t="s">
        <v>2534</v>
      </c>
      <c r="C1830" s="1216" t="s">
        <v>2390</v>
      </c>
      <c r="G1830" s="1216" t="s">
        <v>2391</v>
      </c>
      <c r="L1830" s="1841" t="s">
        <v>2732</v>
      </c>
      <c r="M1830" s="1631"/>
      <c r="N1830" s="2013" t="s">
        <v>2534</v>
      </c>
      <c r="O1830" s="1895" t="str">
        <f>'Part IX Scoring Criteria'!O283</f>
        <v>&lt;Select&gt;</v>
      </c>
      <c r="P1830" s="1895" t="str">
        <f>'Part IX Scoring Criteria'!P283</f>
        <v>&lt;Select&gt;</v>
      </c>
      <c r="Q1830" s="2082"/>
      <c r="R1830" s="2082"/>
    </row>
    <row r="1831" spans="1:26" ht="12.75" customHeight="1">
      <c r="A1831" s="1913"/>
      <c r="B1831" s="2050" t="s">
        <v>1224</v>
      </c>
      <c r="C1831" s="1900" t="s">
        <v>4594</v>
      </c>
      <c r="D1831" s="1900"/>
      <c r="E1831" s="1900"/>
      <c r="F1831" s="1900"/>
      <c r="G1831" s="1900"/>
      <c r="H1831" s="1900"/>
      <c r="I1831" s="1900"/>
      <c r="J1831" s="2084" t="s">
        <v>4045</v>
      </c>
      <c r="K1831" s="2084" t="s">
        <v>4044</v>
      </c>
      <c r="L1831" s="1913"/>
      <c r="M1831" s="1633">
        <v>2</v>
      </c>
      <c r="N1831" s="2013" t="s">
        <v>1224</v>
      </c>
      <c r="O1831" s="1945">
        <f>'Part IX Scoring Criteria'!O284</f>
        <v>0</v>
      </c>
      <c r="P1831" s="1945">
        <f>'Part IX Scoring Criteria'!P284</f>
        <v>0</v>
      </c>
      <c r="Q1831" s="2082"/>
      <c r="R1831" s="2082"/>
      <c r="S1831" s="1913"/>
      <c r="T1831" s="1913"/>
      <c r="U1831" s="1913"/>
      <c r="V1831" s="1913"/>
      <c r="W1831" s="1913"/>
      <c r="X1831" s="1913"/>
      <c r="Y1831" s="1913"/>
      <c r="Z1831" s="1913"/>
    </row>
    <row r="1832" spans="1:26">
      <c r="B1832" s="2047"/>
      <c r="C1832" s="1900"/>
      <c r="D1832" s="1900"/>
      <c r="E1832" s="1900"/>
      <c r="F1832" s="1900"/>
      <c r="G1832" s="1900"/>
      <c r="H1832" s="1900"/>
      <c r="I1832" s="1900"/>
      <c r="J1832" s="2084"/>
      <c r="K1832" s="2084"/>
      <c r="L1832" s="2085" t="s">
        <v>4100</v>
      </c>
      <c r="M1832" s="2085"/>
      <c r="O1832" s="1639"/>
      <c r="P1832" s="1639"/>
    </row>
    <row r="1833" spans="1:26">
      <c r="B1833" s="2047"/>
      <c r="C1833" s="1900"/>
      <c r="D1833" s="1900"/>
      <c r="E1833" s="1900"/>
      <c r="F1833" s="1900"/>
      <c r="G1833" s="1900"/>
      <c r="H1833" s="1900"/>
      <c r="I1833" s="1900"/>
      <c r="J1833" s="2174">
        <f>'Part IX Scoring Criteria'!J286</f>
        <v>0</v>
      </c>
      <c r="K1833" s="2175">
        <f>'Part IX Scoring Criteria'!K286</f>
        <v>0</v>
      </c>
      <c r="L1833" s="2086">
        <f>'Part IX Scoring Criteria'!L286</f>
        <v>0</v>
      </c>
      <c r="M1833" s="2087">
        <f>'Part IX Scoring Criteria'!M286</f>
        <v>0</v>
      </c>
      <c r="O1833" s="1639"/>
      <c r="P1833" s="1639"/>
    </row>
    <row r="1834" spans="1:26">
      <c r="A1834" s="1848" t="s">
        <v>749</v>
      </c>
      <c r="B1834" s="2046" t="s">
        <v>3601</v>
      </c>
      <c r="C1834" s="1216"/>
      <c r="G1834" s="1216"/>
      <c r="M1834" s="1630">
        <v>2</v>
      </c>
      <c r="N1834" s="1828" t="s">
        <v>749</v>
      </c>
      <c r="O1834" s="1816">
        <f>'Part IX Scoring Criteria'!O288</f>
        <v>0</v>
      </c>
      <c r="P1834" s="1816">
        <f>'Part IX Scoring Criteria'!P288</f>
        <v>0</v>
      </c>
    </row>
    <row r="1835" spans="1:26">
      <c r="A1835" s="1848"/>
      <c r="B1835" s="1955" t="s">
        <v>3605</v>
      </c>
      <c r="C1835" s="1955"/>
      <c r="D1835" s="1955"/>
      <c r="E1835" s="1955"/>
      <c r="F1835" s="1955"/>
      <c r="G1835" s="1955"/>
      <c r="H1835" s="1904"/>
      <c r="I1835" s="1904"/>
      <c r="N1835" s="1637"/>
      <c r="O1835" s="1895">
        <f>'Part IX Scoring Criteria'!O289</f>
        <v>0</v>
      </c>
      <c r="P1835" s="1895">
        <f>'Part IX Scoring Criteria'!P289</f>
        <v>0</v>
      </c>
    </row>
    <row r="1836" spans="1:26">
      <c r="A1836" s="1848" t="s">
        <v>2115</v>
      </c>
      <c r="B1836" s="2046" t="s">
        <v>3603</v>
      </c>
      <c r="C1836" s="1216"/>
      <c r="G1836" s="1964" t="s">
        <v>3604</v>
      </c>
      <c r="H1836" s="2088">
        <f>'Part VI-Revenues &amp; Expenses'!$O$64</f>
        <v>0</v>
      </c>
      <c r="I1836" s="1943" t="s">
        <v>3606</v>
      </c>
      <c r="J1836" s="2088">
        <f>'Part VI-Revenues &amp; Expenses'!$O$67</f>
        <v>84</v>
      </c>
      <c r="K1836" s="1943" t="s">
        <v>3607</v>
      </c>
      <c r="L1836" s="2089">
        <f>IF(J1836=0,0,H1836/J1836)</f>
        <v>0</v>
      </c>
      <c r="M1836" s="1630">
        <v>2</v>
      </c>
      <c r="N1836" s="1632" t="s">
        <v>2115</v>
      </c>
      <c r="O1836" s="1813">
        <f>'Part IX Scoring Criteria'!O293</f>
        <v>0</v>
      </c>
      <c r="P1836" s="1813">
        <f>'Part IX Scoring Criteria'!P293</f>
        <v>0</v>
      </c>
    </row>
    <row r="1837" spans="1:26" ht="15">
      <c r="A1837" s="1631"/>
      <c r="B1837" s="1897" t="s">
        <v>1866</v>
      </c>
      <c r="C1837" s="1631"/>
      <c r="D1837" s="1897"/>
      <c r="E1837" s="1899"/>
      <c r="F1837" s="1899"/>
      <c r="G1837" s="1899"/>
      <c r="H1837" s="1899"/>
      <c r="I1837" s="1899"/>
      <c r="J1837" s="1899"/>
      <c r="K1837" s="1899"/>
      <c r="L1837" s="1899"/>
      <c r="M1837" s="1899"/>
      <c r="N1837" s="2011"/>
      <c r="O1837" s="1982"/>
      <c r="P1837" s="1813"/>
      <c r="Q1837" s="2006"/>
      <c r="R1837" s="1976"/>
      <c r="S1837" s="1976"/>
      <c r="T1837" s="1976"/>
      <c r="U1837" s="1976"/>
      <c r="V1837" s="1976"/>
      <c r="W1837" s="1976"/>
      <c r="X1837" s="1976"/>
      <c r="Y1837" s="1976"/>
      <c r="Z1837" s="1976"/>
    </row>
    <row r="1838" spans="1:26" ht="15.75">
      <c r="A1838" s="1890">
        <f>'Part IX Scoring Criteria'!A296</f>
        <v>0</v>
      </c>
      <c r="B1838" s="1890">
        <f>'Part IX Scoring Criteria'!B296</f>
        <v>0</v>
      </c>
      <c r="C1838" s="1890">
        <f>'Part IX Scoring Criteria'!C296</f>
        <v>0</v>
      </c>
      <c r="D1838" s="1890">
        <f>'Part IX Scoring Criteria'!D296</f>
        <v>0</v>
      </c>
      <c r="E1838" s="1890">
        <f>'Part IX Scoring Criteria'!E296</f>
        <v>0</v>
      </c>
      <c r="F1838" s="1890">
        <f>'Part IX Scoring Criteria'!F296</f>
        <v>0</v>
      </c>
      <c r="G1838" s="1890">
        <f>'Part IX Scoring Criteria'!G296</f>
        <v>0</v>
      </c>
      <c r="H1838" s="1890">
        <f>'Part IX Scoring Criteria'!H296</f>
        <v>0</v>
      </c>
      <c r="I1838" s="1890">
        <f>'Part IX Scoring Criteria'!I296</f>
        <v>0</v>
      </c>
      <c r="J1838" s="1890">
        <f>'Part IX Scoring Criteria'!J296</f>
        <v>0</v>
      </c>
      <c r="K1838" s="1890">
        <f>'Part IX Scoring Criteria'!K296</f>
        <v>0</v>
      </c>
      <c r="L1838" s="1890">
        <f>'Part IX Scoring Criteria'!L296</f>
        <v>0</v>
      </c>
      <c r="M1838" s="1890">
        <f>'Part IX Scoring Criteria'!M296</f>
        <v>0</v>
      </c>
      <c r="N1838" s="1890">
        <f>'Part IX Scoring Criteria'!N296</f>
        <v>0</v>
      </c>
      <c r="O1838" s="1890">
        <f>'Part IX Scoring Criteria'!O296</f>
        <v>0</v>
      </c>
      <c r="P1838" s="1890">
        <f>'Part IX Scoring Criteria'!P296</f>
        <v>0</v>
      </c>
      <c r="Q1838" s="1984"/>
      <c r="R1838" s="1976"/>
      <c r="S1838" s="1976"/>
      <c r="T1838" s="1976"/>
      <c r="U1838" s="1976"/>
      <c r="V1838" s="1976"/>
      <c r="W1838" s="1976"/>
      <c r="X1838" s="1976"/>
      <c r="Y1838" s="1976"/>
      <c r="Z1838" s="1976"/>
    </row>
    <row r="1839" spans="1:26" ht="15">
      <c r="A1839" s="1631"/>
      <c r="B1839" s="1976"/>
      <c r="C1839" s="1976"/>
      <c r="D1839" s="521"/>
      <c r="E1839" s="521"/>
      <c r="F1839" s="1813"/>
      <c r="G1839" s="1813"/>
      <c r="H1839" s="1813"/>
      <c r="I1839" s="1813"/>
      <c r="J1839" s="1841"/>
      <c r="K1839" s="1841"/>
      <c r="L1839" s="1841"/>
      <c r="M1839" s="1895"/>
      <c r="N1839" s="1813"/>
      <c r="O1839" s="1639"/>
      <c r="P1839" s="1975"/>
      <c r="Q1839" s="1976"/>
      <c r="R1839" s="1976"/>
      <c r="S1839" s="1976"/>
      <c r="T1839" s="1976"/>
      <c r="U1839" s="1976"/>
      <c r="V1839" s="1976"/>
      <c r="W1839" s="1976"/>
      <c r="X1839" s="1976"/>
      <c r="Y1839" s="1976"/>
      <c r="Z1839" s="1976"/>
    </row>
    <row r="1840" spans="1:26" ht="15">
      <c r="A1840" s="1977" t="s">
        <v>363</v>
      </c>
      <c r="B1840" s="1978" t="s">
        <v>4047</v>
      </c>
      <c r="C1840" s="1993"/>
      <c r="D1840" s="1994"/>
      <c r="E1840" s="1994"/>
      <c r="F1840" s="1993"/>
      <c r="G1840" s="1993"/>
      <c r="H1840" s="1652"/>
      <c r="I1840" s="2090" t="s">
        <v>3802</v>
      </c>
      <c r="J1840" s="1993"/>
      <c r="K1840" s="1993"/>
      <c r="L1840" s="1993"/>
      <c r="M1840" s="1813">
        <v>10</v>
      </c>
      <c r="N1840" s="1630"/>
      <c r="O1840" s="1975">
        <f>'Part IX Scoring Criteria'!O298</f>
        <v>0</v>
      </c>
      <c r="P1840" s="1975">
        <f>'Part IX Scoring Criteria'!P298</f>
        <v>0</v>
      </c>
      <c r="Q1840" s="1813" t="s">
        <v>441</v>
      </c>
      <c r="R1840" s="1976"/>
      <c r="S1840" s="1993"/>
      <c r="T1840" s="1993"/>
      <c r="U1840" s="1993"/>
      <c r="V1840" s="1993"/>
      <c r="W1840" s="1993"/>
      <c r="X1840" s="1993"/>
      <c r="Y1840" s="1993"/>
      <c r="Z1840" s="1993"/>
    </row>
    <row r="1841" spans="1:26">
      <c r="A1841" s="1812" t="s">
        <v>1983</v>
      </c>
      <c r="B1841" s="2091" t="s">
        <v>3793</v>
      </c>
      <c r="D1841" s="1952"/>
      <c r="E1841" s="1952"/>
      <c r="F1841" s="1952"/>
      <c r="G1841" s="1952"/>
      <c r="H1841" s="1952"/>
      <c r="I1841" s="1952"/>
      <c r="J1841" s="1952"/>
      <c r="K1841" s="1952"/>
      <c r="L1841" s="1952"/>
      <c r="M1841" s="2092" t="str">
        <f>IF(OR(SUM(T1841:T1842)&gt;1,SUM(U1841:U1842)&gt;1),"Only one category can be met by other means!","")</f>
        <v/>
      </c>
      <c r="N1841" s="1937" t="s">
        <v>1983</v>
      </c>
      <c r="O1841" s="1938">
        <f>'Part IX Scoring Criteria'!O299</f>
        <v>0</v>
      </c>
      <c r="P1841" s="1938">
        <f>'Part IX Scoring Criteria'!P299</f>
        <v>0</v>
      </c>
      <c r="U1841" s="1943">
        <f>IF(L1841="Yes",1,0)</f>
        <v>0</v>
      </c>
    </row>
    <row r="1842" spans="1:26">
      <c r="A1842" s="1812" t="s">
        <v>1985</v>
      </c>
      <c r="B1842" s="2091" t="s">
        <v>3794</v>
      </c>
      <c r="D1842" s="1952"/>
      <c r="L1842" s="1952"/>
      <c r="M1842" s="2092"/>
      <c r="N1842" s="1937" t="s">
        <v>1985</v>
      </c>
      <c r="O1842" s="1938">
        <f>'Part IX Scoring Criteria'!O300</f>
        <v>0</v>
      </c>
      <c r="P1842" s="1938">
        <f>'Part IX Scoring Criteria'!P300</f>
        <v>0</v>
      </c>
      <c r="U1842" s="1943">
        <f>IF(L1842="Yes",1,0)</f>
        <v>0</v>
      </c>
    </row>
    <row r="1843" spans="1:26" ht="15">
      <c r="A1843" s="1631"/>
      <c r="B1843" s="1994" t="s">
        <v>3757</v>
      </c>
      <c r="C1843" s="1631"/>
      <c r="D1843" s="1634"/>
      <c r="E1843" s="1634"/>
      <c r="F1843" s="1634"/>
      <c r="G1843" s="1634"/>
      <c r="H1843" s="521"/>
      <c r="I1843" s="521"/>
      <c r="J1843" s="521"/>
      <c r="K1843" s="521"/>
      <c r="L1843" s="1976"/>
      <c r="M1843" s="1630"/>
      <c r="N1843" s="1637"/>
      <c r="O1843" s="1975"/>
      <c r="P1843" s="1639"/>
      <c r="Q1843" s="1976"/>
      <c r="R1843" s="1976"/>
      <c r="S1843" s="1976"/>
      <c r="T1843" s="1976"/>
      <c r="U1843" s="1976"/>
      <c r="V1843" s="1976"/>
      <c r="W1843" s="1976"/>
      <c r="X1843" s="1976"/>
      <c r="Y1843" s="1976"/>
      <c r="Z1843" s="1976"/>
    </row>
    <row r="1844" spans="1:26" ht="15.75">
      <c r="A1844" s="1900">
        <f>'Part IX Scoring Criteria'!A302</f>
        <v>0</v>
      </c>
      <c r="B1844" s="1900">
        <f>'Part IX Scoring Criteria'!B302</f>
        <v>0</v>
      </c>
      <c r="C1844" s="1900">
        <f>'Part IX Scoring Criteria'!C302</f>
        <v>0</v>
      </c>
      <c r="D1844" s="1900">
        <f>'Part IX Scoring Criteria'!D302</f>
        <v>0</v>
      </c>
      <c r="E1844" s="1900">
        <f>'Part IX Scoring Criteria'!E302</f>
        <v>0</v>
      </c>
      <c r="F1844" s="1900">
        <f>'Part IX Scoring Criteria'!F302</f>
        <v>0</v>
      </c>
      <c r="G1844" s="1900">
        <f>'Part IX Scoring Criteria'!G302</f>
        <v>0</v>
      </c>
      <c r="H1844" s="1900">
        <f>'Part IX Scoring Criteria'!H302</f>
        <v>0</v>
      </c>
      <c r="I1844" s="1900">
        <f>'Part IX Scoring Criteria'!I302</f>
        <v>0</v>
      </c>
      <c r="J1844" s="1900">
        <f>'Part IX Scoring Criteria'!J302</f>
        <v>0</v>
      </c>
      <c r="K1844" s="1900">
        <f>'Part IX Scoring Criteria'!K302</f>
        <v>0</v>
      </c>
      <c r="L1844" s="1900">
        <f>'Part IX Scoring Criteria'!L302</f>
        <v>0</v>
      </c>
      <c r="M1844" s="1900">
        <f>'Part IX Scoring Criteria'!M302</f>
        <v>0</v>
      </c>
      <c r="N1844" s="1900">
        <f>'Part IX Scoring Criteria'!N302</f>
        <v>0</v>
      </c>
      <c r="O1844" s="1900">
        <f>'Part IX Scoring Criteria'!O302</f>
        <v>0</v>
      </c>
      <c r="P1844" s="1900">
        <f>'Part IX Scoring Criteria'!P302</f>
        <v>0</v>
      </c>
      <c r="Q1844" s="1984"/>
      <c r="R1844" s="1976"/>
      <c r="S1844" s="1976"/>
      <c r="T1844" s="1976"/>
      <c r="U1844" s="1976"/>
      <c r="V1844" s="1976"/>
      <c r="W1844" s="1976"/>
      <c r="X1844" s="1976"/>
      <c r="Y1844" s="1976"/>
      <c r="Z1844" s="1976"/>
    </row>
    <row r="1845" spans="1:26" ht="15">
      <c r="A1845" s="1631"/>
      <c r="B1845" s="1897" t="s">
        <v>1866</v>
      </c>
      <c r="C1845" s="1631"/>
      <c r="D1845" s="1897"/>
      <c r="E1845" s="1899"/>
      <c r="F1845" s="1899"/>
      <c r="G1845" s="1899"/>
      <c r="H1845" s="1899"/>
      <c r="I1845" s="1899"/>
      <c r="J1845" s="1899"/>
      <c r="K1845" s="1899"/>
      <c r="L1845" s="1899"/>
      <c r="M1845" s="1899"/>
      <c r="N1845" s="2011"/>
      <c r="O1845" s="1982"/>
      <c r="P1845" s="1813"/>
      <c r="Q1845" s="2006"/>
      <c r="R1845" s="1976"/>
      <c r="S1845" s="1976"/>
      <c r="T1845" s="1976"/>
      <c r="U1845" s="1976"/>
      <c r="V1845" s="1976"/>
      <c r="W1845" s="1976"/>
      <c r="X1845" s="1976"/>
      <c r="Y1845" s="1976"/>
      <c r="Z1845" s="1976"/>
    </row>
    <row r="1846" spans="1:26" ht="15.75">
      <c r="A1846" s="1890">
        <f>'Part IX Scoring Criteria'!A304</f>
        <v>0</v>
      </c>
      <c r="B1846" s="1890">
        <f>'Part IX Scoring Criteria'!B304</f>
        <v>0</v>
      </c>
      <c r="C1846" s="1890">
        <f>'Part IX Scoring Criteria'!C304</f>
        <v>0</v>
      </c>
      <c r="D1846" s="1890">
        <f>'Part IX Scoring Criteria'!D304</f>
        <v>0</v>
      </c>
      <c r="E1846" s="1890">
        <f>'Part IX Scoring Criteria'!E304</f>
        <v>0</v>
      </c>
      <c r="F1846" s="1890">
        <f>'Part IX Scoring Criteria'!F304</f>
        <v>0</v>
      </c>
      <c r="G1846" s="1890">
        <f>'Part IX Scoring Criteria'!G304</f>
        <v>0</v>
      </c>
      <c r="H1846" s="1890">
        <f>'Part IX Scoring Criteria'!H304</f>
        <v>0</v>
      </c>
      <c r="I1846" s="1890">
        <f>'Part IX Scoring Criteria'!I304</f>
        <v>0</v>
      </c>
      <c r="J1846" s="1890">
        <f>'Part IX Scoring Criteria'!J304</f>
        <v>0</v>
      </c>
      <c r="K1846" s="1890">
        <f>'Part IX Scoring Criteria'!K304</f>
        <v>0</v>
      </c>
      <c r="L1846" s="1890">
        <f>'Part IX Scoring Criteria'!L304</f>
        <v>0</v>
      </c>
      <c r="M1846" s="1890">
        <f>'Part IX Scoring Criteria'!M304</f>
        <v>0</v>
      </c>
      <c r="N1846" s="1890">
        <f>'Part IX Scoring Criteria'!N304</f>
        <v>0</v>
      </c>
      <c r="O1846" s="1890">
        <f>'Part IX Scoring Criteria'!O304</f>
        <v>0</v>
      </c>
      <c r="P1846" s="1890">
        <f>'Part IX Scoring Criteria'!P304</f>
        <v>0</v>
      </c>
      <c r="Q1846" s="1984"/>
      <c r="R1846" s="1976"/>
      <c r="S1846" s="1976"/>
      <c r="T1846" s="1976"/>
      <c r="U1846" s="1976"/>
      <c r="V1846" s="1976"/>
      <c r="W1846" s="1976"/>
      <c r="X1846" s="1976"/>
      <c r="Y1846" s="1976"/>
      <c r="Z1846" s="1976"/>
    </row>
    <row r="1847" spans="1:26" ht="15">
      <c r="A1847" s="1631"/>
      <c r="B1847" s="1976"/>
      <c r="C1847" s="1976"/>
      <c r="D1847" s="521"/>
      <c r="E1847" s="521"/>
      <c r="F1847" s="1813"/>
      <c r="G1847" s="1813"/>
      <c r="H1847" s="1813"/>
      <c r="I1847" s="1813"/>
      <c r="J1847" s="1841"/>
      <c r="K1847" s="1841"/>
      <c r="L1847" s="1841"/>
      <c r="M1847" s="1895"/>
      <c r="N1847" s="1813"/>
      <c r="O1847" s="1639"/>
      <c r="P1847" s="1975"/>
      <c r="Q1847" s="1976"/>
      <c r="R1847" s="1976"/>
      <c r="S1847" s="1976"/>
      <c r="T1847" s="1976"/>
      <c r="U1847" s="1976"/>
      <c r="V1847" s="1976"/>
      <c r="W1847" s="1976"/>
      <c r="X1847" s="1976"/>
      <c r="Y1847" s="1976"/>
      <c r="Z1847" s="1976"/>
    </row>
    <row r="1848" spans="1:26" ht="15">
      <c r="A1848" s="1977" t="s">
        <v>364</v>
      </c>
      <c r="B1848" s="1978" t="s">
        <v>2459</v>
      </c>
      <c r="C1848" s="1976"/>
      <c r="D1848" s="2012"/>
      <c r="E1848" s="2012"/>
      <c r="F1848" s="2012"/>
      <c r="G1848" s="1976"/>
      <c r="H1848" s="2026" t="s">
        <v>3391</v>
      </c>
      <c r="I1848" s="1976"/>
      <c r="J1848" s="1894" t="s">
        <v>2794</v>
      </c>
      <c r="K1848" s="1634"/>
      <c r="L1848" s="1894" t="str">
        <f>'Part I-Project Information'!$H$105</f>
        <v>N/A - 4% Bond</v>
      </c>
      <c r="M1848" s="1813">
        <v>4</v>
      </c>
      <c r="N1848" s="1630"/>
      <c r="O1848" s="1813">
        <f>'Part IX Scoring Criteria'!O306</f>
        <v>0</v>
      </c>
      <c r="P1848" s="1813">
        <f>'Part IX Scoring Criteria'!P306</f>
        <v>0</v>
      </c>
      <c r="Q1848" s="1813" t="s">
        <v>441</v>
      </c>
      <c r="R1848" s="1976"/>
      <c r="S1848" s="1976"/>
      <c r="T1848" s="1976"/>
      <c r="U1848" s="1976"/>
      <c r="V1848" s="1976"/>
      <c r="W1848" s="1976"/>
      <c r="X1848" s="1976"/>
      <c r="Y1848" s="1976"/>
      <c r="Z1848" s="1976"/>
    </row>
    <row r="1849" spans="1:26">
      <c r="A1849" s="1812" t="s">
        <v>1983</v>
      </c>
      <c r="B1849" s="1820" t="s">
        <v>4595</v>
      </c>
      <c r="D1849" s="1631"/>
      <c r="E1849" s="1631"/>
      <c r="F1849" s="1631"/>
      <c r="H1849" s="1894" t="s">
        <v>3684</v>
      </c>
      <c r="I1849" s="1216"/>
      <c r="J1849" s="1894" t="str">
        <f>'Part I-Project Information'!$O$34</f>
        <v>Yes - no Master Plan</v>
      </c>
      <c r="K1849" s="1894"/>
      <c r="L1849" s="2042">
        <f>'Part I-Project Information'!$O$35</f>
        <v>0</v>
      </c>
      <c r="M1849" s="1630">
        <v>3</v>
      </c>
      <c r="N1849" s="1937" t="s">
        <v>1983</v>
      </c>
      <c r="O1849" s="1975">
        <f>'Part IX Scoring Criteria'!O307</f>
        <v>0</v>
      </c>
      <c r="P1849" s="1975">
        <f>'Part IX Scoring Criteria'!P307</f>
        <v>0</v>
      </c>
      <c r="Q1849" s="2015" t="str">
        <f>IF(OR($O1849=$M1849,$O1849=0,$O1849=""),"","*CHECK!*")</f>
        <v/>
      </c>
      <c r="R1849" s="2057" t="s">
        <v>2706</v>
      </c>
    </row>
    <row r="1850" spans="1:26" ht="12.75" customHeight="1">
      <c r="A1850" s="1216"/>
      <c r="B1850" s="2050" t="s">
        <v>1986</v>
      </c>
      <c r="C1850" s="1900" t="s">
        <v>4196</v>
      </c>
      <c r="D1850" s="1900"/>
      <c r="E1850" s="1900"/>
      <c r="F1850" s="1900"/>
      <c r="G1850" s="1900"/>
      <c r="H1850" s="1900"/>
      <c r="I1850" s="1900"/>
      <c r="J1850" s="1900"/>
      <c r="K1850" s="1900"/>
      <c r="L1850" s="1900"/>
      <c r="M1850" s="1900"/>
      <c r="N1850" s="2001" t="s">
        <v>1986</v>
      </c>
      <c r="O1850" s="1945">
        <f>'Part IX Scoring Criteria'!O308</f>
        <v>0</v>
      </c>
      <c r="P1850" s="1945">
        <f>'Part IX Scoring Criteria'!P308</f>
        <v>0</v>
      </c>
      <c r="Q1850" s="1900" t="s">
        <v>4596</v>
      </c>
      <c r="R1850" s="1900"/>
      <c r="S1850" s="1900"/>
      <c r="T1850" s="1900"/>
      <c r="U1850" s="1900"/>
      <c r="V1850" s="1900"/>
      <c r="W1850" s="1900"/>
      <c r="X1850" s="1900"/>
      <c r="Y1850" s="1900"/>
      <c r="Z1850" s="1900"/>
    </row>
    <row r="1851" spans="1:26">
      <c r="A1851" s="521"/>
      <c r="B1851" s="2046"/>
      <c r="C1851" s="521" t="s">
        <v>3808</v>
      </c>
      <c r="D1851" s="521"/>
      <c r="E1851" s="521"/>
      <c r="F1851" s="521"/>
      <c r="G1851" s="521"/>
      <c r="H1851" s="1841" t="s">
        <v>2583</v>
      </c>
      <c r="I1851" s="2040">
        <f>'Part IX Scoring Criteria'!J309</f>
        <v>0</v>
      </c>
      <c r="J1851" s="1841" t="s">
        <v>2301</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6"/>
      <c r="C1852" s="521" t="s">
        <v>3863</v>
      </c>
      <c r="D1852" s="521"/>
      <c r="E1852" s="521"/>
      <c r="F1852" s="521"/>
      <c r="G1852" s="521"/>
      <c r="H1852" s="1841" t="s">
        <v>2583</v>
      </c>
      <c r="I1852" s="2040">
        <f>'Part IX Scoring Criteria'!J310</f>
        <v>0</v>
      </c>
      <c r="J1852" s="1841" t="s">
        <v>2301</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6" t="s">
        <v>1988</v>
      </c>
      <c r="C1853" s="521" t="s">
        <v>963</v>
      </c>
      <c r="D1853" s="521"/>
      <c r="E1853" s="521"/>
      <c r="F1853" s="521"/>
      <c r="G1853" s="521"/>
      <c r="H1853" s="521"/>
      <c r="I1853" s="521"/>
      <c r="J1853" s="521"/>
      <c r="K1853" s="521"/>
      <c r="L1853" s="521"/>
      <c r="M1853" s="1630"/>
      <c r="N1853" s="2013" t="s">
        <v>1988</v>
      </c>
      <c r="O1853" s="1938">
        <f>'Part IX Scoring Criteria'!O311</f>
        <v>0</v>
      </c>
      <c r="P1853" s="1938">
        <f>'Part IX Scoring Criteria'!P311</f>
        <v>0</v>
      </c>
      <c r="Q1853" s="521"/>
      <c r="R1853" s="521"/>
      <c r="S1853" s="521"/>
      <c r="T1853" s="521"/>
      <c r="U1853" s="521"/>
      <c r="V1853" s="521"/>
      <c r="W1853" s="521"/>
      <c r="X1853" s="521"/>
      <c r="Y1853" s="521"/>
      <c r="Z1853" s="521"/>
    </row>
    <row r="1854" spans="1:26">
      <c r="A1854" s="521"/>
      <c r="B1854" s="2046" t="s">
        <v>2534</v>
      </c>
      <c r="C1854" s="521" t="s">
        <v>964</v>
      </c>
      <c r="D1854" s="521"/>
      <c r="E1854" s="521"/>
      <c r="F1854" s="521"/>
      <c r="G1854" s="521"/>
      <c r="H1854" s="521"/>
      <c r="I1854" s="521"/>
      <c r="J1854" s="521"/>
      <c r="K1854" s="521"/>
      <c r="L1854" s="521"/>
      <c r="M1854" s="1630"/>
      <c r="N1854" s="2013" t="s">
        <v>2534</v>
      </c>
      <c r="O1854" s="1938">
        <f>'Part IX Scoring Criteria'!O312</f>
        <v>0</v>
      </c>
      <c r="P1854" s="1938">
        <f>'Part IX Scoring Criteria'!P312</f>
        <v>0</v>
      </c>
      <c r="Q1854" s="521"/>
      <c r="R1854" s="521"/>
      <c r="S1854" s="521"/>
      <c r="T1854" s="521"/>
      <c r="U1854" s="521"/>
      <c r="V1854" s="521"/>
      <c r="W1854" s="521"/>
      <c r="X1854" s="521"/>
      <c r="Y1854" s="521"/>
      <c r="Z1854" s="521"/>
    </row>
    <row r="1855" spans="1:26">
      <c r="A1855" s="1935"/>
      <c r="B1855" s="2046" t="s">
        <v>1224</v>
      </c>
      <c r="C1855" s="521" t="s">
        <v>965</v>
      </c>
      <c r="D1855" s="521"/>
      <c r="E1855" s="521"/>
      <c r="F1855" s="521"/>
      <c r="G1855" s="521"/>
      <c r="H1855" s="521"/>
      <c r="I1855" s="521"/>
      <c r="J1855" s="521"/>
      <c r="K1855" s="521"/>
      <c r="L1855" s="521"/>
      <c r="M1855" s="1630"/>
      <c r="N1855" s="2013" t="s">
        <v>1224</v>
      </c>
      <c r="O1855" s="1938">
        <f>'Part IX Scoring Criteria'!O314</f>
        <v>0</v>
      </c>
      <c r="P1855" s="1938">
        <f>'Part IX Scoring Criteria'!P314</f>
        <v>0</v>
      </c>
      <c r="Q1855" s="521"/>
      <c r="R1855" s="521"/>
      <c r="S1855" s="521"/>
      <c r="T1855" s="521"/>
      <c r="U1855" s="521"/>
      <c r="V1855" s="521"/>
      <c r="W1855" s="521"/>
      <c r="X1855" s="521"/>
      <c r="Y1855" s="521"/>
      <c r="Z1855" s="521"/>
    </row>
    <row r="1856" spans="1:26">
      <c r="A1856" s="1812" t="s">
        <v>1985</v>
      </c>
      <c r="B1856" s="1820" t="s">
        <v>4597</v>
      </c>
      <c r="C1856" s="1631"/>
      <c r="D1856" s="1631"/>
      <c r="E1856" s="1631"/>
      <c r="F1856" s="1631"/>
      <c r="G1856" s="1631"/>
      <c r="H1856" s="2026" t="s">
        <v>3392</v>
      </c>
      <c r="I1856" s="1631"/>
      <c r="J1856" s="1631"/>
      <c r="K1856" s="1631"/>
      <c r="L1856" s="1631"/>
      <c r="M1856" s="1631"/>
      <c r="N1856" s="1631"/>
      <c r="O1856" s="1631"/>
      <c r="P1856" s="1631"/>
      <c r="Q1856" s="1631"/>
      <c r="R1856" s="1631"/>
      <c r="S1856" s="1631"/>
      <c r="T1856" s="1631"/>
      <c r="U1856" s="1631"/>
      <c r="V1856" s="1631"/>
      <c r="W1856" s="1631"/>
      <c r="X1856" s="1631"/>
      <c r="Y1856" s="1631"/>
      <c r="Z1856" s="1631"/>
    </row>
    <row r="1857" spans="1:26">
      <c r="A1857" s="1812"/>
      <c r="B1857" s="1634" t="s">
        <v>3608</v>
      </c>
      <c r="C1857" s="1631"/>
      <c r="D1857" s="1631"/>
      <c r="E1857" s="1631"/>
      <c r="F1857" s="1631"/>
      <c r="G1857" s="1631"/>
      <c r="H1857" s="2026"/>
      <c r="I1857" s="1631"/>
      <c r="J1857" s="1631"/>
      <c r="K1857" s="1631"/>
      <c r="L1857" s="1631"/>
      <c r="M1857" s="1630">
        <v>3</v>
      </c>
      <c r="N1857" s="1937" t="s">
        <v>1985</v>
      </c>
      <c r="O1857" s="1975">
        <f>'Part IX Scoring Criteria'!O316</f>
        <v>0</v>
      </c>
      <c r="P1857" s="1975">
        <f>'Part IX Scoring Criteria'!P316</f>
        <v>0</v>
      </c>
      <c r="Q1857" s="1631"/>
      <c r="R1857" s="1631"/>
      <c r="S1857" s="1631"/>
      <c r="T1857" s="1631"/>
      <c r="U1857" s="1631"/>
      <c r="V1857" s="1631"/>
      <c r="W1857" s="1631"/>
      <c r="X1857" s="1631"/>
      <c r="Y1857" s="1631"/>
      <c r="Z1857" s="1631"/>
    </row>
    <row r="1858" spans="1:26">
      <c r="A1858" s="1631"/>
      <c r="B1858" s="2046" t="s">
        <v>1986</v>
      </c>
      <c r="C1858" s="1894" t="s">
        <v>4598</v>
      </c>
      <c r="D1858" s="1631"/>
      <c r="E1858" s="1631"/>
      <c r="F1858" s="1631"/>
      <c r="G1858" s="1631"/>
      <c r="H1858" s="1631"/>
      <c r="I1858" s="1631"/>
      <c r="J1858" s="1631"/>
      <c r="K1858" s="1631"/>
      <c r="L1858" s="1942" t="str">
        <f>IF(OR($O1858=$M1858,$O1858=0,$O1858=""),"","* * Check Score! * *")</f>
        <v/>
      </c>
      <c r="M1858" s="1630">
        <v>3</v>
      </c>
      <c r="N1858" s="2093" t="s">
        <v>1986</v>
      </c>
      <c r="O1858" s="1975">
        <f>'Part IX Scoring Criteria'!O317</f>
        <v>0</v>
      </c>
      <c r="P1858" s="1975">
        <f>'Part IX Scoring Criteria'!P317</f>
        <v>0</v>
      </c>
      <c r="Q1858" s="2015" t="str">
        <f>IF(OR($O1858=$M1858,$O1858=0,$O1858=""),"","*CHECK!*")</f>
        <v/>
      </c>
      <c r="R1858" s="2057" t="s">
        <v>2706</v>
      </c>
      <c r="S1858" s="1631"/>
      <c r="T1858" s="1631"/>
      <c r="U1858" s="1631"/>
      <c r="V1858" s="1631"/>
      <c r="W1858" s="1631"/>
      <c r="X1858" s="1631"/>
      <c r="Y1858" s="1631"/>
      <c r="Z1858" s="1631"/>
    </row>
    <row r="1859" spans="1:26">
      <c r="A1859" s="1938" t="s">
        <v>1353</v>
      </c>
      <c r="B1859" s="2050" t="s">
        <v>1988</v>
      </c>
      <c r="C1859" s="1950" t="s">
        <v>4599</v>
      </c>
      <c r="D1859" s="1631"/>
      <c r="E1859" s="1631"/>
      <c r="F1859" s="1631"/>
      <c r="G1859" s="1841"/>
      <c r="H1859" s="2026"/>
      <c r="I1859" s="1841"/>
      <c r="L1859" s="1942" t="str">
        <f>IF(OR($O1859=$M1859,$O1859=0,$O1859=""),"","* * Check Score! * *")</f>
        <v/>
      </c>
      <c r="M1859" s="1637">
        <v>2</v>
      </c>
      <c r="N1859" s="2093" t="s">
        <v>1988</v>
      </c>
      <c r="O1859" s="1975">
        <f>'Part IX Scoring Criteria'!O318</f>
        <v>0</v>
      </c>
      <c r="P1859" s="1975">
        <f>'Part IX Scoring Criteria'!P318</f>
        <v>0</v>
      </c>
      <c r="Q1859" s="2015" t="str">
        <f>IF(OR($O1859=$M1859,$O1859=0,$O1859=""),"","*CHECK!*")</f>
        <v/>
      </c>
      <c r="R1859" s="2057" t="s">
        <v>2706</v>
      </c>
    </row>
    <row r="1860" spans="1:26">
      <c r="A1860" s="1812" t="s">
        <v>749</v>
      </c>
      <c r="B1860" s="1820" t="s">
        <v>4600</v>
      </c>
      <c r="C1860" s="1631"/>
      <c r="D1860" s="1631"/>
      <c r="E1860" s="1631"/>
      <c r="F1860" s="1631"/>
      <c r="G1860" s="1631"/>
      <c r="H1860" s="2026" t="s">
        <v>4053</v>
      </c>
      <c r="I1860" s="1631"/>
      <c r="J1860" s="1631"/>
      <c r="K1860" s="1631"/>
      <c r="L1860" s="1631"/>
      <c r="M1860" s="1631"/>
      <c r="N1860" s="1631"/>
      <c r="O1860" s="1631"/>
      <c r="P1860" s="1631"/>
      <c r="Q1860" s="1631"/>
      <c r="R1860" s="1631"/>
      <c r="S1860" s="1631"/>
      <c r="T1860" s="1631"/>
      <c r="U1860" s="1631"/>
      <c r="V1860" s="1631"/>
      <c r="W1860" s="1631"/>
      <c r="X1860" s="1631"/>
      <c r="Y1860" s="1631"/>
      <c r="Z1860" s="1631"/>
    </row>
    <row r="1861" spans="1:26">
      <c r="A1861" s="1812"/>
      <c r="B1861" s="1634" t="s">
        <v>3611</v>
      </c>
      <c r="C1861" s="1631"/>
      <c r="D1861" s="1631"/>
      <c r="E1861" s="1631"/>
      <c r="F1861" s="1631"/>
      <c r="G1861" s="1631"/>
      <c r="H1861" s="2026"/>
      <c r="I1861" s="1631"/>
      <c r="J1861" s="1631"/>
      <c r="K1861" s="1631"/>
      <c r="L1861" s="1631"/>
      <c r="M1861" s="1630">
        <v>4</v>
      </c>
      <c r="N1861" s="1937" t="s">
        <v>749</v>
      </c>
      <c r="O1861" s="1975">
        <f>'Part IX Scoring Criteria'!O320</f>
        <v>0</v>
      </c>
      <c r="P1861" s="1975">
        <f>'Part IX Scoring Criteria'!P320</f>
        <v>0</v>
      </c>
      <c r="Q1861" s="1631"/>
      <c r="R1861" s="1631"/>
      <c r="S1861" s="1631"/>
      <c r="T1861" s="1631"/>
      <c r="U1861" s="1631"/>
      <c r="V1861" s="1631"/>
      <c r="W1861" s="1631"/>
      <c r="X1861" s="1631"/>
      <c r="Y1861" s="1631"/>
      <c r="Z1861" s="1631"/>
    </row>
    <row r="1862" spans="1:26">
      <c r="A1862" s="1631"/>
      <c r="B1862" s="2046" t="s">
        <v>1986</v>
      </c>
      <c r="C1862" s="1216" t="s">
        <v>3610</v>
      </c>
      <c r="D1862" s="1631"/>
      <c r="E1862" s="1631"/>
      <c r="F1862" s="1631"/>
      <c r="G1862" s="1631"/>
      <c r="H1862" s="1631"/>
      <c r="I1862" s="1631"/>
      <c r="J1862" s="1631"/>
      <c r="K1862" s="1817" t="str">
        <f>IF(OR(AND(O1862&gt;0,O1864&gt;0), AND(O1863&gt;0,O1864&gt;0), AND(O1862&gt;0,O1863&gt;0)),"Choose option 1 or 2 or 3!!!","")</f>
        <v/>
      </c>
      <c r="L1862" s="1817"/>
      <c r="M1862" s="1630">
        <v>4</v>
      </c>
      <c r="N1862" s="2093" t="s">
        <v>1986</v>
      </c>
      <c r="O1862" s="1975">
        <f>'Part IX Scoring Criteria'!O321</f>
        <v>0</v>
      </c>
      <c r="P1862" s="1975">
        <f>'Part IX Scoring Criteria'!P321</f>
        <v>0</v>
      </c>
      <c r="Q1862" s="2015" t="str">
        <f>IF(OR($O1862=$M1862,$O1862=0,$O1862=""),"","*CHECK!*")</f>
        <v/>
      </c>
      <c r="R1862" s="2057" t="s">
        <v>2706</v>
      </c>
      <c r="S1862" s="1631"/>
      <c r="T1862" s="1631"/>
      <c r="U1862" s="1631"/>
      <c r="V1862" s="1631"/>
      <c r="W1862" s="1631"/>
      <c r="X1862" s="1631"/>
      <c r="Y1862" s="1631"/>
      <c r="Z1862" s="1631"/>
    </row>
    <row r="1863" spans="1:26">
      <c r="A1863" s="1938" t="s">
        <v>1353</v>
      </c>
      <c r="B1863" s="2050" t="s">
        <v>1988</v>
      </c>
      <c r="C1863" s="1894" t="s">
        <v>4601</v>
      </c>
      <c r="D1863" s="1631"/>
      <c r="E1863" s="1631"/>
      <c r="F1863" s="1631"/>
      <c r="G1863" s="1841"/>
      <c r="H1863" s="1842"/>
      <c r="I1863" s="1841"/>
      <c r="K1863" s="1817"/>
      <c r="L1863" s="1817"/>
      <c r="M1863" s="1637">
        <v>3</v>
      </c>
      <c r="N1863" s="2093" t="s">
        <v>1988</v>
      </c>
      <c r="O1863" s="1975">
        <f>'Part IX Scoring Criteria'!O322</f>
        <v>0</v>
      </c>
      <c r="P1863" s="1975">
        <f>'Part IX Scoring Criteria'!P322</f>
        <v>0</v>
      </c>
      <c r="Q1863" s="2015" t="str">
        <f>IF(OR($O1863=$M1863,$O1863=0,$O1863=""),"","*CHECK!*")</f>
        <v/>
      </c>
      <c r="R1863" s="2057" t="s">
        <v>2706</v>
      </c>
    </row>
    <row r="1864" spans="1:26">
      <c r="A1864" s="1938" t="s">
        <v>1353</v>
      </c>
      <c r="B1864" s="2050" t="s">
        <v>2534</v>
      </c>
      <c r="C1864" s="1950" t="s">
        <v>4602</v>
      </c>
      <c r="D1864" s="1631"/>
      <c r="E1864" s="1631"/>
      <c r="F1864" s="1631"/>
      <c r="G1864" s="1841"/>
      <c r="H1864" s="2026"/>
      <c r="I1864" s="1841"/>
      <c r="K1864" s="1817"/>
      <c r="L1864" s="1817"/>
      <c r="M1864" s="1637">
        <v>2</v>
      </c>
      <c r="N1864" s="2093" t="s">
        <v>2534</v>
      </c>
      <c r="O1864" s="1975">
        <f>'Part IX Scoring Criteria'!O323</f>
        <v>0</v>
      </c>
      <c r="P1864" s="1975">
        <f>'Part IX Scoring Criteria'!P323</f>
        <v>0</v>
      </c>
      <c r="Q1864" s="2015" t="str">
        <f>IF(OR($O1864=$M1864,$O1864=0,$O1864=""),"","*CHECK!*")</f>
        <v/>
      </c>
      <c r="R1864" s="2057" t="s">
        <v>2706</v>
      </c>
    </row>
    <row r="1865" spans="1:26" ht="15">
      <c r="A1865" s="1631"/>
      <c r="B1865" s="1994" t="s">
        <v>3757</v>
      </c>
      <c r="C1865" s="1631"/>
      <c r="D1865" s="1634"/>
      <c r="E1865" s="1634"/>
      <c r="F1865" s="1634"/>
      <c r="G1865" s="1634"/>
      <c r="H1865" s="521"/>
      <c r="I1865" s="521"/>
      <c r="J1865" s="521"/>
      <c r="K1865" s="521"/>
      <c r="L1865" s="1976"/>
      <c r="M1865" s="1630"/>
      <c r="N1865" s="1637"/>
      <c r="O1865" s="1975"/>
      <c r="P1865" s="1639"/>
      <c r="Q1865" s="1976"/>
      <c r="R1865" s="1976"/>
      <c r="S1865" s="1976"/>
      <c r="T1865" s="1976"/>
      <c r="U1865" s="1976"/>
      <c r="V1865" s="1976"/>
      <c r="W1865" s="1976"/>
      <c r="X1865" s="1976"/>
      <c r="Y1865" s="1976"/>
      <c r="Z1865" s="1976"/>
    </row>
    <row r="1866" spans="1:26" ht="15.75">
      <c r="A1866" s="1900">
        <f>'Part IX Scoring Criteria'!A325</f>
        <v>0</v>
      </c>
      <c r="B1866" s="1900">
        <f>'Part IX Scoring Criteria'!B325</f>
        <v>0</v>
      </c>
      <c r="C1866" s="1900">
        <f>'Part IX Scoring Criteria'!C325</f>
        <v>0</v>
      </c>
      <c r="D1866" s="1900">
        <f>'Part IX Scoring Criteria'!D325</f>
        <v>0</v>
      </c>
      <c r="E1866" s="1900">
        <f>'Part IX Scoring Criteria'!E325</f>
        <v>0</v>
      </c>
      <c r="F1866" s="1900">
        <f>'Part IX Scoring Criteria'!F325</f>
        <v>0</v>
      </c>
      <c r="G1866" s="1900">
        <f>'Part IX Scoring Criteria'!G325</f>
        <v>0</v>
      </c>
      <c r="H1866" s="1900">
        <f>'Part IX Scoring Criteria'!H325</f>
        <v>0</v>
      </c>
      <c r="I1866" s="1900">
        <f>'Part IX Scoring Criteria'!I325</f>
        <v>0</v>
      </c>
      <c r="J1866" s="1900">
        <f>'Part IX Scoring Criteria'!J325</f>
        <v>0</v>
      </c>
      <c r="K1866" s="1900">
        <f>'Part IX Scoring Criteria'!K325</f>
        <v>0</v>
      </c>
      <c r="L1866" s="1900">
        <f>'Part IX Scoring Criteria'!L325</f>
        <v>0</v>
      </c>
      <c r="M1866" s="1900">
        <f>'Part IX Scoring Criteria'!M325</f>
        <v>0</v>
      </c>
      <c r="N1866" s="1900">
        <f>'Part IX Scoring Criteria'!N325</f>
        <v>0</v>
      </c>
      <c r="O1866" s="1900">
        <f>'Part IX Scoring Criteria'!O325</f>
        <v>0</v>
      </c>
      <c r="P1866" s="1900">
        <f>'Part IX Scoring Criteria'!P325</f>
        <v>0</v>
      </c>
      <c r="Q1866" s="1984"/>
      <c r="R1866" s="1976"/>
      <c r="S1866" s="1976"/>
      <c r="T1866" s="1976"/>
      <c r="U1866" s="1976"/>
      <c r="V1866" s="1976"/>
      <c r="W1866" s="1976"/>
      <c r="X1866" s="1976"/>
      <c r="Y1866" s="1976"/>
      <c r="Z1866" s="1976"/>
    </row>
    <row r="1867" spans="1:26" ht="15">
      <c r="A1867" s="1976"/>
      <c r="B1867" s="1897" t="s">
        <v>1866</v>
      </c>
      <c r="C1867" s="1631"/>
      <c r="D1867" s="1897"/>
      <c r="E1867" s="1899"/>
      <c r="F1867" s="1899"/>
      <c r="G1867" s="1899"/>
      <c r="H1867" s="1899"/>
      <c r="I1867" s="1899"/>
      <c r="J1867" s="1899"/>
      <c r="K1867" s="1899"/>
      <c r="L1867" s="1899"/>
      <c r="M1867" s="1899"/>
      <c r="N1867" s="2011"/>
      <c r="O1867" s="1982"/>
      <c r="P1867" s="1813"/>
      <c r="Q1867" s="2006"/>
      <c r="R1867" s="1976"/>
      <c r="S1867" s="1976"/>
      <c r="T1867" s="1976"/>
      <c r="U1867" s="1976"/>
      <c r="V1867" s="1976"/>
      <c r="W1867" s="1976"/>
      <c r="X1867" s="1976"/>
      <c r="Y1867" s="1976"/>
      <c r="Z1867" s="1976"/>
    </row>
    <row r="1868" spans="1:26" ht="15.75">
      <c r="A1868" s="1900">
        <f>'Part IX Scoring Criteria'!A327</f>
        <v>0</v>
      </c>
      <c r="B1868" s="1900">
        <f>'Part IX Scoring Criteria'!B327</f>
        <v>0</v>
      </c>
      <c r="C1868" s="1900">
        <f>'Part IX Scoring Criteria'!C327</f>
        <v>0</v>
      </c>
      <c r="D1868" s="1900">
        <f>'Part IX Scoring Criteria'!D327</f>
        <v>0</v>
      </c>
      <c r="E1868" s="1900">
        <f>'Part IX Scoring Criteria'!E327</f>
        <v>0</v>
      </c>
      <c r="F1868" s="1900">
        <f>'Part IX Scoring Criteria'!F327</f>
        <v>0</v>
      </c>
      <c r="G1868" s="1900">
        <f>'Part IX Scoring Criteria'!G327</f>
        <v>0</v>
      </c>
      <c r="H1868" s="1900">
        <f>'Part IX Scoring Criteria'!H327</f>
        <v>0</v>
      </c>
      <c r="I1868" s="1900">
        <f>'Part IX Scoring Criteria'!I327</f>
        <v>0</v>
      </c>
      <c r="J1868" s="1900">
        <f>'Part IX Scoring Criteria'!J327</f>
        <v>0</v>
      </c>
      <c r="K1868" s="1900">
        <f>'Part IX Scoring Criteria'!K327</f>
        <v>0</v>
      </c>
      <c r="L1868" s="1900">
        <f>'Part IX Scoring Criteria'!L327</f>
        <v>0</v>
      </c>
      <c r="M1868" s="1900">
        <f>'Part IX Scoring Criteria'!M327</f>
        <v>0</v>
      </c>
      <c r="N1868" s="1900">
        <f>'Part IX Scoring Criteria'!N327</f>
        <v>0</v>
      </c>
      <c r="O1868" s="1900">
        <f>'Part IX Scoring Criteria'!O327</f>
        <v>0</v>
      </c>
      <c r="P1868" s="1900">
        <f>'Part IX Scoring Criteria'!P327</f>
        <v>0</v>
      </c>
      <c r="Q1868" s="1984"/>
      <c r="R1868" s="1976"/>
      <c r="S1868" s="1976"/>
      <c r="T1868" s="1976"/>
      <c r="U1868" s="1976"/>
      <c r="V1868" s="1976"/>
      <c r="W1868" s="1976"/>
      <c r="X1868" s="1976"/>
      <c r="Y1868" s="1976"/>
      <c r="Z1868" s="1976"/>
    </row>
    <row r="1869" spans="1:26" ht="18.75">
      <c r="N1869" s="1637"/>
      <c r="O1869" s="1639"/>
      <c r="P1869" s="1639"/>
      <c r="T1869" s="2043"/>
      <c r="U1869" s="2043"/>
    </row>
    <row r="1870" spans="1:26" ht="18.75">
      <c r="A1870" s="2094" t="s">
        <v>1726</v>
      </c>
      <c r="B1870" s="1978" t="s">
        <v>2827</v>
      </c>
      <c r="C1870" s="1976"/>
      <c r="D1870" s="2012"/>
      <c r="E1870" s="2012"/>
      <c r="F1870" s="2012"/>
      <c r="G1870" s="1976"/>
      <c r="H1870" s="2026" t="s">
        <v>400</v>
      </c>
      <c r="I1870" s="1976"/>
      <c r="J1870" s="1976"/>
      <c r="K1870" s="1634"/>
      <c r="L1870" s="1976"/>
      <c r="M1870" s="1813">
        <v>1</v>
      </c>
      <c r="N1870" s="1630"/>
      <c r="O1870" s="1813">
        <f>'Part IX Scoring Criteria'!O329</f>
        <v>0</v>
      </c>
      <c r="P1870" s="1813">
        <f>'Part IX Scoring Criteria'!P329</f>
        <v>0</v>
      </c>
      <c r="Q1870" s="1813" t="s">
        <v>441</v>
      </c>
      <c r="R1870" s="1976"/>
      <c r="S1870" s="1976"/>
      <c r="T1870" s="2043"/>
      <c r="U1870" s="2043"/>
      <c r="V1870" s="1976"/>
      <c r="W1870" s="1976"/>
      <c r="X1870" s="1976"/>
      <c r="Y1870" s="1976"/>
      <c r="Z1870" s="1976"/>
    </row>
    <row r="1871" spans="1:26" ht="18.75">
      <c r="A1871" s="1825" t="s">
        <v>1983</v>
      </c>
      <c r="B1871" s="1820" t="s">
        <v>2233</v>
      </c>
      <c r="C1871" s="1993"/>
      <c r="D1871" s="2026"/>
      <c r="E1871" s="2026"/>
      <c r="F1871" s="1972"/>
      <c r="H1871" s="1993"/>
      <c r="I1871" s="1993"/>
      <c r="J1871" s="1993"/>
      <c r="K1871" s="1993"/>
      <c r="L1871" s="1942" t="str">
        <f>IF(OR($O1871=$M1871,$O1871=0,$O1871=""),"","* * Check Score! * *")</f>
        <v/>
      </c>
      <c r="M1871" s="1630">
        <v>1</v>
      </c>
      <c r="N1871" s="1937" t="s">
        <v>1983</v>
      </c>
      <c r="O1871" s="1975">
        <f>'Part IX Scoring Criteria'!O330</f>
        <v>0</v>
      </c>
      <c r="P1871" s="1975">
        <f>'Part IX Scoring Criteria'!P330</f>
        <v>0</v>
      </c>
      <c r="Q1871" s="2015" t="str">
        <f>IF(OR($O1871=$M1871,$O1871=0,$O1871=""),"","*CHECK!*")</f>
        <v/>
      </c>
      <c r="R1871" s="2057" t="s">
        <v>2706</v>
      </c>
      <c r="S1871" s="1993"/>
      <c r="T1871" s="2043"/>
      <c r="U1871" s="2043"/>
      <c r="V1871" s="1993"/>
      <c r="W1871" s="1993"/>
      <c r="X1871" s="1993"/>
      <c r="Y1871" s="1993"/>
      <c r="Z1871" s="1993"/>
    </row>
    <row r="1872" spans="1:26" ht="18.75">
      <c r="A1872" s="1825"/>
      <c r="B1872" s="1841" t="s">
        <v>2691</v>
      </c>
      <c r="C1872" s="1993"/>
      <c r="D1872" s="2026"/>
      <c r="E1872" s="2026"/>
      <c r="F1872" s="1972"/>
      <c r="H1872" s="1993"/>
      <c r="I1872" s="1993"/>
      <c r="J1872" s="1993"/>
      <c r="K1872" s="1937"/>
      <c r="L1872" s="1993"/>
      <c r="M1872" s="1630"/>
      <c r="N1872" s="1937"/>
      <c r="O1872" s="1938">
        <f>'Part IX Scoring Criteria'!O333</f>
        <v>0</v>
      </c>
      <c r="P1872" s="1938">
        <f>'Part IX Scoring Criteria'!P333</f>
        <v>0</v>
      </c>
      <c r="Q1872" s="1993"/>
      <c r="R1872" s="1845"/>
      <c r="S1872" s="1993"/>
      <c r="T1872" s="2043"/>
      <c r="U1872" s="2043"/>
      <c r="V1872" s="1993"/>
      <c r="W1872" s="1993"/>
      <c r="X1872" s="1993"/>
      <c r="Y1872" s="1993"/>
      <c r="Z1872" s="1993"/>
    </row>
    <row r="1873" spans="1:26" ht="18.75">
      <c r="A1873" s="1825" t="s">
        <v>1985</v>
      </c>
      <c r="B1873" s="1820" t="s">
        <v>2234</v>
      </c>
      <c r="C1873" s="1976"/>
      <c r="D1873" s="521"/>
      <c r="E1873" s="1976"/>
      <c r="F1873" s="1976"/>
      <c r="G1873" s="1976"/>
      <c r="H1873" s="1976"/>
      <c r="I1873" s="1976"/>
      <c r="J1873" s="1976"/>
      <c r="K1873" s="521"/>
      <c r="L1873" s="1942" t="str">
        <f>IF(OR($O1873=$M1873,$O1873=0,$O1873=""),"","* * Check Score! * *")</f>
        <v/>
      </c>
      <c r="M1873" s="1630">
        <v>1</v>
      </c>
      <c r="N1873" s="1937" t="s">
        <v>1985</v>
      </c>
      <c r="O1873" s="1975">
        <f>'Part IX Scoring Criteria'!O334</f>
        <v>0</v>
      </c>
      <c r="P1873" s="1975">
        <f>'Part IX Scoring Criteria'!P334</f>
        <v>0</v>
      </c>
      <c r="Q1873" s="2015" t="str">
        <f>IF(OR($O1873=$M1873,$O1873=0,$O1873=""),"","*CHECK!*")</f>
        <v/>
      </c>
      <c r="R1873" s="2057" t="s">
        <v>2706</v>
      </c>
      <c r="S1873" s="1976"/>
      <c r="T1873" s="2043"/>
      <c r="U1873" s="2043"/>
      <c r="V1873" s="1976"/>
      <c r="W1873" s="1976"/>
      <c r="X1873" s="1976"/>
      <c r="Y1873" s="1976"/>
      <c r="Z1873" s="1976"/>
    </row>
    <row r="1874" spans="1:26" ht="18.75">
      <c r="A1874" s="1825"/>
      <c r="B1874" s="1841" t="s">
        <v>4054</v>
      </c>
      <c r="C1874" s="1976"/>
      <c r="D1874" s="521"/>
      <c r="E1874" s="1976"/>
      <c r="F1874" s="1976"/>
      <c r="G1874" s="1976"/>
      <c r="H1874" s="1895"/>
      <c r="I1874" s="1976"/>
      <c r="J1874" s="1976"/>
      <c r="K1874" s="521"/>
      <c r="L1874" s="1993"/>
      <c r="M1874" s="1630"/>
      <c r="N1874" s="1937"/>
      <c r="O1874" s="1938">
        <f>'Part IX Scoring Criteria'!O335</f>
        <v>0</v>
      </c>
      <c r="P1874" s="1938">
        <f>'Part IX Scoring Criteria'!P335</f>
        <v>0</v>
      </c>
      <c r="Q1874" s="1845"/>
      <c r="R1874" s="1942"/>
      <c r="S1874" s="1976"/>
      <c r="T1874" s="2043"/>
      <c r="U1874" s="2043"/>
      <c r="V1874" s="1976"/>
      <c r="W1874" s="1976"/>
      <c r="X1874" s="1976"/>
      <c r="Y1874" s="1976"/>
      <c r="Z1874" s="1976"/>
    </row>
    <row r="1875" spans="1:26" ht="15">
      <c r="A1875" s="1631"/>
      <c r="B1875" s="1897" t="s">
        <v>1866</v>
      </c>
      <c r="C1875" s="1631"/>
      <c r="D1875" s="1897"/>
      <c r="E1875" s="1899"/>
      <c r="F1875" s="1899"/>
      <c r="G1875" s="1899"/>
      <c r="H1875" s="1899"/>
      <c r="I1875" s="1899"/>
      <c r="J1875" s="1899"/>
      <c r="K1875" s="1899"/>
      <c r="L1875" s="1899"/>
      <c r="M1875" s="1899"/>
      <c r="N1875" s="2011"/>
      <c r="O1875" s="1982"/>
      <c r="P1875" s="1813"/>
      <c r="Q1875" s="2006"/>
      <c r="R1875" s="1976"/>
      <c r="S1875" s="1976"/>
      <c r="T1875" s="1976"/>
      <c r="U1875" s="1976"/>
      <c r="V1875" s="1976"/>
      <c r="W1875" s="1976"/>
      <c r="X1875" s="1976"/>
      <c r="Y1875" s="1976"/>
      <c r="Z1875" s="1976"/>
    </row>
    <row r="1876" spans="1:26" ht="15.75">
      <c r="A1876" s="1900">
        <f>'Part IX Scoring Criteria'!A340</f>
        <v>0</v>
      </c>
      <c r="B1876" s="1900">
        <f>'Part IX Scoring Criteria'!B340</f>
        <v>0</v>
      </c>
      <c r="C1876" s="1900">
        <f>'Part IX Scoring Criteria'!C340</f>
        <v>0</v>
      </c>
      <c r="D1876" s="1900">
        <f>'Part IX Scoring Criteria'!D340</f>
        <v>0</v>
      </c>
      <c r="E1876" s="1900">
        <f>'Part IX Scoring Criteria'!E340</f>
        <v>0</v>
      </c>
      <c r="F1876" s="1900">
        <f>'Part IX Scoring Criteria'!F340</f>
        <v>0</v>
      </c>
      <c r="G1876" s="1900">
        <f>'Part IX Scoring Criteria'!G340</f>
        <v>0</v>
      </c>
      <c r="H1876" s="1900">
        <f>'Part IX Scoring Criteria'!H340</f>
        <v>0</v>
      </c>
      <c r="I1876" s="1900">
        <f>'Part IX Scoring Criteria'!I340</f>
        <v>0</v>
      </c>
      <c r="J1876" s="1900">
        <f>'Part IX Scoring Criteria'!J340</f>
        <v>0</v>
      </c>
      <c r="K1876" s="1900">
        <f>'Part IX Scoring Criteria'!K340</f>
        <v>0</v>
      </c>
      <c r="L1876" s="1900">
        <f>'Part IX Scoring Criteria'!L340</f>
        <v>0</v>
      </c>
      <c r="M1876" s="1900">
        <f>'Part IX Scoring Criteria'!M340</f>
        <v>0</v>
      </c>
      <c r="N1876" s="1900">
        <f>'Part IX Scoring Criteria'!N340</f>
        <v>0</v>
      </c>
      <c r="O1876" s="1900">
        <f>'Part IX Scoring Criteria'!O340</f>
        <v>0</v>
      </c>
      <c r="P1876" s="1900">
        <f>'Part IX Scoring Criteria'!P340</f>
        <v>0</v>
      </c>
      <c r="Q1876" s="1984"/>
      <c r="R1876" s="1976"/>
      <c r="S1876" s="1976"/>
      <c r="T1876" s="1976"/>
      <c r="U1876" s="1976"/>
      <c r="V1876" s="1976"/>
      <c r="W1876" s="1976"/>
      <c r="X1876" s="1976"/>
      <c r="Y1876" s="1976"/>
      <c r="Z1876" s="1976"/>
    </row>
    <row r="1877" spans="1:26" ht="15">
      <c r="A1877" s="1631"/>
      <c r="B1877" s="1631"/>
      <c r="C1877" s="1899"/>
      <c r="D1877" s="1899"/>
      <c r="E1877" s="1899"/>
      <c r="F1877" s="1899"/>
      <c r="G1877" s="1899"/>
      <c r="H1877" s="1899"/>
      <c r="I1877" s="1899"/>
      <c r="J1877" s="1899"/>
      <c r="K1877" s="1899"/>
      <c r="L1877" s="1899"/>
      <c r="M1877" s="1899"/>
      <c r="N1877" s="2011"/>
      <c r="O1877" s="1982"/>
      <c r="P1877" s="1813"/>
      <c r="Q1877" s="1976"/>
      <c r="R1877" s="1976"/>
      <c r="S1877" s="1976"/>
      <c r="T1877" s="1976"/>
      <c r="U1877" s="1976"/>
      <c r="V1877" s="1976"/>
      <c r="W1877" s="1976"/>
      <c r="X1877" s="1976"/>
      <c r="Y1877" s="1976"/>
      <c r="Z1877" s="1976"/>
    </row>
    <row r="1878" spans="1:26" ht="15">
      <c r="A1878" s="2094" t="s">
        <v>2782</v>
      </c>
      <c r="B1878" s="1978" t="s">
        <v>4055</v>
      </c>
      <c r="C1878" s="1860"/>
      <c r="D1878" s="1955"/>
      <c r="E1878" s="521"/>
      <c r="F1878" s="1976"/>
      <c r="G1878" s="1216"/>
      <c r="H1878" s="1976"/>
      <c r="I1878" s="1976"/>
      <c r="J1878" s="1976"/>
      <c r="K1878" s="1976"/>
      <c r="L1878" s="1976"/>
      <c r="M1878" s="1813">
        <v>2</v>
      </c>
      <c r="N1878" s="1630"/>
      <c r="O1878" s="1630"/>
      <c r="P1878" s="1813">
        <f>'Part IX Scoring Criteria'!P342</f>
        <v>0</v>
      </c>
      <c r="Q1878" s="1813" t="s">
        <v>441</v>
      </c>
      <c r="R1878" s="1976"/>
      <c r="S1878" s="1976"/>
      <c r="T1878" s="1976"/>
      <c r="U1878" s="1976"/>
      <c r="V1878" s="1976"/>
      <c r="W1878" s="1976"/>
      <c r="X1878" s="1976"/>
      <c r="Y1878" s="1976"/>
      <c r="Z1878" s="1976"/>
    </row>
    <row r="1879" spans="1:26" ht="15">
      <c r="A1879" s="1825" t="s">
        <v>1985</v>
      </c>
      <c r="B1879" s="1820" t="s">
        <v>4056</v>
      </c>
      <c r="C1879" s="1860"/>
      <c r="D1879" s="1955"/>
      <c r="E1879" s="521"/>
      <c r="F1879" s="1976"/>
      <c r="G1879" s="1849">
        <f>'Part IX Scoring Criteria'!G343</f>
        <v>0</v>
      </c>
      <c r="H1879" s="1976"/>
      <c r="I1879" s="1976"/>
      <c r="J1879" s="1841" t="s">
        <v>2686</v>
      </c>
      <c r="K1879" s="1976"/>
      <c r="L1879" s="521"/>
      <c r="M1879" s="1976"/>
      <c r="N1879" s="1976"/>
      <c r="O1879" s="1633" t="str">
        <f>'Part I-Project Information'!$H$100</f>
        <v>No</v>
      </c>
      <c r="P1879" s="1813">
        <f>'Part IX Scoring Criteria'!P343</f>
        <v>0</v>
      </c>
      <c r="Q1879" s="1813"/>
      <c r="R1879" s="1976"/>
      <c r="S1879" s="1976"/>
      <c r="T1879" s="1976"/>
      <c r="U1879" s="1976"/>
      <c r="V1879" s="1976"/>
      <c r="W1879" s="1976"/>
      <c r="X1879" s="1976"/>
      <c r="Y1879" s="1976"/>
      <c r="Z1879" s="1976"/>
    </row>
    <row r="1880" spans="1:26" ht="15">
      <c r="A1880" s="1825"/>
      <c r="B1880" s="2047" t="s">
        <v>1986</v>
      </c>
      <c r="C1880" s="521" t="s">
        <v>3460</v>
      </c>
      <c r="D1880" s="1631"/>
      <c r="E1880" s="1993"/>
      <c r="F1880" s="1993"/>
      <c r="G1880" s="1993"/>
      <c r="H1880" s="1993"/>
      <c r="I1880" s="1993"/>
      <c r="J1880" s="1993"/>
      <c r="K1880" s="1993"/>
      <c r="L1880" s="1993"/>
      <c r="M1880" s="1993"/>
      <c r="N1880" s="2093" t="s">
        <v>1986</v>
      </c>
      <c r="O1880" s="1938">
        <f>'Part IX Scoring Criteria'!O344</f>
        <v>0</v>
      </c>
      <c r="P1880" s="1938">
        <f>'Part IX Scoring Criteria'!P344</f>
        <v>0</v>
      </c>
      <c r="Q1880" s="1993"/>
      <c r="R1880" s="1942"/>
      <c r="S1880" s="1993"/>
      <c r="T1880" s="1993"/>
      <c r="U1880" s="1993"/>
      <c r="V1880" s="1993"/>
      <c r="W1880" s="1993"/>
      <c r="X1880" s="1993"/>
      <c r="Y1880" s="1993"/>
      <c r="Z1880" s="1993"/>
    </row>
    <row r="1881" spans="1:26" ht="15">
      <c r="A1881" s="1825"/>
      <c r="B1881" s="2047" t="s">
        <v>1988</v>
      </c>
      <c r="C1881" s="521" t="s">
        <v>4073</v>
      </c>
      <c r="D1881" s="1631"/>
      <c r="E1881" s="1993"/>
      <c r="F1881" s="1993"/>
      <c r="G1881" s="1993"/>
      <c r="H1881" s="1993"/>
      <c r="I1881" s="1993"/>
      <c r="J1881" s="1993"/>
      <c r="K1881" s="1993"/>
      <c r="L1881" s="1993"/>
      <c r="M1881" s="1993"/>
      <c r="N1881" s="2093" t="s">
        <v>1988</v>
      </c>
      <c r="O1881" s="1938">
        <f>'Part IX Scoring Criteria'!O346</f>
        <v>0</v>
      </c>
      <c r="P1881" s="1938">
        <f>'Part IX Scoring Criteria'!P346</f>
        <v>0</v>
      </c>
      <c r="Q1881" s="1993"/>
      <c r="R1881" s="1942"/>
      <c r="S1881" s="1993"/>
      <c r="T1881" s="1993"/>
      <c r="U1881" s="1993"/>
      <c r="V1881" s="1993"/>
      <c r="W1881" s="1993"/>
      <c r="X1881" s="1993"/>
      <c r="Y1881" s="1993"/>
      <c r="Z1881" s="1993"/>
    </row>
    <row r="1882" spans="1:26" ht="15">
      <c r="A1882" s="1825"/>
      <c r="B1882" s="2047" t="s">
        <v>2534</v>
      </c>
      <c r="C1882" s="521" t="s">
        <v>4072</v>
      </c>
      <c r="D1882" s="1631"/>
      <c r="E1882" s="1993"/>
      <c r="F1882" s="1993"/>
      <c r="G1882" s="1993"/>
      <c r="H1882" s="1993"/>
      <c r="I1882" s="1993"/>
      <c r="J1882" s="1993"/>
      <c r="K1882" s="1993"/>
      <c r="L1882" s="1993"/>
      <c r="M1882" s="1993"/>
      <c r="N1882" s="2093" t="s">
        <v>2534</v>
      </c>
      <c r="O1882" s="1938">
        <f>'Part IX Scoring Criteria'!O347</f>
        <v>0</v>
      </c>
      <c r="P1882" s="1938">
        <f>'Part IX Scoring Criteria'!P347</f>
        <v>0</v>
      </c>
      <c r="Q1882" s="1993"/>
      <c r="R1882" s="1942"/>
      <c r="S1882" s="1993"/>
      <c r="T1882" s="1993"/>
      <c r="U1882" s="1993"/>
      <c r="V1882" s="1993"/>
      <c r="W1882" s="1993"/>
      <c r="X1882" s="1993"/>
      <c r="Y1882" s="1993"/>
      <c r="Z1882" s="1993"/>
    </row>
    <row r="1883" spans="1:26" ht="15">
      <c r="A1883" s="1825"/>
      <c r="B1883" s="2047" t="s">
        <v>1224</v>
      </c>
      <c r="C1883" s="521" t="s">
        <v>4074</v>
      </c>
      <c r="D1883" s="1631"/>
      <c r="E1883" s="1993"/>
      <c r="F1883" s="1993"/>
      <c r="G1883" s="1993"/>
      <c r="H1883" s="1993"/>
      <c r="I1883" s="1993"/>
      <c r="J1883" s="1993"/>
      <c r="K1883" s="1993"/>
      <c r="L1883" s="1993"/>
      <c r="M1883" s="1993"/>
      <c r="N1883" s="2093" t="s">
        <v>1224</v>
      </c>
      <c r="O1883" s="1938">
        <f>'Part IX Scoring Criteria'!O350</f>
        <v>0</v>
      </c>
      <c r="P1883" s="1938">
        <f>'Part IX Scoring Criteria'!P350</f>
        <v>0</v>
      </c>
      <c r="Q1883" s="1993"/>
      <c r="R1883" s="1942"/>
      <c r="S1883" s="1993"/>
      <c r="T1883" s="1993"/>
      <c r="U1883" s="1993"/>
      <c r="V1883" s="1993"/>
      <c r="W1883" s="1993"/>
      <c r="X1883" s="1993"/>
      <c r="Y1883" s="1993"/>
      <c r="Z1883" s="1993"/>
    </row>
    <row r="1884" spans="1:26" ht="15">
      <c r="A1884" s="1825" t="s">
        <v>1983</v>
      </c>
      <c r="B1884" s="1820" t="s">
        <v>4057</v>
      </c>
      <c r="C1884" s="1860"/>
      <c r="D1884" s="1955"/>
      <c r="E1884" s="521"/>
      <c r="F1884" s="1976"/>
      <c r="G1884" s="1849">
        <f>'Part IX Scoring Criteria'!G351</f>
        <v>0</v>
      </c>
      <c r="H1884" s="1976"/>
      <c r="I1884" s="1849"/>
      <c r="J1884" s="1976"/>
      <c r="K1884" s="1976"/>
      <c r="L1884" s="1943"/>
      <c r="M1884" s="1943"/>
      <c r="N1884" s="1630"/>
      <c r="O1884" s="1976"/>
      <c r="P1884" s="1813"/>
      <c r="Q1884" s="1813"/>
      <c r="R1884" s="1976"/>
      <c r="S1884" s="1976"/>
      <c r="T1884" s="1976"/>
      <c r="U1884" s="1976"/>
      <c r="V1884" s="1976"/>
      <c r="W1884" s="1976"/>
      <c r="X1884" s="1976"/>
      <c r="Y1884" s="1976"/>
      <c r="Z1884" s="1976"/>
    </row>
    <row r="1885" spans="1:26" ht="15">
      <c r="A1885" s="2094"/>
      <c r="B1885" s="2047" t="s">
        <v>1986</v>
      </c>
      <c r="C1885" s="521" t="s">
        <v>3460</v>
      </c>
      <c r="D1885" s="521"/>
      <c r="E1885" s="521"/>
      <c r="F1885" s="1993"/>
      <c r="G1885" s="1993"/>
      <c r="H1885" s="1993"/>
      <c r="I1885" s="1993"/>
      <c r="J1885" s="1993"/>
      <c r="K1885" s="1993"/>
      <c r="L1885" s="1993"/>
      <c r="M1885" s="1813"/>
      <c r="N1885" s="2093" t="s">
        <v>1986</v>
      </c>
      <c r="O1885" s="1938">
        <f>'Part IX Scoring Criteria'!O352</f>
        <v>0</v>
      </c>
      <c r="P1885" s="1938">
        <f>'Part IX Scoring Criteria'!P352</f>
        <v>0</v>
      </c>
      <c r="Q1885" s="1813"/>
      <c r="R1885" s="1993"/>
      <c r="S1885" s="1993"/>
      <c r="T1885" s="1993"/>
      <c r="U1885" s="1993"/>
      <c r="V1885" s="1993"/>
      <c r="W1885" s="1993"/>
      <c r="X1885" s="1993"/>
      <c r="Y1885" s="1993"/>
      <c r="Z1885" s="1993"/>
    </row>
    <row r="1886" spans="1:26" ht="15">
      <c r="A1886" s="1825"/>
      <c r="B1886" s="2047" t="s">
        <v>1988</v>
      </c>
      <c r="C1886" s="521" t="s">
        <v>4086</v>
      </c>
      <c r="D1886" s="1631"/>
      <c r="E1886" s="1993"/>
      <c r="F1886" s="1993"/>
      <c r="G1886" s="1993"/>
      <c r="H1886" s="1993"/>
      <c r="I1886" s="1993"/>
      <c r="J1886" s="1993"/>
      <c r="K1886" s="1993"/>
      <c r="L1886" s="1993"/>
      <c r="M1886" s="1993"/>
      <c r="N1886" s="2093" t="s">
        <v>1988</v>
      </c>
      <c r="O1886" s="1938">
        <f>'Part IX Scoring Criteria'!O353</f>
        <v>0</v>
      </c>
      <c r="P1886" s="1938">
        <f>'Part IX Scoring Criteria'!P353</f>
        <v>0</v>
      </c>
      <c r="Q1886" s="1993"/>
      <c r="R1886" s="1942"/>
      <c r="S1886" s="1993"/>
      <c r="T1886" s="1993"/>
      <c r="U1886" s="1993"/>
      <c r="V1886" s="1993"/>
      <c r="W1886" s="1993"/>
      <c r="X1886" s="1993"/>
      <c r="Y1886" s="1993"/>
      <c r="Z1886" s="1993"/>
    </row>
    <row r="1887" spans="1:26" ht="15">
      <c r="A1887" s="1825"/>
      <c r="B1887" s="2047" t="s">
        <v>2534</v>
      </c>
      <c r="C1887" s="521" t="s">
        <v>4074</v>
      </c>
      <c r="D1887" s="1631"/>
      <c r="E1887" s="1993"/>
      <c r="F1887" s="1993"/>
      <c r="G1887" s="1993"/>
      <c r="H1887" s="1993"/>
      <c r="I1887" s="1993"/>
      <c r="J1887" s="1993"/>
      <c r="K1887" s="1993"/>
      <c r="L1887" s="1993"/>
      <c r="M1887" s="1993"/>
      <c r="N1887" s="2093" t="s">
        <v>2534</v>
      </c>
      <c r="O1887" s="1938">
        <f>'Part IX Scoring Criteria'!O355</f>
        <v>0</v>
      </c>
      <c r="P1887" s="1938">
        <f>'Part IX Scoring Criteria'!P355</f>
        <v>0</v>
      </c>
      <c r="Q1887" s="1993"/>
      <c r="R1887" s="1942"/>
      <c r="S1887" s="1993"/>
      <c r="T1887" s="1993"/>
      <c r="U1887" s="1993"/>
      <c r="V1887" s="1993"/>
      <c r="W1887" s="1993"/>
      <c r="X1887" s="1993"/>
      <c r="Y1887" s="1993"/>
      <c r="Z1887" s="1993"/>
    </row>
    <row r="1888" spans="1:26" ht="15">
      <c r="A1888" s="1976"/>
      <c r="B1888" s="1897" t="s">
        <v>1866</v>
      </c>
      <c r="C1888" s="1631"/>
      <c r="D1888" s="1897"/>
      <c r="E1888" s="1899"/>
      <c r="F1888" s="1899"/>
      <c r="G1888" s="1899"/>
      <c r="H1888" s="1899"/>
      <c r="I1888" s="1899"/>
      <c r="J1888" s="1899"/>
      <c r="K1888" s="1899"/>
      <c r="L1888" s="1899"/>
      <c r="M1888" s="1899"/>
      <c r="N1888" s="2011"/>
      <c r="O1888" s="1982"/>
      <c r="P1888" s="1813"/>
      <c r="Q1888" s="2006"/>
      <c r="R1888" s="1976"/>
      <c r="S1888" s="1976"/>
      <c r="T1888" s="1976"/>
      <c r="U1888" s="1976"/>
      <c r="V1888" s="1976"/>
      <c r="W1888" s="1976"/>
      <c r="X1888" s="1976"/>
      <c r="Y1888" s="1976"/>
      <c r="Z1888" s="1976"/>
    </row>
    <row r="1889" spans="1:26" ht="15.75">
      <c r="A1889" s="1900">
        <f>'Part IX Scoring Criteria'!A357</f>
        <v>0</v>
      </c>
      <c r="B1889" s="1900">
        <f>'Part IX Scoring Criteria'!B357</f>
        <v>0</v>
      </c>
      <c r="C1889" s="1900">
        <f>'Part IX Scoring Criteria'!C357</f>
        <v>0</v>
      </c>
      <c r="D1889" s="1900">
        <f>'Part IX Scoring Criteria'!D357</f>
        <v>0</v>
      </c>
      <c r="E1889" s="1900">
        <f>'Part IX Scoring Criteria'!E357</f>
        <v>0</v>
      </c>
      <c r="F1889" s="1900">
        <f>'Part IX Scoring Criteria'!F357</f>
        <v>0</v>
      </c>
      <c r="G1889" s="1900">
        <f>'Part IX Scoring Criteria'!G357</f>
        <v>0</v>
      </c>
      <c r="H1889" s="1900">
        <f>'Part IX Scoring Criteria'!H357</f>
        <v>0</v>
      </c>
      <c r="I1889" s="1900">
        <f>'Part IX Scoring Criteria'!I357</f>
        <v>0</v>
      </c>
      <c r="J1889" s="1900">
        <f>'Part IX Scoring Criteria'!J357</f>
        <v>0</v>
      </c>
      <c r="K1889" s="1900">
        <f>'Part IX Scoring Criteria'!K357</f>
        <v>0</v>
      </c>
      <c r="L1889" s="1900">
        <f>'Part IX Scoring Criteria'!L357</f>
        <v>0</v>
      </c>
      <c r="M1889" s="1900">
        <f>'Part IX Scoring Criteria'!M357</f>
        <v>0</v>
      </c>
      <c r="N1889" s="1900">
        <f>'Part IX Scoring Criteria'!N357</f>
        <v>0</v>
      </c>
      <c r="O1889" s="1900">
        <f>'Part IX Scoring Criteria'!O357</f>
        <v>0</v>
      </c>
      <c r="P1889" s="1900">
        <f>'Part IX Scoring Criteria'!P357</f>
        <v>0</v>
      </c>
      <c r="Q1889" s="1984"/>
      <c r="R1889" s="1976"/>
      <c r="S1889" s="1976"/>
      <c r="T1889" s="1976"/>
      <c r="U1889" s="1976"/>
      <c r="V1889" s="1976"/>
      <c r="W1889" s="1976"/>
      <c r="X1889" s="1976"/>
      <c r="Y1889" s="1976"/>
      <c r="Z1889" s="1976"/>
    </row>
    <row r="1890" spans="1:26">
      <c r="N1890" s="1637"/>
      <c r="O1890" s="1639"/>
      <c r="P1890" s="1639"/>
    </row>
    <row r="1891" spans="1:26" ht="15">
      <c r="A1891" s="1977" t="s">
        <v>2251</v>
      </c>
      <c r="B1891" s="1978" t="s">
        <v>4058</v>
      </c>
      <c r="C1891" s="2036"/>
      <c r="D1891" s="2036"/>
      <c r="E1891" s="2036"/>
      <c r="F1891" s="2036"/>
      <c r="G1891" s="2036"/>
      <c r="H1891" s="521" t="s">
        <v>3577</v>
      </c>
      <c r="I1891" s="1929" t="str">
        <f>'Part I-Project Information'!$H$105</f>
        <v>N/A - 4% Bond</v>
      </c>
      <c r="J1891" s="1841"/>
      <c r="K1891" s="2036"/>
      <c r="L1891" s="1942" t="str">
        <f>IF(OR($O1891=$M1891,$O1891=0,$O1891=""),"","* * Check Score! * *")</f>
        <v/>
      </c>
      <c r="M1891" s="1813">
        <v>1</v>
      </c>
      <c r="N1891" s="2037"/>
      <c r="O1891" s="1813">
        <f>'Part IX Scoring Criteria'!O359</f>
        <v>0</v>
      </c>
      <c r="P1891" s="1813">
        <f>'Part IX Scoring Criteria'!P359</f>
        <v>0</v>
      </c>
      <c r="Q1891" s="1813" t="s">
        <v>441</v>
      </c>
      <c r="R1891" s="2057" t="s">
        <v>2706</v>
      </c>
      <c r="S1891" s="2036"/>
      <c r="T1891" s="2036"/>
      <c r="U1891" s="2036"/>
      <c r="V1891" s="2036"/>
      <c r="W1891" s="2036"/>
      <c r="X1891" s="2036"/>
      <c r="Y1891" s="2036"/>
      <c r="Z1891" s="2036"/>
    </row>
    <row r="1892" spans="1:26" ht="15" customHeight="1">
      <c r="A1892" s="1900" t="s">
        <v>4603</v>
      </c>
      <c r="B1892" s="1900"/>
      <c r="C1892" s="1900"/>
      <c r="D1892" s="1900"/>
      <c r="E1892" s="1900"/>
      <c r="F1892" s="1900"/>
      <c r="G1892" s="1900"/>
      <c r="H1892" s="1900"/>
      <c r="I1892" s="1921" t="s">
        <v>4147</v>
      </c>
      <c r="J1892" s="1921"/>
      <c r="K1892" s="1921"/>
      <c r="L1892" s="1921"/>
      <c r="M1892" s="1921"/>
      <c r="N1892" s="1921"/>
      <c r="O1892" s="1921"/>
      <c r="P1892" s="1921"/>
      <c r="Q1892" s="2036"/>
      <c r="R1892" s="1942"/>
      <c r="S1892" s="2036"/>
      <c r="T1892" s="2036"/>
      <c r="U1892" s="2036"/>
      <c r="V1892" s="2036"/>
      <c r="W1892" s="2036"/>
      <c r="X1892" s="2036"/>
      <c r="Y1892" s="2036"/>
      <c r="Z1892" s="2036"/>
    </row>
    <row r="1893" spans="1:26" ht="15">
      <c r="A1893" s="1900"/>
      <c r="B1893" s="1900"/>
      <c r="C1893" s="1900"/>
      <c r="D1893" s="1900"/>
      <c r="E1893" s="1900"/>
      <c r="F1893" s="1900"/>
      <c r="G1893" s="1900"/>
      <c r="H1893" s="1900"/>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6"/>
      <c r="R1893" s="1942"/>
      <c r="S1893" s="2036"/>
      <c r="T1893" s="2036"/>
      <c r="U1893" s="2036"/>
      <c r="V1893" s="2036"/>
      <c r="W1893" s="2036"/>
      <c r="X1893" s="2036"/>
      <c r="Y1893" s="2036"/>
      <c r="Z1893" s="2036"/>
    </row>
    <row r="1894" spans="1:26" ht="15">
      <c r="A1894" s="1900"/>
      <c r="B1894" s="1900"/>
      <c r="C1894" s="1900"/>
      <c r="D1894" s="1900"/>
      <c r="E1894" s="1900"/>
      <c r="F1894" s="1900"/>
      <c r="G1894" s="1900"/>
      <c r="H1894" s="1900"/>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6"/>
      <c r="R1894" s="1942"/>
      <c r="S1894" s="2036"/>
      <c r="T1894" s="2036"/>
      <c r="U1894" s="2036"/>
      <c r="V1894" s="2036"/>
      <c r="W1894" s="2036"/>
      <c r="X1894" s="2036"/>
      <c r="Y1894" s="2036"/>
      <c r="Z1894" s="2036"/>
    </row>
    <row r="1895" spans="1:26" ht="15">
      <c r="A1895" s="1631"/>
      <c r="B1895" s="1994" t="s">
        <v>3757</v>
      </c>
      <c r="C1895" s="1631"/>
      <c r="D1895" s="1634"/>
      <c r="E1895" s="1634"/>
      <c r="F1895" s="1634"/>
      <c r="G1895" s="1634"/>
      <c r="H1895" s="521"/>
      <c r="I1895" s="521"/>
      <c r="J1895" s="521"/>
      <c r="K1895" s="521"/>
      <c r="L1895" s="1993"/>
      <c r="M1895" s="1630"/>
      <c r="N1895" s="1630"/>
      <c r="O1895" s="1975"/>
      <c r="P1895" s="1813"/>
      <c r="Q1895" s="1993"/>
      <c r="R1895" s="1993"/>
      <c r="S1895" s="1993"/>
      <c r="T1895" s="1993"/>
      <c r="U1895" s="1993"/>
      <c r="V1895" s="1993"/>
      <c r="W1895" s="1993"/>
      <c r="X1895" s="1993"/>
      <c r="Y1895" s="1993"/>
      <c r="Z1895" s="1993"/>
    </row>
    <row r="1896" spans="1:26" ht="15.75">
      <c r="A1896" s="1900">
        <f>'Part IX Scoring Criteria'!A365</f>
        <v>0</v>
      </c>
      <c r="B1896" s="1900">
        <f>'Part IX Scoring Criteria'!B365</f>
        <v>0</v>
      </c>
      <c r="C1896" s="1900">
        <f>'Part IX Scoring Criteria'!C365</f>
        <v>0</v>
      </c>
      <c r="D1896" s="1900">
        <f>'Part IX Scoring Criteria'!D365</f>
        <v>0</v>
      </c>
      <c r="E1896" s="1900">
        <f>'Part IX Scoring Criteria'!E365</f>
        <v>0</v>
      </c>
      <c r="F1896" s="1900">
        <f>'Part IX Scoring Criteria'!F365</f>
        <v>0</v>
      </c>
      <c r="G1896" s="1900">
        <f>'Part IX Scoring Criteria'!G365</f>
        <v>0</v>
      </c>
      <c r="H1896" s="1900">
        <f>'Part IX Scoring Criteria'!H365</f>
        <v>0</v>
      </c>
      <c r="I1896" s="1900">
        <f>'Part IX Scoring Criteria'!I365</f>
        <v>0</v>
      </c>
      <c r="J1896" s="1900">
        <f>'Part IX Scoring Criteria'!J365</f>
        <v>0</v>
      </c>
      <c r="K1896" s="1900">
        <f>'Part IX Scoring Criteria'!K365</f>
        <v>0</v>
      </c>
      <c r="L1896" s="1900">
        <f>'Part IX Scoring Criteria'!L365</f>
        <v>0</v>
      </c>
      <c r="M1896" s="1900">
        <f>'Part IX Scoring Criteria'!M365</f>
        <v>0</v>
      </c>
      <c r="N1896" s="1900">
        <f>'Part IX Scoring Criteria'!N365</f>
        <v>0</v>
      </c>
      <c r="O1896" s="1900">
        <f>'Part IX Scoring Criteria'!O365</f>
        <v>0</v>
      </c>
      <c r="P1896" s="1900">
        <f>'Part IX Scoring Criteria'!P365</f>
        <v>0</v>
      </c>
      <c r="Q1896" s="1984"/>
      <c r="R1896" s="1976"/>
      <c r="S1896" s="1976"/>
      <c r="T1896" s="1976"/>
      <c r="U1896" s="1976"/>
      <c r="V1896" s="1976"/>
      <c r="W1896" s="1976"/>
      <c r="X1896" s="1976"/>
      <c r="Y1896" s="1976"/>
      <c r="Z1896" s="1976"/>
    </row>
    <row r="1897" spans="1:26" ht="15">
      <c r="A1897" s="1631"/>
      <c r="B1897" s="1866" t="s">
        <v>1866</v>
      </c>
      <c r="C1897" s="1631"/>
      <c r="D1897" s="1866"/>
      <c r="E1897" s="1834"/>
      <c r="F1897" s="1834"/>
      <c r="G1897" s="1834"/>
      <c r="H1897" s="1834"/>
      <c r="I1897" s="1834"/>
      <c r="J1897" s="1834"/>
      <c r="K1897" s="1834"/>
      <c r="L1897" s="1834"/>
      <c r="M1897" s="1834"/>
      <c r="N1897" s="1923"/>
      <c r="O1897" s="1818"/>
      <c r="P1897" s="1813"/>
      <c r="Q1897" s="2006"/>
      <c r="R1897" s="1993"/>
      <c r="S1897" s="1993"/>
      <c r="T1897" s="1993"/>
      <c r="U1897" s="1993"/>
      <c r="V1897" s="1993"/>
      <c r="W1897" s="1993"/>
      <c r="X1897" s="1993"/>
      <c r="Y1897" s="1993"/>
      <c r="Z1897" s="1993"/>
    </row>
    <row r="1898" spans="1:26" ht="15.75">
      <c r="A1898" s="1900">
        <f>'Part IX Scoring Criteria'!A367</f>
        <v>0</v>
      </c>
      <c r="B1898" s="1900">
        <f>'Part IX Scoring Criteria'!B367</f>
        <v>0</v>
      </c>
      <c r="C1898" s="1900">
        <f>'Part IX Scoring Criteria'!C367</f>
        <v>0</v>
      </c>
      <c r="D1898" s="1900">
        <f>'Part IX Scoring Criteria'!D367</f>
        <v>0</v>
      </c>
      <c r="E1898" s="1900">
        <f>'Part IX Scoring Criteria'!E367</f>
        <v>0</v>
      </c>
      <c r="F1898" s="1900">
        <f>'Part IX Scoring Criteria'!F367</f>
        <v>0</v>
      </c>
      <c r="G1898" s="1900">
        <f>'Part IX Scoring Criteria'!G367</f>
        <v>0</v>
      </c>
      <c r="H1898" s="1900">
        <f>'Part IX Scoring Criteria'!H367</f>
        <v>0</v>
      </c>
      <c r="I1898" s="1900">
        <f>'Part IX Scoring Criteria'!I367</f>
        <v>0</v>
      </c>
      <c r="J1898" s="1900">
        <f>'Part IX Scoring Criteria'!J367</f>
        <v>0</v>
      </c>
      <c r="K1898" s="1900">
        <f>'Part IX Scoring Criteria'!K367</f>
        <v>0</v>
      </c>
      <c r="L1898" s="1900">
        <f>'Part IX Scoring Criteria'!L367</f>
        <v>0</v>
      </c>
      <c r="M1898" s="1900">
        <f>'Part IX Scoring Criteria'!M367</f>
        <v>0</v>
      </c>
      <c r="N1898" s="1900">
        <f>'Part IX Scoring Criteria'!N367</f>
        <v>0</v>
      </c>
      <c r="O1898" s="1900">
        <f>'Part IX Scoring Criteria'!O367</f>
        <v>0</v>
      </c>
      <c r="P1898" s="1900">
        <f>'Part IX Scoring Criteria'!P367</f>
        <v>0</v>
      </c>
      <c r="Q1898" s="1984"/>
      <c r="R1898" s="1976"/>
      <c r="S1898" s="1976"/>
      <c r="T1898" s="1976"/>
      <c r="U1898" s="1976"/>
      <c r="V1898" s="1976"/>
      <c r="W1898" s="1976"/>
      <c r="X1898" s="1976"/>
      <c r="Y1898" s="1976"/>
      <c r="Z1898" s="1976"/>
    </row>
    <row r="1899" spans="1:26" ht="15">
      <c r="A1899" s="1631"/>
      <c r="B1899" s="1976"/>
      <c r="C1899" s="1899"/>
      <c r="D1899" s="1899"/>
      <c r="E1899" s="1899"/>
      <c r="F1899" s="1899"/>
      <c r="G1899" s="1899"/>
      <c r="H1899" s="1899"/>
      <c r="I1899" s="1899"/>
      <c r="J1899" s="1899"/>
      <c r="K1899" s="1899"/>
      <c r="L1899" s="1899"/>
      <c r="M1899" s="1899"/>
      <c r="N1899" s="2011"/>
      <c r="O1899" s="1982"/>
      <c r="P1899" s="1813"/>
      <c r="Q1899" s="1976"/>
      <c r="R1899" s="1976"/>
      <c r="S1899" s="1976"/>
      <c r="T1899" s="1976"/>
      <c r="U1899" s="1976"/>
      <c r="V1899" s="1976"/>
      <c r="W1899" s="1976"/>
      <c r="X1899" s="1976"/>
      <c r="Y1899" s="1976"/>
      <c r="Z1899" s="1976"/>
    </row>
    <row r="1900" spans="1:26" ht="15">
      <c r="A1900" s="1977" t="s">
        <v>4104</v>
      </c>
      <c r="B1900" s="1978" t="s">
        <v>1672</v>
      </c>
      <c r="C1900" s="1976"/>
      <c r="D1900" s="1860"/>
      <c r="E1900" s="1860"/>
      <c r="F1900" s="1976"/>
      <c r="G1900" s="521"/>
      <c r="H1900" s="521"/>
      <c r="I1900" s="521"/>
      <c r="J1900" s="1976"/>
      <c r="K1900" s="1895"/>
      <c r="L1900" s="1942"/>
      <c r="M1900" s="1813">
        <v>2</v>
      </c>
      <c r="N1900" s="2037"/>
      <c r="O1900" s="1975" t="e">
        <f>'Part IX Scoring Criteria'!#REF!</f>
        <v>#REF!</v>
      </c>
      <c r="P1900" s="1975" t="e">
        <f>'Part IX Scoring Criteria'!#REF!</f>
        <v>#REF!</v>
      </c>
      <c r="Q1900" s="1813" t="s">
        <v>441</v>
      </c>
      <c r="R1900" s="1976"/>
      <c r="S1900" s="1976"/>
      <c r="T1900" s="1976"/>
      <c r="U1900" s="1976"/>
      <c r="V1900" s="1976"/>
      <c r="W1900" s="1976"/>
      <c r="X1900" s="1976"/>
      <c r="Y1900" s="1976"/>
      <c r="Z1900" s="1976"/>
    </row>
    <row r="1901" spans="1:26" ht="15.75">
      <c r="A1901" s="1825" t="s">
        <v>1983</v>
      </c>
      <c r="B1901" s="1929" t="s">
        <v>3615</v>
      </c>
      <c r="C1901" s="1976"/>
      <c r="D1901" s="1860"/>
      <c r="E1901" s="1860"/>
      <c r="F1901" s="1976"/>
      <c r="G1901" s="521"/>
      <c r="H1901" s="1984"/>
      <c r="I1901" s="1976"/>
      <c r="J1901" s="1976"/>
      <c r="K1901" s="1976"/>
      <c r="L1901" s="1942" t="str">
        <f>IF(OR($O1901=$M1901,$O1901=0,$O1901=""),"","* * Check Score! * *")</f>
        <v/>
      </c>
      <c r="M1901" s="1630">
        <v>1</v>
      </c>
      <c r="N1901" s="2037" t="str">
        <f>IF(OR($O1901=$M1901,$O1901=0,$O1901=""),"","***")</f>
        <v/>
      </c>
      <c r="O1901" s="1975">
        <f>'Part IX Scoring Criteria'!O369</f>
        <v>0</v>
      </c>
      <c r="P1901" s="1975">
        <f>'Part IX Scoring Criteria'!P369</f>
        <v>0</v>
      </c>
      <c r="Q1901" s="2015" t="str">
        <f>IF(OR($O1901=$M1901,$O1901=0,$O1901=""),"","*CHECK!*")</f>
        <v/>
      </c>
      <c r="R1901" s="2057" t="s">
        <v>2706</v>
      </c>
      <c r="S1901" s="1976"/>
      <c r="T1901" s="1976"/>
      <c r="U1901" s="1976"/>
      <c r="V1901" s="1976"/>
      <c r="W1901" s="1976"/>
      <c r="X1901" s="1976"/>
      <c r="Y1901" s="1976"/>
      <c r="Z1901" s="1976"/>
    </row>
    <row r="1902" spans="1:26" ht="15">
      <c r="A1902" s="1976"/>
      <c r="B1902" s="1841" t="s">
        <v>4062</v>
      </c>
      <c r="C1902" s="1976"/>
      <c r="D1902" s="1993"/>
      <c r="E1902" s="1860"/>
      <c r="F1902" s="521"/>
      <c r="G1902" s="521"/>
      <c r="H1902" s="521" t="str">
        <f>'Part IX Scoring Criteria'!I370</f>
        <v>&lt; Select applicable GICH &gt;</v>
      </c>
      <c r="I1902" s="521">
        <f>'Part IX Scoring Criteria'!J370</f>
        <v>0</v>
      </c>
      <c r="J1902" s="521">
        <f>'Part IX Scoring Criteria'!K370</f>
        <v>0</v>
      </c>
      <c r="K1902" s="1976"/>
      <c r="L1902" s="1976"/>
      <c r="M1902" s="1976"/>
      <c r="N1902" s="1937" t="s">
        <v>1983</v>
      </c>
      <c r="O1902" s="1943" t="s">
        <v>2510</v>
      </c>
      <c r="P1902" s="1943" t="s">
        <v>2510</v>
      </c>
      <c r="Q1902" s="1976"/>
      <c r="R1902" s="1976"/>
      <c r="S1902" s="1976"/>
      <c r="T1902" s="1976"/>
      <c r="U1902" s="1976"/>
      <c r="V1902" s="1976"/>
      <c r="W1902" s="1976"/>
      <c r="X1902" s="1976"/>
      <c r="Y1902" s="1976"/>
      <c r="Z1902" s="1976"/>
    </row>
    <row r="1903" spans="1:26">
      <c r="A1903" s="521"/>
      <c r="B1903" s="2093" t="s">
        <v>1986</v>
      </c>
      <c r="C1903" s="1841" t="s">
        <v>4059</v>
      </c>
      <c r="D1903" s="521"/>
      <c r="E1903" s="521"/>
      <c r="F1903" s="521"/>
      <c r="G1903" s="521"/>
      <c r="H1903" s="521"/>
      <c r="I1903" s="521"/>
      <c r="J1903" s="521"/>
      <c r="K1903" s="521"/>
      <c r="L1903" s="521"/>
      <c r="M1903" s="521"/>
      <c r="N1903" s="2093" t="s">
        <v>1986</v>
      </c>
      <c r="O1903" s="1938">
        <f>'Part IX Scoring Criteria'!O374</f>
        <v>0</v>
      </c>
      <c r="P1903" s="1938">
        <f>'Part IX Scoring Criteria'!P374</f>
        <v>0</v>
      </c>
      <c r="Q1903" s="521"/>
      <c r="R1903" s="521"/>
      <c r="S1903" s="521"/>
      <c r="T1903" s="521"/>
      <c r="U1903" s="521"/>
      <c r="V1903" s="521"/>
      <c r="W1903" s="521"/>
      <c r="X1903" s="521"/>
      <c r="Y1903" s="521"/>
      <c r="Z1903" s="521"/>
    </row>
    <row r="1904" spans="1:26">
      <c r="A1904" s="521"/>
      <c r="B1904" s="2093" t="s">
        <v>1988</v>
      </c>
      <c r="C1904" s="1841" t="s">
        <v>4060</v>
      </c>
      <c r="D1904" s="521"/>
      <c r="E1904" s="521"/>
      <c r="F1904" s="521"/>
      <c r="G1904" s="521"/>
      <c r="H1904" s="521"/>
      <c r="I1904" s="521"/>
      <c r="J1904" s="521"/>
      <c r="K1904" s="521"/>
      <c r="L1904" s="521"/>
      <c r="M1904" s="521"/>
      <c r="N1904" s="2093" t="s">
        <v>1988</v>
      </c>
      <c r="O1904" s="1938">
        <f>'Part IX Scoring Criteria'!O375</f>
        <v>0</v>
      </c>
      <c r="P1904" s="1938">
        <f>'Part IX Scoring Criteria'!P375</f>
        <v>0</v>
      </c>
      <c r="Q1904" s="521"/>
      <c r="R1904" s="521"/>
      <c r="S1904" s="521"/>
      <c r="T1904" s="521"/>
      <c r="U1904" s="521"/>
      <c r="V1904" s="521"/>
      <c r="W1904" s="521"/>
      <c r="X1904" s="521"/>
      <c r="Y1904" s="521"/>
      <c r="Z1904" s="521"/>
    </row>
    <row r="1905" spans="1:26">
      <c r="A1905" s="521"/>
      <c r="B1905" s="2093" t="s">
        <v>2534</v>
      </c>
      <c r="C1905" s="1841" t="s">
        <v>4061</v>
      </c>
      <c r="D1905" s="521"/>
      <c r="E1905" s="521"/>
      <c r="F1905" s="521"/>
      <c r="G1905" s="521"/>
      <c r="H1905" s="521"/>
      <c r="I1905" s="521"/>
      <c r="J1905" s="521"/>
      <c r="K1905" s="521"/>
      <c r="L1905" s="521"/>
      <c r="M1905" s="521"/>
      <c r="N1905" s="2093" t="s">
        <v>2534</v>
      </c>
      <c r="O1905" s="1938" t="e">
        <f>'Part IX Scoring Criteria'!#REF!</f>
        <v>#REF!</v>
      </c>
      <c r="P1905" s="1938" t="e">
        <f>'Part IX Scoring Criteria'!#REF!</f>
        <v>#REF!</v>
      </c>
      <c r="Q1905" s="521"/>
      <c r="R1905" s="521"/>
      <c r="S1905" s="521"/>
      <c r="T1905" s="521"/>
      <c r="U1905" s="521"/>
      <c r="V1905" s="521"/>
      <c r="W1905" s="521"/>
      <c r="X1905" s="521"/>
      <c r="Y1905" s="521"/>
      <c r="Z1905" s="521"/>
    </row>
    <row r="1906" spans="1:26">
      <c r="A1906" s="1216"/>
      <c r="B1906" s="1998" t="s">
        <v>3616</v>
      </c>
      <c r="C1906" s="1216"/>
      <c r="D1906" s="521"/>
      <c r="E1906" s="521"/>
      <c r="F1906" s="521"/>
      <c r="G1906" s="521"/>
      <c r="H1906" s="521"/>
      <c r="I1906" s="521"/>
      <c r="J1906" s="521"/>
      <c r="K1906" s="521"/>
      <c r="L1906" s="521"/>
      <c r="M1906" s="521"/>
      <c r="N1906" s="1937"/>
      <c r="O1906" s="1937"/>
      <c r="P1906" s="1937"/>
      <c r="Q1906" s="1216"/>
      <c r="R1906" s="1216"/>
      <c r="S1906" s="1216"/>
      <c r="T1906" s="1216"/>
      <c r="U1906" s="1216"/>
      <c r="V1906" s="1216"/>
      <c r="W1906" s="1216"/>
      <c r="X1906" s="1216"/>
      <c r="Y1906" s="1216"/>
      <c r="Z1906" s="1216"/>
    </row>
    <row r="1907" spans="1:26">
      <c r="A1907" s="1216"/>
      <c r="B1907" s="1998"/>
      <c r="C1907" s="1216"/>
      <c r="D1907" s="521"/>
      <c r="E1907" s="521"/>
      <c r="F1907" s="521"/>
      <c r="G1907" s="521"/>
      <c r="H1907" s="521"/>
      <c r="I1907" s="521"/>
      <c r="J1907" s="521"/>
      <c r="K1907" s="521"/>
      <c r="L1907" s="521"/>
      <c r="M1907" s="521"/>
      <c r="N1907" s="1937"/>
      <c r="O1907" s="1937"/>
      <c r="P1907" s="1937"/>
      <c r="Q1907" s="1216"/>
      <c r="R1907" s="1216"/>
      <c r="S1907" s="1216"/>
      <c r="T1907" s="1216"/>
      <c r="U1907" s="1216"/>
      <c r="V1907" s="1216"/>
      <c r="W1907" s="1216"/>
      <c r="X1907" s="1216"/>
      <c r="Y1907" s="1216"/>
      <c r="Z1907" s="1216"/>
    </row>
    <row r="1908" spans="1:26" ht="13.5">
      <c r="A1908" s="1825" t="s">
        <v>1985</v>
      </c>
      <c r="B1908" s="1820" t="s">
        <v>2797</v>
      </c>
      <c r="D1908" s="1631"/>
      <c r="H1908" s="2095" t="s">
        <v>3486</v>
      </c>
      <c r="I1908" s="2095"/>
      <c r="J1908" s="2095"/>
      <c r="K1908" s="2095"/>
      <c r="L1908" s="2095"/>
      <c r="M1908" s="1633">
        <v>1</v>
      </c>
      <c r="N1908" s="1937" t="s">
        <v>1985</v>
      </c>
      <c r="O1908" s="1975" t="e">
        <f>'Part IX Scoring Criteria'!#REF!</f>
        <v>#REF!</v>
      </c>
      <c r="P1908" s="1975" t="e">
        <f>'Part IX Scoring Criteria'!#REF!</f>
        <v>#REF!</v>
      </c>
      <c r="Q1908" s="2015" t="e">
        <f>IF(OR($O1908=$M1908,$O1908=0,$O1908=""),"","*CHECK!*")</f>
        <v>#REF!</v>
      </c>
      <c r="R1908" s="2057" t="s">
        <v>2706</v>
      </c>
    </row>
    <row r="1909" spans="1:26">
      <c r="A1909" s="1631"/>
      <c r="B1909" s="521" t="s">
        <v>2798</v>
      </c>
      <c r="C1909" s="1631"/>
      <c r="D1909" s="1631"/>
      <c r="E1909" s="1631"/>
      <c r="F1909" s="1631"/>
      <c r="G1909" s="1631"/>
      <c r="H1909" s="1631"/>
      <c r="I1909" s="1631"/>
      <c r="J1909" s="1631"/>
      <c r="K1909" s="1631"/>
      <c r="L1909" s="1631"/>
      <c r="M1909" s="1631"/>
      <c r="N1909" s="1631"/>
      <c r="O1909" s="1938" t="e">
        <f>'Part IX Scoring Criteria'!#REF!</f>
        <v>#REF!</v>
      </c>
      <c r="P1909" s="1938" t="e">
        <f>'Part IX Scoring Criteria'!#REF!</f>
        <v>#REF!</v>
      </c>
      <c r="Q1909" s="1652"/>
      <c r="R1909" s="1631"/>
      <c r="S1909" s="1631"/>
      <c r="T1909" s="1631"/>
      <c r="U1909" s="1631"/>
      <c r="V1909" s="1631"/>
      <c r="W1909" s="1631"/>
      <c r="X1909" s="1631"/>
      <c r="Y1909" s="1631"/>
      <c r="Z1909" s="1631"/>
    </row>
    <row r="1910" spans="1:26">
      <c r="A1910" s="1935"/>
      <c r="B1910" s="521" t="s">
        <v>3618</v>
      </c>
      <c r="C1910" s="521" t="str">
        <f>'Part I-Project Information'!$F$38</f>
        <v>Stonecrest</v>
      </c>
      <c r="D1910" s="1631"/>
      <c r="E1910" s="521" t="s">
        <v>3485</v>
      </c>
      <c r="F1910" s="521" t="str">
        <f>'Part I-Project Information'!$J$39</f>
        <v>DeKalb</v>
      </c>
      <c r="G1910" s="1631"/>
      <c r="H1910" s="1841" t="s">
        <v>451</v>
      </c>
      <c r="I1910" s="1841" t="str">
        <f>'Part I-Project Information'!$N$39</f>
        <v>Yes</v>
      </c>
      <c r="J1910" s="1631"/>
      <c r="K1910" s="1841" t="s">
        <v>3617</v>
      </c>
      <c r="L1910" s="2071" t="str">
        <f>'Part I-Project Information'!$O$38</f>
        <v>233.10</v>
      </c>
      <c r="M1910" s="2071"/>
      <c r="N1910" s="2071"/>
      <c r="O1910" s="2071"/>
      <c r="P1910" s="2071"/>
      <c r="Q1910" s="1631"/>
      <c r="R1910" s="1631"/>
      <c r="S1910" s="1631"/>
      <c r="T1910" s="1631"/>
      <c r="U1910" s="1631"/>
      <c r="V1910" s="1631"/>
      <c r="W1910" s="1631"/>
      <c r="X1910" s="1631"/>
      <c r="Y1910" s="1631"/>
      <c r="Z1910" s="1631"/>
    </row>
    <row r="1911" spans="1:26" ht="15">
      <c r="A1911" s="1631"/>
      <c r="B1911" s="1994" t="s">
        <v>3757</v>
      </c>
      <c r="C1911" s="1631"/>
      <c r="D1911" s="1634"/>
      <c r="E1911" s="1634"/>
      <c r="F1911" s="1634"/>
      <c r="G1911" s="1634"/>
      <c r="H1911" s="521"/>
      <c r="I1911" s="521"/>
      <c r="J1911" s="521"/>
      <c r="K1911" s="521"/>
      <c r="L1911" s="1993"/>
      <c r="M1911" s="1630"/>
      <c r="N1911" s="1630"/>
      <c r="O1911" s="1975"/>
      <c r="P1911" s="1813"/>
      <c r="Q1911" s="1993"/>
      <c r="R1911" s="1993"/>
      <c r="S1911" s="1993"/>
      <c r="T1911" s="1993"/>
      <c r="U1911" s="1993"/>
      <c r="V1911" s="1993"/>
      <c r="W1911" s="1993"/>
      <c r="X1911" s="1993"/>
      <c r="Y1911" s="1993"/>
      <c r="Z1911" s="1993"/>
    </row>
    <row r="1912" spans="1:26" ht="15.75">
      <c r="A1912" s="1900">
        <f>'Part IX Scoring Criteria'!A380</f>
        <v>0</v>
      </c>
      <c r="B1912" s="1900">
        <f>'Part IX Scoring Criteria'!B380</f>
        <v>0</v>
      </c>
      <c r="C1912" s="1900">
        <f>'Part IX Scoring Criteria'!C380</f>
        <v>0</v>
      </c>
      <c r="D1912" s="1900">
        <f>'Part IX Scoring Criteria'!D380</f>
        <v>0</v>
      </c>
      <c r="E1912" s="1900">
        <f>'Part IX Scoring Criteria'!E380</f>
        <v>0</v>
      </c>
      <c r="F1912" s="1900">
        <f>'Part IX Scoring Criteria'!F380</f>
        <v>0</v>
      </c>
      <c r="G1912" s="1900">
        <f>'Part IX Scoring Criteria'!G380</f>
        <v>0</v>
      </c>
      <c r="H1912" s="1900">
        <f>'Part IX Scoring Criteria'!H380</f>
        <v>0</v>
      </c>
      <c r="I1912" s="1900">
        <f>'Part IX Scoring Criteria'!I380</f>
        <v>0</v>
      </c>
      <c r="J1912" s="1900">
        <f>'Part IX Scoring Criteria'!J380</f>
        <v>0</v>
      </c>
      <c r="K1912" s="1900">
        <f>'Part IX Scoring Criteria'!K380</f>
        <v>0</v>
      </c>
      <c r="L1912" s="1900">
        <f>'Part IX Scoring Criteria'!L380</f>
        <v>0</v>
      </c>
      <c r="M1912" s="1900">
        <f>'Part IX Scoring Criteria'!M380</f>
        <v>0</v>
      </c>
      <c r="N1912" s="1900">
        <f>'Part IX Scoring Criteria'!N380</f>
        <v>0</v>
      </c>
      <c r="O1912" s="1900">
        <f>'Part IX Scoring Criteria'!O380</f>
        <v>0</v>
      </c>
      <c r="P1912" s="1900">
        <f>'Part IX Scoring Criteria'!P380</f>
        <v>0</v>
      </c>
      <c r="Q1912" s="1984"/>
      <c r="R1912" s="1976"/>
      <c r="S1912" s="1976"/>
      <c r="T1912" s="1976"/>
      <c r="U1912" s="1976"/>
      <c r="V1912" s="1976"/>
      <c r="W1912" s="1976"/>
      <c r="X1912" s="1976"/>
      <c r="Y1912" s="1976"/>
      <c r="Z1912" s="1976"/>
    </row>
    <row r="1913" spans="1:26" ht="15">
      <c r="A1913" s="1631"/>
      <c r="B1913" s="1866" t="s">
        <v>1866</v>
      </c>
      <c r="C1913" s="1631"/>
      <c r="D1913" s="1866"/>
      <c r="E1913" s="1834"/>
      <c r="F1913" s="1834"/>
      <c r="G1913" s="1834"/>
      <c r="H1913" s="1834"/>
      <c r="I1913" s="1834"/>
      <c r="J1913" s="1834"/>
      <c r="K1913" s="1834"/>
      <c r="L1913" s="1834"/>
      <c r="M1913" s="1834"/>
      <c r="N1913" s="1923"/>
      <c r="O1913" s="1818"/>
      <c r="P1913" s="1813"/>
      <c r="Q1913" s="2006"/>
      <c r="R1913" s="1993"/>
      <c r="S1913" s="1993"/>
      <c r="T1913" s="1993"/>
      <c r="U1913" s="1993"/>
      <c r="V1913" s="1993"/>
      <c r="W1913" s="1993"/>
      <c r="X1913" s="1993"/>
      <c r="Y1913" s="1993"/>
      <c r="Z1913" s="1993"/>
    </row>
    <row r="1914" spans="1:26" ht="15.75">
      <c r="A1914" s="1900">
        <f>'Part IX Scoring Criteria'!A382</f>
        <v>0</v>
      </c>
      <c r="B1914" s="1900">
        <f>'Part IX Scoring Criteria'!B382</f>
        <v>0</v>
      </c>
      <c r="C1914" s="1900">
        <f>'Part IX Scoring Criteria'!C382</f>
        <v>0</v>
      </c>
      <c r="D1914" s="1900">
        <f>'Part IX Scoring Criteria'!D382</f>
        <v>0</v>
      </c>
      <c r="E1914" s="1900">
        <f>'Part IX Scoring Criteria'!E382</f>
        <v>0</v>
      </c>
      <c r="F1914" s="1900">
        <f>'Part IX Scoring Criteria'!F382</f>
        <v>0</v>
      </c>
      <c r="G1914" s="1900">
        <f>'Part IX Scoring Criteria'!G382</f>
        <v>0</v>
      </c>
      <c r="H1914" s="1900">
        <f>'Part IX Scoring Criteria'!H382</f>
        <v>0</v>
      </c>
      <c r="I1914" s="1900">
        <f>'Part IX Scoring Criteria'!I382</f>
        <v>0</v>
      </c>
      <c r="J1914" s="1900">
        <f>'Part IX Scoring Criteria'!J382</f>
        <v>0</v>
      </c>
      <c r="K1914" s="1900">
        <f>'Part IX Scoring Criteria'!K382</f>
        <v>0</v>
      </c>
      <c r="L1914" s="1900">
        <f>'Part IX Scoring Criteria'!L382</f>
        <v>0</v>
      </c>
      <c r="M1914" s="1900">
        <f>'Part IX Scoring Criteria'!M382</f>
        <v>0</v>
      </c>
      <c r="N1914" s="1900">
        <f>'Part IX Scoring Criteria'!N382</f>
        <v>0</v>
      </c>
      <c r="O1914" s="1900">
        <f>'Part IX Scoring Criteria'!O382</f>
        <v>0</v>
      </c>
      <c r="P1914" s="1900">
        <f>'Part IX Scoring Criteria'!P382</f>
        <v>0</v>
      </c>
      <c r="Q1914" s="1984"/>
      <c r="R1914" s="1976"/>
      <c r="S1914" s="1976"/>
      <c r="T1914" s="1976"/>
      <c r="U1914" s="1976"/>
      <c r="V1914" s="1976"/>
      <c r="W1914" s="1976"/>
      <c r="X1914" s="1976"/>
      <c r="Y1914" s="1976"/>
      <c r="Z1914" s="1976"/>
    </row>
    <row r="1915" spans="1:26">
      <c r="N1915" s="1637"/>
      <c r="O1915" s="1639"/>
      <c r="P1915" s="1639"/>
    </row>
    <row r="1916" spans="1:26" ht="15">
      <c r="A1916" s="1977" t="s">
        <v>4105</v>
      </c>
      <c r="B1916" s="1978" t="s">
        <v>4065</v>
      </c>
      <c r="C1916" s="1976"/>
      <c r="D1916" s="1860"/>
      <c r="E1916" s="1860"/>
      <c r="F1916" s="521"/>
      <c r="G1916" s="521"/>
      <c r="H1916" s="1820" t="s">
        <v>2794</v>
      </c>
      <c r="I1916" s="1976"/>
      <c r="J1916" s="1820" t="str">
        <f>'Part I-Project Information'!$H$105</f>
        <v>N/A - 4% Bond</v>
      </c>
      <c r="K1916" s="1976"/>
      <c r="L1916" s="1942" t="str">
        <f>IF(OR($O1916=$M1916,$O1916=$M1923,$O1916=$M1941,$O1916=0,$O1916=""),"","* * Check Score! * *")</f>
        <v/>
      </c>
      <c r="M1916" s="1975">
        <v>4</v>
      </c>
      <c r="N1916" s="1630"/>
      <c r="O1916" s="1975">
        <f>'Part IX Scoring Criteria'!O384</f>
        <v>0</v>
      </c>
      <c r="P1916" s="1975">
        <f>'Part IX Scoring Criteria'!P384</f>
        <v>0</v>
      </c>
      <c r="Q1916" s="1813" t="s">
        <v>441</v>
      </c>
      <c r="R1916" s="1976"/>
      <c r="S1916" s="1976"/>
      <c r="T1916" s="1976"/>
      <c r="U1916" s="1976"/>
      <c r="V1916" s="1976"/>
      <c r="W1916" s="1976"/>
      <c r="X1916" s="1976"/>
      <c r="Y1916" s="1976"/>
      <c r="Z1916" s="1976"/>
    </row>
    <row r="1917" spans="1:26" ht="15">
      <c r="A1917" s="1631"/>
      <c r="B1917" s="1929" t="s">
        <v>2883</v>
      </c>
      <c r="C1917" s="1976"/>
      <c r="D1917" s="1976"/>
      <c r="E1917" s="1860"/>
      <c r="F1917" s="521"/>
      <c r="G1917" s="521"/>
      <c r="H1917" s="521"/>
      <c r="I1917" s="521"/>
      <c r="J1917" s="1976"/>
      <c r="K1917" s="1895"/>
      <c r="L1917" s="2096"/>
      <c r="M1917" s="1976"/>
      <c r="N1917" s="1976"/>
      <c r="O1917" s="1895" t="s">
        <v>2510</v>
      </c>
      <c r="P1917" s="1895" t="s">
        <v>2510</v>
      </c>
      <c r="Q1917" s="1976"/>
      <c r="R1917" s="1976"/>
      <c r="S1917" s="1976"/>
      <c r="T1917" s="1976"/>
      <c r="U1917" s="1976"/>
      <c r="V1917" s="1976"/>
      <c r="W1917" s="1976"/>
      <c r="X1917" s="1976"/>
      <c r="Y1917" s="1976"/>
      <c r="Z1917" s="1976"/>
    </row>
    <row r="1918" spans="1:26" ht="15">
      <c r="A1918" s="1216"/>
      <c r="B1918" s="1937" t="s">
        <v>2435</v>
      </c>
      <c r="C1918" s="1216" t="s">
        <v>2828</v>
      </c>
      <c r="D1918" s="1216"/>
      <c r="E1918" s="1860"/>
      <c r="F1918" s="521"/>
      <c r="G1918" s="521"/>
      <c r="H1918" s="521"/>
      <c r="I1918" s="521"/>
      <c r="J1918" s="1976"/>
      <c r="K1918" s="1895"/>
      <c r="L1918" s="1965" t="str">
        <f>IF(OR(O1918="No",O1918="",O1919="No",O1919="",O1920="No",O1920="",O1921="No",O1921=""),"Unmet criterion results in no points!","")</f>
        <v/>
      </c>
      <c r="M1918" s="1965"/>
      <c r="N1918" s="1937" t="s">
        <v>2435</v>
      </c>
      <c r="O1918" s="1938">
        <f>'Part IX Scoring Criteria'!O386</f>
        <v>0</v>
      </c>
      <c r="P1918" s="1938">
        <f>'Part IX Scoring Criteria'!P386</f>
        <v>0</v>
      </c>
      <c r="Q1918" s="1216"/>
      <c r="R1918" s="1965" t="str">
        <f>IF(OR(P1918="No",P1918="",P1919="No",P1919="",P1920="No",P1920="",P1921="No",P1921=""),"Unmet criterion results in no points!","")</f>
        <v/>
      </c>
      <c r="S1918" s="1965" t="e">
        <f>IF(OR(V1918="No",V1918="",V1919="No",V1919="",V1920="No",V1920="",V1921="No",V1921="",#REF!="No",#REF!="",#REF!="No",#REF!=""),"Unmet criterion results in no points!","")</f>
        <v>#REF!</v>
      </c>
      <c r="T1918" s="1216"/>
      <c r="U1918" s="1216"/>
      <c r="V1918" s="1216"/>
      <c r="W1918" s="1216"/>
      <c r="X1918" s="1216"/>
      <c r="Y1918" s="1216"/>
      <c r="Z1918" s="1216"/>
    </row>
    <row r="1919" spans="1:26">
      <c r="A1919" s="1216"/>
      <c r="B1919" s="1944" t="s">
        <v>2436</v>
      </c>
      <c r="C1919" s="1216" t="s">
        <v>3811</v>
      </c>
      <c r="D1919" s="1216"/>
      <c r="E1919" s="1216"/>
      <c r="F1919" s="1216"/>
      <c r="G1919" s="1216"/>
      <c r="H1919" s="1216"/>
      <c r="I1919" s="1216"/>
      <c r="J1919" s="1216"/>
      <c r="K1919" s="1216"/>
      <c r="L1919" s="1965"/>
      <c r="M1919" s="1965"/>
      <c r="N1919" s="1944" t="s">
        <v>2436</v>
      </c>
      <c r="O1919" s="1938">
        <f>'Part IX Scoring Criteria'!O387</f>
        <v>0</v>
      </c>
      <c r="P1919" s="1938">
        <f>'Part IX Scoring Criteria'!P387</f>
        <v>0</v>
      </c>
      <c r="Q1919" s="1216"/>
      <c r="R1919" s="1965"/>
      <c r="S1919" s="1965"/>
      <c r="T1919" s="1216"/>
      <c r="U1919" s="1216"/>
      <c r="V1919" s="1216"/>
      <c r="W1919" s="1216"/>
      <c r="X1919" s="1216"/>
      <c r="Y1919" s="1216"/>
      <c r="Z1919" s="1216"/>
    </row>
    <row r="1920" spans="1:26">
      <c r="A1920" s="1216"/>
      <c r="B1920" s="1937" t="s">
        <v>2437</v>
      </c>
      <c r="C1920" s="1216" t="s">
        <v>3810</v>
      </c>
      <c r="D1920" s="1216"/>
      <c r="E1920" s="1216"/>
      <c r="F1920" s="1216"/>
      <c r="G1920" s="1216"/>
      <c r="H1920" s="1216"/>
      <c r="I1920" s="1216"/>
      <c r="J1920" s="1216"/>
      <c r="K1920" s="1216"/>
      <c r="L1920" s="1965"/>
      <c r="M1920" s="1965"/>
      <c r="N1920" s="1937" t="s">
        <v>2437</v>
      </c>
      <c r="O1920" s="1938">
        <f>'Part IX Scoring Criteria'!O388</f>
        <v>0</v>
      </c>
      <c r="P1920" s="1938">
        <f>'Part IX Scoring Criteria'!P388</f>
        <v>0</v>
      </c>
      <c r="Q1920" s="1216"/>
      <c r="R1920" s="1965"/>
      <c r="S1920" s="1965"/>
      <c r="T1920" s="1216"/>
      <c r="U1920" s="1216"/>
      <c r="V1920" s="1216"/>
      <c r="W1920" s="1216"/>
      <c r="X1920" s="1216"/>
      <c r="Y1920" s="1216"/>
      <c r="Z1920" s="1216"/>
    </row>
    <row r="1921" spans="1:26" ht="12.75" customHeight="1">
      <c r="A1921" s="1216"/>
      <c r="B1921" s="1944" t="s">
        <v>2438</v>
      </c>
      <c r="C1921" s="1867" t="s">
        <v>4066</v>
      </c>
      <c r="D1921" s="1867"/>
      <c r="E1921" s="1867"/>
      <c r="F1921" s="1867"/>
      <c r="G1921" s="1867"/>
      <c r="H1921" s="1867"/>
      <c r="I1921" s="1867"/>
      <c r="J1921" s="1867"/>
      <c r="K1921" s="1867"/>
      <c r="L1921" s="1867"/>
      <c r="M1921" s="1867"/>
      <c r="N1921" s="1944" t="s">
        <v>2438</v>
      </c>
      <c r="O1921" s="1945">
        <f>'Part IX Scoring Criteria'!O389</f>
        <v>0</v>
      </c>
      <c r="P1921" s="1945">
        <f>'Part IX Scoring Criteria'!P389</f>
        <v>0</v>
      </c>
      <c r="Q1921" s="1216"/>
      <c r="R1921" s="1216"/>
      <c r="S1921" s="1216"/>
      <c r="T1921" s="1216"/>
      <c r="U1921" s="1216"/>
      <c r="V1921" s="1216"/>
      <c r="W1921" s="1216"/>
      <c r="X1921" s="1216"/>
      <c r="Y1921" s="1216"/>
      <c r="Z1921" s="1216"/>
    </row>
    <row r="1922" spans="1:26">
      <c r="C1922" s="1867"/>
      <c r="D1922" s="1867"/>
      <c r="E1922" s="1867"/>
      <c r="F1922" s="1867"/>
      <c r="G1922" s="1867"/>
      <c r="H1922" s="1867"/>
      <c r="I1922" s="1867"/>
      <c r="J1922" s="1867"/>
      <c r="K1922" s="1867"/>
      <c r="L1922" s="1867"/>
      <c r="M1922" s="1867"/>
      <c r="N1922" s="1637"/>
      <c r="O1922" s="1639"/>
      <c r="P1922" s="1639"/>
    </row>
    <row r="1923" spans="1:26">
      <c r="A1923" s="2097" t="s">
        <v>1983</v>
      </c>
      <c r="B1923" s="1820" t="s">
        <v>4067</v>
      </c>
      <c r="L1923" s="1942" t="str">
        <f>IF(OR($O1923=$M1923,$O1923=0,$O1923=""),"","* * Check Score! * *")</f>
        <v/>
      </c>
      <c r="M1923" s="1633">
        <v>3</v>
      </c>
      <c r="N1923" s="1937" t="s">
        <v>1983</v>
      </c>
      <c r="O1923" s="1975">
        <f>'Part IX Scoring Criteria'!O391</f>
        <v>0</v>
      </c>
      <c r="P1923" s="1975">
        <f>'Part IX Scoring Criteria'!P391</f>
        <v>0</v>
      </c>
      <c r="Q1923" s="2015" t="str">
        <f>IF(OR($O1923=$M1923,$O1923=0,$O1923=""),"","*CHECK!*")</f>
        <v/>
      </c>
      <c r="R1923" s="2057" t="s">
        <v>2706</v>
      </c>
    </row>
    <row r="1924" spans="1:26" ht="12.75" customHeight="1">
      <c r="A1924" s="2097"/>
      <c r="B1924" s="2029" t="s">
        <v>1986</v>
      </c>
      <c r="C1924" s="1900" t="s">
        <v>4068</v>
      </c>
      <c r="D1924" s="1900"/>
      <c r="E1924" s="1900"/>
      <c r="F1924" s="1900"/>
      <c r="G1924" s="1900"/>
      <c r="H1924" s="1900"/>
      <c r="I1924" s="1900"/>
      <c r="J1924" s="2039" t="s">
        <v>1990</v>
      </c>
      <c r="K1924" s="2039"/>
      <c r="M1924" s="2039" t="s">
        <v>1990</v>
      </c>
      <c r="N1924" s="2039"/>
      <c r="O1924" s="2039"/>
      <c r="P1924" s="2039"/>
    </row>
    <row r="1925" spans="1:26" ht="15">
      <c r="A1925" s="1941"/>
      <c r="B1925" s="1937" t="s">
        <v>2435</v>
      </c>
      <c r="C1925" s="521" t="s">
        <v>1482</v>
      </c>
      <c r="D1925" s="1976"/>
      <c r="E1925" s="1976"/>
      <c r="F1925" s="1976"/>
      <c r="G1925" s="1976"/>
      <c r="H1925" s="1976"/>
      <c r="I1925" s="1937" t="s">
        <v>2435</v>
      </c>
      <c r="J1925" s="1862">
        <f>'Part IX Scoring Criteria'!J394</f>
        <v>0</v>
      </c>
      <c r="K1925" s="1862">
        <f>'Part IX Scoring Criteria'!K394</f>
        <v>0</v>
      </c>
      <c r="L1925" s="1937" t="s">
        <v>2435</v>
      </c>
      <c r="M1925" s="1862">
        <f>'Part IX Scoring Criteria'!M394</f>
        <v>0</v>
      </c>
      <c r="N1925" s="1862">
        <f>'Part IX Scoring Criteria'!N394</f>
        <v>0</v>
      </c>
      <c r="O1925" s="1862">
        <f>'Part IX Scoring Criteria'!O394</f>
        <v>0</v>
      </c>
      <c r="P1925" s="1862">
        <f>'Part IX Scoring Criteria'!P394</f>
        <v>0</v>
      </c>
      <c r="Q1925" s="1976"/>
      <c r="R1925" s="1942"/>
      <c r="S1925" s="1976"/>
      <c r="T1925" s="1976"/>
      <c r="U1925" s="1976"/>
      <c r="V1925" s="1976"/>
      <c r="W1925" s="1976"/>
      <c r="X1925" s="1976"/>
      <c r="Y1925" s="1976"/>
      <c r="Z1925" s="1976"/>
    </row>
    <row r="1926" spans="1:26">
      <c r="A1926" s="1879"/>
      <c r="B1926" s="1944" t="s">
        <v>2436</v>
      </c>
      <c r="C1926" s="521" t="s">
        <v>3622</v>
      </c>
      <c r="I1926" s="1944" t="s">
        <v>2436</v>
      </c>
      <c r="J1926" s="1862">
        <f>'Part IX Scoring Criteria'!J395</f>
        <v>0</v>
      </c>
      <c r="K1926" s="1862">
        <f>'Part IX Scoring Criteria'!K395</f>
        <v>0</v>
      </c>
      <c r="L1926" s="1944" t="s">
        <v>2436</v>
      </c>
      <c r="M1926" s="1862">
        <f>'Part IX Scoring Criteria'!M395</f>
        <v>0</v>
      </c>
      <c r="N1926" s="1862">
        <f>'Part IX Scoring Criteria'!N395</f>
        <v>0</v>
      </c>
      <c r="O1926" s="1862">
        <f>'Part IX Scoring Criteria'!O395</f>
        <v>0</v>
      </c>
      <c r="P1926" s="1862">
        <f>'Part IX Scoring Criteria'!P395</f>
        <v>0</v>
      </c>
      <c r="R1926" s="1942"/>
    </row>
    <row r="1927" spans="1:26">
      <c r="B1927" s="1937" t="s">
        <v>2437</v>
      </c>
      <c r="C1927" s="521" t="s">
        <v>2626</v>
      </c>
      <c r="I1927" s="1937" t="s">
        <v>2437</v>
      </c>
      <c r="J1927" s="1862">
        <f>'Part IX Scoring Criteria'!J396</f>
        <v>0</v>
      </c>
      <c r="K1927" s="1862">
        <f>'Part IX Scoring Criteria'!K396</f>
        <v>0</v>
      </c>
      <c r="L1927" s="1937" t="s">
        <v>2437</v>
      </c>
      <c r="M1927" s="1862">
        <f>'Part IX Scoring Criteria'!M396</f>
        <v>0</v>
      </c>
      <c r="N1927" s="1862">
        <f>'Part IX Scoring Criteria'!N396</f>
        <v>0</v>
      </c>
      <c r="O1927" s="1862">
        <f>'Part IX Scoring Criteria'!O396</f>
        <v>0</v>
      </c>
      <c r="P1927" s="1862">
        <f>'Part IX Scoring Criteria'!P396</f>
        <v>0</v>
      </c>
      <c r="R1927" s="1942"/>
    </row>
    <row r="1928" spans="1:26">
      <c r="A1928" s="1879"/>
      <c r="B1928" s="1937" t="s">
        <v>2438</v>
      </c>
      <c r="C1928" s="521" t="s">
        <v>3461</v>
      </c>
      <c r="I1928" s="1937" t="s">
        <v>2438</v>
      </c>
      <c r="J1928" s="1862">
        <f>'Part IX Scoring Criteria'!J397</f>
        <v>0</v>
      </c>
      <c r="K1928" s="1862">
        <f>'Part IX Scoring Criteria'!K397</f>
        <v>0</v>
      </c>
      <c r="L1928" s="1937" t="s">
        <v>2438</v>
      </c>
      <c r="M1928" s="1862">
        <f>'Part IX Scoring Criteria'!M397</f>
        <v>0</v>
      </c>
      <c r="N1928" s="1862">
        <f>'Part IX Scoring Criteria'!N397</f>
        <v>0</v>
      </c>
      <c r="O1928" s="1862">
        <f>'Part IX Scoring Criteria'!O397</f>
        <v>0</v>
      </c>
      <c r="P1928" s="1862">
        <f>'Part IX Scoring Criteria'!P397</f>
        <v>0</v>
      </c>
      <c r="R1928" s="1942"/>
    </row>
    <row r="1929" spans="1:26" ht="15">
      <c r="A1929" s="1941"/>
      <c r="B1929" s="1944" t="s">
        <v>2439</v>
      </c>
      <c r="C1929" s="521" t="s">
        <v>2731</v>
      </c>
      <c r="D1929" s="1976"/>
      <c r="E1929" s="1976"/>
      <c r="F1929" s="1976"/>
      <c r="G1929" s="1976"/>
      <c r="H1929" s="1976"/>
      <c r="I1929" s="1944" t="s">
        <v>2439</v>
      </c>
      <c r="J1929" s="1862">
        <f>'Part IX Scoring Criteria'!J398</f>
        <v>0</v>
      </c>
      <c r="K1929" s="1862">
        <f>'Part IX Scoring Criteria'!K398</f>
        <v>0</v>
      </c>
      <c r="L1929" s="1944" t="s">
        <v>2439</v>
      </c>
      <c r="M1929" s="1862">
        <f>'Part IX Scoring Criteria'!M398</f>
        <v>0</v>
      </c>
      <c r="N1929" s="1862">
        <f>'Part IX Scoring Criteria'!N398</f>
        <v>0</v>
      </c>
      <c r="O1929" s="1862">
        <f>'Part IX Scoring Criteria'!O398</f>
        <v>0</v>
      </c>
      <c r="P1929" s="1862">
        <f>'Part IX Scoring Criteria'!P398</f>
        <v>0</v>
      </c>
      <c r="Q1929" s="1976"/>
      <c r="R1929" s="1942"/>
      <c r="S1929" s="1976"/>
      <c r="T1929" s="1976"/>
      <c r="U1929" s="1976"/>
      <c r="V1929" s="1976"/>
      <c r="W1929" s="1976"/>
      <c r="X1929" s="1976"/>
      <c r="Y1929" s="1976"/>
      <c r="Z1929" s="1976"/>
    </row>
    <row r="1930" spans="1:26">
      <c r="B1930" s="1937" t="s">
        <v>2455</v>
      </c>
      <c r="C1930" s="521" t="s">
        <v>1481</v>
      </c>
      <c r="I1930" s="1937" t="s">
        <v>2455</v>
      </c>
      <c r="J1930" s="1862">
        <f>'Part IX Scoring Criteria'!J399</f>
        <v>0</v>
      </c>
      <c r="K1930" s="1862">
        <f>'Part IX Scoring Criteria'!K399</f>
        <v>0</v>
      </c>
      <c r="L1930" s="1937" t="s">
        <v>2455</v>
      </c>
      <c r="M1930" s="1862">
        <f>'Part IX Scoring Criteria'!M399</f>
        <v>0</v>
      </c>
      <c r="N1930" s="1862">
        <f>'Part IX Scoring Criteria'!N399</f>
        <v>0</v>
      </c>
      <c r="O1930" s="1862">
        <f>'Part IX Scoring Criteria'!O399</f>
        <v>0</v>
      </c>
      <c r="P1930" s="1862">
        <f>'Part IX Scoring Criteria'!P399</f>
        <v>0</v>
      </c>
      <c r="R1930" s="1942"/>
    </row>
    <row r="1931" spans="1:26">
      <c r="A1931" s="1879"/>
      <c r="B1931" s="1937" t="s">
        <v>2456</v>
      </c>
      <c r="C1931" s="521" t="s">
        <v>3620</v>
      </c>
      <c r="I1931" s="1937" t="s">
        <v>2456</v>
      </c>
      <c r="J1931" s="1862">
        <f>'Part IX Scoring Criteria'!J400</f>
        <v>0</v>
      </c>
      <c r="K1931" s="1862">
        <f>'Part IX Scoring Criteria'!K400</f>
        <v>0</v>
      </c>
      <c r="L1931" s="1937" t="s">
        <v>2456</v>
      </c>
      <c r="M1931" s="1862">
        <f>'Part IX Scoring Criteria'!M400</f>
        <v>0</v>
      </c>
      <c r="N1931" s="1862">
        <f>'Part IX Scoring Criteria'!N400</f>
        <v>0</v>
      </c>
      <c r="O1931" s="1862">
        <f>'Part IX Scoring Criteria'!O400</f>
        <v>0</v>
      </c>
      <c r="P1931" s="1862">
        <f>'Part IX Scoring Criteria'!P400</f>
        <v>0</v>
      </c>
      <c r="R1931" s="1942"/>
    </row>
    <row r="1932" spans="1:26">
      <c r="A1932" s="1879"/>
      <c r="B1932" s="1937" t="s">
        <v>2457</v>
      </c>
      <c r="C1932" s="521" t="s">
        <v>4604</v>
      </c>
      <c r="I1932" s="1937" t="s">
        <v>2457</v>
      </c>
      <c r="J1932" s="1862">
        <f>'Part IX Scoring Criteria'!J401</f>
        <v>0</v>
      </c>
      <c r="K1932" s="1862">
        <f>'Part IX Scoring Criteria'!K401</f>
        <v>0</v>
      </c>
      <c r="L1932" s="1937" t="s">
        <v>2457</v>
      </c>
      <c r="M1932" s="1862">
        <f>'Part IX Scoring Criteria'!M401</f>
        <v>0</v>
      </c>
      <c r="N1932" s="1862">
        <f>'Part IX Scoring Criteria'!N401</f>
        <v>0</v>
      </c>
      <c r="O1932" s="1862">
        <f>'Part IX Scoring Criteria'!O401</f>
        <v>0</v>
      </c>
      <c r="P1932" s="1862">
        <f>'Part IX Scoring Criteria'!P401</f>
        <v>0</v>
      </c>
      <c r="R1932" s="1942"/>
    </row>
    <row r="1933" spans="1:26">
      <c r="B1933" s="1937" t="s">
        <v>2458</v>
      </c>
      <c r="C1933" s="521" t="s">
        <v>3621</v>
      </c>
      <c r="I1933" s="1937" t="s">
        <v>2458</v>
      </c>
      <c r="J1933" s="1862">
        <f>'Part IX Scoring Criteria'!J402</f>
        <v>0</v>
      </c>
      <c r="K1933" s="1862">
        <f>'Part IX Scoring Criteria'!K402</f>
        <v>0</v>
      </c>
      <c r="L1933" s="1937" t="s">
        <v>2458</v>
      </c>
      <c r="M1933" s="1862">
        <f>'Part IX Scoring Criteria'!M402</f>
        <v>0</v>
      </c>
      <c r="N1933" s="1862">
        <f>'Part IX Scoring Criteria'!N402</f>
        <v>0</v>
      </c>
      <c r="O1933" s="1862">
        <f>'Part IX Scoring Criteria'!O402</f>
        <v>0</v>
      </c>
      <c r="P1933" s="1862">
        <f>'Part IX Scoring Criteria'!P402</f>
        <v>0</v>
      </c>
      <c r="R1933" s="1942"/>
    </row>
    <row r="1934" spans="1:26">
      <c r="B1934" s="1937" t="s">
        <v>3623</v>
      </c>
      <c r="C1934" s="521" t="s">
        <v>4141</v>
      </c>
      <c r="I1934" s="1937" t="s">
        <v>3623</v>
      </c>
      <c r="J1934" s="1862">
        <f>'Part IX Scoring Criteria'!J403</f>
        <v>0</v>
      </c>
      <c r="K1934" s="1862">
        <f>'Part IX Scoring Criteria'!K403</f>
        <v>0</v>
      </c>
      <c r="L1934" s="1937" t="s">
        <v>3623</v>
      </c>
      <c r="M1934" s="1862">
        <f>'Part IX Scoring Criteria'!M403</f>
        <v>0</v>
      </c>
      <c r="N1934" s="1862">
        <f>'Part IX Scoring Criteria'!N403</f>
        <v>0</v>
      </c>
      <c r="O1934" s="1862">
        <f>'Part IX Scoring Criteria'!O403</f>
        <v>0</v>
      </c>
      <c r="P1934" s="1862">
        <f>'Part IX Scoring Criteria'!P403</f>
        <v>0</v>
      </c>
      <c r="R1934" s="1942"/>
    </row>
    <row r="1935" spans="1:26">
      <c r="A1935" s="1879"/>
      <c r="B1935" s="2098" t="s">
        <v>4605</v>
      </c>
      <c r="H1935" s="1929" t="s">
        <v>2628</v>
      </c>
      <c r="J1935" s="1862">
        <f>SUM(J1925:K1934)</f>
        <v>0</v>
      </c>
      <c r="K1935" s="1862"/>
      <c r="M1935" s="1862">
        <f>SUM($M1925:$M1934)</f>
        <v>0</v>
      </c>
      <c r="N1935" s="1862"/>
      <c r="O1935" s="1862"/>
      <c r="P1935" s="1862"/>
      <c r="R1935" s="1942"/>
    </row>
    <row r="1936" spans="1:26" ht="15">
      <c r="A1936" s="1631"/>
      <c r="B1936" s="1976"/>
      <c r="C1936" s="1976"/>
      <c r="D1936" s="521"/>
      <c r="E1936" s="521"/>
      <c r="F1936" s="1813"/>
      <c r="G1936" s="1741"/>
      <c r="H1936" s="1956"/>
      <c r="I1936" s="1976"/>
      <c r="J1936" s="1628"/>
      <c r="K1936" s="1628"/>
      <c r="L1936" s="1741"/>
      <c r="M1936" s="1628"/>
      <c r="N1936" s="1628"/>
      <c r="O1936" s="2099"/>
      <c r="P1936" s="1628"/>
      <c r="Q1936" s="1976"/>
      <c r="R1936" s="1976"/>
      <c r="S1936" s="1976"/>
      <c r="T1936" s="1976"/>
      <c r="U1936" s="1976"/>
      <c r="V1936" s="1976"/>
      <c r="W1936" s="1976"/>
      <c r="X1936" s="1976"/>
      <c r="Y1936" s="1976"/>
      <c r="Z1936" s="1976"/>
    </row>
    <row r="1937" spans="1:26">
      <c r="B1937" s="2097" t="s">
        <v>1988</v>
      </c>
      <c r="C1937" s="1848" t="s">
        <v>2627</v>
      </c>
      <c r="E1937" s="1841" t="s">
        <v>2629</v>
      </c>
      <c r="H1937" s="1924">
        <f>'Part IX Scoring Criteria'!I407</f>
        <v>0</v>
      </c>
      <c r="I1937" s="1633"/>
      <c r="J1937" s="1862">
        <f>'Part IV-A-Uses of Funds'!$G$132</f>
        <v>18093801</v>
      </c>
      <c r="K1937" s="1862"/>
      <c r="M1937" s="1628"/>
      <c r="N1937" s="1628"/>
      <c r="P1937" s="1628"/>
    </row>
    <row r="1938" spans="1:26" ht="12.75" customHeight="1">
      <c r="A1938" s="1887" t="s">
        <v>4606</v>
      </c>
      <c r="B1938" s="1887"/>
      <c r="C1938" s="1887"/>
      <c r="D1938" s="1887"/>
      <c r="E1938" s="1964" t="s">
        <v>2630</v>
      </c>
      <c r="H1938" s="2176">
        <f>'Part IX Scoring Criteria'!I408</f>
        <v>0</v>
      </c>
      <c r="I1938" s="1633"/>
      <c r="J1938" s="2100">
        <f>IF($J1937=0,0,$J1935/$J1937)</f>
        <v>0</v>
      </c>
      <c r="K1938" s="2100"/>
      <c r="M1938" s="2100">
        <f>IF($J1937=0,0,$M1935/$J1937)</f>
        <v>0</v>
      </c>
      <c r="N1938" s="2100"/>
      <c r="O1938" s="2100"/>
      <c r="P1938" s="2100"/>
    </row>
    <row r="1939" spans="1:26" ht="15">
      <c r="A1939" s="1887"/>
      <c r="B1939" s="1887"/>
      <c r="C1939" s="1887"/>
      <c r="D1939" s="1887"/>
      <c r="E1939" s="1955" t="s">
        <v>4246</v>
      </c>
      <c r="F1939" s="1976"/>
      <c r="G1939" s="1976"/>
      <c r="H1939" s="1924">
        <f>'Part IX Scoring Criteria'!I409</f>
        <v>0</v>
      </c>
      <c r="I1939" s="1633"/>
      <c r="J1939" s="1846">
        <f>IF(L1918="",IF(OR(AND($J1916="Flexible",$J1938&gt;=0.15),AND($J1916="Rural",$J1938&gt;=0.1)), 4,IF(AND($J1916="Flexible",$J1938&gt;=0.1), 3,IF(OR(AND($J1916="Flexible",$J1938&gt;=0.05),AND($J1916="Rural",$J1938&gt;=0.05)), 2,IF(OR(AND($J1916="Flexible",$J1938&gt;=0.02),AND($J1916="Rural",$J1938&gt;=0.02)),1,0)))),0)</f>
        <v>0</v>
      </c>
      <c r="K1939" s="1846"/>
      <c r="L1939" s="1820"/>
      <c r="M1939" s="1846">
        <f>IF(R1918="",IF(OR(AND($J1916="Flexible",$M1938&gt;=0.15),AND($J1916="Rural",$M1938&gt;=0.1)), 4,IF(AND($J1916="Flexible",$M1938&gt;=0.1), 3,IF(OR(AND($J1916="Flexible",$M1938&gt;=0.05),AND($J1916="Rural",$M1938&gt;=0.05)), 2,IF(OR(AND($J1916="Flexible",$M1938&gt;=0.02),AND($J1916="Rural",$M1938&gt;=0.02)),1,0)))),0)</f>
        <v>0</v>
      </c>
      <c r="N1939" s="1846"/>
      <c r="O1939" s="1846"/>
      <c r="P1939" s="1846"/>
      <c r="Q1939" s="1976"/>
      <c r="R1939" s="1976"/>
      <c r="S1939" s="1976"/>
      <c r="T1939" s="1976"/>
      <c r="U1939" s="1976"/>
      <c r="V1939" s="1976"/>
      <c r="W1939" s="1976"/>
      <c r="X1939" s="1976"/>
      <c r="Y1939" s="1976"/>
      <c r="Z1939" s="1976"/>
    </row>
    <row r="1940" spans="1:26">
      <c r="N1940" s="1637"/>
      <c r="O1940" s="1639"/>
      <c r="P1940" s="1639"/>
    </row>
    <row r="1941" spans="1:26" ht="18.75">
      <c r="A1941" s="1825" t="s">
        <v>1985</v>
      </c>
      <c r="B1941" s="1998" t="s">
        <v>3624</v>
      </c>
      <c r="C1941" s="1993"/>
      <c r="D1941" s="521"/>
      <c r="E1941" s="521"/>
      <c r="F1941" s="1813"/>
      <c r="G1941" s="1993"/>
      <c r="H1941" s="521"/>
      <c r="I1941" s="1813"/>
      <c r="J1941" s="1841"/>
      <c r="K1941" s="1841"/>
      <c r="L1941" s="1942" t="str">
        <f>IF(OR($O1941=$M1941,$O1941=0,$O1941=""),"","* * Check Score! * *")</f>
        <v/>
      </c>
      <c r="M1941" s="1633">
        <v>1</v>
      </c>
      <c r="N1941" s="1937" t="s">
        <v>1985</v>
      </c>
      <c r="O1941" s="1975">
        <f>'Part IX Scoring Criteria'!O411</f>
        <v>0</v>
      </c>
      <c r="P1941" s="1975">
        <f>'Part IX Scoring Criteria'!P411</f>
        <v>0</v>
      </c>
      <c r="Q1941" s="1813" t="s">
        <v>441</v>
      </c>
      <c r="R1941" s="2057" t="s">
        <v>2706</v>
      </c>
      <c r="S1941" s="1993"/>
      <c r="T1941" s="1993"/>
      <c r="U1941" s="1993"/>
      <c r="V1941" s="2043"/>
      <c r="W1941" s="2043"/>
      <c r="X1941" s="1993"/>
      <c r="Y1941" s="1993"/>
      <c r="Z1941" s="1993"/>
    </row>
    <row r="1942" spans="1:26" ht="18.75" customHeight="1">
      <c r="A1942" s="1825"/>
      <c r="B1942" s="1944" t="s">
        <v>2435</v>
      </c>
      <c r="C1942" s="1900" t="s">
        <v>4069</v>
      </c>
      <c r="D1942" s="1900"/>
      <c r="E1942" s="1900"/>
      <c r="F1942" s="1900"/>
      <c r="G1942" s="1900"/>
      <c r="H1942" s="1900"/>
      <c r="I1942" s="1900"/>
      <c r="J1942" s="1900"/>
      <c r="K1942" s="1900"/>
      <c r="L1942" s="1900"/>
      <c r="M1942" s="1900"/>
      <c r="N1942" s="1944" t="s">
        <v>2435</v>
      </c>
      <c r="O1942" s="1945">
        <f>'Part IX Scoring Criteria'!O412</f>
        <v>0</v>
      </c>
      <c r="P1942" s="1945">
        <f>'Part IX Scoring Criteria'!P412</f>
        <v>0</v>
      </c>
      <c r="Q1942" s="1976"/>
      <c r="R1942" s="1976"/>
      <c r="S1942" s="1976"/>
      <c r="T1942" s="1976"/>
      <c r="U1942" s="1976"/>
      <c r="V1942" s="2043"/>
      <c r="W1942" s="2043"/>
      <c r="X1942" s="1976"/>
      <c r="Y1942" s="1976"/>
      <c r="Z1942" s="1976"/>
    </row>
    <row r="1943" spans="1:26" ht="18.75">
      <c r="A1943" s="1825"/>
      <c r="B1943" s="1937" t="s">
        <v>2436</v>
      </c>
      <c r="C1943" s="521" t="s">
        <v>3803</v>
      </c>
      <c r="D1943" s="521"/>
      <c r="E1943" s="521"/>
      <c r="F1943" s="521"/>
      <c r="G1943" s="521"/>
      <c r="H1943" s="521"/>
      <c r="I1943" s="521"/>
      <c r="J1943" s="521"/>
      <c r="K1943" s="521"/>
      <c r="L1943" s="1976"/>
      <c r="M1943" s="521"/>
      <c r="N1943" s="1944" t="s">
        <v>2436</v>
      </c>
      <c r="O1943" s="1938">
        <f>'Part IX Scoring Criteria'!O413</f>
        <v>0</v>
      </c>
      <c r="P1943" s="1938">
        <f>'Part IX Scoring Criteria'!P413</f>
        <v>0</v>
      </c>
      <c r="Q1943" s="1976"/>
      <c r="R1943" s="1976"/>
      <c r="S1943" s="1976"/>
      <c r="T1943" s="1976"/>
      <c r="U1943" s="1976"/>
      <c r="V1943" s="2043"/>
      <c r="W1943" s="2043"/>
      <c r="X1943" s="1976"/>
      <c r="Y1943" s="1976"/>
      <c r="Z1943" s="1976"/>
    </row>
    <row r="1944" spans="1:26">
      <c r="B1944" s="1937" t="s">
        <v>2437</v>
      </c>
      <c r="C1944" s="1216" t="s">
        <v>4070</v>
      </c>
      <c r="N1944" s="1937" t="s">
        <v>2437</v>
      </c>
      <c r="O1944" s="1938">
        <f>'Part IX Scoring Criteria'!O414</f>
        <v>0</v>
      </c>
      <c r="P1944" s="1938">
        <f>'Part IX Scoring Criteria'!P414</f>
        <v>0</v>
      </c>
    </row>
    <row r="1945" spans="1:26">
      <c r="B1945" s="1994" t="s">
        <v>3757</v>
      </c>
      <c r="N1945" s="1637"/>
      <c r="O1945" s="1639"/>
      <c r="P1945" s="1639"/>
    </row>
    <row r="1946" spans="1:26" ht="15.75">
      <c r="A1946" s="1900">
        <f>'Part IX Scoring Criteria'!A416</f>
        <v>0</v>
      </c>
      <c r="B1946" s="1900">
        <f>'Part IX Scoring Criteria'!B416</f>
        <v>0</v>
      </c>
      <c r="C1946" s="1900">
        <f>'Part IX Scoring Criteria'!C416</f>
        <v>0</v>
      </c>
      <c r="D1946" s="1900">
        <f>'Part IX Scoring Criteria'!D416</f>
        <v>0</v>
      </c>
      <c r="E1946" s="1900">
        <f>'Part IX Scoring Criteria'!E416</f>
        <v>0</v>
      </c>
      <c r="F1946" s="1900">
        <f>'Part IX Scoring Criteria'!F416</f>
        <v>0</v>
      </c>
      <c r="G1946" s="1900">
        <f>'Part IX Scoring Criteria'!G416</f>
        <v>0</v>
      </c>
      <c r="H1946" s="1900">
        <f>'Part IX Scoring Criteria'!H416</f>
        <v>0</v>
      </c>
      <c r="I1946" s="1900">
        <f>'Part IX Scoring Criteria'!I416</f>
        <v>0</v>
      </c>
      <c r="J1946" s="1900">
        <f>'Part IX Scoring Criteria'!J416</f>
        <v>0</v>
      </c>
      <c r="K1946" s="1900">
        <f>'Part IX Scoring Criteria'!K416</f>
        <v>0</v>
      </c>
      <c r="L1946" s="1900">
        <f>'Part IX Scoring Criteria'!L416</f>
        <v>0</v>
      </c>
      <c r="M1946" s="1900">
        <f>'Part IX Scoring Criteria'!M416</f>
        <v>0</v>
      </c>
      <c r="N1946" s="1900">
        <f>'Part IX Scoring Criteria'!N416</f>
        <v>0</v>
      </c>
      <c r="O1946" s="1900">
        <f>'Part IX Scoring Criteria'!O416</f>
        <v>0</v>
      </c>
      <c r="P1946" s="1900">
        <f>'Part IX Scoring Criteria'!P416</f>
        <v>0</v>
      </c>
      <c r="Q1946" s="1984"/>
      <c r="R1946" s="1976"/>
      <c r="S1946" s="1976"/>
      <c r="T1946" s="1976"/>
      <c r="U1946" s="1976"/>
      <c r="V1946" s="1976"/>
      <c r="W1946" s="1976"/>
      <c r="X1946" s="1976"/>
      <c r="Y1946" s="1976"/>
      <c r="Z1946" s="1976"/>
    </row>
    <row r="1947" spans="1:26" ht="15">
      <c r="A1947" s="1631"/>
      <c r="B1947" s="1671" t="s">
        <v>1866</v>
      </c>
      <c r="C1947" s="1631"/>
      <c r="D1947" s="1866"/>
      <c r="E1947" s="1834"/>
      <c r="F1947" s="1834"/>
      <c r="G1947" s="1834"/>
      <c r="H1947" s="1834"/>
      <c r="I1947" s="1834"/>
      <c r="J1947" s="1834"/>
      <c r="K1947" s="1834"/>
      <c r="L1947" s="1834"/>
      <c r="M1947" s="1834"/>
      <c r="N1947" s="1923"/>
      <c r="O1947" s="1818"/>
      <c r="P1947" s="1813"/>
      <c r="Q1947" s="2006"/>
      <c r="R1947" s="1993"/>
      <c r="S1947" s="1993"/>
      <c r="T1947" s="1993"/>
      <c r="U1947" s="1993"/>
      <c r="V1947" s="1993"/>
      <c r="W1947" s="1993"/>
      <c r="X1947" s="1993"/>
      <c r="Y1947" s="1993"/>
      <c r="Z1947" s="1993"/>
    </row>
    <row r="1948" spans="1:26" ht="15.75">
      <c r="A1948" s="1900">
        <f>'Part IX Scoring Criteria'!A418</f>
        <v>0</v>
      </c>
      <c r="B1948" s="1900">
        <f>'Part IX Scoring Criteria'!B418</f>
        <v>0</v>
      </c>
      <c r="C1948" s="1900">
        <f>'Part IX Scoring Criteria'!C418</f>
        <v>0</v>
      </c>
      <c r="D1948" s="1900">
        <f>'Part IX Scoring Criteria'!D418</f>
        <v>0</v>
      </c>
      <c r="E1948" s="1900">
        <f>'Part IX Scoring Criteria'!E418</f>
        <v>0</v>
      </c>
      <c r="F1948" s="1900">
        <f>'Part IX Scoring Criteria'!F418</f>
        <v>0</v>
      </c>
      <c r="G1948" s="1900">
        <f>'Part IX Scoring Criteria'!G418</f>
        <v>0</v>
      </c>
      <c r="H1948" s="1900">
        <f>'Part IX Scoring Criteria'!H418</f>
        <v>0</v>
      </c>
      <c r="I1948" s="1900">
        <f>'Part IX Scoring Criteria'!I418</f>
        <v>0</v>
      </c>
      <c r="J1948" s="1900">
        <f>'Part IX Scoring Criteria'!J418</f>
        <v>0</v>
      </c>
      <c r="K1948" s="1900">
        <f>'Part IX Scoring Criteria'!K418</f>
        <v>0</v>
      </c>
      <c r="L1948" s="1900">
        <f>'Part IX Scoring Criteria'!L418</f>
        <v>0</v>
      </c>
      <c r="M1948" s="1900">
        <f>'Part IX Scoring Criteria'!M418</f>
        <v>0</v>
      </c>
      <c r="N1948" s="1900">
        <f>'Part IX Scoring Criteria'!N418</f>
        <v>0</v>
      </c>
      <c r="O1948" s="1900">
        <f>'Part IX Scoring Criteria'!O418</f>
        <v>0</v>
      </c>
      <c r="P1948" s="1900">
        <f>'Part IX Scoring Criteria'!P418</f>
        <v>0</v>
      </c>
      <c r="Q1948" s="1984"/>
      <c r="R1948" s="1976"/>
      <c r="S1948" s="1976"/>
      <c r="T1948" s="1976"/>
      <c r="U1948" s="1976"/>
      <c r="V1948" s="1976"/>
      <c r="W1948" s="1976"/>
      <c r="X1948" s="1976"/>
      <c r="Y1948" s="1976"/>
      <c r="Z1948" s="1976"/>
    </row>
    <row r="1949" spans="1:26" ht="15">
      <c r="A1949" s="1631"/>
      <c r="B1949" s="1631"/>
      <c r="C1949" s="1899"/>
      <c r="D1949" s="1899"/>
      <c r="E1949" s="1899"/>
      <c r="F1949" s="1899"/>
      <c r="G1949" s="1899"/>
      <c r="H1949" s="1899"/>
      <c r="I1949" s="1899"/>
      <c r="J1949" s="1899"/>
      <c r="K1949" s="1899"/>
      <c r="L1949" s="1899"/>
      <c r="M1949" s="1899"/>
      <c r="N1949" s="2011"/>
      <c r="O1949" s="1982"/>
      <c r="P1949" s="1813"/>
      <c r="Q1949" s="1976"/>
      <c r="R1949" s="1976"/>
      <c r="S1949" s="1976"/>
      <c r="T1949" s="1976"/>
      <c r="U1949" s="1976"/>
      <c r="V1949" s="1976"/>
      <c r="W1949" s="1976"/>
      <c r="X1949" s="1976"/>
      <c r="Y1949" s="1976"/>
      <c r="Z1949" s="1976"/>
    </row>
    <row r="1950" spans="1:26" ht="15">
      <c r="A1950" s="2094" t="s">
        <v>4103</v>
      </c>
      <c r="B1950" s="1976"/>
      <c r="C1950" s="1978" t="s">
        <v>2719</v>
      </c>
      <c r="D1950" s="1955"/>
      <c r="E1950" s="521"/>
      <c r="F1950" s="1976"/>
      <c r="G1950" s="1976"/>
      <c r="H1950" s="1976"/>
      <c r="I1950" s="1976"/>
      <c r="J1950" s="2026"/>
      <c r="K1950" s="1976"/>
      <c r="L1950" s="1976"/>
      <c r="M1950" s="1813">
        <v>3</v>
      </c>
      <c r="N1950" s="1630"/>
      <c r="O1950" s="1975" t="e">
        <f>'Part IX Scoring Criteria'!#REF!</f>
        <v>#REF!</v>
      </c>
      <c r="P1950" s="1813" t="e">
        <f>'Part IX Scoring Criteria'!#REF!</f>
        <v>#REF!</v>
      </c>
      <c r="Q1950" s="1813" t="s">
        <v>441</v>
      </c>
      <c r="R1950" s="1976"/>
      <c r="S1950" s="1976"/>
      <c r="T1950" s="1976"/>
      <c r="U1950" s="1976"/>
      <c r="V1950" s="1976"/>
      <c r="W1950" s="1976"/>
      <c r="X1950" s="1976"/>
      <c r="Y1950" s="1976"/>
      <c r="Z1950" s="1976"/>
    </row>
    <row r="1951" spans="1:26" ht="15">
      <c r="A1951" s="1825" t="s">
        <v>1983</v>
      </c>
      <c r="B1951" s="1820" t="s">
        <v>3650</v>
      </c>
      <c r="C1951" s="1976"/>
      <c r="D1951" s="1631"/>
      <c r="E1951" s="1631"/>
      <c r="F1951" s="1631"/>
      <c r="G1951" s="1976"/>
      <c r="H1951" s="1976"/>
      <c r="I1951" s="1976"/>
      <c r="J1951" s="1841" t="s">
        <v>3814</v>
      </c>
      <c r="K1951" s="1976"/>
      <c r="L1951" s="1874">
        <f>'Part VI-Revenues &amp; Expenses'!$O$67*0.1</f>
        <v>8.4</v>
      </c>
      <c r="M1951" s="1630">
        <v>2</v>
      </c>
      <c r="N1951" s="1937" t="s">
        <v>1983</v>
      </c>
      <c r="O1951" s="2070" t="e">
        <f>'Part IX Scoring Criteria'!#REF!</f>
        <v>#REF!</v>
      </c>
      <c r="P1951" s="2070" t="e">
        <f>'Part IX Scoring Criteria'!#REF!</f>
        <v>#REF!</v>
      </c>
      <c r="Q1951" s="1845"/>
      <c r="R1951" s="1813"/>
      <c r="S1951" s="1976"/>
      <c r="T1951" s="1976"/>
      <c r="U1951" s="1976"/>
      <c r="V1951" s="1976"/>
      <c r="W1951" s="1976"/>
      <c r="X1951" s="1976"/>
      <c r="Y1951" s="1976"/>
      <c r="Z1951" s="1976"/>
    </row>
    <row r="1952" spans="1:26" ht="15" customHeight="1">
      <c r="A1952" s="1936"/>
      <c r="B1952" s="2029" t="s">
        <v>1986</v>
      </c>
      <c r="C1952" s="1900" t="s">
        <v>3813</v>
      </c>
      <c r="D1952" s="1900"/>
      <c r="E1952" s="1900"/>
      <c r="F1952" s="1900"/>
      <c r="G1952" s="1900"/>
      <c r="H1952" s="1900"/>
      <c r="I1952" s="1900"/>
      <c r="J1952" s="1841" t="s">
        <v>3816</v>
      </c>
      <c r="K1952" s="1976"/>
      <c r="L1952" s="1874">
        <f>'Part VI-Revenues &amp; Expenses'!$O$63</f>
        <v>84</v>
      </c>
      <c r="M1952" s="1830" t="str">
        <f>IF(L1954&lt;L1953,"Check 1BR LI count!","")</f>
        <v/>
      </c>
      <c r="N1952" s="2001" t="s">
        <v>1986</v>
      </c>
      <c r="O1952" s="1945" t="e">
        <f>'Part IX Scoring Criteria'!#REF!</f>
        <v>#REF!</v>
      </c>
      <c r="P1952" s="1945" t="e">
        <f>'Part IX Scoring Criteria'!#REF!</f>
        <v>#REF!</v>
      </c>
      <c r="Q1952" s="2033"/>
      <c r="R1952" s="2034"/>
      <c r="S1952" s="2028"/>
      <c r="T1952" s="2028"/>
      <c r="U1952" s="2028"/>
      <c r="V1952" s="2028"/>
      <c r="W1952" s="2028"/>
      <c r="X1952" s="2028"/>
      <c r="Y1952" s="2028"/>
      <c r="Z1952" s="2028"/>
    </row>
    <row r="1953" spans="1:26" ht="15">
      <c r="A1953" s="1936"/>
      <c r="B1953" s="2029"/>
      <c r="C1953" s="1900"/>
      <c r="D1953" s="1900"/>
      <c r="E1953" s="1900"/>
      <c r="F1953" s="1900"/>
      <c r="G1953" s="1900"/>
      <c r="H1953" s="1900"/>
      <c r="I1953" s="1900"/>
      <c r="J1953" s="1841" t="s">
        <v>3817</v>
      </c>
      <c r="K1953" s="2028"/>
      <c r="L1953" s="1874">
        <f>L1952*0.1</f>
        <v>8.4</v>
      </c>
      <c r="M1953" s="1830"/>
      <c r="N1953" s="2001"/>
      <c r="O1953" s="2001"/>
      <c r="P1953" s="2001"/>
      <c r="Q1953" s="2033"/>
      <c r="R1953" s="2034"/>
      <c r="S1953" s="2028"/>
      <c r="T1953" s="2028"/>
      <c r="U1953" s="2028"/>
      <c r="V1953" s="2028"/>
      <c r="W1953" s="2028"/>
      <c r="X1953" s="2028"/>
      <c r="Y1953" s="2028"/>
      <c r="Z1953" s="2028"/>
    </row>
    <row r="1954" spans="1:26" ht="15">
      <c r="A1954" s="1936"/>
      <c r="B1954" s="2029"/>
      <c r="C1954" s="1900"/>
      <c r="D1954" s="1900"/>
      <c r="E1954" s="1900"/>
      <c r="F1954" s="1900"/>
      <c r="G1954" s="1900"/>
      <c r="H1954" s="1900"/>
      <c r="I1954" s="1900"/>
      <c r="J1954" s="1841" t="s">
        <v>3818</v>
      </c>
      <c r="K1954" s="2028"/>
      <c r="L1954" s="1874">
        <f>'Part VI-Revenues &amp; Expenses'!$K$63</f>
        <v>12</v>
      </c>
      <c r="M1954" s="1830"/>
      <c r="N1954" s="2001"/>
      <c r="O1954" s="2001"/>
      <c r="P1954" s="2001"/>
      <c r="Q1954" s="2033"/>
      <c r="R1954" s="2034"/>
      <c r="S1954" s="2028"/>
      <c r="T1954" s="2028"/>
      <c r="U1954" s="2028"/>
      <c r="V1954" s="2028"/>
      <c r="W1954" s="2028"/>
      <c r="X1954" s="2028"/>
      <c r="Y1954" s="2028"/>
      <c r="Z1954" s="2028"/>
    </row>
    <row r="1955" spans="1:26" ht="12.75" customHeight="1">
      <c r="A1955" s="1860"/>
      <c r="B1955" s="2029" t="s">
        <v>1988</v>
      </c>
      <c r="C1955" s="1900" t="s">
        <v>3394</v>
      </c>
      <c r="D1955" s="1900"/>
      <c r="E1955" s="1900"/>
      <c r="F1955" s="1900"/>
      <c r="G1955" s="1900"/>
      <c r="H1955" s="1900"/>
      <c r="I1955" s="1900"/>
      <c r="J1955" s="1900"/>
      <c r="K1955" s="1900"/>
      <c r="L1955" s="1900"/>
      <c r="M1955" s="1900"/>
      <c r="N1955" s="2001" t="s">
        <v>1988</v>
      </c>
      <c r="O1955" s="1938" t="e">
        <f>'Part IX Scoring Criteria'!#REF!</f>
        <v>#REF!</v>
      </c>
      <c r="P1955" s="1938" t="e">
        <f>'Part IX Scoring Criteria'!#REF!</f>
        <v>#REF!</v>
      </c>
      <c r="Q1955" s="1921"/>
      <c r="R1955" s="1921"/>
      <c r="S1955" s="1921"/>
      <c r="T1955" s="1921"/>
      <c r="U1955" s="1921"/>
      <c r="V1955" s="1921"/>
      <c r="W1955" s="1921"/>
      <c r="X1955" s="1921"/>
      <c r="Y1955" s="1921"/>
      <c r="Z1955" s="1921"/>
    </row>
    <row r="1956" spans="1:26" ht="12.75" customHeight="1">
      <c r="A1956" s="1860"/>
      <c r="B1956" s="2029" t="s">
        <v>2534</v>
      </c>
      <c r="C1956" s="1900" t="s">
        <v>3815</v>
      </c>
      <c r="D1956" s="1900"/>
      <c r="E1956" s="1900"/>
      <c r="F1956" s="1900"/>
      <c r="G1956" s="1900"/>
      <c r="H1956" s="1900"/>
      <c r="I1956" s="1900"/>
      <c r="J1956" s="1900"/>
      <c r="K1956" s="1900"/>
      <c r="L1956" s="1900"/>
      <c r="M1956" s="1900"/>
      <c r="N1956" s="2001" t="s">
        <v>2534</v>
      </c>
      <c r="O1956" s="1938" t="e">
        <f>'Part IX Scoring Criteria'!#REF!</f>
        <v>#REF!</v>
      </c>
      <c r="P1956" s="1938" t="e">
        <f>'Part IX Scoring Criteria'!#REF!</f>
        <v>#REF!</v>
      </c>
      <c r="Q1956" s="1921"/>
      <c r="R1956" s="1921"/>
      <c r="S1956" s="1921"/>
      <c r="T1956" s="1921"/>
      <c r="U1956" s="1921"/>
      <c r="V1956" s="1921"/>
      <c r="W1956" s="1921"/>
      <c r="X1956" s="1921"/>
      <c r="Y1956" s="1921"/>
      <c r="Z1956" s="1921"/>
    </row>
    <row r="1957" spans="1:26" ht="12.75" customHeight="1">
      <c r="A1957" s="1860"/>
      <c r="B1957" s="2029" t="s">
        <v>1224</v>
      </c>
      <c r="C1957" s="1900" t="s">
        <v>3812</v>
      </c>
      <c r="D1957" s="1900"/>
      <c r="E1957" s="1900"/>
      <c r="F1957" s="1900"/>
      <c r="G1957" s="1900"/>
      <c r="H1957" s="1900"/>
      <c r="I1957" s="1900"/>
      <c r="J1957" s="1900"/>
      <c r="K1957" s="1900"/>
      <c r="L1957" s="1900"/>
      <c r="M1957" s="1900"/>
      <c r="N1957" s="2001" t="s">
        <v>1224</v>
      </c>
      <c r="O1957" s="1938" t="e">
        <f>'Part IX Scoring Criteria'!#REF!</f>
        <v>#REF!</v>
      </c>
      <c r="P1957" s="1938" t="e">
        <f>'Part IX Scoring Criteria'!#REF!</f>
        <v>#REF!</v>
      </c>
      <c r="Q1957" s="1921"/>
      <c r="R1957" s="1921"/>
      <c r="S1957" s="1921"/>
      <c r="T1957" s="1921"/>
      <c r="U1957" s="1921"/>
      <c r="V1957" s="1921"/>
      <c r="W1957" s="1921"/>
      <c r="X1957" s="1921"/>
      <c r="Y1957" s="1921"/>
      <c r="Z1957" s="1921"/>
    </row>
    <row r="1958" spans="1:26">
      <c r="A1958" s="1921"/>
      <c r="B1958" s="2021"/>
      <c r="C1958" s="2048"/>
      <c r="D1958" s="2048"/>
      <c r="E1958" s="2048"/>
      <c r="F1958" s="2048"/>
      <c r="G1958" s="2048"/>
      <c r="H1958" s="2048"/>
      <c r="I1958" s="1921"/>
      <c r="J1958" s="1921"/>
      <c r="K1958" s="1921"/>
      <c r="L1958" s="1921"/>
      <c r="M1958" s="2048"/>
      <c r="N1958" s="2048"/>
      <c r="O1958" s="2048"/>
      <c r="P1958" s="2048"/>
      <c r="Q1958" s="1921"/>
      <c r="R1958" s="1921"/>
      <c r="S1958" s="1921"/>
      <c r="T1958" s="1921"/>
      <c r="U1958" s="1921"/>
      <c r="V1958" s="1921"/>
      <c r="W1958" s="1921"/>
      <c r="X1958" s="1921"/>
      <c r="Y1958" s="1921"/>
      <c r="Z1958" s="1921"/>
    </row>
    <row r="1959" spans="1:26" ht="15">
      <c r="A1959" s="1825" t="s">
        <v>1985</v>
      </c>
      <c r="B1959" s="1820" t="s">
        <v>2720</v>
      </c>
      <c r="C1959" s="1976"/>
      <c r="D1959" s="1841"/>
      <c r="E1959" s="1976"/>
      <c r="F1959" s="1976"/>
      <c r="G1959" s="521"/>
      <c r="H1959" s="1976"/>
      <c r="I1959" s="1976"/>
      <c r="J1959" s="1976"/>
      <c r="K1959" s="1976"/>
      <c r="L1959" s="1976"/>
      <c r="M1959" s="1630">
        <v>3</v>
      </c>
      <c r="N1959" s="1937" t="s">
        <v>1985</v>
      </c>
      <c r="O1959" s="2070" t="e">
        <f>'Part IX Scoring Criteria'!#REF!</f>
        <v>#REF!</v>
      </c>
      <c r="P1959" s="2070" t="e">
        <f>'Part IX Scoring Criteria'!#REF!</f>
        <v>#REF!</v>
      </c>
      <c r="Q1959" s="1845"/>
      <c r="R1959" s="1942"/>
      <c r="S1959" s="1976"/>
      <c r="T1959" s="1976"/>
      <c r="U1959" s="1976"/>
      <c r="V1959" s="1976"/>
      <c r="W1959" s="1976"/>
      <c r="X1959" s="1976"/>
      <c r="Y1959" s="1976"/>
      <c r="Z1959" s="1976"/>
    </row>
    <row r="1960" spans="1:26" ht="15" customHeight="1">
      <c r="A1960" s="1936"/>
      <c r="B1960" s="2029" t="s">
        <v>1986</v>
      </c>
      <c r="C1960" s="1900" t="s">
        <v>3834</v>
      </c>
      <c r="D1960" s="1900"/>
      <c r="E1960" s="1900"/>
      <c r="F1960" s="1900"/>
      <c r="G1960" s="1900"/>
      <c r="H1960" s="1900"/>
      <c r="I1960" s="1900"/>
      <c r="J1960" s="1900"/>
      <c r="K1960" s="1900"/>
      <c r="L1960" s="1900"/>
      <c r="M1960" s="1900"/>
      <c r="N1960" s="2001" t="s">
        <v>1986</v>
      </c>
      <c r="O1960" s="1945" t="e">
        <f>'Part IX Scoring Criteria'!#REF!</f>
        <v>#REF!</v>
      </c>
      <c r="P1960" s="1945" t="e">
        <f>'Part IX Scoring Criteria'!#REF!</f>
        <v>#REF!</v>
      </c>
      <c r="Q1960" s="2033"/>
      <c r="R1960" s="2034"/>
      <c r="S1960" s="2028"/>
      <c r="T1960" s="2028"/>
      <c r="U1960" s="2028"/>
      <c r="V1960" s="2028"/>
      <c r="W1960" s="2028"/>
      <c r="X1960" s="2028"/>
      <c r="Y1960" s="2028"/>
      <c r="Z1960" s="2028"/>
    </row>
    <row r="1961" spans="1:26" ht="15">
      <c r="A1961" s="1936"/>
      <c r="B1961" s="2029"/>
      <c r="C1961" s="1952" t="s">
        <v>3655</v>
      </c>
      <c r="D1961" s="1899"/>
      <c r="E1961" s="1899"/>
      <c r="F1961" s="1899"/>
      <c r="G1961" s="1890" t="e">
        <f>'Part IX Scoring Criteria'!#REF!</f>
        <v>#REF!</v>
      </c>
      <c r="H1961" s="1890" t="e">
        <f>'Part IX Scoring Criteria'!#REF!</f>
        <v>#REF!</v>
      </c>
      <c r="I1961" s="1890" t="e">
        <f>'Part IX Scoring Criteria'!#REF!</f>
        <v>#REF!</v>
      </c>
      <c r="J1961" s="2101" t="s">
        <v>3656</v>
      </c>
      <c r="K1961" s="2028"/>
      <c r="L1961" s="2177" t="e">
        <f>'Part IX Scoring Criteria'!#REF!</f>
        <v>#REF!</v>
      </c>
      <c r="M1961" s="1900"/>
      <c r="N1961" s="2001"/>
      <c r="O1961" s="2001"/>
      <c r="P1961" s="2001"/>
      <c r="Q1961" s="2033"/>
      <c r="R1961" s="2034"/>
      <c r="S1961" s="2028"/>
      <c r="T1961" s="2028"/>
      <c r="U1961" s="2028"/>
      <c r="V1961" s="2028"/>
      <c r="W1961" s="2028"/>
      <c r="X1961" s="2028"/>
      <c r="Y1961" s="2028"/>
      <c r="Z1961" s="2028"/>
    </row>
    <row r="1962" spans="1:26">
      <c r="A1962" s="1860"/>
      <c r="B1962" s="2029" t="s">
        <v>1988</v>
      </c>
      <c r="C1962" s="1921" t="s">
        <v>3395</v>
      </c>
      <c r="D1962" s="1921"/>
      <c r="E1962" s="1921"/>
      <c r="F1962" s="1921"/>
      <c r="G1962" s="1921"/>
      <c r="H1962" s="1921"/>
      <c r="I1962" s="1921"/>
      <c r="J1962" s="1921" t="s">
        <v>3654</v>
      </c>
      <c r="K1962" s="1921"/>
      <c r="L1962" s="1874">
        <v>0</v>
      </c>
      <c r="M1962" s="2102">
        <f>IF('Part VI-Revenues &amp; Expenses'!$O$67=0,0,L1962/'Part VI-Revenues &amp; Expenses'!$O$67)</f>
        <v>0</v>
      </c>
      <c r="N1962" s="2001" t="s">
        <v>1988</v>
      </c>
      <c r="O1962" s="1945" t="e">
        <f>'Part IX Scoring Criteria'!#REF!</f>
        <v>#REF!</v>
      </c>
      <c r="P1962" s="1945" t="e">
        <f>'Part IX Scoring Criteria'!#REF!</f>
        <v>#REF!</v>
      </c>
      <c r="Q1962" s="1921"/>
      <c r="R1962" s="1921"/>
      <c r="S1962" s="1921"/>
      <c r="T1962" s="1921"/>
      <c r="U1962" s="1921"/>
      <c r="V1962" s="1921"/>
      <c r="W1962" s="1921"/>
      <c r="X1962" s="1921"/>
      <c r="Y1962" s="1921"/>
      <c r="Z1962" s="1921"/>
    </row>
    <row r="1963" spans="1:26" ht="15">
      <c r="A1963" s="1631"/>
      <c r="B1963" s="1994" t="s">
        <v>3757</v>
      </c>
      <c r="C1963" s="1631"/>
      <c r="D1963" s="1634"/>
      <c r="E1963" s="1634"/>
      <c r="F1963" s="1634"/>
      <c r="G1963" s="1634"/>
      <c r="H1963" s="521"/>
      <c r="I1963" s="521"/>
      <c r="J1963" s="521"/>
      <c r="K1963" s="521"/>
      <c r="L1963" s="1976"/>
      <c r="M1963" s="1630"/>
      <c r="N1963" s="1637"/>
      <c r="O1963" s="1975"/>
      <c r="P1963" s="1639"/>
      <c r="Q1963" s="1976"/>
      <c r="R1963" s="1976"/>
      <c r="S1963" s="1976"/>
      <c r="T1963" s="1976"/>
      <c r="U1963" s="1976"/>
      <c r="V1963" s="1976"/>
      <c r="W1963" s="1976"/>
      <c r="X1963" s="1976"/>
      <c r="Y1963" s="1976"/>
      <c r="Z1963" s="1976"/>
    </row>
    <row r="1964" spans="1:26" ht="15.75">
      <c r="A1964" s="1900" t="e">
        <f>'Part IX Scoring Criteria'!#REF!</f>
        <v>#REF!</v>
      </c>
      <c r="B1964" s="1900" t="e">
        <f>'Part IX Scoring Criteria'!#REF!</f>
        <v>#REF!</v>
      </c>
      <c r="C1964" s="1900" t="e">
        <f>'Part IX Scoring Criteria'!#REF!</f>
        <v>#REF!</v>
      </c>
      <c r="D1964" s="1900" t="e">
        <f>'Part IX Scoring Criteria'!#REF!</f>
        <v>#REF!</v>
      </c>
      <c r="E1964" s="1900" t="e">
        <f>'Part IX Scoring Criteria'!#REF!</f>
        <v>#REF!</v>
      </c>
      <c r="F1964" s="1900" t="e">
        <f>'Part IX Scoring Criteria'!#REF!</f>
        <v>#REF!</v>
      </c>
      <c r="G1964" s="1900" t="e">
        <f>'Part IX Scoring Criteria'!#REF!</f>
        <v>#REF!</v>
      </c>
      <c r="H1964" s="1900" t="e">
        <f>'Part IX Scoring Criteria'!#REF!</f>
        <v>#REF!</v>
      </c>
      <c r="I1964" s="1900" t="e">
        <f>'Part IX Scoring Criteria'!#REF!</f>
        <v>#REF!</v>
      </c>
      <c r="J1964" s="1900" t="e">
        <f>'Part IX Scoring Criteria'!#REF!</f>
        <v>#REF!</v>
      </c>
      <c r="K1964" s="1900" t="e">
        <f>'Part IX Scoring Criteria'!#REF!</f>
        <v>#REF!</v>
      </c>
      <c r="L1964" s="1900" t="e">
        <f>'Part IX Scoring Criteria'!#REF!</f>
        <v>#REF!</v>
      </c>
      <c r="M1964" s="1900" t="e">
        <f>'Part IX Scoring Criteria'!#REF!</f>
        <v>#REF!</v>
      </c>
      <c r="N1964" s="1900" t="e">
        <f>'Part IX Scoring Criteria'!#REF!</f>
        <v>#REF!</v>
      </c>
      <c r="O1964" s="1900" t="e">
        <f>'Part IX Scoring Criteria'!#REF!</f>
        <v>#REF!</v>
      </c>
      <c r="P1964" s="1900" t="e">
        <f>'Part IX Scoring Criteria'!#REF!</f>
        <v>#REF!</v>
      </c>
      <c r="Q1964" s="1984"/>
      <c r="R1964" s="1984"/>
      <c r="S1964" s="1976"/>
      <c r="T1964" s="1976"/>
      <c r="U1964" s="1976"/>
      <c r="V1964" s="1976"/>
      <c r="W1964" s="1976"/>
      <c r="X1964" s="1976"/>
      <c r="Y1964" s="1976"/>
      <c r="Z1964" s="1976"/>
    </row>
    <row r="1965" spans="1:26" ht="15">
      <c r="A1965" s="1976"/>
      <c r="B1965" s="1897" t="s">
        <v>1866</v>
      </c>
      <c r="C1965" s="1631"/>
      <c r="D1965" s="1897"/>
      <c r="E1965" s="1899"/>
      <c r="F1965" s="1899"/>
      <c r="G1965" s="1899"/>
      <c r="H1965" s="1899"/>
      <c r="I1965" s="1899"/>
      <c r="J1965" s="1899"/>
      <c r="K1965" s="1899"/>
      <c r="L1965" s="1899"/>
      <c r="M1965" s="1899"/>
      <c r="N1965" s="2011"/>
      <c r="O1965" s="1982"/>
      <c r="P1965" s="1813"/>
      <c r="Q1965" s="2006"/>
      <c r="R1965" s="1976"/>
      <c r="S1965" s="1976"/>
      <c r="T1965" s="1976"/>
      <c r="U1965" s="1976"/>
      <c r="V1965" s="1976"/>
      <c r="W1965" s="1976"/>
      <c r="X1965" s="1976"/>
      <c r="Y1965" s="1976"/>
      <c r="Z1965" s="1976"/>
    </row>
    <row r="1966" spans="1:26" ht="15.75">
      <c r="A1966" s="1900" t="e">
        <f>'Part IX Scoring Criteria'!#REF!</f>
        <v>#REF!</v>
      </c>
      <c r="B1966" s="1900" t="e">
        <f>'Part IX Scoring Criteria'!#REF!</f>
        <v>#REF!</v>
      </c>
      <c r="C1966" s="1900" t="e">
        <f>'Part IX Scoring Criteria'!#REF!</f>
        <v>#REF!</v>
      </c>
      <c r="D1966" s="1900" t="e">
        <f>'Part IX Scoring Criteria'!#REF!</f>
        <v>#REF!</v>
      </c>
      <c r="E1966" s="1900" t="e">
        <f>'Part IX Scoring Criteria'!#REF!</f>
        <v>#REF!</v>
      </c>
      <c r="F1966" s="1900" t="e">
        <f>'Part IX Scoring Criteria'!#REF!</f>
        <v>#REF!</v>
      </c>
      <c r="G1966" s="1900" t="e">
        <f>'Part IX Scoring Criteria'!#REF!</f>
        <v>#REF!</v>
      </c>
      <c r="H1966" s="1900" t="e">
        <f>'Part IX Scoring Criteria'!#REF!</f>
        <v>#REF!</v>
      </c>
      <c r="I1966" s="1900" t="e">
        <f>'Part IX Scoring Criteria'!#REF!</f>
        <v>#REF!</v>
      </c>
      <c r="J1966" s="1900" t="e">
        <f>'Part IX Scoring Criteria'!#REF!</f>
        <v>#REF!</v>
      </c>
      <c r="K1966" s="1900" t="e">
        <f>'Part IX Scoring Criteria'!#REF!</f>
        <v>#REF!</v>
      </c>
      <c r="L1966" s="1900" t="e">
        <f>'Part IX Scoring Criteria'!#REF!</f>
        <v>#REF!</v>
      </c>
      <c r="M1966" s="1900" t="e">
        <f>'Part IX Scoring Criteria'!#REF!</f>
        <v>#REF!</v>
      </c>
      <c r="N1966" s="1900" t="e">
        <f>'Part IX Scoring Criteria'!#REF!</f>
        <v>#REF!</v>
      </c>
      <c r="O1966" s="1900" t="e">
        <f>'Part IX Scoring Criteria'!#REF!</f>
        <v>#REF!</v>
      </c>
      <c r="P1966" s="1900" t="e">
        <f>'Part IX Scoring Criteria'!#REF!</f>
        <v>#REF!</v>
      </c>
      <c r="Q1966" s="1984"/>
      <c r="R1966" s="1976"/>
      <c r="S1966" s="1976"/>
      <c r="T1966" s="1976"/>
      <c r="U1966" s="1976"/>
      <c r="V1966" s="1976"/>
      <c r="W1966" s="1976"/>
      <c r="X1966" s="1976"/>
      <c r="Y1966" s="1976"/>
      <c r="Z1966" s="1976"/>
    </row>
    <row r="1967" spans="1:26" ht="15">
      <c r="A1967" s="1631"/>
      <c r="B1967" s="1631"/>
      <c r="C1967" s="1899"/>
      <c r="D1967" s="1899"/>
      <c r="E1967" s="1899"/>
      <c r="F1967" s="1899"/>
      <c r="G1967" s="1899"/>
      <c r="H1967" s="1899"/>
      <c r="I1967" s="1899"/>
      <c r="J1967" s="1899"/>
      <c r="K1967" s="1899"/>
      <c r="L1967" s="1899"/>
      <c r="M1967" s="1899"/>
      <c r="N1967" s="2011"/>
      <c r="O1967" s="1982"/>
      <c r="P1967" s="1813"/>
      <c r="Q1967" s="1976"/>
      <c r="R1967" s="1976"/>
      <c r="S1967" s="1976"/>
      <c r="T1967" s="1976"/>
      <c r="U1967" s="1976"/>
      <c r="V1967" s="1976"/>
      <c r="W1967" s="1976"/>
      <c r="X1967" s="1976"/>
      <c r="Y1967" s="1976"/>
      <c r="Z1967" s="1976"/>
    </row>
    <row r="1968" spans="1:26" ht="15">
      <c r="A1968" s="1977" t="s">
        <v>4106</v>
      </c>
      <c r="B1968" s="1978" t="s">
        <v>2721</v>
      </c>
      <c r="C1968" s="1976"/>
      <c r="D1968" s="1841"/>
      <c r="E1968" s="1976"/>
      <c r="F1968" s="1976"/>
      <c r="G1968" s="2026" t="s">
        <v>3391</v>
      </c>
      <c r="H1968" s="1976"/>
      <c r="I1968" s="1976"/>
      <c r="J1968" s="521" t="s">
        <v>3397</v>
      </c>
      <c r="K1968" s="1993"/>
      <c r="L1968" s="1875">
        <f>'Part VI-Revenues &amp; Expenses'!$O$113</f>
        <v>0</v>
      </c>
      <c r="M1968" s="1813">
        <v>1</v>
      </c>
      <c r="N1968" s="1937"/>
      <c r="O1968" s="1813">
        <f>'Part IX Scoring Criteria'!O420</f>
        <v>0</v>
      </c>
      <c r="P1968" s="1813">
        <f>'Part IX Scoring Criteria'!P420</f>
        <v>0</v>
      </c>
      <c r="Q1968" s="1813" t="s">
        <v>441</v>
      </c>
      <c r="R1968" s="1942" t="str">
        <f>IF(OR($O1972=$M1968,$O1972=0,$O1972=""),"","* * Check Score! * *")</f>
        <v/>
      </c>
      <c r="S1968" s="1976"/>
      <c r="T1968" s="1976"/>
      <c r="U1968" s="1976"/>
      <c r="V1968" s="1976"/>
      <c r="W1968" s="1976"/>
      <c r="X1968" s="1976"/>
      <c r="Y1968" s="1976"/>
      <c r="Z1968" s="1976"/>
    </row>
    <row r="1969" spans="1:26" ht="15">
      <c r="A1969" s="2028"/>
      <c r="B1969" s="2029"/>
      <c r="C1969" s="2028"/>
      <c r="D1969" s="2028"/>
      <c r="E1969" s="2028"/>
      <c r="F1969" s="1948"/>
      <c r="G1969" s="1812"/>
      <c r="H1969" s="2028"/>
      <c r="I1969" s="2028"/>
      <c r="J1969" s="2028"/>
      <c r="K1969" s="2028"/>
      <c r="L1969" s="2028"/>
      <c r="M1969" s="2030"/>
      <c r="N1969" s="2030"/>
      <c r="O1969" s="2030"/>
      <c r="P1969" s="2030"/>
      <c r="Q1969" s="1652"/>
      <c r="R1969" s="2028"/>
      <c r="S1969" s="2028"/>
      <c r="T1969" s="2028"/>
      <c r="U1969" s="2028"/>
      <c r="V1969" s="2028"/>
      <c r="W1969" s="2028"/>
      <c r="X1969" s="2028"/>
      <c r="Y1969" s="2028"/>
      <c r="Z1969" s="2028"/>
    </row>
    <row r="1970" spans="1:26" ht="15">
      <c r="A1970" s="2094"/>
      <c r="B1970" s="2044" t="s">
        <v>3462</v>
      </c>
      <c r="C1970" s="2028"/>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21" t="s">
        <v>2832</v>
      </c>
      <c r="K1970" s="2028"/>
      <c r="L1970" s="1875">
        <f>'Part III-Sources of Funds'!$I$51</f>
        <v>0</v>
      </c>
      <c r="M1970" s="2030"/>
      <c r="N1970" s="2030"/>
      <c r="O1970" s="2030"/>
      <c r="P1970" s="2030"/>
      <c r="Q1970" s="1652"/>
      <c r="R1970" s="2028"/>
      <c r="S1970" s="2028"/>
      <c r="T1970" s="2028"/>
      <c r="U1970" s="2028"/>
      <c r="V1970" s="2028"/>
      <c r="W1970" s="2028"/>
      <c r="X1970" s="2028"/>
      <c r="Y1970" s="2028"/>
      <c r="Z1970" s="2028"/>
    </row>
    <row r="1971" spans="1:26" ht="15">
      <c r="A1971" s="2028"/>
      <c r="B1971" s="2029"/>
      <c r="C1971" s="2028"/>
      <c r="D1971" s="2028"/>
      <c r="E1971" s="2028"/>
      <c r="F1971" s="2028"/>
      <c r="G1971" s="2028"/>
      <c r="H1971" s="2028"/>
      <c r="I1971" s="2028"/>
      <c r="J1971" s="2028"/>
      <c r="K1971" s="2028"/>
      <c r="L1971" s="2028"/>
      <c r="M1971" s="2030"/>
      <c r="N1971" s="2030"/>
      <c r="O1971" s="2030"/>
      <c r="P1971" s="2030"/>
      <c r="Q1971" s="1652"/>
      <c r="R1971" s="2028"/>
      <c r="S1971" s="2028"/>
      <c r="T1971" s="2028"/>
      <c r="U1971" s="2028"/>
      <c r="V1971" s="2028"/>
      <c r="W1971" s="2028"/>
      <c r="X1971" s="2028"/>
      <c r="Y1971" s="2028"/>
      <c r="Z1971" s="2028"/>
    </row>
    <row r="1972" spans="1:26" ht="15">
      <c r="A1972" s="2103" t="s">
        <v>1983</v>
      </c>
      <c r="B1972" s="1894" t="s">
        <v>4607</v>
      </c>
      <c r="C1972" s="1921"/>
      <c r="D1972" s="1921"/>
      <c r="E1972" s="1921"/>
      <c r="F1972" s="1921"/>
      <c r="G1972" s="1921"/>
      <c r="H1972" s="1921"/>
      <c r="I1972" s="1921"/>
      <c r="J1972" s="2028"/>
      <c r="K1972" s="2028"/>
      <c r="L1972" s="2028"/>
      <c r="M1972" s="2030">
        <v>1</v>
      </c>
      <c r="N1972" s="1944" t="s">
        <v>1983</v>
      </c>
      <c r="O1972" s="1975">
        <f>'Part IX Scoring Criteria'!O424</f>
        <v>0</v>
      </c>
      <c r="P1972" s="1975">
        <f>'Part IX Scoring Criteria'!P424</f>
        <v>0</v>
      </c>
      <c r="Q1972" s="2015" t="str">
        <f>IF(OR($O1972=$M1972,$O1972=0,$O1972=""),"","*CHECK!*")</f>
        <v/>
      </c>
      <c r="R1972" s="2057" t="s">
        <v>2706</v>
      </c>
      <c r="S1972" s="2028"/>
      <c r="T1972" s="2028"/>
      <c r="U1972" s="2028"/>
      <c r="V1972" s="2028"/>
      <c r="W1972" s="2028"/>
      <c r="X1972" s="2028"/>
      <c r="Y1972" s="2028"/>
      <c r="Z1972" s="2028"/>
    </row>
    <row r="1973" spans="1:26" ht="15" customHeight="1">
      <c r="A1973" s="2033"/>
      <c r="B1973" s="1867" t="s">
        <v>4198</v>
      </c>
      <c r="C1973" s="1867"/>
      <c r="D1973" s="1867"/>
      <c r="E1973" s="1867"/>
      <c r="F1973" s="1867"/>
      <c r="G1973" s="1867"/>
      <c r="H1973" s="1867"/>
      <c r="I1973" s="1867"/>
      <c r="J1973" s="1867"/>
      <c r="K1973" s="1867"/>
      <c r="L1973" s="1867"/>
      <c r="M1973" s="1900" t="s">
        <v>4608</v>
      </c>
      <c r="N1973" s="1900"/>
      <c r="O1973" s="2028"/>
      <c r="P1973" s="2028"/>
      <c r="Q1973" s="1652"/>
      <c r="R1973" s="2028"/>
      <c r="S1973" s="2028"/>
      <c r="T1973" s="2028"/>
      <c r="U1973" s="2028"/>
      <c r="V1973" s="2028"/>
      <c r="W1973" s="2028"/>
      <c r="X1973" s="2028"/>
      <c r="Y1973" s="2028"/>
      <c r="Z1973" s="2028"/>
    </row>
    <row r="1974" spans="1:26" ht="15">
      <c r="A1974" s="2028"/>
      <c r="B1974" s="1867"/>
      <c r="C1974" s="1867"/>
      <c r="D1974" s="1867"/>
      <c r="E1974" s="1867"/>
      <c r="F1974" s="1867"/>
      <c r="G1974" s="1867"/>
      <c r="H1974" s="1867"/>
      <c r="I1974" s="1867"/>
      <c r="J1974" s="1867"/>
      <c r="K1974" s="1867"/>
      <c r="L1974" s="1867"/>
      <c r="M1974" s="1900"/>
      <c r="N1974" s="1900"/>
      <c r="O1974" s="2104">
        <f>'Part VI-Revenues &amp; Expenses'!$O$111</f>
        <v>0</v>
      </c>
      <c r="P1974" s="2104"/>
      <c r="Q1974" s="1652"/>
      <c r="R1974" s="2028"/>
      <c r="S1974" s="2028"/>
      <c r="T1974" s="2028"/>
      <c r="U1974" s="2028"/>
      <c r="V1974" s="2028"/>
      <c r="W1974" s="2028"/>
      <c r="X1974" s="2028"/>
      <c r="Y1974" s="2028"/>
      <c r="Z1974" s="2028"/>
    </row>
    <row r="1975" spans="1:26" ht="15">
      <c r="A1975" s="2028"/>
      <c r="B1975" s="1867"/>
      <c r="C1975" s="1867"/>
      <c r="D1975" s="1867"/>
      <c r="E1975" s="1867"/>
      <c r="F1975" s="1867"/>
      <c r="G1975" s="1867"/>
      <c r="H1975" s="1867"/>
      <c r="I1975" s="1867"/>
      <c r="J1975" s="1867"/>
      <c r="K1975" s="1867"/>
      <c r="L1975" s="1867"/>
      <c r="M1975" s="1841" t="s">
        <v>2830</v>
      </c>
      <c r="N1975" s="2030"/>
      <c r="O1975" s="2104">
        <f>'Part VI-Revenues &amp; Expenses'!$O$67</f>
        <v>84</v>
      </c>
      <c r="P1975" s="2104"/>
      <c r="Q1975" s="1652"/>
      <c r="R1975" s="2028"/>
      <c r="S1975" s="2028"/>
      <c r="T1975" s="2028"/>
      <c r="U1975" s="2028"/>
      <c r="V1975" s="2028"/>
      <c r="W1975" s="2028"/>
      <c r="X1975" s="2028"/>
      <c r="Y1975" s="2028"/>
      <c r="Z1975" s="2028"/>
    </row>
    <row r="1976" spans="1:26" ht="15">
      <c r="A1976" s="2028"/>
      <c r="B1976" s="1867"/>
      <c r="C1976" s="1867"/>
      <c r="D1976" s="1867"/>
      <c r="E1976" s="1867"/>
      <c r="F1976" s="1867"/>
      <c r="G1976" s="1867"/>
      <c r="H1976" s="1867"/>
      <c r="I1976" s="1867"/>
      <c r="J1976" s="1867"/>
      <c r="K1976" s="1867"/>
      <c r="L1976" s="1867"/>
      <c r="M1976" s="1841" t="s">
        <v>2831</v>
      </c>
      <c r="N1976" s="2030"/>
      <c r="O1976" s="2105">
        <f>IF(O1975=0,0,O1974/O1975)</f>
        <v>0</v>
      </c>
      <c r="P1976" s="2105"/>
      <c r="Q1976" s="1652"/>
      <c r="R1976" s="2028"/>
      <c r="S1976" s="2028"/>
      <c r="T1976" s="2028"/>
      <c r="U1976" s="2028"/>
      <c r="V1976" s="2028"/>
      <c r="W1976" s="2028"/>
      <c r="X1976" s="2028"/>
      <c r="Y1976" s="2028"/>
      <c r="Z1976" s="2028"/>
    </row>
    <row r="1977" spans="1:26" ht="15.75" customHeight="1">
      <c r="A1977" s="1860"/>
      <c r="B1977" s="1890" t="str">
        <f>'Part IX Scoring Criteria'!B429</f>
        <v>&lt;&lt; Enter here Applicant's Narrative of how building will be reused. Adjust row height as needed. &gt;&gt;</v>
      </c>
      <c r="C1977" s="1890">
        <f>'Part IX Scoring Criteria'!C429</f>
        <v>0</v>
      </c>
      <c r="D1977" s="1890">
        <f>'Part IX Scoring Criteria'!D429</f>
        <v>0</v>
      </c>
      <c r="E1977" s="1890">
        <f>'Part IX Scoring Criteria'!E429</f>
        <v>0</v>
      </c>
      <c r="F1977" s="1890">
        <f>'Part IX Scoring Criteria'!F429</f>
        <v>0</v>
      </c>
      <c r="G1977" s="1890">
        <f>'Part IX Scoring Criteria'!G429</f>
        <v>0</v>
      </c>
      <c r="H1977" s="1890">
        <f>'Part IX Scoring Criteria'!H429</f>
        <v>0</v>
      </c>
      <c r="I1977" s="1890">
        <f>'Part IX Scoring Criteria'!I429</f>
        <v>0</v>
      </c>
      <c r="J1977" s="1890">
        <f>'Part IX Scoring Criteria'!J429</f>
        <v>0</v>
      </c>
      <c r="K1977" s="1890">
        <f>'Part IX Scoring Criteria'!K429</f>
        <v>0</v>
      </c>
      <c r="L1977" s="1890">
        <f>'Part IX Scoring Criteria'!L429</f>
        <v>0</v>
      </c>
      <c r="M1977" s="1890">
        <f>'Part IX Scoring Criteria'!M429</f>
        <v>0</v>
      </c>
      <c r="N1977" s="1890">
        <f>'Part IX Scoring Criteria'!N429</f>
        <v>0</v>
      </c>
      <c r="O1977" s="1890">
        <f>'Part IX Scoring Criteria'!O429</f>
        <v>0</v>
      </c>
      <c r="P1977" s="1890">
        <f>'Part IX Scoring Criteria'!P429</f>
        <v>0</v>
      </c>
      <c r="Q1977" s="1984"/>
      <c r="R1977" s="1984"/>
      <c r="S1977" s="1984"/>
      <c r="T1977" s="1976"/>
      <c r="U1977" s="1976"/>
      <c r="V1977" s="1976"/>
      <c r="W1977" s="1976"/>
      <c r="X1977" s="1976"/>
      <c r="Y1977" s="1976"/>
      <c r="Z1977" s="1976"/>
    </row>
    <row r="1978" spans="1:26" ht="15">
      <c r="A1978" s="1938"/>
      <c r="B1978" s="2029"/>
      <c r="C1978" s="2028"/>
      <c r="D1978" s="2028"/>
      <c r="E1978" s="2028"/>
      <c r="F1978" s="1948"/>
      <c r="G1978" s="1812"/>
      <c r="H1978" s="2028"/>
      <c r="I1978" s="2028"/>
      <c r="J1978" s="2028"/>
      <c r="K1978" s="2028"/>
      <c r="L1978" s="2028"/>
      <c r="M1978" s="2030"/>
      <c r="N1978" s="2030"/>
      <c r="O1978" s="2030"/>
      <c r="P1978" s="2030"/>
      <c r="Q1978" s="1652"/>
      <c r="R1978" s="2028"/>
      <c r="S1978" s="2028"/>
      <c r="T1978" s="2028"/>
      <c r="U1978" s="2028"/>
      <c r="V1978" s="2028"/>
      <c r="W1978" s="2028"/>
      <c r="X1978" s="2028"/>
      <c r="Y1978" s="2028"/>
      <c r="Z1978" s="2028"/>
    </row>
    <row r="1979" spans="1:26" ht="15">
      <c r="A1979" s="2106" t="s">
        <v>4609</v>
      </c>
      <c r="B1979" s="1893" t="s">
        <v>3357</v>
      </c>
      <c r="C1979" s="1921"/>
      <c r="D1979" s="2028"/>
      <c r="E1979" s="2028"/>
      <c r="F1979" s="2028"/>
      <c r="G1979" s="2028"/>
      <c r="H1979" s="1921"/>
      <c r="I1979" s="2028"/>
      <c r="J1979" s="2028"/>
      <c r="K1979" s="2028"/>
      <c r="L1979" s="2028"/>
      <c r="M1979" s="2030">
        <v>1</v>
      </c>
      <c r="N1979" s="1944" t="s">
        <v>1985</v>
      </c>
      <c r="O1979" s="1975">
        <f>'Part IX Scoring Criteria'!O431</f>
        <v>0</v>
      </c>
      <c r="P1979" s="1975">
        <f>'Part IX Scoring Criteria'!P431</f>
        <v>0</v>
      </c>
      <c r="Q1979" s="2015" t="str">
        <f>IF(OR($O1979=$M1979,$O1979=0,$O1979=""),"","*CHECK!*")</f>
        <v/>
      </c>
      <c r="R1979" s="2057" t="s">
        <v>2706</v>
      </c>
      <c r="S1979" s="2028"/>
      <c r="T1979" s="2028"/>
      <c r="U1979" s="2028"/>
      <c r="V1979" s="2028"/>
      <c r="W1979" s="2028"/>
      <c r="X1979" s="2028"/>
      <c r="Y1979" s="2028"/>
      <c r="Z1979" s="2028"/>
    </row>
    <row r="1980" spans="1:26" ht="15" customHeight="1">
      <c r="A1980" s="2106"/>
      <c r="B1980" s="1900" t="s">
        <v>4199</v>
      </c>
      <c r="C1980" s="1900"/>
      <c r="D1980" s="1900"/>
      <c r="E1980" s="1900"/>
      <c r="F1980" s="1900"/>
      <c r="G1980" s="1900"/>
      <c r="H1980" s="1900"/>
      <c r="I1980" s="1900"/>
      <c r="J1980" s="1900"/>
      <c r="K1980" s="1900"/>
      <c r="L1980" s="1900"/>
      <c r="M1980" s="1952" t="s">
        <v>2830</v>
      </c>
      <c r="N1980" s="2030"/>
      <c r="O1980" s="2104">
        <f>'Part VI-Revenues &amp; Expenses'!$O$67</f>
        <v>84</v>
      </c>
      <c r="P1980" s="2104"/>
      <c r="Q1980" s="1652"/>
      <c r="R1980" s="2028"/>
      <c r="S1980" s="2028"/>
      <c r="T1980" s="2028"/>
      <c r="U1980" s="2028"/>
      <c r="V1980" s="2028"/>
      <c r="W1980" s="2028"/>
      <c r="X1980" s="2028"/>
      <c r="Y1980" s="2028"/>
      <c r="Z1980" s="2028"/>
    </row>
    <row r="1981" spans="1:26" ht="15">
      <c r="A1981" s="2106"/>
      <c r="B1981" s="1900"/>
      <c r="C1981" s="1900"/>
      <c r="D1981" s="1900"/>
      <c r="E1981" s="1900"/>
      <c r="F1981" s="1900"/>
      <c r="G1981" s="1900"/>
      <c r="H1981" s="1900"/>
      <c r="I1981" s="1900"/>
      <c r="J1981" s="1900"/>
      <c r="K1981" s="1900"/>
      <c r="L1981" s="1900"/>
      <c r="M1981" s="1841" t="s">
        <v>2831</v>
      </c>
      <c r="N1981" s="2030"/>
      <c r="O1981" s="2105">
        <f>IF(O1980=0,0,L1968/O1980)</f>
        <v>0</v>
      </c>
      <c r="P1981" s="2105"/>
      <c r="Q1981" s="1652"/>
      <c r="R1981" s="2028"/>
      <c r="S1981" s="2028"/>
      <c r="T1981" s="2028"/>
      <c r="U1981" s="2028"/>
      <c r="V1981" s="2028"/>
      <c r="W1981" s="2028"/>
      <c r="X1981" s="2028"/>
      <c r="Y1981" s="2028"/>
      <c r="Z1981" s="2028"/>
    </row>
    <row r="1982" spans="1:26" ht="15">
      <c r="A1982" s="1631"/>
      <c r="B1982" s="1994" t="s">
        <v>3757</v>
      </c>
      <c r="C1982" s="1631"/>
      <c r="D1982" s="1634"/>
      <c r="E1982" s="1634"/>
      <c r="F1982" s="1634"/>
      <c r="G1982" s="1634"/>
      <c r="H1982" s="521"/>
      <c r="I1982" s="521"/>
      <c r="J1982" s="521"/>
      <c r="K1982" s="521"/>
      <c r="L1982" s="1976"/>
      <c r="M1982" s="1630"/>
      <c r="N1982" s="1637"/>
      <c r="O1982" s="1975"/>
      <c r="P1982" s="1639"/>
      <c r="Q1982" s="1976"/>
      <c r="R1982" s="1976"/>
      <c r="S1982" s="1976"/>
      <c r="T1982" s="1976"/>
      <c r="U1982" s="1976"/>
      <c r="V1982" s="1976"/>
      <c r="W1982" s="1976"/>
      <c r="X1982" s="1976"/>
      <c r="Y1982" s="1976"/>
      <c r="Z1982" s="1976"/>
    </row>
    <row r="1983" spans="1:26" ht="15.75">
      <c r="A1983" s="1900">
        <f>'Part IX Scoring Criteria'!A436</f>
        <v>0</v>
      </c>
      <c r="B1983" s="1900">
        <f>'Part IX Scoring Criteria'!B436</f>
        <v>0</v>
      </c>
      <c r="C1983" s="1900">
        <f>'Part IX Scoring Criteria'!C436</f>
        <v>0</v>
      </c>
      <c r="D1983" s="1900">
        <f>'Part IX Scoring Criteria'!D436</f>
        <v>0</v>
      </c>
      <c r="E1983" s="1900">
        <f>'Part IX Scoring Criteria'!E436</f>
        <v>0</v>
      </c>
      <c r="F1983" s="1900">
        <f>'Part IX Scoring Criteria'!F436</f>
        <v>0</v>
      </c>
      <c r="G1983" s="1900">
        <f>'Part IX Scoring Criteria'!G436</f>
        <v>0</v>
      </c>
      <c r="H1983" s="1900">
        <f>'Part IX Scoring Criteria'!H436</f>
        <v>0</v>
      </c>
      <c r="I1983" s="1900">
        <f>'Part IX Scoring Criteria'!I436</f>
        <v>0</v>
      </c>
      <c r="J1983" s="1900">
        <f>'Part IX Scoring Criteria'!J436</f>
        <v>0</v>
      </c>
      <c r="K1983" s="1900">
        <f>'Part IX Scoring Criteria'!K436</f>
        <v>0</v>
      </c>
      <c r="L1983" s="1900">
        <f>'Part IX Scoring Criteria'!L436</f>
        <v>0</v>
      </c>
      <c r="M1983" s="1900">
        <f>'Part IX Scoring Criteria'!M436</f>
        <v>0</v>
      </c>
      <c r="N1983" s="1900">
        <f>'Part IX Scoring Criteria'!N436</f>
        <v>0</v>
      </c>
      <c r="O1983" s="1900">
        <f>'Part IX Scoring Criteria'!O436</f>
        <v>0</v>
      </c>
      <c r="P1983" s="1900">
        <f>'Part IX Scoring Criteria'!P436</f>
        <v>0</v>
      </c>
      <c r="Q1983" s="1984"/>
      <c r="R1983" s="1984"/>
      <c r="S1983" s="1976"/>
      <c r="T1983" s="1976"/>
      <c r="U1983" s="1976"/>
      <c r="V1983" s="1976"/>
      <c r="W1983" s="1976"/>
      <c r="X1983" s="1976"/>
      <c r="Y1983" s="1976"/>
      <c r="Z1983" s="1976"/>
    </row>
    <row r="1984" spans="1:26" ht="15">
      <c r="A1984" s="1976"/>
      <c r="B1984" s="1897" t="s">
        <v>1866</v>
      </c>
      <c r="C1984" s="1631"/>
      <c r="D1984" s="1897"/>
      <c r="E1984" s="1899"/>
      <c r="F1984" s="1899"/>
      <c r="G1984" s="1899"/>
      <c r="H1984" s="1899"/>
      <c r="I1984" s="1899"/>
      <c r="J1984" s="1899"/>
      <c r="K1984" s="1899"/>
      <c r="L1984" s="1899"/>
      <c r="M1984" s="1899"/>
      <c r="N1984" s="2011"/>
      <c r="O1984" s="1982"/>
      <c r="P1984" s="1813"/>
      <c r="Q1984" s="2006"/>
      <c r="R1984" s="1976"/>
      <c r="S1984" s="1976"/>
      <c r="T1984" s="1976"/>
      <c r="U1984" s="1976"/>
      <c r="V1984" s="1976"/>
      <c r="W1984" s="1976"/>
      <c r="X1984" s="1976"/>
      <c r="Y1984" s="1976"/>
      <c r="Z1984" s="1976"/>
    </row>
    <row r="1985" spans="1:26" ht="15.75">
      <c r="A1985" s="1900">
        <f>'Part IX Scoring Criteria'!A438</f>
        <v>0</v>
      </c>
      <c r="B1985" s="1900">
        <f>'Part IX Scoring Criteria'!B438</f>
        <v>0</v>
      </c>
      <c r="C1985" s="1900">
        <f>'Part IX Scoring Criteria'!C438</f>
        <v>0</v>
      </c>
      <c r="D1985" s="1900">
        <f>'Part IX Scoring Criteria'!D438</f>
        <v>0</v>
      </c>
      <c r="E1985" s="1900">
        <f>'Part IX Scoring Criteria'!E438</f>
        <v>0</v>
      </c>
      <c r="F1985" s="1900">
        <f>'Part IX Scoring Criteria'!F438</f>
        <v>0</v>
      </c>
      <c r="G1985" s="1900">
        <f>'Part IX Scoring Criteria'!G438</f>
        <v>0</v>
      </c>
      <c r="H1985" s="1900">
        <f>'Part IX Scoring Criteria'!H438</f>
        <v>0</v>
      </c>
      <c r="I1985" s="1900">
        <f>'Part IX Scoring Criteria'!I438</f>
        <v>0</v>
      </c>
      <c r="J1985" s="1900">
        <f>'Part IX Scoring Criteria'!J438</f>
        <v>0</v>
      </c>
      <c r="K1985" s="1900">
        <f>'Part IX Scoring Criteria'!K438</f>
        <v>0</v>
      </c>
      <c r="L1985" s="1900">
        <f>'Part IX Scoring Criteria'!L438</f>
        <v>0</v>
      </c>
      <c r="M1985" s="1900">
        <f>'Part IX Scoring Criteria'!M438</f>
        <v>0</v>
      </c>
      <c r="N1985" s="1900">
        <f>'Part IX Scoring Criteria'!N438</f>
        <v>0</v>
      </c>
      <c r="O1985" s="1900">
        <f>'Part IX Scoring Criteria'!O438</f>
        <v>0</v>
      </c>
      <c r="P1985" s="1900">
        <f>'Part IX Scoring Criteria'!P438</f>
        <v>0</v>
      </c>
      <c r="Q1985" s="1984"/>
      <c r="R1985" s="1976"/>
      <c r="S1985" s="1976"/>
      <c r="T1985" s="1976"/>
      <c r="U1985" s="1976"/>
      <c r="V1985" s="1976"/>
      <c r="W1985" s="1976"/>
      <c r="X1985" s="1976"/>
      <c r="Y1985" s="1976"/>
      <c r="Z1985" s="1976"/>
    </row>
    <row r="1986" spans="1:26" ht="15">
      <c r="A1986" s="1631"/>
      <c r="B1986" s="1631"/>
      <c r="C1986" s="1899"/>
      <c r="D1986" s="1899"/>
      <c r="E1986" s="1899"/>
      <c r="F1986" s="1899"/>
      <c r="G1986" s="1899"/>
      <c r="H1986" s="1899"/>
      <c r="I1986" s="1899"/>
      <c r="J1986" s="1899"/>
      <c r="K1986" s="1899"/>
      <c r="L1986" s="1899"/>
      <c r="M1986" s="1899"/>
      <c r="N1986" s="2011"/>
      <c r="O1986" s="1982"/>
      <c r="P1986" s="1813"/>
      <c r="Q1986" s="1976"/>
      <c r="R1986" s="1976"/>
      <c r="S1986" s="1976"/>
      <c r="T1986" s="1976"/>
      <c r="U1986" s="1976"/>
      <c r="V1986" s="1976"/>
      <c r="W1986" s="1976"/>
      <c r="X1986" s="1976"/>
      <c r="Y1986" s="1976"/>
      <c r="Z1986" s="1976"/>
    </row>
    <row r="1987" spans="1:26" ht="15">
      <c r="A1987" s="2094" t="s">
        <v>4107</v>
      </c>
      <c r="B1987" s="1978" t="s">
        <v>1673</v>
      </c>
      <c r="C1987" s="1993"/>
      <c r="D1987" s="1994"/>
      <c r="E1987" s="1994"/>
      <c r="F1987" s="521"/>
      <c r="G1987" s="521"/>
      <c r="H1987" s="1993"/>
      <c r="I1987" s="521"/>
      <c r="J1987" s="521"/>
      <c r="K1987" s="521"/>
      <c r="L1987" s="1942" t="str">
        <f>IF(OR($O1987=$M1987,$O1987&lt;=0,$O1987=""),"","* * Check Score! * *")</f>
        <v/>
      </c>
      <c r="M1987" s="1813">
        <v>10</v>
      </c>
      <c r="N1987" s="1630"/>
      <c r="O1987" s="1975">
        <f>'Part IX Scoring Criteria'!O440</f>
        <v>10</v>
      </c>
      <c r="P1987" s="1975">
        <f>'Part IX Scoring Criteria'!P440</f>
        <v>10</v>
      </c>
      <c r="Q1987" s="1813" t="s">
        <v>441</v>
      </c>
      <c r="R1987" s="1993"/>
      <c r="S1987" s="1993"/>
      <c r="T1987" s="1993"/>
      <c r="U1987" s="1993"/>
      <c r="V1987" s="1993"/>
      <c r="W1987" s="1993"/>
      <c r="X1987" s="1993"/>
      <c r="Y1987" s="1993"/>
      <c r="Z1987" s="1993"/>
    </row>
    <row r="1988" spans="1:26" ht="15">
      <c r="A1988" s="2094"/>
      <c r="B1988" s="1978"/>
      <c r="C1988" s="1993"/>
      <c r="D1988" s="1994"/>
      <c r="E1988" s="1994"/>
      <c r="F1988" s="521"/>
      <c r="G1988" s="521"/>
      <c r="H1988" s="1993"/>
      <c r="I1988" s="521"/>
      <c r="J1988" s="521"/>
      <c r="K1988" s="521"/>
      <c r="L1988" s="1942"/>
      <c r="M1988" s="1813"/>
      <c r="N1988" s="1630"/>
      <c r="O1988" s="1630"/>
      <c r="P1988" s="1630"/>
      <c r="Q1988" s="1813"/>
      <c r="R1988" s="1993"/>
      <c r="S1988" s="1993"/>
      <c r="T1988" s="1993"/>
      <c r="U1988" s="1993"/>
      <c r="V1988" s="1993"/>
      <c r="W1988" s="1993"/>
      <c r="X1988" s="1993"/>
      <c r="Y1988" s="1993"/>
      <c r="Z1988" s="1993"/>
    </row>
    <row r="1989" spans="1:26" ht="15">
      <c r="A1989" s="2094"/>
      <c r="B1989" s="1894" t="s">
        <v>3658</v>
      </c>
      <c r="C1989" s="1993"/>
      <c r="D1989" s="1994"/>
      <c r="E1989" s="1994"/>
      <c r="F1989" s="521"/>
      <c r="G1989" s="521"/>
      <c r="H1989" s="1993"/>
      <c r="I1989" s="521"/>
      <c r="J1989" s="521"/>
      <c r="K1989" s="521"/>
      <c r="L1989" s="1942"/>
      <c r="M1989" s="1813"/>
      <c r="N1989" s="1630"/>
      <c r="O1989" s="1975">
        <f>'Part IX Scoring Criteria'!O442</f>
        <v>10</v>
      </c>
      <c r="P1989" s="1975">
        <f>'Part IX Scoring Criteria'!P442</f>
        <v>10</v>
      </c>
      <c r="Q1989" s="1813"/>
      <c r="R1989" s="1993"/>
      <c r="S1989" s="1993"/>
      <c r="T1989" s="1993"/>
      <c r="U1989" s="1993"/>
      <c r="V1989" s="1993"/>
      <c r="W1989" s="1993"/>
      <c r="X1989" s="1993"/>
      <c r="Y1989" s="1993"/>
      <c r="Z1989" s="1993"/>
    </row>
    <row r="1990" spans="1:26" ht="15">
      <c r="A1990" s="2094"/>
      <c r="B1990" s="1894" t="s">
        <v>3659</v>
      </c>
      <c r="C1990" s="1993"/>
      <c r="D1990" s="1994"/>
      <c r="E1990" s="1994"/>
      <c r="F1990" s="521"/>
      <c r="G1990" s="521"/>
      <c r="H1990" s="1993"/>
      <c r="I1990" s="521"/>
      <c r="J1990" s="521"/>
      <c r="K1990" s="521"/>
      <c r="L1990" s="1942"/>
      <c r="M1990" s="1813"/>
      <c r="N1990" s="1630"/>
      <c r="O1990" s="1975">
        <f>'Part IX Scoring Criteria'!O443</f>
        <v>0</v>
      </c>
      <c r="P1990" s="1975">
        <f>'Part IX Scoring Criteria'!P443</f>
        <v>0</v>
      </c>
      <c r="Q1990" s="1813"/>
      <c r="R1990" s="1993"/>
      <c r="S1990" s="1993"/>
      <c r="T1990" s="1993"/>
      <c r="U1990" s="1993"/>
      <c r="V1990" s="1993"/>
      <c r="W1990" s="1993"/>
      <c r="X1990" s="1993"/>
      <c r="Y1990" s="1993"/>
      <c r="Z1990" s="1993"/>
    </row>
    <row r="1991" spans="1:26" ht="15">
      <c r="A1991" s="2094"/>
      <c r="B1991" s="1894" t="s">
        <v>3660</v>
      </c>
      <c r="C1991" s="1993"/>
      <c r="D1991" s="1994"/>
      <c r="E1991" s="1994"/>
      <c r="F1991" s="521"/>
      <c r="G1991" s="521"/>
      <c r="H1991" s="1993"/>
      <c r="I1991" s="521"/>
      <c r="J1991" s="521"/>
      <c r="K1991" s="521"/>
      <c r="L1991" s="1942"/>
      <c r="M1991" s="1813"/>
      <c r="N1991" s="1630"/>
      <c r="O1991" s="1975">
        <f>'Part IX Scoring Criteria'!O444</f>
        <v>0</v>
      </c>
      <c r="P1991" s="1975">
        <f>'Part IX Scoring Criteria'!P444</f>
        <v>0</v>
      </c>
      <c r="Q1991" s="1813"/>
      <c r="R1991" s="1993"/>
      <c r="S1991" s="1993"/>
      <c r="T1991" s="1993"/>
      <c r="U1991" s="1993"/>
      <c r="V1991" s="1993"/>
      <c r="W1991" s="1993"/>
      <c r="X1991" s="1993"/>
      <c r="Y1991" s="1993"/>
      <c r="Z1991" s="1993"/>
    </row>
    <row r="1992" spans="1:26" ht="15">
      <c r="A1992" s="1866"/>
      <c r="B1992" s="1866" t="s">
        <v>1866</v>
      </c>
      <c r="C1992" s="1631"/>
      <c r="D1992" s="1866"/>
      <c r="E1992" s="1834"/>
      <c r="F1992" s="1834"/>
      <c r="G1992" s="1834"/>
      <c r="H1992" s="1834"/>
      <c r="I1992" s="1834"/>
      <c r="J1992" s="1834"/>
      <c r="K1992" s="1834"/>
      <c r="L1992" s="1834"/>
      <c r="M1992" s="1834"/>
      <c r="N1992" s="1923"/>
      <c r="O1992" s="1818"/>
      <c r="P1992" s="1813"/>
      <c r="Q1992" s="1993"/>
      <c r="R1992" s="1993"/>
      <c r="S1992" s="1993"/>
      <c r="T1992" s="1993"/>
      <c r="U1992" s="1993"/>
      <c r="V1992" s="1993"/>
      <c r="W1992" s="1993"/>
      <c r="X1992" s="1993"/>
      <c r="Y1992" s="1993"/>
      <c r="Z1992" s="1993"/>
    </row>
    <row r="1993" spans="1:26" ht="15.75">
      <c r="A1993" s="1900">
        <f>'Part IX Scoring Criteria'!A446</f>
        <v>0</v>
      </c>
      <c r="B1993" s="1900">
        <f>'Part IX Scoring Criteria'!B446</f>
        <v>0</v>
      </c>
      <c r="C1993" s="1900">
        <f>'Part IX Scoring Criteria'!C446</f>
        <v>0</v>
      </c>
      <c r="D1993" s="1900">
        <f>'Part IX Scoring Criteria'!D446</f>
        <v>0</v>
      </c>
      <c r="E1993" s="1900">
        <f>'Part IX Scoring Criteria'!E446</f>
        <v>0</v>
      </c>
      <c r="F1993" s="1900">
        <f>'Part IX Scoring Criteria'!F446</f>
        <v>0</v>
      </c>
      <c r="G1993" s="1900">
        <f>'Part IX Scoring Criteria'!G446</f>
        <v>0</v>
      </c>
      <c r="H1993" s="1900">
        <f>'Part IX Scoring Criteria'!H446</f>
        <v>0</v>
      </c>
      <c r="I1993" s="1900">
        <f>'Part IX Scoring Criteria'!I446</f>
        <v>0</v>
      </c>
      <c r="J1993" s="1900">
        <f>'Part IX Scoring Criteria'!J446</f>
        <v>0</v>
      </c>
      <c r="K1993" s="1900">
        <f>'Part IX Scoring Criteria'!K446</f>
        <v>0</v>
      </c>
      <c r="L1993" s="1900">
        <f>'Part IX Scoring Criteria'!L446</f>
        <v>0</v>
      </c>
      <c r="M1993" s="1900">
        <f>'Part IX Scoring Criteria'!M446</f>
        <v>0</v>
      </c>
      <c r="N1993" s="1900">
        <f>'Part IX Scoring Criteria'!N446</f>
        <v>0</v>
      </c>
      <c r="O1993" s="1900">
        <f>'Part IX Scoring Criteria'!O446</f>
        <v>0</v>
      </c>
      <c r="P1993" s="1900">
        <f>'Part IX Scoring Criteria'!P446</f>
        <v>0</v>
      </c>
      <c r="Q1993" s="1984"/>
      <c r="R1993" s="1984"/>
      <c r="S1993" s="1976"/>
      <c r="T1993" s="1976"/>
      <c r="U1993" s="1976"/>
      <c r="V1993" s="1976"/>
      <c r="W1993" s="1976"/>
      <c r="X1993" s="1976"/>
      <c r="Y1993" s="1976"/>
      <c r="Z1993" s="1976"/>
    </row>
    <row r="1994" spans="1:26" ht="15">
      <c r="A1994" s="2094"/>
      <c r="B1994" s="1631"/>
      <c r="C1994" s="1899"/>
      <c r="D1994" s="1899"/>
      <c r="E1994" s="1899"/>
      <c r="F1994" s="1899"/>
      <c r="G1994" s="1899"/>
      <c r="H1994" s="1899"/>
      <c r="I1994" s="1899"/>
      <c r="J1994" s="1899"/>
      <c r="K1994" s="1899"/>
      <c r="L1994" s="1899"/>
      <c r="M1994" s="1899"/>
      <c r="N1994" s="2011"/>
      <c r="O1994" s="1982"/>
      <c r="P1994" s="1813"/>
      <c r="Q1994" s="1976"/>
      <c r="R1994" s="1976"/>
      <c r="S1994" s="1976"/>
      <c r="T1994" s="1976"/>
      <c r="U1994" s="1976"/>
      <c r="V1994" s="1976"/>
      <c r="W1994" s="1976"/>
      <c r="X1994" s="1976"/>
      <c r="Y1994" s="1976"/>
      <c r="Z1994" s="1976"/>
    </row>
    <row r="1995" spans="1:26" ht="15">
      <c r="A1995" s="2094"/>
      <c r="B1995" s="2107"/>
      <c r="C1995" s="1631"/>
      <c r="F1995" s="1976"/>
      <c r="G1995" s="2108" t="s">
        <v>427</v>
      </c>
      <c r="H1995" s="1631"/>
      <c r="I1995" s="1972"/>
      <c r="J1995" s="1972"/>
      <c r="K1995" s="1972"/>
      <c r="L1995" s="1993"/>
      <c r="M1995" s="2109">
        <f>M1562+M1597+M1611+M1621+M1648+M1665+M1707+M1743+M1782+M1824+M1840+M1848+M1870+M1878+M1891+M1900+M1916+M1950+M1968+M1987</f>
        <v>95</v>
      </c>
      <c r="N1995" s="2110"/>
      <c r="O1995" s="2109" t="e">
        <f>O1562+O1597+O1611+O1621+O1648+O1665+O1707+O1743+O1824+O1840+O1848+O1870+O1891+O1900+O1916+O1950+O1968+O1987</f>
        <v>#REF!</v>
      </c>
      <c r="P1995" s="2109" t="e">
        <f>P1562+P1597+P1611+P1621+P1648+P1665+P1707+P1743+P1782+P1824+P1840+P1848+P1870+P1878+P1891+P1900+P1916+P1950+P1968+P1987</f>
        <v>#REF!</v>
      </c>
      <c r="Q1995" s="1631" t="s">
        <v>4612</v>
      </c>
      <c r="R1995" s="1975">
        <f>'Part IX Scoring Criteria'!O448</f>
        <v>20</v>
      </c>
      <c r="S1995" s="1631"/>
      <c r="T1995" s="1631"/>
      <c r="U1995" s="1631"/>
      <c r="V1995" s="1631"/>
      <c r="W1995" s="1631"/>
      <c r="X1995" s="1631"/>
      <c r="Y1995" s="1631"/>
      <c r="Z1995" s="1631"/>
    </row>
    <row r="1996" spans="1:26" ht="15.75">
      <c r="A1996" s="1976"/>
      <c r="B1996" s="2107"/>
      <c r="C1996" s="1976"/>
      <c r="F1996" s="1974"/>
      <c r="G1996" s="1974"/>
      <c r="H1996" s="1820" t="s">
        <v>4193</v>
      </c>
      <c r="I1996" s="1631"/>
      <c r="J1996" s="2111"/>
      <c r="K1996" s="2111"/>
      <c r="L1996" s="1976"/>
      <c r="N1996" s="1813"/>
      <c r="O1996" s="1813"/>
      <c r="P1996" s="2070">
        <f>P1782</f>
        <v>0</v>
      </c>
      <c r="Q1996" s="1631"/>
      <c r="R1996" s="1631"/>
      <c r="S1996" s="1631"/>
      <c r="T1996" s="1631"/>
      <c r="U1996" s="1631"/>
      <c r="V1996" s="1631"/>
      <c r="W1996" s="1631"/>
      <c r="X1996" s="1631"/>
      <c r="Y1996" s="1631"/>
      <c r="Z1996" s="1631"/>
    </row>
    <row r="1997" spans="1:26" ht="15.75">
      <c r="A1997" s="1976"/>
      <c r="B1997" s="2107"/>
      <c r="C1997" s="1976"/>
      <c r="F1997" s="1974"/>
      <c r="G1997" s="1974"/>
      <c r="H1997" s="1820" t="s">
        <v>4194</v>
      </c>
      <c r="I1997" s="1631"/>
      <c r="J1997" s="2111"/>
      <c r="K1997" s="2111"/>
      <c r="L1997" s="1976"/>
      <c r="N1997" s="1813"/>
      <c r="O1997" s="2070"/>
      <c r="P1997" s="2070">
        <f>P1878</f>
        <v>0</v>
      </c>
      <c r="Q1997" s="1631"/>
      <c r="R1997" s="1631"/>
      <c r="S1997" s="1631"/>
      <c r="T1997" s="1631"/>
      <c r="U1997" s="1631"/>
      <c r="V1997" s="1631"/>
      <c r="W1997" s="1631"/>
      <c r="X1997" s="1631"/>
      <c r="Y1997" s="1631"/>
      <c r="Z1997" s="1631"/>
    </row>
    <row r="1998" spans="1:26" ht="15">
      <c r="A1998" s="1631"/>
      <c r="B1998" s="1976"/>
      <c r="C1998" s="1976"/>
      <c r="D1998" s="521"/>
      <c r="E1998" s="521"/>
      <c r="F1998" s="1813"/>
      <c r="G1998" s="1976"/>
      <c r="H1998" s="1820" t="s">
        <v>4201</v>
      </c>
      <c r="I1998" s="1813"/>
      <c r="J1998" s="1841"/>
      <c r="K1998" s="1841"/>
      <c r="L1998" s="1841"/>
      <c r="M1998" s="1895"/>
      <c r="N1998" s="1813"/>
      <c r="O1998" s="1639"/>
      <c r="P1998" s="1975" t="e">
        <f>P1995-P1996-P1997</f>
        <v>#REF!</v>
      </c>
      <c r="Q1998" s="1976"/>
      <c r="R1998" s="1976"/>
      <c r="S1998" s="1976"/>
      <c r="T1998" s="1976"/>
      <c r="U1998" s="1976"/>
      <c r="V1998" s="1976"/>
      <c r="W1998" s="1976"/>
      <c r="X1998" s="1976"/>
      <c r="Y1998" s="1976"/>
      <c r="Z1998" s="1976"/>
    </row>
    <row r="1999" spans="1:26" ht="15.75">
      <c r="A1999" s="1976"/>
      <c r="B1999" s="2107"/>
      <c r="C1999" s="1976"/>
      <c r="F1999" s="1841"/>
      <c r="G1999" s="1841"/>
      <c r="H1999" s="1974"/>
      <c r="I1999" s="1974"/>
      <c r="J1999" s="2111"/>
      <c r="K1999" s="2111"/>
      <c r="L1999" s="1976"/>
      <c r="N1999" s="1813"/>
      <c r="O1999" s="1813"/>
      <c r="P1999" s="1975"/>
    </row>
    <row r="2000" spans="1:26" ht="15" customHeight="1">
      <c r="A2000" s="2112" t="s">
        <v>3689</v>
      </c>
      <c r="B2000" s="2112"/>
      <c r="C2000" s="2112"/>
      <c r="D2000" s="2112"/>
      <c r="E2000" s="2112"/>
      <c r="F2000" s="2112"/>
      <c r="G2000" s="2112"/>
      <c r="H2000" s="2112"/>
      <c r="I2000" s="2112"/>
      <c r="J2000" s="2112"/>
      <c r="K2000" s="2112"/>
      <c r="L2000" s="2112"/>
      <c r="M2000" s="2112"/>
      <c r="N2000" s="2112"/>
      <c r="O2000" s="2112"/>
      <c r="P2000" s="2112"/>
      <c r="Q2000" s="1976"/>
      <c r="R2000" s="1976"/>
      <c r="S2000" s="1976"/>
      <c r="T2000" s="1976"/>
      <c r="U2000" s="1976"/>
      <c r="V2000" s="1976"/>
      <c r="W2000" s="1976"/>
      <c r="X2000" s="1976"/>
      <c r="Y2000" s="1976"/>
      <c r="Z2000" s="1976"/>
    </row>
    <row r="2001" spans="1:26" ht="15.75">
      <c r="A2001" s="1900">
        <f>'Part IX Scoring Criteria'!A454</f>
        <v>0</v>
      </c>
      <c r="B2001" s="1900">
        <f>'Part IX Scoring Criteria'!B454</f>
        <v>0</v>
      </c>
      <c r="C2001" s="1900">
        <f>'Part IX Scoring Criteria'!C454</f>
        <v>0</v>
      </c>
      <c r="D2001" s="1900">
        <f>'Part IX Scoring Criteria'!D454</f>
        <v>0</v>
      </c>
      <c r="E2001" s="1900">
        <f>'Part IX Scoring Criteria'!E454</f>
        <v>0</v>
      </c>
      <c r="F2001" s="1900">
        <f>'Part IX Scoring Criteria'!F454</f>
        <v>0</v>
      </c>
      <c r="G2001" s="1900">
        <f>'Part IX Scoring Criteria'!G454</f>
        <v>0</v>
      </c>
      <c r="H2001" s="1900">
        <f>'Part IX Scoring Criteria'!H454</f>
        <v>0</v>
      </c>
      <c r="I2001" s="1900">
        <f>'Part IX Scoring Criteria'!I454</f>
        <v>0</v>
      </c>
      <c r="J2001" s="1900">
        <f>'Part IX Scoring Criteria'!J454</f>
        <v>0</v>
      </c>
      <c r="K2001" s="1900">
        <f>'Part IX Scoring Criteria'!K454</f>
        <v>0</v>
      </c>
      <c r="L2001" s="1900">
        <f>'Part IX Scoring Criteria'!L454</f>
        <v>0</v>
      </c>
      <c r="M2001" s="1900">
        <f>'Part IX Scoring Criteria'!M454</f>
        <v>0</v>
      </c>
      <c r="N2001" s="1900">
        <f>'Part IX Scoring Criteria'!N454</f>
        <v>0</v>
      </c>
      <c r="O2001" s="1900">
        <f>'Part IX Scoring Criteria'!O454</f>
        <v>0</v>
      </c>
      <c r="P2001" s="1900">
        <f>'Part IX Scoring Criteria'!P454</f>
        <v>0</v>
      </c>
      <c r="Q2001" s="1984"/>
      <c r="R2001" s="1984"/>
      <c r="S2001" s="1976"/>
      <c r="T2001" s="1976"/>
      <c r="U2001" s="1976"/>
      <c r="V2001" s="1976"/>
      <c r="W2001" s="1976"/>
      <c r="X2001" s="1976"/>
      <c r="Y2001" s="1976"/>
      <c r="Z2001" s="1976"/>
    </row>
    <row r="2009" spans="1:26" ht="15.75">
      <c r="A2009" s="1732" t="s">
        <v>4206</v>
      </c>
    </row>
    <row r="2010" spans="1:26" ht="16.5">
      <c r="A2010" s="2113" t="str">
        <f>'Part I-Project Information'!$F$34</f>
        <v>Stone Terrace Phase II</v>
      </c>
    </row>
    <row r="2011" spans="1:26" ht="16.5">
      <c r="A2011" s="2113" t="str">
        <f>CONCATENATE('Part I-Project Information'!$F$38,", ", 'Part I-Project Information'!$J$39," County")</f>
        <v>Stonecrest, DeKalb County</v>
      </c>
    </row>
    <row r="2013" spans="1:26" ht="12.75" customHeight="1">
      <c r="A2013" s="168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82"/>
    </row>
    <row r="2015" spans="1:26">
      <c r="A2015" s="1682"/>
    </row>
    <row r="2016" spans="1:26">
      <c r="A2016" s="1682"/>
    </row>
    <row r="2017" spans="1:1">
      <c r="A2017" s="1682"/>
    </row>
    <row r="2018" spans="1:1">
      <c r="A2018" s="1682"/>
    </row>
    <row r="2019" spans="1:1">
      <c r="A2019" s="1682"/>
    </row>
    <row r="2020" spans="1:1">
      <c r="A2020" s="1682"/>
    </row>
    <row r="2021" spans="1:1">
      <c r="A2021" s="1682"/>
    </row>
    <row r="2022" spans="1:1">
      <c r="A2022" s="1682"/>
    </row>
    <row r="2023" spans="1:1">
      <c r="A2023" s="1682"/>
    </row>
    <row r="2024" spans="1:1">
      <c r="A2024" s="1682"/>
    </row>
    <row r="2025" spans="1:1">
      <c r="A2025" s="1682"/>
    </row>
    <row r="2026" spans="1:1">
      <c r="A2026" s="1682"/>
    </row>
    <row r="2027" spans="1:1">
      <c r="A2027" s="1682"/>
    </row>
    <row r="2028" spans="1:1">
      <c r="A2028" s="1682"/>
    </row>
    <row r="2029" spans="1:1">
      <c r="A2029" s="1682"/>
    </row>
    <row r="2030" spans="1:1">
      <c r="A2030" s="1682"/>
    </row>
    <row r="2031" spans="1:1">
      <c r="A2031" s="1682"/>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hyperlink ref="N55" r:id="rId2"/>
    <hyperlink ref="N215" r:id="rId3"/>
    <hyperlink ref="H1908"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10"/>
  <sheetViews>
    <sheetView showGridLines="0" tabSelected="1" zoomScaleNormal="100" workbookViewId="0">
      <selection activeCell="L9" sqref="L9:S9"/>
    </sheetView>
  </sheetViews>
  <sheetFormatPr defaultColWidth="9.140625" defaultRowHeight="12.75"/>
  <cols>
    <col min="1" max="1" width="2.85546875" style="346" customWidth="1"/>
    <col min="2" max="4" width="1.85546875" style="346" customWidth="1"/>
    <col min="5" max="5" width="14.85546875" style="346" customWidth="1"/>
    <col min="6" max="6" width="6.140625" style="346" customWidth="1"/>
    <col min="7" max="7" width="2.85546875" style="346" customWidth="1"/>
    <col min="8" max="8" width="8" style="346" customWidth="1"/>
    <col min="9" max="9" width="6.140625" style="346" customWidth="1"/>
    <col min="10" max="10" width="8.140625" style="346" customWidth="1"/>
    <col min="11" max="11" width="9.85546875" style="346" customWidth="1"/>
    <col min="12" max="13" width="8.85546875" style="346" customWidth="1"/>
    <col min="14" max="14" width="9.42578125" style="346" customWidth="1"/>
    <col min="15" max="15" width="9.85546875" style="346" customWidth="1"/>
    <col min="16" max="19" width="6.140625" style="346" customWidth="1"/>
    <col min="20" max="24" width="11.5703125" style="346" customWidth="1"/>
    <col min="25" max="16384" width="9.140625" style="346"/>
  </cols>
  <sheetData>
    <row r="1" spans="1:27" s="325" customFormat="1" ht="14.1" customHeight="1">
      <c r="A1" s="3148" t="str">
        <f>CONCATENATE("PART TWO - DEVELOPMENT TEAM INFORMATION","  -  ",'Part I-Project Information'!$O$6," ",'Part I-Project Information'!$F$34,", ",'Part I-Project Information'!F38,", ",'Part I-Project Information'!J39," County")</f>
        <v>PART TWO - DEVELOPMENT TEAM INFORMATION  -  2019-5 Stone Terrace Phase II, Stonecrest, DeKalb County</v>
      </c>
      <c r="B1" s="3149"/>
      <c r="C1" s="3149"/>
      <c r="D1" s="3149"/>
      <c r="E1" s="3149"/>
      <c r="F1" s="3149"/>
      <c r="G1" s="3149"/>
      <c r="H1" s="3149"/>
      <c r="I1" s="3149"/>
      <c r="J1" s="3149"/>
      <c r="K1" s="3149"/>
      <c r="L1" s="3149"/>
      <c r="M1" s="3149"/>
      <c r="N1" s="3149"/>
      <c r="O1" s="3149"/>
      <c r="P1" s="3149"/>
      <c r="Q1" s="3149"/>
      <c r="R1" s="3149"/>
      <c r="S1" s="3150"/>
    </row>
    <row r="2" spans="1:27" ht="12" customHeight="1" thickBot="1">
      <c r="A2" s="1107" t="s">
        <v>4462</v>
      </c>
      <c r="B2" s="1109"/>
      <c r="C2" s="1109"/>
      <c r="D2" s="1109"/>
      <c r="E2" s="1109"/>
      <c r="F2" s="1109"/>
      <c r="G2" s="1109"/>
      <c r="H2" s="1109"/>
      <c r="I2" s="1109"/>
      <c r="J2" s="1109"/>
      <c r="K2" s="1109"/>
      <c r="L2" s="1109"/>
      <c r="M2" s="1109"/>
      <c r="N2" s="1109"/>
      <c r="O2" s="1109"/>
      <c r="P2" s="1109"/>
      <c r="Q2" s="1109"/>
      <c r="R2" s="1109"/>
      <c r="S2" s="1109"/>
    </row>
    <row r="3" spans="1:27" s="325" customFormat="1" ht="13.35" customHeight="1" thickBot="1">
      <c r="A3" s="327" t="s">
        <v>616</v>
      </c>
      <c r="B3" s="331" t="s">
        <v>1858</v>
      </c>
      <c r="C3" s="331"/>
      <c r="E3" s="331"/>
      <c r="F3" s="331"/>
      <c r="G3" s="331"/>
      <c r="H3" s="1586" t="s">
        <v>4259</v>
      </c>
      <c r="O3" s="3151" t="str">
        <f>'Part I-Project Information'!$B$6</f>
        <v>May 2019 Final</v>
      </c>
      <c r="P3" s="3152"/>
      <c r="Q3" s="3152"/>
      <c r="R3" s="3152"/>
      <c r="S3" s="3153"/>
    </row>
    <row r="4" spans="1:27" s="325" customFormat="1" ht="8.4499999999999993" customHeight="1">
      <c r="A4" s="327"/>
      <c r="B4" s="327"/>
      <c r="C4" s="327"/>
      <c r="D4" s="331"/>
      <c r="E4" s="331"/>
      <c r="F4" s="331"/>
      <c r="G4" s="331"/>
      <c r="H4" s="331"/>
      <c r="I4" s="331"/>
      <c r="J4" s="331"/>
    </row>
    <row r="5" spans="1:27" s="325" customFormat="1" ht="11.25" customHeight="1">
      <c r="B5" s="327" t="s">
        <v>1983</v>
      </c>
      <c r="C5" s="331" t="s">
        <v>1854</v>
      </c>
      <c r="H5" s="3131" t="s">
        <v>5329</v>
      </c>
      <c r="I5" s="3134"/>
      <c r="J5" s="3134"/>
      <c r="K5" s="3134"/>
      <c r="L5" s="3134"/>
      <c r="M5" s="3134"/>
      <c r="N5" s="3135"/>
      <c r="O5" s="372" t="s">
        <v>1989</v>
      </c>
      <c r="P5" s="372"/>
      <c r="Q5" s="3131" t="s">
        <v>5249</v>
      </c>
      <c r="R5" s="3134"/>
      <c r="S5" s="3135"/>
      <c r="Y5" s="1271"/>
      <c r="Z5" s="1272"/>
      <c r="AA5" s="1267"/>
    </row>
    <row r="6" spans="1:27" s="325" customFormat="1" ht="11.25" customHeight="1">
      <c r="D6" s="373"/>
      <c r="E6" s="330" t="s">
        <v>1021</v>
      </c>
      <c r="F6" s="339"/>
      <c r="H6" s="2971" t="s">
        <v>5234</v>
      </c>
      <c r="I6" s="3143"/>
      <c r="J6" s="3143"/>
      <c r="K6" s="3144"/>
      <c r="L6" s="3143"/>
      <c r="M6" s="3143"/>
      <c r="N6" s="3145"/>
      <c r="O6" s="372" t="s">
        <v>1747</v>
      </c>
      <c r="P6" s="374"/>
      <c r="Q6" s="2897" t="s">
        <v>2474</v>
      </c>
      <c r="R6" s="2957"/>
      <c r="S6" s="2958"/>
      <c r="V6" s="1271"/>
      <c r="W6" s="1271"/>
      <c r="X6" s="1271"/>
      <c r="Y6" s="1271"/>
      <c r="Z6" s="1272"/>
      <c r="AA6" s="1267"/>
    </row>
    <row r="7" spans="1:27" s="325" customFormat="1" ht="11.25" customHeight="1">
      <c r="D7" s="373"/>
      <c r="E7" s="330" t="s">
        <v>618</v>
      </c>
      <c r="H7" s="2971" t="s">
        <v>5235</v>
      </c>
      <c r="I7" s="3144"/>
      <c r="J7" s="2977"/>
      <c r="K7" s="475" t="s">
        <v>762</v>
      </c>
      <c r="L7" s="2939" t="s">
        <v>5303</v>
      </c>
      <c r="M7" s="3143"/>
      <c r="N7" s="3145"/>
      <c r="O7" s="372" t="s">
        <v>1721</v>
      </c>
      <c r="P7" s="374"/>
      <c r="Q7" s="2894">
        <v>7043359112</v>
      </c>
      <c r="R7" s="2895"/>
      <c r="S7" s="2896"/>
    </row>
    <row r="8" spans="1:27" s="325" customFormat="1" ht="11.25" customHeight="1">
      <c r="D8" s="373"/>
      <c r="E8" s="330" t="s">
        <v>1799</v>
      </c>
      <c r="H8" s="1599" t="s">
        <v>1349</v>
      </c>
      <c r="I8" s="1000" t="s">
        <v>2229</v>
      </c>
      <c r="J8" s="3154">
        <v>282035824</v>
      </c>
      <c r="K8" s="3155"/>
      <c r="L8" s="374" t="s">
        <v>3688</v>
      </c>
      <c r="M8" s="3156" t="s">
        <v>5248</v>
      </c>
      <c r="N8" s="3157"/>
      <c r="O8" s="372" t="s">
        <v>1979</v>
      </c>
      <c r="P8" s="374"/>
      <c r="Q8" s="2894">
        <v>8032694235</v>
      </c>
      <c r="R8" s="2895"/>
      <c r="S8" s="2896"/>
    </row>
    <row r="9" spans="1:27" s="325" customFormat="1" ht="11.25" customHeight="1">
      <c r="D9" s="373"/>
      <c r="E9" s="330" t="s">
        <v>4260</v>
      </c>
      <c r="H9" s="3129">
        <v>7043359112</v>
      </c>
      <c r="I9" s="3158"/>
      <c r="J9" s="1070"/>
      <c r="K9" s="375" t="s">
        <v>1984</v>
      </c>
      <c r="L9" s="2969" t="s">
        <v>5236</v>
      </c>
      <c r="M9" s="2892"/>
      <c r="N9" s="2892"/>
      <c r="O9" s="2986"/>
      <c r="P9" s="2986"/>
      <c r="Q9" s="2892"/>
      <c r="R9" s="2892"/>
      <c r="S9" s="2893"/>
    </row>
    <row r="10" spans="1:27" s="325" customFormat="1" ht="11.25" customHeight="1">
      <c r="D10" s="373"/>
      <c r="E10" s="1586" t="s">
        <v>4259</v>
      </c>
      <c r="H10" s="376"/>
      <c r="I10" s="374"/>
      <c r="J10" s="374"/>
      <c r="K10" s="430"/>
      <c r="L10" s="374"/>
      <c r="M10" s="374"/>
      <c r="N10" s="476" t="s">
        <v>3566</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1985</v>
      </c>
      <c r="C12" s="331" t="s">
        <v>1855</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c r="C13" s="379" t="s">
        <v>1986</v>
      </c>
      <c r="D13" s="371" t="s">
        <v>1987</v>
      </c>
      <c r="H13" s="380"/>
      <c r="I13" s="380"/>
      <c r="J13" s="380"/>
      <c r="K13" s="374"/>
      <c r="L13" s="374"/>
      <c r="M13" s="374"/>
      <c r="N13" s="477"/>
      <c r="O13" s="374"/>
      <c r="P13" s="374"/>
      <c r="Q13" s="374"/>
      <c r="R13" s="374"/>
      <c r="S13" s="374"/>
      <c r="W13" s="567"/>
      <c r="X13" s="567"/>
      <c r="Y13" s="567"/>
      <c r="Z13" s="567"/>
    </row>
    <row r="14" spans="1:27" s="325" customFormat="1" ht="11.25" customHeight="1">
      <c r="D14" s="327" t="s">
        <v>2116</v>
      </c>
      <c r="E14" s="325" t="s">
        <v>1856</v>
      </c>
      <c r="H14" s="3131" t="s">
        <v>5328</v>
      </c>
      <c r="I14" s="3134"/>
      <c r="J14" s="3134"/>
      <c r="K14" s="3134"/>
      <c r="L14" s="3134"/>
      <c r="M14" s="3134"/>
      <c r="N14" s="3135"/>
      <c r="O14" s="372" t="s">
        <v>1989</v>
      </c>
      <c r="P14" s="372"/>
      <c r="Q14" s="3131" t="s">
        <v>5249</v>
      </c>
      <c r="R14" s="3134"/>
      <c r="S14" s="3135"/>
    </row>
    <row r="15" spans="1:27" s="325" customFormat="1" ht="11.25" customHeight="1">
      <c r="D15" s="373"/>
      <c r="E15" s="330" t="s">
        <v>1021</v>
      </c>
      <c r="F15" s="339"/>
      <c r="H15" s="2971" t="s">
        <v>5250</v>
      </c>
      <c r="I15" s="3143"/>
      <c r="J15" s="3143"/>
      <c r="K15" s="3144"/>
      <c r="L15" s="3143"/>
      <c r="M15" s="3143"/>
      <c r="N15" s="3145"/>
      <c r="O15" s="372" t="s">
        <v>1747</v>
      </c>
      <c r="P15" s="374"/>
      <c r="Q15" s="2897" t="s">
        <v>2474</v>
      </c>
      <c r="R15" s="2957"/>
      <c r="S15" s="2958"/>
    </row>
    <row r="16" spans="1:27" s="325" customFormat="1" ht="11.25" customHeight="1">
      <c r="D16" s="373"/>
      <c r="E16" s="330" t="s">
        <v>618</v>
      </c>
      <c r="H16" s="2971" t="s">
        <v>5235</v>
      </c>
      <c r="I16" s="3144"/>
      <c r="J16" s="2977"/>
      <c r="K16" s="576" t="s">
        <v>2704</v>
      </c>
      <c r="L16" s="2971" t="s">
        <v>5265</v>
      </c>
      <c r="M16" s="3143"/>
      <c r="N16" s="2977"/>
      <c r="O16" s="372" t="s">
        <v>1721</v>
      </c>
      <c r="P16" s="374"/>
      <c r="Q16" s="2894">
        <v>7043359112</v>
      </c>
      <c r="R16" s="2895"/>
      <c r="S16" s="2896"/>
    </row>
    <row r="17" spans="3:19" s="325" customFormat="1" ht="11.25" customHeight="1">
      <c r="D17" s="327"/>
      <c r="E17" s="330" t="s">
        <v>1799</v>
      </c>
      <c r="H17" s="1599" t="s">
        <v>1349</v>
      </c>
      <c r="I17" s="374"/>
      <c r="J17" s="374"/>
      <c r="K17" s="1000" t="s">
        <v>2229</v>
      </c>
      <c r="L17" s="3021">
        <v>282035824</v>
      </c>
      <c r="M17" s="3146"/>
      <c r="N17" s="374"/>
      <c r="O17" s="372" t="s">
        <v>1979</v>
      </c>
      <c r="P17" s="374"/>
      <c r="Q17" s="2894">
        <v>8032694235</v>
      </c>
      <c r="R17" s="2895"/>
      <c r="S17" s="2896"/>
    </row>
    <row r="18" spans="3:19" s="325" customFormat="1" ht="11.25" customHeight="1">
      <c r="D18" s="373"/>
      <c r="E18" s="330" t="s">
        <v>4260</v>
      </c>
      <c r="H18" s="3129">
        <v>7043359112</v>
      </c>
      <c r="I18" s="3130"/>
      <c r="J18" s="357"/>
      <c r="K18" s="375" t="s">
        <v>1984</v>
      </c>
      <c r="L18" s="2891" t="s">
        <v>5236</v>
      </c>
      <c r="M18" s="2892"/>
      <c r="N18" s="2986"/>
      <c r="O18" s="2986"/>
      <c r="P18" s="2986"/>
      <c r="Q18" s="2892"/>
      <c r="R18" s="2892"/>
      <c r="S18" s="2893"/>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2117</v>
      </c>
      <c r="E20" s="325" t="s">
        <v>1857</v>
      </c>
      <c r="F20" s="1238"/>
      <c r="H20" s="3131"/>
      <c r="I20" s="3134"/>
      <c r="J20" s="3134"/>
      <c r="K20" s="3134"/>
      <c r="L20" s="3134"/>
      <c r="M20" s="3134"/>
      <c r="N20" s="3135"/>
      <c r="O20" s="372" t="s">
        <v>1989</v>
      </c>
      <c r="P20" s="372"/>
      <c r="Q20" s="3131"/>
      <c r="R20" s="3134"/>
      <c r="S20" s="3135"/>
    </row>
    <row r="21" spans="3:19" s="325" customFormat="1" ht="11.25" customHeight="1">
      <c r="D21" s="373"/>
      <c r="E21" s="330" t="s">
        <v>1021</v>
      </c>
      <c r="F21" s="339"/>
      <c r="H21" s="2971"/>
      <c r="I21" s="3143"/>
      <c r="J21" s="3143"/>
      <c r="K21" s="3144"/>
      <c r="L21" s="3143"/>
      <c r="M21" s="3143"/>
      <c r="N21" s="3145"/>
      <c r="O21" s="372" t="s">
        <v>1747</v>
      </c>
      <c r="P21" s="374"/>
      <c r="Q21" s="2897"/>
      <c r="R21" s="2957"/>
      <c r="S21" s="2958"/>
    </row>
    <row r="22" spans="3:19" s="325" customFormat="1" ht="11.25" customHeight="1">
      <c r="D22" s="373"/>
      <c r="E22" s="330" t="s">
        <v>618</v>
      </c>
      <c r="H22" s="2971"/>
      <c r="I22" s="3144"/>
      <c r="J22" s="2977"/>
      <c r="K22" s="576" t="s">
        <v>2704</v>
      </c>
      <c r="L22" s="2971"/>
      <c r="M22" s="3143"/>
      <c r="N22" s="2977"/>
      <c r="O22" s="372" t="s">
        <v>1721</v>
      </c>
      <c r="P22" s="374"/>
      <c r="Q22" s="2894"/>
      <c r="R22" s="2895"/>
      <c r="S22" s="2896"/>
    </row>
    <row r="23" spans="3:19" s="325" customFormat="1" ht="11.25" customHeight="1">
      <c r="E23" s="330" t="s">
        <v>1799</v>
      </c>
      <c r="H23" s="1599"/>
      <c r="I23" s="374"/>
      <c r="J23" s="374"/>
      <c r="K23" s="1000" t="s">
        <v>2229</v>
      </c>
      <c r="L23" s="3021"/>
      <c r="M23" s="3146"/>
      <c r="N23" s="374"/>
      <c r="O23" s="372" t="s">
        <v>1979</v>
      </c>
      <c r="P23" s="374"/>
      <c r="Q23" s="2894"/>
      <c r="R23" s="2895"/>
      <c r="S23" s="2896"/>
    </row>
    <row r="24" spans="3:19" s="325" customFormat="1" ht="11.25" customHeight="1">
      <c r="D24" s="373"/>
      <c r="E24" s="330" t="s">
        <v>4260</v>
      </c>
      <c r="H24" s="3129"/>
      <c r="I24" s="3130"/>
      <c r="J24" s="357"/>
      <c r="K24" s="375" t="s">
        <v>1984</v>
      </c>
      <c r="L24" s="2891"/>
      <c r="M24" s="2892"/>
      <c r="N24" s="2986"/>
      <c r="O24" s="2986"/>
      <c r="P24" s="2986"/>
      <c r="Q24" s="2892"/>
      <c r="R24" s="2892"/>
      <c r="S24" s="2893"/>
    </row>
    <row r="25" spans="3:19" s="325" customFormat="1" ht="4.3499999999999996" customHeight="1">
      <c r="D25" s="373"/>
      <c r="E25" s="1238"/>
      <c r="F25" s="1238"/>
      <c r="G25" s="1228"/>
      <c r="H25" s="384"/>
      <c r="I25" s="384"/>
      <c r="J25" s="384"/>
      <c r="K25" s="375"/>
      <c r="L25" s="384"/>
      <c r="M25" s="384"/>
      <c r="N25" s="382"/>
      <c r="O25" s="383"/>
      <c r="P25" s="383"/>
      <c r="Q25" s="375"/>
      <c r="R25" s="383"/>
      <c r="S25" s="383"/>
    </row>
    <row r="26" spans="3:19" s="325" customFormat="1" ht="11.25" customHeight="1">
      <c r="D26" s="327" t="s">
        <v>1734</v>
      </c>
      <c r="E26" s="325" t="s">
        <v>1857</v>
      </c>
      <c r="F26" s="1238"/>
      <c r="H26" s="3131"/>
      <c r="I26" s="3134"/>
      <c r="J26" s="3134"/>
      <c r="K26" s="3134"/>
      <c r="L26" s="3134"/>
      <c r="M26" s="3134"/>
      <c r="N26" s="3135"/>
      <c r="O26" s="372" t="s">
        <v>1989</v>
      </c>
      <c r="P26" s="372"/>
      <c r="Q26" s="3131"/>
      <c r="R26" s="3134"/>
      <c r="S26" s="3135"/>
    </row>
    <row r="27" spans="3:19" s="325" customFormat="1" ht="11.25" customHeight="1">
      <c r="D27" s="373"/>
      <c r="E27" s="330" t="s">
        <v>1021</v>
      </c>
      <c r="F27" s="339"/>
      <c r="H27" s="2971"/>
      <c r="I27" s="3143"/>
      <c r="J27" s="3143"/>
      <c r="K27" s="3144"/>
      <c r="L27" s="3143"/>
      <c r="M27" s="3143"/>
      <c r="N27" s="3145"/>
      <c r="O27" s="372" t="s">
        <v>1747</v>
      </c>
      <c r="P27" s="374"/>
      <c r="Q27" s="2897"/>
      <c r="R27" s="2957"/>
      <c r="S27" s="2958"/>
    </row>
    <row r="28" spans="3:19" s="325" customFormat="1" ht="11.25" customHeight="1">
      <c r="D28" s="373"/>
      <c r="E28" s="330" t="s">
        <v>618</v>
      </c>
      <c r="H28" s="2971"/>
      <c r="I28" s="3144"/>
      <c r="J28" s="2977"/>
      <c r="K28" s="576" t="s">
        <v>2704</v>
      </c>
      <c r="L28" s="2971"/>
      <c r="M28" s="3143"/>
      <c r="N28" s="2977"/>
      <c r="O28" s="372" t="s">
        <v>1721</v>
      </c>
      <c r="P28" s="374"/>
      <c r="Q28" s="2894"/>
      <c r="R28" s="2895"/>
      <c r="S28" s="2896"/>
    </row>
    <row r="29" spans="3:19" s="325" customFormat="1" ht="11.25" customHeight="1">
      <c r="E29" s="330" t="s">
        <v>1799</v>
      </c>
      <c r="H29" s="1599"/>
      <c r="I29" s="374"/>
      <c r="J29" s="374"/>
      <c r="K29" s="1000" t="s">
        <v>2229</v>
      </c>
      <c r="L29" s="3021"/>
      <c r="M29" s="3146"/>
      <c r="N29" s="374"/>
      <c r="O29" s="372" t="s">
        <v>1979</v>
      </c>
      <c r="P29" s="374"/>
      <c r="Q29" s="2894"/>
      <c r="R29" s="2895"/>
      <c r="S29" s="2896"/>
    </row>
    <row r="30" spans="3:19" s="325" customFormat="1" ht="11.25" customHeight="1">
      <c r="D30" s="373"/>
      <c r="E30" s="330" t="s">
        <v>4260</v>
      </c>
      <c r="H30" s="3129"/>
      <c r="I30" s="3130"/>
      <c r="J30" s="357"/>
      <c r="K30" s="375" t="s">
        <v>1984</v>
      </c>
      <c r="L30" s="2891"/>
      <c r="M30" s="2892"/>
      <c r="N30" s="2986"/>
      <c r="O30" s="2986"/>
      <c r="P30" s="2986"/>
      <c r="Q30" s="2892"/>
      <c r="R30" s="2892"/>
      <c r="S30" s="2893"/>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1988</v>
      </c>
      <c r="D32" s="371" t="s">
        <v>1859</v>
      </c>
      <c r="H32" s="380"/>
      <c r="I32" s="380"/>
      <c r="J32" s="380"/>
      <c r="K32" s="2709" t="s">
        <v>4259</v>
      </c>
      <c r="L32" s="380"/>
      <c r="M32" s="380"/>
      <c r="N32" s="374"/>
      <c r="O32" s="374"/>
      <c r="P32" s="374"/>
      <c r="Q32" s="374"/>
      <c r="R32" s="374"/>
      <c r="S32" s="374"/>
    </row>
    <row r="33" spans="3:19" s="325" customFormat="1" ht="11.25" customHeight="1">
      <c r="D33" s="327" t="s">
        <v>2116</v>
      </c>
      <c r="E33" s="325" t="s">
        <v>750</v>
      </c>
      <c r="H33" s="3131" t="s">
        <v>5295</v>
      </c>
      <c r="I33" s="3134"/>
      <c r="J33" s="3134"/>
      <c r="K33" s="3134"/>
      <c r="L33" s="3134"/>
      <c r="M33" s="3134"/>
      <c r="N33" s="3135"/>
      <c r="O33" s="372" t="s">
        <v>1989</v>
      </c>
      <c r="P33" s="372"/>
      <c r="Q33" s="3131" t="s">
        <v>5251</v>
      </c>
      <c r="R33" s="3134"/>
      <c r="S33" s="3135"/>
    </row>
    <row r="34" spans="3:19" s="325" customFormat="1" ht="11.25" customHeight="1">
      <c r="D34" s="373"/>
      <c r="E34" s="330" t="s">
        <v>1021</v>
      </c>
      <c r="F34" s="339"/>
      <c r="H34" s="2971" t="s">
        <v>5262</v>
      </c>
      <c r="I34" s="3143"/>
      <c r="J34" s="3143"/>
      <c r="K34" s="3144"/>
      <c r="L34" s="3143"/>
      <c r="M34" s="3143"/>
      <c r="N34" s="3145"/>
      <c r="O34" s="372" t="s">
        <v>1747</v>
      </c>
      <c r="P34" s="374"/>
      <c r="Q34" s="2897" t="s">
        <v>5261</v>
      </c>
      <c r="R34" s="2957"/>
      <c r="S34" s="2958"/>
    </row>
    <row r="35" spans="3:19" s="325" customFormat="1" ht="11.25" customHeight="1">
      <c r="D35" s="373"/>
      <c r="E35" s="330" t="s">
        <v>618</v>
      </c>
      <c r="H35" s="2971" t="s">
        <v>5263</v>
      </c>
      <c r="I35" s="3144"/>
      <c r="J35" s="2977"/>
      <c r="K35" s="576" t="s">
        <v>2704</v>
      </c>
      <c r="L35" s="2971" t="s">
        <v>5264</v>
      </c>
      <c r="M35" s="3143"/>
      <c r="N35" s="2977"/>
      <c r="O35" s="372" t="s">
        <v>1721</v>
      </c>
      <c r="P35" s="374"/>
      <c r="Q35" s="2894">
        <v>7275671000</v>
      </c>
      <c r="R35" s="2895"/>
      <c r="S35" s="2896"/>
    </row>
    <row r="36" spans="3:19" s="325" customFormat="1" ht="11.25" customHeight="1">
      <c r="E36" s="330" t="s">
        <v>1799</v>
      </c>
      <c r="H36" s="1599" t="s">
        <v>847</v>
      </c>
      <c r="I36" s="374"/>
      <c r="J36" s="374"/>
      <c r="K36" s="1000" t="s">
        <v>2229</v>
      </c>
      <c r="L36" s="3021">
        <v>337161102</v>
      </c>
      <c r="M36" s="3146"/>
      <c r="N36" s="374"/>
      <c r="O36" s="372" t="s">
        <v>1979</v>
      </c>
      <c r="P36" s="374"/>
      <c r="Q36" s="2894"/>
      <c r="R36" s="2895"/>
      <c r="S36" s="2896"/>
    </row>
    <row r="37" spans="3:19" s="325" customFormat="1" ht="11.25" customHeight="1">
      <c r="D37" s="373"/>
      <c r="E37" s="330" t="s">
        <v>4260</v>
      </c>
      <c r="H37" s="3129"/>
      <c r="I37" s="3130"/>
      <c r="J37" s="357"/>
      <c r="K37" s="375" t="s">
        <v>1984</v>
      </c>
      <c r="L37" s="2891"/>
      <c r="M37" s="2892"/>
      <c r="N37" s="2986"/>
      <c r="O37" s="2986"/>
      <c r="P37" s="2986"/>
      <c r="Q37" s="2892"/>
      <c r="R37" s="2892"/>
      <c r="S37" s="2893"/>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2117</v>
      </c>
      <c r="E39" s="325" t="s">
        <v>751</v>
      </c>
      <c r="F39" s="327"/>
      <c r="H39" s="3131" t="s">
        <v>5295</v>
      </c>
      <c r="I39" s="3134"/>
      <c r="J39" s="3134"/>
      <c r="K39" s="3134"/>
      <c r="L39" s="3134"/>
      <c r="M39" s="3134"/>
      <c r="N39" s="3135"/>
      <c r="O39" s="372" t="s">
        <v>1989</v>
      </c>
      <c r="P39" s="372"/>
      <c r="Q39" s="3131" t="s">
        <v>5251</v>
      </c>
      <c r="R39" s="3134"/>
      <c r="S39" s="3135"/>
    </row>
    <row r="40" spans="3:19" s="325" customFormat="1" ht="11.25" customHeight="1">
      <c r="D40" s="373"/>
      <c r="E40" s="330" t="s">
        <v>1021</v>
      </c>
      <c r="F40" s="339"/>
      <c r="H40" s="2971" t="s">
        <v>5262</v>
      </c>
      <c r="I40" s="3143"/>
      <c r="J40" s="3143"/>
      <c r="K40" s="3144"/>
      <c r="L40" s="3143"/>
      <c r="M40" s="3143"/>
      <c r="N40" s="3145"/>
      <c r="O40" s="372" t="s">
        <v>1747</v>
      </c>
      <c r="P40" s="374"/>
      <c r="Q40" s="2897" t="s">
        <v>5261</v>
      </c>
      <c r="R40" s="2957"/>
      <c r="S40" s="2958"/>
    </row>
    <row r="41" spans="3:19" s="325" customFormat="1" ht="11.25" customHeight="1">
      <c r="D41" s="373"/>
      <c r="E41" s="330" t="s">
        <v>618</v>
      </c>
      <c r="H41" s="2971" t="s">
        <v>5263</v>
      </c>
      <c r="I41" s="3144"/>
      <c r="J41" s="2977"/>
      <c r="K41" s="576" t="s">
        <v>2704</v>
      </c>
      <c r="L41" s="2971" t="s">
        <v>5264</v>
      </c>
      <c r="M41" s="3143"/>
      <c r="N41" s="2977"/>
      <c r="O41" s="372" t="s">
        <v>1721</v>
      </c>
      <c r="P41" s="374"/>
      <c r="Q41" s="2894">
        <v>7275671000</v>
      </c>
      <c r="R41" s="2895"/>
      <c r="S41" s="2896"/>
    </row>
    <row r="42" spans="3:19" s="325" customFormat="1" ht="11.25" customHeight="1">
      <c r="D42" s="327"/>
      <c r="E42" s="330" t="s">
        <v>1799</v>
      </c>
      <c r="H42" s="1599" t="s">
        <v>847</v>
      </c>
      <c r="I42" s="374"/>
      <c r="J42" s="374"/>
      <c r="K42" s="1000" t="s">
        <v>2229</v>
      </c>
      <c r="L42" s="3021">
        <v>337161102</v>
      </c>
      <c r="M42" s="3146"/>
      <c r="N42" s="374"/>
      <c r="O42" s="372" t="s">
        <v>1979</v>
      </c>
      <c r="P42" s="374"/>
      <c r="Q42" s="2894"/>
      <c r="R42" s="2895"/>
      <c r="S42" s="2896"/>
    </row>
    <row r="43" spans="3:19" s="325" customFormat="1" ht="11.25" customHeight="1">
      <c r="D43" s="373"/>
      <c r="E43" s="330" t="s">
        <v>4260</v>
      </c>
      <c r="H43" s="3129"/>
      <c r="I43" s="3130"/>
      <c r="J43" s="357"/>
      <c r="K43" s="375" t="s">
        <v>1984</v>
      </c>
      <c r="L43" s="2891"/>
      <c r="M43" s="2892"/>
      <c r="N43" s="2986"/>
      <c r="O43" s="2986"/>
      <c r="P43" s="2986"/>
      <c r="Q43" s="2892"/>
      <c r="R43" s="2892"/>
      <c r="S43" s="2893"/>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2534</v>
      </c>
      <c r="D45" s="371" t="s">
        <v>651</v>
      </c>
      <c r="H45" s="380"/>
      <c r="I45" s="380"/>
      <c r="J45" s="380"/>
      <c r="K45" s="2709" t="s">
        <v>4259</v>
      </c>
      <c r="L45" s="380"/>
      <c r="M45" s="380"/>
      <c r="N45" s="374"/>
      <c r="O45" s="374"/>
      <c r="P45" s="374"/>
      <c r="Q45" s="374"/>
      <c r="R45" s="374"/>
      <c r="S45" s="374"/>
    </row>
    <row r="46" spans="3:19" s="325" customFormat="1" ht="11.25" customHeight="1">
      <c r="E46" s="325" t="s">
        <v>92</v>
      </c>
      <c r="H46" s="3131"/>
      <c r="I46" s="3134"/>
      <c r="J46" s="3134"/>
      <c r="K46" s="3134"/>
      <c r="L46" s="3134"/>
      <c r="M46" s="3134"/>
      <c r="N46" s="3135"/>
      <c r="O46" s="372" t="s">
        <v>1989</v>
      </c>
      <c r="P46" s="372"/>
      <c r="Q46" s="3131"/>
      <c r="R46" s="3134"/>
      <c r="S46" s="3135"/>
    </row>
    <row r="47" spans="3:19" s="325" customFormat="1" ht="11.25" customHeight="1">
      <c r="D47" s="373"/>
      <c r="E47" s="330" t="s">
        <v>1021</v>
      </c>
      <c r="F47" s="339"/>
      <c r="H47" s="2971"/>
      <c r="I47" s="3143"/>
      <c r="J47" s="3143"/>
      <c r="K47" s="3144"/>
      <c r="L47" s="3143"/>
      <c r="M47" s="3143"/>
      <c r="N47" s="3145"/>
      <c r="O47" s="372" t="s">
        <v>1747</v>
      </c>
      <c r="P47" s="374"/>
      <c r="Q47" s="2897"/>
      <c r="R47" s="2957"/>
      <c r="S47" s="2958"/>
    </row>
    <row r="48" spans="3:19" s="325" customFormat="1" ht="11.25" customHeight="1">
      <c r="D48" s="373"/>
      <c r="E48" s="330" t="s">
        <v>618</v>
      </c>
      <c r="H48" s="2971"/>
      <c r="I48" s="3144"/>
      <c r="J48" s="2977"/>
      <c r="K48" s="576" t="s">
        <v>2704</v>
      </c>
      <c r="L48" s="2971"/>
      <c r="M48" s="3143"/>
      <c r="N48" s="2977"/>
      <c r="O48" s="372" t="s">
        <v>1721</v>
      </c>
      <c r="P48" s="374"/>
      <c r="Q48" s="2894"/>
      <c r="R48" s="2895"/>
      <c r="S48" s="2896"/>
    </row>
    <row r="49" spans="1:19" s="325" customFormat="1" ht="11.25" customHeight="1">
      <c r="E49" s="330" t="s">
        <v>1799</v>
      </c>
      <c r="H49" s="1599"/>
      <c r="I49" s="374"/>
      <c r="J49" s="374"/>
      <c r="K49" s="1000" t="s">
        <v>2229</v>
      </c>
      <c r="L49" s="3021"/>
      <c r="M49" s="3146"/>
      <c r="N49" s="374"/>
      <c r="O49" s="372" t="s">
        <v>1979</v>
      </c>
      <c r="P49" s="374"/>
      <c r="Q49" s="2894"/>
      <c r="R49" s="2895"/>
      <c r="S49" s="2896"/>
    </row>
    <row r="50" spans="1:19" s="325" customFormat="1" ht="11.25" customHeight="1">
      <c r="D50" s="373"/>
      <c r="E50" s="330" t="s">
        <v>4260</v>
      </c>
      <c r="H50" s="3129"/>
      <c r="I50" s="3130"/>
      <c r="J50" s="357"/>
      <c r="K50" s="375" t="s">
        <v>1984</v>
      </c>
      <c r="L50" s="2891"/>
      <c r="M50" s="2892"/>
      <c r="N50" s="2986"/>
      <c r="O50" s="2986"/>
      <c r="P50" s="2986"/>
      <c r="Q50" s="2892"/>
      <c r="R50" s="2892"/>
      <c r="S50" s="2893"/>
    </row>
    <row r="51" spans="1:19" ht="6.75" customHeight="1">
      <c r="H51" s="385"/>
      <c r="I51" s="385"/>
      <c r="J51" s="385"/>
      <c r="K51" s="385"/>
      <c r="L51" s="385"/>
      <c r="M51" s="385"/>
      <c r="N51" s="385"/>
      <c r="O51" s="385"/>
      <c r="P51" s="385"/>
      <c r="Q51" s="385"/>
      <c r="R51" s="385"/>
      <c r="S51" s="385"/>
    </row>
    <row r="52" spans="1:19" s="325" customFormat="1" ht="13.35" customHeight="1">
      <c r="A52" s="327" t="s">
        <v>740</v>
      </c>
      <c r="B52" s="327" t="s">
        <v>652</v>
      </c>
      <c r="F52" s="327"/>
      <c r="G52" s="1243"/>
      <c r="H52" s="375"/>
      <c r="I52" s="375"/>
      <c r="J52" s="380"/>
      <c r="K52" s="2709" t="s">
        <v>4259</v>
      </c>
      <c r="L52" s="380"/>
      <c r="M52" s="380"/>
      <c r="N52" s="380"/>
      <c r="O52" s="380"/>
      <c r="P52" s="380"/>
      <c r="Q52" s="380"/>
      <c r="R52" s="380"/>
      <c r="S52" s="380"/>
    </row>
    <row r="53" spans="1:19" s="325" customFormat="1" ht="3" customHeight="1">
      <c r="A53" s="327"/>
      <c r="B53" s="327"/>
      <c r="F53" s="327"/>
      <c r="G53" s="1243"/>
      <c r="H53" s="381"/>
      <c r="I53" s="381"/>
      <c r="J53" s="381"/>
      <c r="K53" s="382"/>
      <c r="L53" s="381"/>
      <c r="M53" s="381"/>
      <c r="N53" s="382"/>
      <c r="O53" s="383"/>
      <c r="P53" s="383"/>
      <c r="Q53" s="375"/>
      <c r="R53" s="383"/>
      <c r="S53" s="383"/>
    </row>
    <row r="54" spans="1:19" s="325" customFormat="1" ht="11.25" customHeight="1">
      <c r="B54" s="327" t="s">
        <v>1983</v>
      </c>
      <c r="C54" s="327" t="s">
        <v>282</v>
      </c>
      <c r="H54" s="3131" t="s">
        <v>5296</v>
      </c>
      <c r="I54" s="3134"/>
      <c r="J54" s="3134"/>
      <c r="K54" s="3134"/>
      <c r="L54" s="3134"/>
      <c r="M54" s="3134"/>
      <c r="N54" s="3135"/>
      <c r="O54" s="372" t="s">
        <v>1989</v>
      </c>
      <c r="P54" s="372"/>
      <c r="Q54" s="3131" t="s">
        <v>5249</v>
      </c>
      <c r="R54" s="3134"/>
      <c r="S54" s="3135"/>
    </row>
    <row r="55" spans="1:19" s="325" customFormat="1" ht="11.25" customHeight="1">
      <c r="D55" s="373"/>
      <c r="E55" s="330" t="s">
        <v>1021</v>
      </c>
      <c r="F55" s="339"/>
      <c r="H55" s="2971" t="s">
        <v>5234</v>
      </c>
      <c r="I55" s="3143"/>
      <c r="J55" s="3143"/>
      <c r="K55" s="3144"/>
      <c r="L55" s="3143"/>
      <c r="M55" s="3143"/>
      <c r="N55" s="3145"/>
      <c r="O55" s="372" t="s">
        <v>1747</v>
      </c>
      <c r="P55" s="374"/>
      <c r="Q55" s="2897" t="s">
        <v>2474</v>
      </c>
      <c r="R55" s="2957"/>
      <c r="S55" s="2958"/>
    </row>
    <row r="56" spans="1:19" s="325" customFormat="1" ht="11.25" customHeight="1">
      <c r="D56" s="373"/>
      <c r="E56" s="330" t="s">
        <v>618</v>
      </c>
      <c r="H56" s="2971" t="s">
        <v>5252</v>
      </c>
      <c r="I56" s="3144"/>
      <c r="J56" s="2977"/>
      <c r="K56" s="576" t="s">
        <v>2704</v>
      </c>
      <c r="L56" s="2971" t="s">
        <v>5265</v>
      </c>
      <c r="M56" s="3143"/>
      <c r="N56" s="2977"/>
      <c r="O56" s="372" t="s">
        <v>1721</v>
      </c>
      <c r="P56" s="374"/>
      <c r="Q56" s="2894">
        <v>7043359112</v>
      </c>
      <c r="R56" s="2895"/>
      <c r="S56" s="2896"/>
    </row>
    <row r="57" spans="1:19" s="325" customFormat="1" ht="11.25" customHeight="1">
      <c r="E57" s="330" t="s">
        <v>1799</v>
      </c>
      <c r="H57" s="1599" t="s">
        <v>1349</v>
      </c>
      <c r="I57" s="374"/>
      <c r="J57" s="374"/>
      <c r="K57" s="1000" t="s">
        <v>2229</v>
      </c>
      <c r="L57" s="3021">
        <v>282035824</v>
      </c>
      <c r="M57" s="3146"/>
      <c r="N57" s="374"/>
      <c r="O57" s="372" t="s">
        <v>1979</v>
      </c>
      <c r="P57" s="374"/>
      <c r="Q57" s="2894">
        <v>8032694235</v>
      </c>
      <c r="R57" s="2895"/>
      <c r="S57" s="2896"/>
    </row>
    <row r="58" spans="1:19" s="325" customFormat="1" ht="11.25" customHeight="1">
      <c r="D58" s="373"/>
      <c r="E58" s="330" t="s">
        <v>4260</v>
      </c>
      <c r="H58" s="3129">
        <v>7043359112</v>
      </c>
      <c r="I58" s="3130"/>
      <c r="J58" s="357"/>
      <c r="K58" s="375" t="s">
        <v>1984</v>
      </c>
      <c r="L58" s="2891" t="s">
        <v>5236</v>
      </c>
      <c r="M58" s="2892"/>
      <c r="N58" s="2986"/>
      <c r="O58" s="2986"/>
      <c r="P58" s="2986"/>
      <c r="Q58" s="2892"/>
      <c r="R58" s="2892"/>
      <c r="S58" s="2893"/>
    </row>
    <row r="59" spans="1:19" s="325" customFormat="1" ht="6.6" customHeight="1">
      <c r="D59" s="373"/>
      <c r="E59" s="1238"/>
      <c r="F59" s="1238"/>
      <c r="G59" s="1228"/>
      <c r="H59" s="384"/>
      <c r="I59" s="384"/>
      <c r="J59" s="384"/>
      <c r="K59" s="375"/>
      <c r="L59" s="384"/>
      <c r="M59" s="384"/>
      <c r="N59" s="382"/>
      <c r="O59" s="383"/>
      <c r="P59" s="383"/>
      <c r="Q59" s="375"/>
      <c r="R59" s="383"/>
      <c r="S59" s="383"/>
    </row>
    <row r="60" spans="1:19" s="325" customFormat="1" ht="11.25" customHeight="1">
      <c r="B60" s="327" t="s">
        <v>1985</v>
      </c>
      <c r="C60" s="327" t="s">
        <v>283</v>
      </c>
      <c r="H60" s="3131" t="s">
        <v>5297</v>
      </c>
      <c r="I60" s="3134"/>
      <c r="J60" s="3134"/>
      <c r="K60" s="3134"/>
      <c r="L60" s="3134"/>
      <c r="M60" s="3134"/>
      <c r="N60" s="3135"/>
      <c r="O60" s="372" t="s">
        <v>1989</v>
      </c>
      <c r="P60" s="372"/>
      <c r="Q60" s="3131" t="s">
        <v>5253</v>
      </c>
      <c r="R60" s="3134"/>
      <c r="S60" s="3135"/>
    </row>
    <row r="61" spans="1:19" s="325" customFormat="1" ht="11.25" customHeight="1">
      <c r="D61" s="373"/>
      <c r="E61" s="330" t="s">
        <v>1021</v>
      </c>
      <c r="F61" s="339"/>
      <c r="H61" s="2971" t="s">
        <v>5314</v>
      </c>
      <c r="I61" s="3143"/>
      <c r="J61" s="3143"/>
      <c r="K61" s="3144"/>
      <c r="L61" s="3143"/>
      <c r="M61" s="3143"/>
      <c r="N61" s="3145"/>
      <c r="O61" s="372" t="s">
        <v>1747</v>
      </c>
      <c r="P61" s="374"/>
      <c r="Q61" s="2897" t="s">
        <v>2474</v>
      </c>
      <c r="R61" s="2957"/>
      <c r="S61" s="2958"/>
    </row>
    <row r="62" spans="1:19" s="325" customFormat="1" ht="11.25" customHeight="1">
      <c r="D62" s="373"/>
      <c r="E62" s="330" t="s">
        <v>618</v>
      </c>
      <c r="H62" s="2971" t="s">
        <v>5254</v>
      </c>
      <c r="I62" s="3144"/>
      <c r="J62" s="2977"/>
      <c r="K62" s="576" t="s">
        <v>2704</v>
      </c>
      <c r="L62" s="2971"/>
      <c r="M62" s="3143"/>
      <c r="N62" s="2977"/>
      <c r="O62" s="372" t="s">
        <v>1721</v>
      </c>
      <c r="P62" s="374"/>
      <c r="Q62" s="2894">
        <v>8436961541</v>
      </c>
      <c r="R62" s="2895"/>
      <c r="S62" s="2896"/>
    </row>
    <row r="63" spans="1:19" s="325" customFormat="1" ht="11.25" customHeight="1">
      <c r="E63" s="330" t="s">
        <v>1799</v>
      </c>
      <c r="H63" s="1599" t="s">
        <v>1356</v>
      </c>
      <c r="I63" s="374"/>
      <c r="J63" s="374"/>
      <c r="K63" s="1000" t="s">
        <v>2229</v>
      </c>
      <c r="L63" s="3021">
        <v>294643503</v>
      </c>
      <c r="M63" s="3146"/>
      <c r="N63" s="374"/>
      <c r="O63" s="372" t="s">
        <v>1979</v>
      </c>
      <c r="P63" s="374"/>
      <c r="Q63" s="2894">
        <v>8436961541</v>
      </c>
      <c r="R63" s="2895"/>
      <c r="S63" s="2896"/>
    </row>
    <row r="64" spans="1:19" s="325" customFormat="1" ht="11.25" customHeight="1">
      <c r="D64" s="373"/>
      <c r="E64" s="330" t="s">
        <v>4260</v>
      </c>
      <c r="H64" s="3129">
        <v>8436961541</v>
      </c>
      <c r="I64" s="3130"/>
      <c r="J64" s="357"/>
      <c r="K64" s="375" t="s">
        <v>1984</v>
      </c>
      <c r="L64" s="2891" t="s">
        <v>5255</v>
      </c>
      <c r="M64" s="2892"/>
      <c r="N64" s="2986"/>
      <c r="O64" s="2986"/>
      <c r="P64" s="2986"/>
      <c r="Q64" s="2892"/>
      <c r="R64" s="2892"/>
      <c r="S64" s="2893"/>
    </row>
    <row r="65" spans="1:19" s="325" customFormat="1" ht="6.6" customHeight="1">
      <c r="D65" s="373"/>
      <c r="E65" s="1238"/>
      <c r="F65" s="1238"/>
      <c r="G65" s="1228"/>
      <c r="H65" s="384"/>
      <c r="I65" s="384"/>
      <c r="J65" s="384"/>
      <c r="K65" s="375"/>
      <c r="L65" s="384"/>
      <c r="M65" s="384"/>
      <c r="N65" s="382"/>
      <c r="O65" s="383"/>
      <c r="P65" s="383"/>
      <c r="Q65" s="375"/>
      <c r="R65" s="383"/>
      <c r="S65" s="383"/>
    </row>
    <row r="66" spans="1:19" s="325" customFormat="1" ht="11.25" customHeight="1">
      <c r="B66" s="327" t="s">
        <v>749</v>
      </c>
      <c r="C66" s="327" t="s">
        <v>1528</v>
      </c>
      <c r="H66" s="3131"/>
      <c r="I66" s="3134"/>
      <c r="J66" s="3134"/>
      <c r="K66" s="3134"/>
      <c r="L66" s="3134"/>
      <c r="M66" s="3134"/>
      <c r="N66" s="3135"/>
      <c r="O66" s="372" t="s">
        <v>1989</v>
      </c>
      <c r="P66" s="372"/>
      <c r="Q66" s="3131"/>
      <c r="R66" s="3134"/>
      <c r="S66" s="3135"/>
    </row>
    <row r="67" spans="1:19" s="325" customFormat="1" ht="11.25" customHeight="1">
      <c r="D67" s="373"/>
      <c r="E67" s="330" t="s">
        <v>1021</v>
      </c>
      <c r="F67" s="339"/>
      <c r="H67" s="2971"/>
      <c r="I67" s="3143"/>
      <c r="J67" s="3143"/>
      <c r="K67" s="3144"/>
      <c r="L67" s="3143"/>
      <c r="M67" s="3143"/>
      <c r="N67" s="3145"/>
      <c r="O67" s="372" t="s">
        <v>1747</v>
      </c>
      <c r="P67" s="374"/>
      <c r="Q67" s="2897"/>
      <c r="R67" s="2957"/>
      <c r="S67" s="2958"/>
    </row>
    <row r="68" spans="1:19" s="325" customFormat="1" ht="11.25" customHeight="1">
      <c r="D68" s="373"/>
      <c r="E68" s="330" t="s">
        <v>618</v>
      </c>
      <c r="H68" s="2971"/>
      <c r="I68" s="3144"/>
      <c r="J68" s="2977"/>
      <c r="K68" s="576" t="s">
        <v>2704</v>
      </c>
      <c r="L68" s="2971"/>
      <c r="M68" s="3143"/>
      <c r="N68" s="2977"/>
      <c r="O68" s="372" t="s">
        <v>1721</v>
      </c>
      <c r="P68" s="374"/>
      <c r="Q68" s="2894"/>
      <c r="R68" s="2895"/>
      <c r="S68" s="2896"/>
    </row>
    <row r="69" spans="1:19" s="325" customFormat="1" ht="11.25" customHeight="1">
      <c r="E69" s="330" t="s">
        <v>1799</v>
      </c>
      <c r="H69" s="1599"/>
      <c r="I69" s="374"/>
      <c r="J69" s="374"/>
      <c r="K69" s="1000" t="s">
        <v>2229</v>
      </c>
      <c r="L69" s="3021"/>
      <c r="M69" s="3146"/>
      <c r="N69" s="374"/>
      <c r="O69" s="372" t="s">
        <v>1979</v>
      </c>
      <c r="P69" s="374"/>
      <c r="Q69" s="2894"/>
      <c r="R69" s="2895"/>
      <c r="S69" s="2896"/>
    </row>
    <row r="70" spans="1:19" s="325" customFormat="1" ht="11.25" customHeight="1">
      <c r="D70" s="373"/>
      <c r="E70" s="330" t="s">
        <v>4260</v>
      </c>
      <c r="H70" s="3129"/>
      <c r="I70" s="3130"/>
      <c r="J70" s="357"/>
      <c r="K70" s="375" t="s">
        <v>1984</v>
      </c>
      <c r="L70" s="2891"/>
      <c r="M70" s="2892"/>
      <c r="N70" s="2986"/>
      <c r="O70" s="2986"/>
      <c r="P70" s="2986"/>
      <c r="Q70" s="2892"/>
      <c r="R70" s="2892"/>
      <c r="S70" s="2893"/>
    </row>
    <row r="71" spans="1:19" ht="6.6" customHeight="1">
      <c r="H71" s="384"/>
      <c r="I71" s="384"/>
      <c r="J71" s="384"/>
      <c r="K71" s="375"/>
      <c r="L71" s="384"/>
      <c r="M71" s="384"/>
      <c r="N71" s="382"/>
      <c r="O71" s="383"/>
      <c r="P71" s="383"/>
      <c r="Q71" s="375"/>
      <c r="R71" s="383"/>
      <c r="S71" s="383"/>
    </row>
    <row r="72" spans="1:19" s="325" customFormat="1" ht="11.25" customHeight="1">
      <c r="B72" s="327" t="s">
        <v>2115</v>
      </c>
      <c r="C72" s="327" t="s">
        <v>284</v>
      </c>
      <c r="H72" s="3131"/>
      <c r="I72" s="3134"/>
      <c r="J72" s="3134"/>
      <c r="K72" s="3134"/>
      <c r="L72" s="3134"/>
      <c r="M72" s="3134"/>
      <c r="N72" s="3135"/>
      <c r="O72" s="372" t="s">
        <v>1989</v>
      </c>
      <c r="P72" s="372"/>
      <c r="Q72" s="3131"/>
      <c r="R72" s="3134"/>
      <c r="S72" s="3135"/>
    </row>
    <row r="73" spans="1:19" s="325" customFormat="1" ht="11.25" customHeight="1">
      <c r="D73" s="373"/>
      <c r="E73" s="330" t="s">
        <v>1021</v>
      </c>
      <c r="F73" s="339"/>
      <c r="H73" s="2971"/>
      <c r="I73" s="3143"/>
      <c r="J73" s="3143"/>
      <c r="K73" s="3144"/>
      <c r="L73" s="3143"/>
      <c r="M73" s="3143"/>
      <c r="N73" s="3145"/>
      <c r="O73" s="372" t="s">
        <v>1747</v>
      </c>
      <c r="P73" s="374"/>
      <c r="Q73" s="2897"/>
      <c r="R73" s="2957"/>
      <c r="S73" s="2958"/>
    </row>
    <row r="74" spans="1:19" s="325" customFormat="1" ht="11.25" customHeight="1">
      <c r="D74" s="373"/>
      <c r="E74" s="330" t="s">
        <v>618</v>
      </c>
      <c r="H74" s="2971"/>
      <c r="I74" s="3144"/>
      <c r="J74" s="2977"/>
      <c r="K74" s="576" t="s">
        <v>2704</v>
      </c>
      <c r="L74" s="2971"/>
      <c r="M74" s="3143"/>
      <c r="N74" s="2977"/>
      <c r="O74" s="372" t="s">
        <v>1721</v>
      </c>
      <c r="P74" s="374"/>
      <c r="Q74" s="2894"/>
      <c r="R74" s="2895"/>
      <c r="S74" s="2896"/>
    </row>
    <row r="75" spans="1:19" s="325" customFormat="1" ht="11.25" customHeight="1">
      <c r="E75" s="330" t="s">
        <v>1799</v>
      </c>
      <c r="H75" s="1599"/>
      <c r="I75" s="374"/>
      <c r="J75" s="374"/>
      <c r="K75" s="1000" t="s">
        <v>2229</v>
      </c>
      <c r="L75" s="3021"/>
      <c r="M75" s="3146"/>
      <c r="N75" s="374"/>
      <c r="O75" s="372" t="s">
        <v>1979</v>
      </c>
      <c r="P75" s="374"/>
      <c r="Q75" s="2894"/>
      <c r="R75" s="2895"/>
      <c r="S75" s="2896"/>
    </row>
    <row r="76" spans="1:19" s="325" customFormat="1" ht="11.25" customHeight="1">
      <c r="D76" s="373"/>
      <c r="E76" s="330" t="s">
        <v>4260</v>
      </c>
      <c r="H76" s="3129"/>
      <c r="I76" s="3130"/>
      <c r="J76" s="357"/>
      <c r="K76" s="375" t="s">
        <v>1984</v>
      </c>
      <c r="L76" s="2891"/>
      <c r="M76" s="2892"/>
      <c r="N76" s="2986"/>
      <c r="O76" s="2986"/>
      <c r="P76" s="2986"/>
      <c r="Q76" s="2892"/>
      <c r="R76" s="2892"/>
      <c r="S76" s="2893"/>
    </row>
    <row r="77" spans="1:19" ht="6.75" customHeight="1">
      <c r="H77" s="385"/>
      <c r="I77" s="385"/>
      <c r="J77" s="385"/>
      <c r="K77" s="385"/>
      <c r="L77" s="385"/>
      <c r="M77" s="385"/>
      <c r="N77" s="385"/>
      <c r="O77" s="385"/>
      <c r="P77" s="385"/>
      <c r="Q77" s="385"/>
      <c r="R77" s="385"/>
      <c r="S77" s="385"/>
    </row>
    <row r="78" spans="1:19" s="330" customFormat="1" ht="13.35" customHeight="1">
      <c r="A78" s="331" t="s">
        <v>742</v>
      </c>
      <c r="B78" s="331" t="s">
        <v>285</v>
      </c>
      <c r="D78" s="331"/>
      <c r="E78" s="1228"/>
      <c r="F78" s="299"/>
      <c r="G78" s="299"/>
      <c r="H78" s="388"/>
      <c r="I78" s="388"/>
      <c r="J78" s="388"/>
      <c r="K78" s="2709" t="s">
        <v>4259</v>
      </c>
      <c r="L78" s="388"/>
      <c r="M78" s="388"/>
      <c r="N78" s="389"/>
      <c r="O78" s="389"/>
      <c r="P78" s="389"/>
      <c r="Q78" s="389"/>
      <c r="R78" s="389"/>
      <c r="S78" s="389"/>
    </row>
    <row r="79" spans="1:19" s="330" customFormat="1" ht="3" customHeight="1">
      <c r="A79" s="331"/>
      <c r="B79" s="331"/>
      <c r="D79" s="331"/>
      <c r="E79" s="1228"/>
      <c r="F79" s="299"/>
      <c r="G79" s="299"/>
      <c r="H79" s="381"/>
      <c r="I79" s="381"/>
      <c r="J79" s="381"/>
      <c r="K79" s="382"/>
      <c r="L79" s="381"/>
      <c r="M79" s="381"/>
      <c r="N79" s="382"/>
      <c r="O79" s="383"/>
      <c r="P79" s="383"/>
      <c r="Q79" s="375"/>
      <c r="R79" s="383"/>
      <c r="S79" s="383"/>
    </row>
    <row r="80" spans="1:19" s="325" customFormat="1" ht="11.25" customHeight="1">
      <c r="B80" s="327" t="s">
        <v>1983</v>
      </c>
      <c r="C80" s="327" t="s">
        <v>286</v>
      </c>
      <c r="H80" s="3131"/>
      <c r="I80" s="3134"/>
      <c r="J80" s="3134"/>
      <c r="K80" s="3134"/>
      <c r="L80" s="3134"/>
      <c r="M80" s="3134"/>
      <c r="N80" s="3135"/>
      <c r="O80" s="372" t="s">
        <v>1989</v>
      </c>
      <c r="P80" s="372"/>
      <c r="Q80" s="3131"/>
      <c r="R80" s="3134"/>
      <c r="S80" s="3135"/>
    </row>
    <row r="81" spans="2:19" s="325" customFormat="1" ht="11.25" customHeight="1">
      <c r="D81" s="373"/>
      <c r="E81" s="330" t="s">
        <v>1021</v>
      </c>
      <c r="F81" s="339"/>
      <c r="H81" s="2971"/>
      <c r="I81" s="3143"/>
      <c r="J81" s="3143"/>
      <c r="K81" s="3144"/>
      <c r="L81" s="3143"/>
      <c r="M81" s="3143"/>
      <c r="N81" s="3145"/>
      <c r="O81" s="372" t="s">
        <v>1747</v>
      </c>
      <c r="P81" s="374"/>
      <c r="Q81" s="2897"/>
      <c r="R81" s="2957"/>
      <c r="S81" s="2958"/>
    </row>
    <row r="82" spans="2:19" s="325" customFormat="1" ht="11.25" customHeight="1">
      <c r="D82" s="373"/>
      <c r="E82" s="330" t="s">
        <v>618</v>
      </c>
      <c r="H82" s="2971"/>
      <c r="I82" s="3144"/>
      <c r="J82" s="2977"/>
      <c r="K82" s="576" t="s">
        <v>2704</v>
      </c>
      <c r="L82" s="2971"/>
      <c r="M82" s="3143"/>
      <c r="N82" s="2977"/>
      <c r="O82" s="372" t="s">
        <v>1721</v>
      </c>
      <c r="P82" s="374"/>
      <c r="Q82" s="2894"/>
      <c r="R82" s="2895"/>
      <c r="S82" s="2896"/>
    </row>
    <row r="83" spans="2:19" s="325" customFormat="1" ht="11.25" customHeight="1">
      <c r="E83" s="330" t="s">
        <v>1799</v>
      </c>
      <c r="H83" s="1599"/>
      <c r="I83" s="374"/>
      <c r="J83" s="374"/>
      <c r="K83" s="1000" t="s">
        <v>2229</v>
      </c>
      <c r="L83" s="3021"/>
      <c r="M83" s="3146"/>
      <c r="N83" s="374"/>
      <c r="O83" s="372" t="s">
        <v>1979</v>
      </c>
      <c r="P83" s="374"/>
      <c r="Q83" s="2894"/>
      <c r="R83" s="2895"/>
      <c r="S83" s="2896"/>
    </row>
    <row r="84" spans="2:19" s="325" customFormat="1" ht="11.25" customHeight="1">
      <c r="D84" s="373"/>
      <c r="E84" s="330" t="s">
        <v>4260</v>
      </c>
      <c r="H84" s="3129"/>
      <c r="I84" s="3130"/>
      <c r="J84" s="357"/>
      <c r="K84" s="375" t="s">
        <v>1984</v>
      </c>
      <c r="L84" s="2891"/>
      <c r="M84" s="2892"/>
      <c r="N84" s="2986"/>
      <c r="O84" s="2986"/>
      <c r="P84" s="2986"/>
      <c r="Q84" s="2892"/>
      <c r="R84" s="2892"/>
      <c r="S84" s="2893"/>
    </row>
    <row r="85" spans="2:19" ht="6.6" customHeight="1">
      <c r="H85" s="384"/>
      <c r="I85" s="384"/>
      <c r="J85" s="384"/>
      <c r="K85" s="375"/>
      <c r="L85" s="384"/>
      <c r="M85" s="384"/>
      <c r="N85" s="382"/>
      <c r="O85" s="383"/>
      <c r="P85" s="383"/>
      <c r="Q85" s="375"/>
      <c r="R85" s="383"/>
      <c r="S85" s="383"/>
    </row>
    <row r="86" spans="2:19" s="325" customFormat="1" ht="11.25" customHeight="1">
      <c r="B86" s="327" t="s">
        <v>1985</v>
      </c>
      <c r="C86" s="327" t="s">
        <v>287</v>
      </c>
      <c r="H86" s="3131" t="s">
        <v>5299</v>
      </c>
      <c r="I86" s="3134"/>
      <c r="J86" s="3134"/>
      <c r="K86" s="3134"/>
      <c r="L86" s="3134"/>
      <c r="M86" s="3134"/>
      <c r="N86" s="3135"/>
      <c r="O86" s="372" t="s">
        <v>1989</v>
      </c>
      <c r="P86" s="372"/>
      <c r="Q86" s="3131"/>
      <c r="R86" s="3134"/>
      <c r="S86" s="3135"/>
    </row>
    <row r="87" spans="2:19" s="325" customFormat="1" ht="11.25" customHeight="1">
      <c r="D87" s="373"/>
      <c r="E87" s="330" t="s">
        <v>1021</v>
      </c>
      <c r="F87" s="339"/>
      <c r="H87" s="2971"/>
      <c r="I87" s="3143"/>
      <c r="J87" s="3143"/>
      <c r="K87" s="3144"/>
      <c r="L87" s="3143"/>
      <c r="M87" s="3143"/>
      <c r="N87" s="3145"/>
      <c r="O87" s="372" t="s">
        <v>1747</v>
      </c>
      <c r="P87" s="374"/>
      <c r="Q87" s="2897"/>
      <c r="R87" s="2957"/>
      <c r="S87" s="2958"/>
    </row>
    <row r="88" spans="2:19" s="325" customFormat="1" ht="11.25" customHeight="1">
      <c r="D88" s="373"/>
      <c r="E88" s="330" t="s">
        <v>618</v>
      </c>
      <c r="H88" s="2971"/>
      <c r="I88" s="3144"/>
      <c r="J88" s="2977"/>
      <c r="K88" s="576" t="s">
        <v>2704</v>
      </c>
      <c r="L88" s="2971"/>
      <c r="M88" s="3143"/>
      <c r="N88" s="2977"/>
      <c r="O88" s="372" t="s">
        <v>1721</v>
      </c>
      <c r="P88" s="374"/>
      <c r="Q88" s="2894"/>
      <c r="R88" s="2895"/>
      <c r="S88" s="2896"/>
    </row>
    <row r="89" spans="2:19" s="325" customFormat="1" ht="11.25" customHeight="1">
      <c r="E89" s="330" t="s">
        <v>1799</v>
      </c>
      <c r="H89" s="1599"/>
      <c r="I89" s="374"/>
      <c r="J89" s="374"/>
      <c r="K89" s="1000" t="s">
        <v>2229</v>
      </c>
      <c r="L89" s="3021"/>
      <c r="M89" s="3146"/>
      <c r="N89" s="374"/>
      <c r="O89" s="372" t="s">
        <v>1979</v>
      </c>
      <c r="P89" s="374"/>
      <c r="Q89" s="2894"/>
      <c r="R89" s="2895"/>
      <c r="S89" s="2896"/>
    </row>
    <row r="90" spans="2:19" s="325" customFormat="1" ht="11.25" customHeight="1">
      <c r="D90" s="373"/>
      <c r="E90" s="330" t="s">
        <v>4260</v>
      </c>
      <c r="H90" s="3129"/>
      <c r="I90" s="3130"/>
      <c r="J90" s="357"/>
      <c r="K90" s="375" t="s">
        <v>1984</v>
      </c>
      <c r="L90" s="2891"/>
      <c r="M90" s="2892"/>
      <c r="N90" s="2986"/>
      <c r="O90" s="2986"/>
      <c r="P90" s="2986"/>
      <c r="Q90" s="2892"/>
      <c r="R90" s="2892"/>
      <c r="S90" s="2893"/>
    </row>
    <row r="91" spans="2:19" ht="6.6" customHeight="1">
      <c r="H91" s="384"/>
      <c r="I91" s="384"/>
      <c r="J91" s="384"/>
      <c r="K91" s="375"/>
      <c r="L91" s="384"/>
      <c r="M91" s="384"/>
      <c r="N91" s="382"/>
      <c r="O91" s="383"/>
      <c r="P91" s="383"/>
      <c r="Q91" s="375"/>
      <c r="R91" s="383"/>
      <c r="S91" s="383"/>
    </row>
    <row r="92" spans="2:19" s="325" customFormat="1" ht="11.25" customHeight="1">
      <c r="B92" s="327" t="s">
        <v>749</v>
      </c>
      <c r="C92" s="327" t="s">
        <v>288</v>
      </c>
      <c r="F92" s="346"/>
      <c r="H92" s="3131" t="s">
        <v>5298</v>
      </c>
      <c r="I92" s="3134"/>
      <c r="J92" s="3134"/>
      <c r="K92" s="3134"/>
      <c r="L92" s="3134"/>
      <c r="M92" s="3134"/>
      <c r="N92" s="3135"/>
      <c r="O92" s="372" t="s">
        <v>1989</v>
      </c>
      <c r="P92" s="372"/>
      <c r="Q92" s="3131" t="s">
        <v>5301</v>
      </c>
      <c r="R92" s="3134"/>
      <c r="S92" s="3135"/>
    </row>
    <row r="93" spans="2:19" s="325" customFormat="1" ht="11.25" customHeight="1">
      <c r="D93" s="373"/>
      <c r="E93" s="330" t="s">
        <v>1021</v>
      </c>
      <c r="F93" s="339"/>
      <c r="H93" s="2971" t="s">
        <v>5256</v>
      </c>
      <c r="I93" s="3143"/>
      <c r="J93" s="3143"/>
      <c r="K93" s="3144"/>
      <c r="L93" s="3143"/>
      <c r="M93" s="3143"/>
      <c r="N93" s="3145"/>
      <c r="O93" s="372" t="s">
        <v>1747</v>
      </c>
      <c r="P93" s="374"/>
      <c r="Q93" s="2897" t="s">
        <v>5300</v>
      </c>
      <c r="R93" s="2957"/>
      <c r="S93" s="2958"/>
    </row>
    <row r="94" spans="2:19" s="325" customFormat="1" ht="11.25" customHeight="1">
      <c r="D94" s="373"/>
      <c r="E94" s="330" t="s">
        <v>618</v>
      </c>
      <c r="H94" s="2971" t="s">
        <v>5235</v>
      </c>
      <c r="I94" s="3144"/>
      <c r="J94" s="2977"/>
      <c r="K94" s="576" t="s">
        <v>2704</v>
      </c>
      <c r="L94" s="2971" t="s">
        <v>5266</v>
      </c>
      <c r="M94" s="3143"/>
      <c r="N94" s="2977"/>
      <c r="O94" s="372" t="s">
        <v>1721</v>
      </c>
      <c r="P94" s="374"/>
      <c r="Q94" s="2894">
        <v>7043576119</v>
      </c>
      <c r="R94" s="2895"/>
      <c r="S94" s="2896"/>
    </row>
    <row r="95" spans="2:19" s="325" customFormat="1" ht="11.25" customHeight="1">
      <c r="D95" s="373"/>
      <c r="E95" s="330" t="s">
        <v>1799</v>
      </c>
      <c r="H95" s="1599" t="s">
        <v>1349</v>
      </c>
      <c r="I95" s="374"/>
      <c r="J95" s="374"/>
      <c r="K95" s="1000" t="s">
        <v>2229</v>
      </c>
      <c r="L95" s="3021">
        <v>282172856</v>
      </c>
      <c r="M95" s="3146"/>
      <c r="N95" s="374"/>
      <c r="O95" s="372" t="s">
        <v>1979</v>
      </c>
      <c r="P95" s="374"/>
      <c r="Q95" s="2894">
        <v>7043576000</v>
      </c>
      <c r="R95" s="2895"/>
      <c r="S95" s="2896"/>
    </row>
    <row r="96" spans="2:19" s="325" customFormat="1" ht="11.25" customHeight="1">
      <c r="D96" s="373"/>
      <c r="E96" s="330" t="s">
        <v>4260</v>
      </c>
      <c r="H96" s="3129">
        <v>7043576000</v>
      </c>
      <c r="I96" s="3130"/>
      <c r="J96" s="357">
        <v>119</v>
      </c>
      <c r="K96" s="375" t="s">
        <v>1984</v>
      </c>
      <c r="L96" s="2891" t="s">
        <v>5302</v>
      </c>
      <c r="M96" s="2892"/>
      <c r="N96" s="2986"/>
      <c r="O96" s="2986"/>
      <c r="P96" s="2986"/>
      <c r="Q96" s="2892"/>
      <c r="R96" s="2892"/>
      <c r="S96" s="2893"/>
    </row>
    <row r="97" spans="2:19" ht="6.6" customHeight="1">
      <c r="H97" s="384"/>
      <c r="I97" s="384"/>
      <c r="J97" s="384"/>
      <c r="K97" s="375"/>
      <c r="L97" s="384"/>
      <c r="M97" s="384"/>
      <c r="N97" s="382"/>
      <c r="O97" s="383"/>
      <c r="P97" s="383"/>
      <c r="Q97" s="375"/>
      <c r="R97" s="383"/>
      <c r="S97" s="383"/>
    </row>
    <row r="98" spans="2:19" s="325" customFormat="1" ht="11.25" customHeight="1">
      <c r="B98" s="327" t="s">
        <v>2115</v>
      </c>
      <c r="C98" s="327" t="s">
        <v>289</v>
      </c>
      <c r="H98" s="3131" t="s">
        <v>5318</v>
      </c>
      <c r="I98" s="3134"/>
      <c r="J98" s="3134"/>
      <c r="K98" s="3134"/>
      <c r="L98" s="3134"/>
      <c r="M98" s="3134"/>
      <c r="N98" s="3135"/>
      <c r="O98" s="372" t="s">
        <v>1989</v>
      </c>
      <c r="P98" s="372"/>
      <c r="Q98" s="3131" t="s">
        <v>5319</v>
      </c>
      <c r="R98" s="3134"/>
      <c r="S98" s="3135"/>
    </row>
    <row r="99" spans="2:19" s="325" customFormat="1" ht="11.25" customHeight="1">
      <c r="D99" s="373"/>
      <c r="E99" s="330" t="s">
        <v>1021</v>
      </c>
      <c r="F99" s="339"/>
      <c r="H99" s="2971" t="s">
        <v>5320</v>
      </c>
      <c r="I99" s="3143"/>
      <c r="J99" s="3143"/>
      <c r="K99" s="3144"/>
      <c r="L99" s="3143"/>
      <c r="M99" s="3143"/>
      <c r="N99" s="3145"/>
      <c r="O99" s="372" t="s">
        <v>1747</v>
      </c>
      <c r="P99" s="374"/>
      <c r="Q99" s="2897" t="s">
        <v>5246</v>
      </c>
      <c r="R99" s="2957"/>
      <c r="S99" s="2958"/>
    </row>
    <row r="100" spans="2:19" s="325" customFormat="1" ht="11.25" customHeight="1">
      <c r="D100" s="373"/>
      <c r="E100" s="330" t="s">
        <v>618</v>
      </c>
      <c r="H100" s="2971" t="s">
        <v>5321</v>
      </c>
      <c r="I100" s="3144"/>
      <c r="J100" s="2977"/>
      <c r="K100" s="576" t="s">
        <v>2704</v>
      </c>
      <c r="L100" s="2971" t="s">
        <v>5322</v>
      </c>
      <c r="M100" s="3143"/>
      <c r="N100" s="2977"/>
      <c r="O100" s="372" t="s">
        <v>1721</v>
      </c>
      <c r="P100" s="374"/>
      <c r="Q100" s="2894">
        <v>3362939045</v>
      </c>
      <c r="R100" s="2895"/>
      <c r="S100" s="2896"/>
    </row>
    <row r="101" spans="2:19" s="325" customFormat="1" ht="11.25" customHeight="1">
      <c r="D101" s="373"/>
      <c r="E101" s="330" t="s">
        <v>1799</v>
      </c>
      <c r="H101" s="1599" t="s">
        <v>1349</v>
      </c>
      <c r="I101" s="374"/>
      <c r="J101" s="374"/>
      <c r="K101" s="1000" t="s">
        <v>2229</v>
      </c>
      <c r="L101" s="3021">
        <v>364692812</v>
      </c>
      <c r="M101" s="3146"/>
      <c r="N101" s="374"/>
      <c r="O101" s="372" t="s">
        <v>1979</v>
      </c>
      <c r="P101" s="374"/>
      <c r="Q101" s="2894">
        <v>3362939045</v>
      </c>
      <c r="R101" s="2895"/>
      <c r="S101" s="2896"/>
    </row>
    <row r="102" spans="2:19" ht="11.25" customHeight="1">
      <c r="E102" s="330" t="s">
        <v>4260</v>
      </c>
      <c r="F102" s="325"/>
      <c r="G102" s="325"/>
      <c r="H102" s="3129">
        <v>3362939000</v>
      </c>
      <c r="I102" s="3130"/>
      <c r="J102" s="357">
        <v>45</v>
      </c>
      <c r="K102" s="375" t="s">
        <v>1984</v>
      </c>
      <c r="L102" s="2891" t="s">
        <v>5323</v>
      </c>
      <c r="M102" s="2892"/>
      <c r="N102" s="2986"/>
      <c r="O102" s="2986"/>
      <c r="P102" s="2986"/>
      <c r="Q102" s="2892"/>
      <c r="R102" s="2892"/>
      <c r="S102" s="2893"/>
    </row>
    <row r="103" spans="2:19" ht="6" customHeight="1">
      <c r="E103" s="330"/>
      <c r="F103" s="325"/>
      <c r="G103" s="1238"/>
      <c r="H103" s="384"/>
      <c r="I103" s="384"/>
      <c r="J103" s="384"/>
      <c r="K103" s="375"/>
      <c r="L103" s="384"/>
      <c r="M103" s="384"/>
      <c r="N103" s="382"/>
      <c r="O103" s="383"/>
      <c r="P103" s="383"/>
      <c r="Q103" s="375"/>
      <c r="R103" s="383"/>
      <c r="S103" s="383"/>
    </row>
    <row r="104" spans="2:19" s="325" customFormat="1" ht="11.25" customHeight="1">
      <c r="B104" s="327" t="s">
        <v>1735</v>
      </c>
      <c r="C104" s="327" t="s">
        <v>290</v>
      </c>
      <c r="H104" s="3131" t="s">
        <v>5305</v>
      </c>
      <c r="I104" s="3134"/>
      <c r="J104" s="3134"/>
      <c r="K104" s="3134"/>
      <c r="L104" s="3134"/>
      <c r="M104" s="3134"/>
      <c r="N104" s="3135"/>
      <c r="O104" s="372" t="s">
        <v>1989</v>
      </c>
      <c r="P104" s="372"/>
      <c r="Q104" s="3131" t="s">
        <v>5306</v>
      </c>
      <c r="R104" s="3134"/>
      <c r="S104" s="3135"/>
    </row>
    <row r="105" spans="2:19" s="325" customFormat="1" ht="11.25" customHeight="1">
      <c r="D105" s="373"/>
      <c r="E105" s="330" t="s">
        <v>1021</v>
      </c>
      <c r="F105" s="339"/>
      <c r="H105" s="2971" t="s">
        <v>5307</v>
      </c>
      <c r="I105" s="3143"/>
      <c r="J105" s="3143"/>
      <c r="K105" s="3144"/>
      <c r="L105" s="3143"/>
      <c r="M105" s="3143"/>
      <c r="N105" s="3145"/>
      <c r="O105" s="372" t="s">
        <v>1747</v>
      </c>
      <c r="P105" s="374"/>
      <c r="Q105" s="2897" t="s">
        <v>5246</v>
      </c>
      <c r="R105" s="2957"/>
      <c r="S105" s="2958"/>
    </row>
    <row r="106" spans="2:19" s="325" customFormat="1" ht="11.25" customHeight="1">
      <c r="D106" s="373"/>
      <c r="E106" s="330" t="s">
        <v>618</v>
      </c>
      <c r="H106" s="2971" t="s">
        <v>985</v>
      </c>
      <c r="I106" s="3144"/>
      <c r="J106" s="2977"/>
      <c r="K106" s="576" t="s">
        <v>2704</v>
      </c>
      <c r="L106" s="2971" t="s">
        <v>5308</v>
      </c>
      <c r="M106" s="3143"/>
      <c r="N106" s="2977"/>
      <c r="O106" s="372" t="s">
        <v>1721</v>
      </c>
      <c r="P106" s="374"/>
      <c r="Q106" s="2894">
        <v>3362324410</v>
      </c>
      <c r="R106" s="2895"/>
      <c r="S106" s="2896"/>
    </row>
    <row r="107" spans="2:19" s="325" customFormat="1" ht="11.25" customHeight="1">
      <c r="D107" s="373"/>
      <c r="E107" s="330" t="s">
        <v>1799</v>
      </c>
      <c r="H107" s="1599" t="s">
        <v>1349</v>
      </c>
      <c r="I107" s="374"/>
      <c r="J107" s="374"/>
      <c r="K107" s="1000" t="s">
        <v>2229</v>
      </c>
      <c r="L107" s="3021">
        <v>274100000</v>
      </c>
      <c r="M107" s="3146"/>
      <c r="N107" s="374"/>
      <c r="O107" s="372" t="s">
        <v>1979</v>
      </c>
      <c r="P107" s="374"/>
      <c r="Q107" s="2894">
        <v>3363398808</v>
      </c>
      <c r="R107" s="2895"/>
      <c r="S107" s="2896"/>
    </row>
    <row r="108" spans="2:19" ht="11.25" customHeight="1">
      <c r="E108" s="330" t="s">
        <v>4260</v>
      </c>
      <c r="F108" s="325"/>
      <c r="G108" s="325"/>
      <c r="H108" s="3129">
        <v>3362324410</v>
      </c>
      <c r="I108" s="3130"/>
      <c r="J108" s="357"/>
      <c r="K108" s="375" t="s">
        <v>1984</v>
      </c>
      <c r="L108" s="2891" t="s">
        <v>5309</v>
      </c>
      <c r="M108" s="2892"/>
      <c r="N108" s="2986"/>
      <c r="O108" s="2986"/>
      <c r="P108" s="2986"/>
      <c r="Q108" s="2892"/>
      <c r="R108" s="2892"/>
      <c r="S108" s="2893"/>
    </row>
    <row r="109" spans="2:19" ht="6.6" customHeight="1">
      <c r="E109" s="330"/>
      <c r="F109" s="325"/>
      <c r="G109" s="1238"/>
      <c r="H109" s="384"/>
      <c r="I109" s="384"/>
      <c r="J109" s="384"/>
      <c r="K109" s="375"/>
      <c r="L109" s="384"/>
      <c r="M109" s="384"/>
      <c r="N109" s="382"/>
      <c r="O109" s="383"/>
      <c r="P109" s="383"/>
      <c r="Q109" s="375"/>
      <c r="R109" s="383"/>
      <c r="S109" s="383"/>
    </row>
    <row r="110" spans="2:19" s="325" customFormat="1" ht="11.25" customHeight="1">
      <c r="B110" s="327" t="s">
        <v>1736</v>
      </c>
      <c r="C110" s="327" t="s">
        <v>291</v>
      </c>
      <c r="H110" s="3131" t="s">
        <v>5257</v>
      </c>
      <c r="I110" s="3134"/>
      <c r="J110" s="3134"/>
      <c r="K110" s="3134"/>
      <c r="L110" s="3134"/>
      <c r="M110" s="3134"/>
      <c r="N110" s="3135"/>
      <c r="O110" s="372" t="s">
        <v>1989</v>
      </c>
      <c r="P110" s="372"/>
      <c r="Q110" s="3131" t="s">
        <v>5247</v>
      </c>
      <c r="R110" s="3134"/>
      <c r="S110" s="3135"/>
    </row>
    <row r="111" spans="2:19" s="325" customFormat="1" ht="11.25" customHeight="1">
      <c r="D111" s="373"/>
      <c r="E111" s="330" t="s">
        <v>1021</v>
      </c>
      <c r="F111" s="339"/>
      <c r="H111" s="2971" t="s">
        <v>5258</v>
      </c>
      <c r="I111" s="3143"/>
      <c r="J111" s="3143"/>
      <c r="K111" s="3144"/>
      <c r="L111" s="3143"/>
      <c r="M111" s="3143"/>
      <c r="N111" s="3145"/>
      <c r="O111" s="372" t="s">
        <v>1747</v>
      </c>
      <c r="P111" s="374"/>
      <c r="Q111" s="2897" t="s">
        <v>2474</v>
      </c>
      <c r="R111" s="2957"/>
      <c r="S111" s="2958"/>
    </row>
    <row r="112" spans="2:19" s="325" customFormat="1" ht="11.25" customHeight="1">
      <c r="D112" s="373"/>
      <c r="E112" s="330" t="s">
        <v>618</v>
      </c>
      <c r="H112" s="2971" t="s">
        <v>196</v>
      </c>
      <c r="I112" s="3144"/>
      <c r="J112" s="2977"/>
      <c r="K112" s="576" t="s">
        <v>2704</v>
      </c>
      <c r="L112" s="2971" t="s">
        <v>5260</v>
      </c>
      <c r="M112" s="3143"/>
      <c r="N112" s="2977"/>
      <c r="O112" s="372" t="s">
        <v>1721</v>
      </c>
      <c r="P112" s="374"/>
      <c r="Q112" s="2894">
        <v>4043732800</v>
      </c>
      <c r="R112" s="2895"/>
      <c r="S112" s="2896"/>
    </row>
    <row r="113" spans="1:22" s="325" customFormat="1" ht="11.25" customHeight="1">
      <c r="D113" s="390"/>
      <c r="E113" s="330" t="s">
        <v>1799</v>
      </c>
      <c r="H113" s="1599" t="s">
        <v>848</v>
      </c>
      <c r="I113" s="374"/>
      <c r="J113" s="374"/>
      <c r="K113" s="1000" t="s">
        <v>2229</v>
      </c>
      <c r="L113" s="3021">
        <v>300303330</v>
      </c>
      <c r="M113" s="3146"/>
      <c r="N113" s="374"/>
      <c r="O113" s="372" t="s">
        <v>1979</v>
      </c>
      <c r="P113" s="374"/>
      <c r="Q113" s="2894">
        <v>4043732800</v>
      </c>
      <c r="R113" s="2895"/>
      <c r="S113" s="2896"/>
    </row>
    <row r="114" spans="1:22" s="325" customFormat="1" ht="11.25" customHeight="1">
      <c r="D114" s="390"/>
      <c r="E114" s="330" t="s">
        <v>4260</v>
      </c>
      <c r="H114" s="3129">
        <v>4043732800</v>
      </c>
      <c r="I114" s="3130"/>
      <c r="J114" s="357"/>
      <c r="K114" s="375" t="s">
        <v>1984</v>
      </c>
      <c r="L114" s="2891" t="s">
        <v>5259</v>
      </c>
      <c r="M114" s="2892"/>
      <c r="N114" s="2986"/>
      <c r="O114" s="2986"/>
      <c r="P114" s="2986"/>
      <c r="Q114" s="2892"/>
      <c r="R114" s="2892"/>
      <c r="S114" s="2893"/>
    </row>
    <row r="115" spans="1:22" ht="3" customHeight="1">
      <c r="H115" s="385"/>
      <c r="I115" s="385"/>
      <c r="J115" s="385"/>
      <c r="K115" s="385"/>
      <c r="L115" s="385"/>
      <c r="M115" s="385"/>
      <c r="N115" s="385"/>
      <c r="O115" s="385"/>
      <c r="P115" s="385"/>
      <c r="Q115" s="385"/>
      <c r="R115" s="385"/>
      <c r="S115" s="385"/>
    </row>
    <row r="116" spans="1:22" s="325" customFormat="1" ht="12" customHeight="1">
      <c r="A116" s="327" t="s">
        <v>1792</v>
      </c>
      <c r="B116" s="327" t="s">
        <v>2603</v>
      </c>
      <c r="F116" s="327"/>
      <c r="G116" s="1243"/>
      <c r="H116" s="375"/>
      <c r="I116" s="375"/>
      <c r="J116" s="375"/>
      <c r="K116" s="375"/>
      <c r="L116" s="375"/>
      <c r="M116" s="375"/>
      <c r="N116" s="375"/>
      <c r="O116" s="375"/>
      <c r="P116" s="375"/>
      <c r="Q116" s="576"/>
      <c r="R116" s="374"/>
      <c r="S116" s="374"/>
    </row>
    <row r="117" spans="1:22" s="325" customFormat="1" ht="11.25" customHeight="1">
      <c r="B117" s="327" t="s">
        <v>1983</v>
      </c>
      <c r="C117" s="327" t="s">
        <v>3578</v>
      </c>
      <c r="H117" s="3131" t="s">
        <v>5267</v>
      </c>
      <c r="I117" s="3132"/>
      <c r="J117" s="3133"/>
      <c r="K117" s="375" t="s">
        <v>2474</v>
      </c>
      <c r="L117" s="3131" t="s">
        <v>5268</v>
      </c>
      <c r="M117" s="3134"/>
      <c r="N117" s="3135"/>
      <c r="O117" s="389" t="s">
        <v>3579</v>
      </c>
      <c r="P117" s="374"/>
      <c r="Q117" s="3136"/>
      <c r="R117" s="3137"/>
      <c r="S117" s="3138"/>
    </row>
    <row r="118" spans="1:22" s="325" customFormat="1" ht="11.25" customHeight="1">
      <c r="D118" s="373"/>
      <c r="E118" s="330" t="s">
        <v>1021</v>
      </c>
      <c r="F118" s="339"/>
      <c r="H118" s="2959"/>
      <c r="I118" s="3139"/>
      <c r="J118" s="3140"/>
      <c r="K118" s="2960"/>
      <c r="L118" s="3139"/>
      <c r="M118" s="3139"/>
      <c r="N118" s="3141"/>
      <c r="O118" s="389" t="s">
        <v>618</v>
      </c>
      <c r="P118" s="374"/>
      <c r="Q118" s="3142"/>
      <c r="R118" s="2963"/>
      <c r="S118" s="2964"/>
    </row>
    <row r="119" spans="1:22" s="325" customFormat="1" ht="11.25" customHeight="1">
      <c r="D119" s="373"/>
      <c r="E119" s="330" t="s">
        <v>1799</v>
      </c>
      <c r="H119" s="2673"/>
      <c r="I119" s="1000" t="s">
        <v>2229</v>
      </c>
      <c r="J119" s="2976"/>
      <c r="K119" s="2977"/>
      <c r="L119" s="375" t="s">
        <v>1984</v>
      </c>
      <c r="M119" s="2969" t="s">
        <v>5269</v>
      </c>
      <c r="N119" s="2986"/>
      <c r="O119" s="2986"/>
      <c r="P119" s="2986"/>
      <c r="Q119" s="2892"/>
      <c r="R119" s="2892"/>
      <c r="S119" s="2893"/>
    </row>
    <row r="120" spans="1:22" ht="12" customHeight="1">
      <c r="B120" s="327" t="s">
        <v>1985</v>
      </c>
      <c r="C120" s="327" t="s">
        <v>5016</v>
      </c>
      <c r="H120" s="704"/>
      <c r="I120" s="704"/>
      <c r="J120" s="704"/>
      <c r="K120" s="704"/>
      <c r="L120" s="704"/>
      <c r="M120" s="704"/>
      <c r="N120" s="704"/>
      <c r="O120" s="704"/>
      <c r="P120" s="704"/>
      <c r="Q120" s="704"/>
      <c r="R120" s="704"/>
      <c r="S120" s="704"/>
    </row>
    <row r="121" spans="1:22" ht="11.25" customHeight="1" thickBot="1">
      <c r="A121" s="3123" t="s">
        <v>3884</v>
      </c>
      <c r="B121" s="3123"/>
      <c r="C121" s="3123"/>
      <c r="D121" s="3123"/>
      <c r="E121" s="3124"/>
      <c r="F121" s="2681" t="s">
        <v>2510</v>
      </c>
      <c r="G121" s="3125" t="s">
        <v>3478</v>
      </c>
      <c r="H121" s="3126"/>
      <c r="I121" s="3126"/>
      <c r="J121" s="3126"/>
      <c r="K121" s="3126"/>
      <c r="L121" s="3126"/>
      <c r="M121" s="3126"/>
      <c r="N121" s="3126"/>
      <c r="O121" s="3126"/>
      <c r="P121" s="3126"/>
      <c r="Q121" s="3126"/>
      <c r="R121" s="3126"/>
      <c r="S121" s="3127"/>
    </row>
    <row r="122" spans="1:22" s="325" customFormat="1" ht="25.5" customHeight="1" thickBot="1">
      <c r="B122" s="568"/>
      <c r="C122" s="1332" t="s">
        <v>1986</v>
      </c>
      <c r="D122" s="3094" t="s">
        <v>2837</v>
      </c>
      <c r="E122" s="3094"/>
      <c r="F122" s="2568" t="s">
        <v>2993</v>
      </c>
      <c r="G122" s="3128"/>
      <c r="H122" s="3088"/>
      <c r="I122" s="3088"/>
      <c r="J122" s="3088"/>
      <c r="K122" s="3088"/>
      <c r="L122" s="3088"/>
      <c r="M122" s="3088"/>
      <c r="N122" s="3088"/>
      <c r="O122" s="3088"/>
      <c r="P122" s="3088"/>
      <c r="Q122" s="3088"/>
      <c r="R122" s="3088"/>
      <c r="S122" s="3090"/>
      <c r="U122" s="3147" t="s">
        <v>2031</v>
      </c>
      <c r="V122" s="3147"/>
    </row>
    <row r="123" spans="1:22" s="325" customFormat="1" ht="25.5" customHeight="1" thickBot="1">
      <c r="B123" s="568"/>
      <c r="C123" s="700" t="s">
        <v>1988</v>
      </c>
      <c r="D123" s="2912" t="s">
        <v>2902</v>
      </c>
      <c r="E123" s="2883"/>
      <c r="F123" s="2568" t="s">
        <v>2993</v>
      </c>
      <c r="G123" s="3068"/>
      <c r="H123" s="3068"/>
      <c r="I123" s="3068"/>
      <c r="J123" s="3068"/>
      <c r="K123" s="3068"/>
      <c r="L123" s="3068"/>
      <c r="M123" s="3068"/>
      <c r="N123" s="3068"/>
      <c r="O123" s="3068"/>
      <c r="P123" s="3068"/>
      <c r="Q123" s="3068"/>
      <c r="R123" s="3068"/>
      <c r="S123" s="3070"/>
      <c r="U123" s="3147"/>
      <c r="V123" s="3147"/>
    </row>
    <row r="124" spans="1:22" s="325" customFormat="1" ht="25.5" customHeight="1" thickBot="1">
      <c r="B124" s="568"/>
      <c r="C124" s="700" t="s">
        <v>2534</v>
      </c>
      <c r="D124" s="2912" t="s">
        <v>2878</v>
      </c>
      <c r="E124" s="2883"/>
      <c r="F124" s="2568" t="s">
        <v>2993</v>
      </c>
      <c r="G124" s="3068"/>
      <c r="H124" s="3068"/>
      <c r="I124" s="3068"/>
      <c r="J124" s="3068"/>
      <c r="K124" s="3068"/>
      <c r="L124" s="3068"/>
      <c r="M124" s="3068"/>
      <c r="N124" s="3068"/>
      <c r="O124" s="3068"/>
      <c r="P124" s="3068"/>
      <c r="Q124" s="3068"/>
      <c r="R124" s="3068"/>
      <c r="S124" s="3070"/>
      <c r="U124" s="3147"/>
      <c r="V124" s="3147"/>
    </row>
    <row r="125" spans="1:22" s="325" customFormat="1" ht="25.5" customHeight="1" thickBot="1">
      <c r="B125" s="568"/>
      <c r="C125" s="700" t="s">
        <v>1224</v>
      </c>
      <c r="D125" s="2912" t="s">
        <v>2838</v>
      </c>
      <c r="E125" s="2883"/>
      <c r="F125" s="2568" t="s">
        <v>2993</v>
      </c>
      <c r="G125" s="3068"/>
      <c r="H125" s="3068"/>
      <c r="I125" s="3068"/>
      <c r="J125" s="3068"/>
      <c r="K125" s="3068"/>
      <c r="L125" s="3068"/>
      <c r="M125" s="3068"/>
      <c r="N125" s="3068"/>
      <c r="O125" s="3068"/>
      <c r="P125" s="3068"/>
      <c r="Q125" s="3068"/>
      <c r="R125" s="3068"/>
      <c r="S125" s="3070"/>
      <c r="U125" s="3147"/>
      <c r="V125" s="3147"/>
    </row>
    <row r="126" spans="1:22" s="325" customFormat="1" ht="25.5" customHeight="1" thickBot="1">
      <c r="B126" s="568"/>
      <c r="C126" s="700" t="s">
        <v>1225</v>
      </c>
      <c r="D126" s="2912" t="s">
        <v>3466</v>
      </c>
      <c r="E126" s="2883"/>
      <c r="F126" s="2568" t="s">
        <v>2993</v>
      </c>
      <c r="G126" s="3068"/>
      <c r="H126" s="3068"/>
      <c r="I126" s="3068"/>
      <c r="J126" s="3068"/>
      <c r="K126" s="3068"/>
      <c r="L126" s="3068"/>
      <c r="M126" s="3068"/>
      <c r="N126" s="3068"/>
      <c r="O126" s="3068"/>
      <c r="P126" s="3068"/>
      <c r="Q126" s="3068"/>
      <c r="R126" s="3068"/>
      <c r="S126" s="3070"/>
      <c r="U126" s="3147"/>
      <c r="V126" s="3147"/>
    </row>
    <row r="127" spans="1:22" s="325" customFormat="1" ht="25.5" customHeight="1" thickBot="1">
      <c r="B127" s="568"/>
      <c r="C127" s="700" t="s">
        <v>1881</v>
      </c>
      <c r="D127" s="2912" t="s">
        <v>3467</v>
      </c>
      <c r="E127" s="2883"/>
      <c r="F127" s="2568" t="s">
        <v>2993</v>
      </c>
      <c r="G127" s="3068"/>
      <c r="H127" s="3068"/>
      <c r="I127" s="3068"/>
      <c r="J127" s="3068"/>
      <c r="K127" s="3068"/>
      <c r="L127" s="3068"/>
      <c r="M127" s="3068"/>
      <c r="N127" s="3068"/>
      <c r="O127" s="3068"/>
      <c r="P127" s="3068"/>
      <c r="Q127" s="3068"/>
      <c r="R127" s="3068"/>
      <c r="S127" s="3070"/>
      <c r="U127" s="3147"/>
      <c r="V127" s="3147"/>
    </row>
    <row r="128" spans="1:22" s="325" customFormat="1" ht="25.5" customHeight="1" thickBot="1">
      <c r="B128" s="568"/>
      <c r="C128" s="700" t="s">
        <v>503</v>
      </c>
      <c r="D128" s="2912" t="s">
        <v>2839</v>
      </c>
      <c r="E128" s="2883"/>
      <c r="F128" s="2568" t="s">
        <v>2993</v>
      </c>
      <c r="G128" s="3068"/>
      <c r="H128" s="3068"/>
      <c r="I128" s="3068"/>
      <c r="J128" s="3068"/>
      <c r="K128" s="3068"/>
      <c r="L128" s="3068"/>
      <c r="M128" s="3068"/>
      <c r="N128" s="3068"/>
      <c r="O128" s="3068"/>
      <c r="P128" s="3068"/>
      <c r="Q128" s="3068"/>
      <c r="R128" s="3068"/>
      <c r="S128" s="3070"/>
    </row>
    <row r="129" spans="1:22" s="325" customFormat="1" ht="25.5" customHeight="1" thickBot="1">
      <c r="B129" s="568"/>
      <c r="C129" s="700" t="s">
        <v>504</v>
      </c>
      <c r="D129" s="2912" t="s">
        <v>5037</v>
      </c>
      <c r="E129" s="2883"/>
      <c r="F129" s="2568" t="s">
        <v>2993</v>
      </c>
      <c r="G129" s="3068"/>
      <c r="H129" s="3068"/>
      <c r="I129" s="3068"/>
      <c r="J129" s="3068"/>
      <c r="K129" s="3068"/>
      <c r="L129" s="3068"/>
      <c r="M129" s="3068"/>
      <c r="N129" s="3068"/>
      <c r="O129" s="3068"/>
      <c r="P129" s="3068"/>
      <c r="Q129" s="3068"/>
      <c r="R129" s="3068"/>
      <c r="S129" s="3070"/>
    </row>
    <row r="130" spans="1:22" s="325" customFormat="1" ht="25.5" customHeight="1" thickBot="1">
      <c r="B130" s="568"/>
      <c r="C130" s="700" t="s">
        <v>5036</v>
      </c>
      <c r="D130" s="3091" t="s">
        <v>3883</v>
      </c>
      <c r="E130" s="3092"/>
      <c r="F130" s="2568" t="s">
        <v>2993</v>
      </c>
      <c r="G130" s="3075"/>
      <c r="H130" s="3075"/>
      <c r="I130" s="3075"/>
      <c r="J130" s="3075"/>
      <c r="K130" s="3075"/>
      <c r="L130" s="3075"/>
      <c r="M130" s="3075"/>
      <c r="N130" s="3075"/>
      <c r="O130" s="3075"/>
      <c r="P130" s="3075"/>
      <c r="Q130" s="3075"/>
      <c r="R130" s="3075"/>
      <c r="S130" s="3077"/>
    </row>
    <row r="131" spans="1:22" s="325" customFormat="1" ht="13.35" customHeight="1">
      <c r="A131" s="327" t="s">
        <v>1794</v>
      </c>
      <c r="B131" s="327" t="s">
        <v>2847</v>
      </c>
      <c r="F131" s="327"/>
      <c r="G131" s="1243"/>
      <c r="H131" s="1243"/>
      <c r="I131" s="1243"/>
      <c r="J131" s="1243"/>
      <c r="K131" s="1243"/>
      <c r="L131" s="1243"/>
      <c r="M131" s="1243"/>
      <c r="N131" s="1243"/>
      <c r="O131" s="1243"/>
      <c r="P131" s="1243"/>
      <c r="Q131" s="1231"/>
    </row>
    <row r="132" spans="1:22" s="325" customFormat="1" ht="2.25" customHeight="1">
      <c r="A132" s="327"/>
      <c r="B132" s="327"/>
      <c r="F132" s="327"/>
      <c r="G132" s="1243"/>
      <c r="H132" s="1243"/>
      <c r="I132" s="1243"/>
      <c r="J132" s="1243"/>
      <c r="K132" s="1243"/>
      <c r="L132" s="1243"/>
      <c r="M132" s="1243"/>
      <c r="N132" s="1243"/>
      <c r="O132" s="1243"/>
      <c r="P132" s="1243"/>
      <c r="Q132" s="1231"/>
    </row>
    <row r="133" spans="1:22" ht="13.35" customHeight="1">
      <c r="B133" s="327" t="s">
        <v>749</v>
      </c>
      <c r="C133" s="327" t="s">
        <v>5017</v>
      </c>
    </row>
    <row r="134" spans="1:22" s="325" customFormat="1" ht="13.5" customHeight="1">
      <c r="A134" s="3093" t="s">
        <v>640</v>
      </c>
      <c r="B134" s="3094"/>
      <c r="C134" s="3094"/>
      <c r="D134" s="3094"/>
      <c r="E134" s="3098" t="s">
        <v>3448</v>
      </c>
      <c r="F134" s="3099"/>
      <c r="G134" s="3099"/>
      <c r="H134" s="3099"/>
      <c r="I134" s="3100"/>
      <c r="J134" s="3104" t="s">
        <v>3449</v>
      </c>
      <c r="K134" s="3107" t="s">
        <v>2908</v>
      </c>
      <c r="L134" s="3107" t="s">
        <v>2909</v>
      </c>
      <c r="M134" s="3110" t="s">
        <v>3458</v>
      </c>
      <c r="N134" s="3111"/>
      <c r="O134" s="3111"/>
      <c r="P134" s="3111"/>
      <c r="Q134" s="3111"/>
      <c r="R134" s="3111"/>
      <c r="S134" s="3112"/>
    </row>
    <row r="135" spans="1:22" s="325" customFormat="1" ht="13.5" customHeight="1">
      <c r="A135" s="3095"/>
      <c r="B135" s="2883"/>
      <c r="C135" s="2883"/>
      <c r="D135" s="2883"/>
      <c r="E135" s="3101"/>
      <c r="F135" s="3102"/>
      <c r="G135" s="3102"/>
      <c r="H135" s="3102"/>
      <c r="I135" s="3103"/>
      <c r="J135" s="3105"/>
      <c r="K135" s="3108"/>
      <c r="L135" s="3108"/>
      <c r="M135" s="3113"/>
      <c r="N135" s="3114"/>
      <c r="O135" s="3114"/>
      <c r="P135" s="3114"/>
      <c r="Q135" s="3114"/>
      <c r="R135" s="3114"/>
      <c r="S135" s="3115"/>
    </row>
    <row r="136" spans="1:22" s="325" customFormat="1" ht="13.5" customHeight="1">
      <c r="A136" s="3095"/>
      <c r="B136" s="2883"/>
      <c r="C136" s="2883"/>
      <c r="D136" s="2883"/>
      <c r="E136" s="3101"/>
      <c r="F136" s="3102"/>
      <c r="G136" s="3102"/>
      <c r="H136" s="3102"/>
      <c r="I136" s="3103"/>
      <c r="J136" s="3105"/>
      <c r="K136" s="3108"/>
      <c r="L136" s="3108"/>
      <c r="M136" s="3113"/>
      <c r="N136" s="3114"/>
      <c r="O136" s="3114"/>
      <c r="P136" s="3114"/>
      <c r="Q136" s="3114"/>
      <c r="R136" s="3114"/>
      <c r="S136" s="3115"/>
    </row>
    <row r="137" spans="1:22" s="325" customFormat="1" ht="23.25" customHeight="1">
      <c r="A137" s="3095"/>
      <c r="B137" s="2883"/>
      <c r="C137" s="2883"/>
      <c r="D137" s="2883"/>
      <c r="E137" s="3116" t="s">
        <v>3719</v>
      </c>
      <c r="F137" s="3117"/>
      <c r="G137" s="3117"/>
      <c r="H137" s="3118"/>
      <c r="I137" s="705"/>
      <c r="J137" s="3105"/>
      <c r="K137" s="3108"/>
      <c r="L137" s="3108"/>
      <c r="M137" s="3113"/>
      <c r="N137" s="3114"/>
      <c r="O137" s="3114"/>
      <c r="P137" s="3114"/>
      <c r="Q137" s="3114"/>
      <c r="R137" s="3114"/>
      <c r="S137" s="3115"/>
    </row>
    <row r="138" spans="1:22" s="325" customFormat="1" ht="13.5" customHeight="1">
      <c r="A138" s="3096"/>
      <c r="B138" s="3097"/>
      <c r="C138" s="3097"/>
      <c r="D138" s="3097"/>
      <c r="E138" s="3119"/>
      <c r="F138" s="3120"/>
      <c r="G138" s="3120"/>
      <c r="H138" s="3121"/>
      <c r="I138" s="2569" t="s">
        <v>2510</v>
      </c>
      <c r="J138" s="3106"/>
      <c r="K138" s="3109"/>
      <c r="L138" s="3108"/>
      <c r="M138" s="2570" t="s">
        <v>2510</v>
      </c>
      <c r="N138" s="3062" t="s">
        <v>2907</v>
      </c>
      <c r="O138" s="3062"/>
      <c r="P138" s="3062"/>
      <c r="Q138" s="3062"/>
      <c r="R138" s="3062"/>
      <c r="S138" s="3122"/>
    </row>
    <row r="139" spans="1:22" s="325" customFormat="1" ht="24" customHeight="1">
      <c r="A139" s="3084" t="s">
        <v>3443</v>
      </c>
      <c r="B139" s="3085"/>
      <c r="C139" s="3085"/>
      <c r="D139" s="3086"/>
      <c r="E139" s="3087"/>
      <c r="F139" s="3088"/>
      <c r="G139" s="3088"/>
      <c r="H139" s="3088"/>
      <c r="I139" s="957" t="s">
        <v>2993</v>
      </c>
      <c r="J139" s="701" t="s">
        <v>2993</v>
      </c>
      <c r="K139" s="706" t="s">
        <v>5248</v>
      </c>
      <c r="L139" s="960">
        <v>1E-4</v>
      </c>
      <c r="M139" s="707" t="s">
        <v>2993</v>
      </c>
      <c r="N139" s="3089"/>
      <c r="O139" s="3088"/>
      <c r="P139" s="3088"/>
      <c r="Q139" s="3088"/>
      <c r="R139" s="3088"/>
      <c r="S139" s="3090"/>
    </row>
    <row r="140" spans="1:22" s="325" customFormat="1" ht="24" customHeight="1">
      <c r="A140" s="3064" t="s">
        <v>3444</v>
      </c>
      <c r="B140" s="3065"/>
      <c r="C140" s="3065"/>
      <c r="D140" s="3066"/>
      <c r="E140" s="3067"/>
      <c r="F140" s="3068"/>
      <c r="G140" s="3068"/>
      <c r="H140" s="3068"/>
      <c r="I140" s="958" t="s">
        <v>4946</v>
      </c>
      <c r="J140" s="702" t="s">
        <v>4946</v>
      </c>
      <c r="K140" s="708"/>
      <c r="L140" s="961"/>
      <c r="M140" s="709" t="s">
        <v>4946</v>
      </c>
      <c r="N140" s="3069"/>
      <c r="O140" s="3068"/>
      <c r="P140" s="3068"/>
      <c r="Q140" s="3068"/>
      <c r="R140" s="3068"/>
      <c r="S140" s="3070"/>
      <c r="U140" s="3147" t="s">
        <v>2031</v>
      </c>
      <c r="V140" s="3147"/>
    </row>
    <row r="141" spans="1:22" s="325" customFormat="1" ht="24" customHeight="1">
      <c r="A141" s="3064" t="s">
        <v>3445</v>
      </c>
      <c r="B141" s="3065"/>
      <c r="C141" s="3065"/>
      <c r="D141" s="3066"/>
      <c r="E141" s="3067"/>
      <c r="F141" s="3068"/>
      <c r="G141" s="3068"/>
      <c r="H141" s="3068"/>
      <c r="I141" s="958" t="s">
        <v>4946</v>
      </c>
      <c r="J141" s="702" t="s">
        <v>4946</v>
      </c>
      <c r="K141" s="708"/>
      <c r="L141" s="961"/>
      <c r="M141" s="709" t="s">
        <v>4946</v>
      </c>
      <c r="N141" s="3069"/>
      <c r="O141" s="3068"/>
      <c r="P141" s="3068"/>
      <c r="Q141" s="3068"/>
      <c r="R141" s="3068"/>
      <c r="S141" s="3070"/>
      <c r="U141" s="3147"/>
      <c r="V141" s="3147"/>
    </row>
    <row r="142" spans="1:22" s="325" customFormat="1" ht="24" customHeight="1">
      <c r="A142" s="3064" t="s">
        <v>3446</v>
      </c>
      <c r="B142" s="3065"/>
      <c r="C142" s="3065"/>
      <c r="D142" s="3066"/>
      <c r="E142" s="3067"/>
      <c r="F142" s="3068"/>
      <c r="G142" s="3068"/>
      <c r="H142" s="3068"/>
      <c r="I142" s="958" t="s">
        <v>2993</v>
      </c>
      <c r="J142" s="702" t="s">
        <v>2993</v>
      </c>
      <c r="K142" s="708" t="s">
        <v>5248</v>
      </c>
      <c r="L142" s="961">
        <v>0.9899</v>
      </c>
      <c r="M142" s="709" t="s">
        <v>2993</v>
      </c>
      <c r="N142" s="3069"/>
      <c r="O142" s="3068"/>
      <c r="P142" s="3068"/>
      <c r="Q142" s="3068"/>
      <c r="R142" s="3068"/>
      <c r="S142" s="3070"/>
      <c r="U142" s="3147"/>
      <c r="V142" s="3147"/>
    </row>
    <row r="143" spans="1:22" s="325" customFormat="1" ht="24" customHeight="1">
      <c r="A143" s="3064" t="s">
        <v>3447</v>
      </c>
      <c r="B143" s="3065"/>
      <c r="C143" s="3065"/>
      <c r="D143" s="3066"/>
      <c r="E143" s="3067"/>
      <c r="F143" s="3068"/>
      <c r="G143" s="3068"/>
      <c r="H143" s="3068"/>
      <c r="I143" s="958" t="s">
        <v>2993</v>
      </c>
      <c r="J143" s="702" t="s">
        <v>2993</v>
      </c>
      <c r="K143" s="708" t="s">
        <v>5248</v>
      </c>
      <c r="L143" s="961">
        <v>0.01</v>
      </c>
      <c r="M143" s="709" t="s">
        <v>2993</v>
      </c>
      <c r="N143" s="3069"/>
      <c r="O143" s="3068"/>
      <c r="P143" s="3068"/>
      <c r="Q143" s="3068"/>
      <c r="R143" s="3068"/>
      <c r="S143" s="3070"/>
      <c r="U143" s="3147"/>
      <c r="V143" s="3147"/>
    </row>
    <row r="144" spans="1:22" s="325" customFormat="1" ht="24" customHeight="1">
      <c r="A144" s="3064" t="s">
        <v>2895</v>
      </c>
      <c r="B144" s="3065"/>
      <c r="C144" s="3065"/>
      <c r="D144" s="3066"/>
      <c r="E144" s="3067"/>
      <c r="F144" s="3068"/>
      <c r="G144" s="3068"/>
      <c r="H144" s="3068"/>
      <c r="I144" s="958" t="s">
        <v>4946</v>
      </c>
      <c r="J144" s="702" t="s">
        <v>4946</v>
      </c>
      <c r="K144" s="708"/>
      <c r="L144" s="961"/>
      <c r="M144" s="709" t="s">
        <v>4946</v>
      </c>
      <c r="N144" s="3069"/>
      <c r="O144" s="3068"/>
      <c r="P144" s="3068"/>
      <c r="Q144" s="3068"/>
      <c r="R144" s="3068"/>
      <c r="S144" s="3070"/>
      <c r="U144" s="3147"/>
      <c r="V144" s="3147"/>
    </row>
    <row r="145" spans="1:24" s="325" customFormat="1" ht="24" customHeight="1">
      <c r="A145" s="3064" t="s">
        <v>653</v>
      </c>
      <c r="B145" s="3065"/>
      <c r="C145" s="3065"/>
      <c r="D145" s="3066"/>
      <c r="E145" s="3067"/>
      <c r="F145" s="3068"/>
      <c r="G145" s="3068"/>
      <c r="H145" s="3068"/>
      <c r="I145" s="958" t="s">
        <v>2993</v>
      </c>
      <c r="J145" s="702" t="s">
        <v>2993</v>
      </c>
      <c r="K145" s="708" t="s">
        <v>5248</v>
      </c>
      <c r="L145" s="961"/>
      <c r="M145" s="709" t="s">
        <v>2993</v>
      </c>
      <c r="N145" s="3069"/>
      <c r="O145" s="3068"/>
      <c r="P145" s="3068"/>
      <c r="Q145" s="3068"/>
      <c r="R145" s="3068"/>
      <c r="S145" s="3070"/>
      <c r="U145" s="3147"/>
      <c r="V145" s="3147"/>
    </row>
    <row r="146" spans="1:24" s="325" customFormat="1" ht="24" customHeight="1">
      <c r="A146" s="3064" t="s">
        <v>2896</v>
      </c>
      <c r="B146" s="3065"/>
      <c r="C146" s="3065"/>
      <c r="D146" s="3066"/>
      <c r="E146" s="3067"/>
      <c r="F146" s="3068"/>
      <c r="G146" s="3068"/>
      <c r="H146" s="3068"/>
      <c r="I146" s="958" t="s">
        <v>2993</v>
      </c>
      <c r="J146" s="702" t="s">
        <v>2993</v>
      </c>
      <c r="K146" s="708" t="s">
        <v>5248</v>
      </c>
      <c r="L146" s="961"/>
      <c r="M146" s="709" t="s">
        <v>2993</v>
      </c>
      <c r="N146" s="3069"/>
      <c r="O146" s="3068"/>
      <c r="P146" s="3068"/>
      <c r="Q146" s="3068"/>
      <c r="R146" s="3068"/>
      <c r="S146" s="3070"/>
    </row>
    <row r="147" spans="1:24" s="325" customFormat="1" ht="24" customHeight="1">
      <c r="A147" s="3064" t="s">
        <v>2897</v>
      </c>
      <c r="B147" s="3065"/>
      <c r="C147" s="3065"/>
      <c r="D147" s="3066"/>
      <c r="E147" s="3067"/>
      <c r="F147" s="3068"/>
      <c r="G147" s="3068"/>
      <c r="H147" s="3068"/>
      <c r="I147" s="958" t="s">
        <v>4946</v>
      </c>
      <c r="J147" s="702" t="s">
        <v>4946</v>
      </c>
      <c r="K147" s="708"/>
      <c r="L147" s="961"/>
      <c r="M147" s="709" t="s">
        <v>4946</v>
      </c>
      <c r="N147" s="3069"/>
      <c r="O147" s="3068"/>
      <c r="P147" s="3068"/>
      <c r="Q147" s="3068"/>
      <c r="R147" s="3068"/>
      <c r="S147" s="3070"/>
    </row>
    <row r="148" spans="1:24" s="325" customFormat="1" ht="24" customHeight="1">
      <c r="A148" s="3064" t="s">
        <v>2899</v>
      </c>
      <c r="B148" s="3065"/>
      <c r="C148" s="3065"/>
      <c r="D148" s="3066"/>
      <c r="E148" s="3067"/>
      <c r="F148" s="3068"/>
      <c r="G148" s="3068"/>
      <c r="H148" s="3068"/>
      <c r="I148" s="958" t="s">
        <v>4946</v>
      </c>
      <c r="J148" s="702" t="s">
        <v>4946</v>
      </c>
      <c r="K148" s="708"/>
      <c r="L148" s="961"/>
      <c r="M148" s="709" t="s">
        <v>4946</v>
      </c>
      <c r="N148" s="3069"/>
      <c r="O148" s="3068"/>
      <c r="P148" s="3068"/>
      <c r="Q148" s="3068"/>
      <c r="R148" s="3068"/>
      <c r="S148" s="3070"/>
    </row>
    <row r="149" spans="1:24" s="325" customFormat="1" ht="24" customHeight="1">
      <c r="A149" s="3064" t="s">
        <v>2898</v>
      </c>
      <c r="B149" s="3065"/>
      <c r="C149" s="3065"/>
      <c r="D149" s="3066"/>
      <c r="E149" s="3067"/>
      <c r="F149" s="3068"/>
      <c r="G149" s="3068"/>
      <c r="H149" s="3068"/>
      <c r="I149" s="958" t="s">
        <v>4946</v>
      </c>
      <c r="J149" s="702" t="s">
        <v>4946</v>
      </c>
      <c r="K149" s="708"/>
      <c r="L149" s="961"/>
      <c r="M149" s="709" t="s">
        <v>4946</v>
      </c>
      <c r="N149" s="3069"/>
      <c r="O149" s="3068"/>
      <c r="P149" s="3068"/>
      <c r="Q149" s="3068"/>
      <c r="R149" s="3068"/>
      <c r="S149" s="3070"/>
    </row>
    <row r="150" spans="1:24" s="325" customFormat="1" ht="24" customHeight="1">
      <c r="A150" s="3064" t="s">
        <v>1529</v>
      </c>
      <c r="B150" s="3065"/>
      <c r="C150" s="3065"/>
      <c r="D150" s="3066"/>
      <c r="E150" s="3067"/>
      <c r="F150" s="3068"/>
      <c r="G150" s="3068"/>
      <c r="H150" s="3068"/>
      <c r="I150" s="958" t="s">
        <v>2993</v>
      </c>
      <c r="J150" s="702" t="s">
        <v>2993</v>
      </c>
      <c r="K150" s="708" t="s">
        <v>5248</v>
      </c>
      <c r="L150" s="961"/>
      <c r="M150" s="709" t="s">
        <v>2993</v>
      </c>
      <c r="N150" s="3069"/>
      <c r="O150" s="3068"/>
      <c r="P150" s="3068"/>
      <c r="Q150" s="3068"/>
      <c r="R150" s="3068"/>
      <c r="S150" s="3070"/>
    </row>
    <row r="151" spans="1:24" s="325" customFormat="1" ht="24" customHeight="1">
      <c r="A151" s="3071" t="s">
        <v>2900</v>
      </c>
      <c r="B151" s="3072"/>
      <c r="C151" s="3072"/>
      <c r="D151" s="3073"/>
      <c r="E151" s="3074"/>
      <c r="F151" s="3075"/>
      <c r="G151" s="3075"/>
      <c r="H151" s="3075"/>
      <c r="I151" s="959" t="s">
        <v>2993</v>
      </c>
      <c r="J151" s="703" t="s">
        <v>2993</v>
      </c>
      <c r="K151" s="710" t="s">
        <v>5248</v>
      </c>
      <c r="L151" s="962"/>
      <c r="M151" s="711" t="s">
        <v>2993</v>
      </c>
      <c r="N151" s="3076"/>
      <c r="O151" s="3075"/>
      <c r="P151" s="3075"/>
      <c r="Q151" s="3075"/>
      <c r="R151" s="3075"/>
      <c r="S151" s="3077"/>
    </row>
    <row r="152" spans="1:24" s="1238" customFormat="1" ht="12" customHeight="1">
      <c r="G152" s="337"/>
      <c r="H152" s="337"/>
      <c r="I152" s="337"/>
      <c r="J152" s="1243"/>
      <c r="K152" s="354" t="s">
        <v>539</v>
      </c>
      <c r="L152" s="630">
        <f>SUM(L139:S151)</f>
        <v>1</v>
      </c>
      <c r="M152" s="1243"/>
      <c r="P152" s="335"/>
    </row>
    <row r="153" spans="1:24" ht="11.25" customHeight="1">
      <c r="A153" s="356" t="s">
        <v>530</v>
      </c>
      <c r="B153" s="371"/>
      <c r="C153" s="356" t="s">
        <v>572</v>
      </c>
      <c r="N153" s="356" t="s">
        <v>530</v>
      </c>
      <c r="O153" s="356" t="s">
        <v>79</v>
      </c>
    </row>
    <row r="154" spans="1:24" ht="60" customHeight="1">
      <c r="A154" s="3078"/>
      <c r="B154" s="3079"/>
      <c r="C154" s="3079"/>
      <c r="D154" s="3079"/>
      <c r="E154" s="3079"/>
      <c r="F154" s="3079"/>
      <c r="G154" s="3079"/>
      <c r="H154" s="3079"/>
      <c r="I154" s="3079"/>
      <c r="J154" s="3079"/>
      <c r="K154" s="3079"/>
      <c r="L154" s="3079"/>
      <c r="M154" s="3080"/>
      <c r="N154" s="3081"/>
      <c r="O154" s="3082"/>
      <c r="P154" s="3082"/>
      <c r="Q154" s="3082"/>
      <c r="R154" s="3082"/>
      <c r="S154" s="3083"/>
      <c r="T154" s="2882" t="s">
        <v>2693</v>
      </c>
      <c r="U154" s="2882"/>
      <c r="V154" s="2882"/>
      <c r="W154" s="2882"/>
      <c r="X154" s="2882"/>
    </row>
    <row r="155" spans="1:24" s="325" customFormat="1" ht="12" customHeight="1">
      <c r="A155" s="331"/>
      <c r="B155" s="346"/>
      <c r="C155" s="346"/>
      <c r="D155" s="346"/>
      <c r="E155" s="346"/>
      <c r="F155" s="346"/>
      <c r="G155" s="346"/>
      <c r="H155" s="346"/>
      <c r="I155" s="346"/>
      <c r="J155" s="346"/>
      <c r="K155" s="346"/>
      <c r="L155" s="346"/>
      <c r="M155" s="346"/>
      <c r="N155" s="346"/>
      <c r="O155" s="346"/>
      <c r="T155" s="2882"/>
      <c r="U155" s="2882"/>
      <c r="V155" s="2882"/>
      <c r="W155" s="2882"/>
      <c r="X155" s="2882"/>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1799</v>
      </c>
    </row>
    <row r="160" spans="1:24" s="325" customFormat="1" ht="12" customHeight="1">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c r="B164" s="346"/>
      <c r="C164" s="346"/>
      <c r="D164" s="346"/>
      <c r="E164" s="346"/>
      <c r="F164" s="346"/>
      <c r="G164" s="346"/>
      <c r="H164" s="346"/>
      <c r="I164" s="346"/>
      <c r="J164" s="346"/>
      <c r="K164" s="346"/>
      <c r="L164" s="346"/>
      <c r="M164" s="346"/>
      <c r="N164" s="346"/>
      <c r="O164" s="346"/>
      <c r="P164" s="393" t="s">
        <v>842</v>
      </c>
    </row>
    <row r="165" spans="1:16" s="325" customFormat="1" ht="12" customHeight="1">
      <c r="B165" s="346"/>
      <c r="C165" s="346"/>
      <c r="D165" s="346"/>
      <c r="E165" s="346"/>
      <c r="F165" s="346"/>
      <c r="G165" s="346"/>
      <c r="H165" s="346"/>
      <c r="I165" s="346"/>
      <c r="J165" s="346"/>
      <c r="K165" s="346"/>
      <c r="L165" s="346"/>
      <c r="M165" s="346"/>
      <c r="N165" s="346"/>
      <c r="O165" s="346"/>
      <c r="P165" s="393" t="s">
        <v>843</v>
      </c>
    </row>
    <row r="166" spans="1:16" s="325" customFormat="1" ht="12" customHeight="1">
      <c r="B166" s="346"/>
      <c r="C166" s="346"/>
      <c r="D166" s="346"/>
      <c r="E166" s="346"/>
      <c r="F166" s="346"/>
      <c r="G166" s="346"/>
      <c r="H166" s="346"/>
      <c r="I166" s="346"/>
      <c r="J166" s="346"/>
      <c r="K166" s="346"/>
      <c r="L166" s="346"/>
      <c r="M166" s="346"/>
      <c r="N166" s="346"/>
      <c r="O166" s="346"/>
      <c r="P166" s="393" t="s">
        <v>844</v>
      </c>
    </row>
    <row r="167" spans="1:16" s="325" customFormat="1" ht="12" customHeight="1">
      <c r="B167" s="346"/>
      <c r="C167" s="346"/>
      <c r="D167" s="346"/>
      <c r="E167" s="346"/>
      <c r="F167" s="346"/>
      <c r="G167" s="346"/>
      <c r="H167" s="346"/>
      <c r="I167" s="346"/>
      <c r="J167" s="346"/>
      <c r="K167" s="346"/>
      <c r="L167" s="346"/>
      <c r="M167" s="346"/>
      <c r="N167" s="346"/>
      <c r="O167" s="346"/>
      <c r="P167" s="393" t="s">
        <v>845</v>
      </c>
    </row>
    <row r="168" spans="1:16" ht="12" customHeight="1">
      <c r="P168" s="393" t="s">
        <v>846</v>
      </c>
    </row>
    <row r="169" spans="1:16" ht="12" customHeight="1">
      <c r="A169" s="356"/>
      <c r="P169" s="393" t="s">
        <v>847</v>
      </c>
    </row>
    <row r="170" spans="1:16" ht="12" customHeight="1">
      <c r="P170" s="393" t="s">
        <v>848</v>
      </c>
    </row>
    <row r="171" spans="1:16" ht="12" customHeight="1">
      <c r="P171" s="393" t="s">
        <v>849</v>
      </c>
    </row>
    <row r="172" spans="1:16" ht="12" customHeight="1">
      <c r="P172" s="393" t="s">
        <v>850</v>
      </c>
    </row>
    <row r="173" spans="1:16" ht="12" customHeight="1">
      <c r="P173" s="393" t="s">
        <v>851</v>
      </c>
    </row>
    <row r="174" spans="1:16" ht="12" customHeight="1">
      <c r="P174" s="393" t="s">
        <v>852</v>
      </c>
    </row>
    <row r="175" spans="1:16" ht="12" customHeight="1">
      <c r="P175" s="393" t="s">
        <v>853</v>
      </c>
    </row>
    <row r="176" spans="1:16" ht="12" customHeight="1">
      <c r="P176" s="393" t="s">
        <v>854</v>
      </c>
    </row>
    <row r="177" spans="16:16" ht="12" customHeight="1">
      <c r="P177" s="393" t="s">
        <v>855</v>
      </c>
    </row>
    <row r="178" spans="16:16" ht="12" customHeight="1">
      <c r="P178" s="393" t="s">
        <v>856</v>
      </c>
    </row>
    <row r="179" spans="16:16" ht="12" customHeight="1">
      <c r="P179" s="393" t="s">
        <v>857</v>
      </c>
    </row>
    <row r="180" spans="16:16" ht="12" customHeight="1">
      <c r="P180" s="393" t="s">
        <v>858</v>
      </c>
    </row>
    <row r="181" spans="16:16" ht="12" customHeight="1">
      <c r="P181" s="393" t="s">
        <v>859</v>
      </c>
    </row>
    <row r="182" spans="16:16" ht="12" customHeight="1">
      <c r="P182" s="393" t="s">
        <v>860</v>
      </c>
    </row>
    <row r="183" spans="16:16" ht="12" customHeight="1">
      <c r="P183" s="393" t="s">
        <v>861</v>
      </c>
    </row>
    <row r="184" spans="16:16" ht="12" customHeight="1">
      <c r="P184" s="393" t="s">
        <v>862</v>
      </c>
    </row>
    <row r="185" spans="16:16" ht="12" customHeight="1">
      <c r="P185" s="393" t="s">
        <v>1341</v>
      </c>
    </row>
    <row r="186" spans="16:16" ht="12" customHeight="1">
      <c r="P186" s="393" t="s">
        <v>1342</v>
      </c>
    </row>
    <row r="187" spans="16:16" ht="12" customHeight="1">
      <c r="P187" s="393" t="s">
        <v>1343</v>
      </c>
    </row>
    <row r="188" spans="16:16" ht="12" customHeight="1">
      <c r="P188" s="393" t="s">
        <v>1344</v>
      </c>
    </row>
    <row r="189" spans="16:16" ht="12" customHeight="1">
      <c r="P189" s="393" t="s">
        <v>1345</v>
      </c>
    </row>
    <row r="190" spans="16:16" ht="13.5">
      <c r="P190" s="393" t="s">
        <v>1346</v>
      </c>
    </row>
    <row r="191" spans="16:16" ht="12" customHeight="1">
      <c r="P191" s="393" t="s">
        <v>1347</v>
      </c>
    </row>
    <row r="192" spans="16:16" ht="12" customHeight="1">
      <c r="P192" s="393" t="s">
        <v>1348</v>
      </c>
    </row>
    <row r="193" spans="16:16" ht="12" customHeight="1">
      <c r="P193" s="393" t="s">
        <v>1349</v>
      </c>
    </row>
    <row r="194" spans="16:16" ht="12" customHeight="1">
      <c r="P194" s="393" t="s">
        <v>1350</v>
      </c>
    </row>
    <row r="195" spans="16:16" ht="12" customHeight="1">
      <c r="P195" s="393" t="s">
        <v>1351</v>
      </c>
    </row>
    <row r="196" spans="16:16" ht="12" customHeight="1">
      <c r="P196" s="393" t="s">
        <v>1352</v>
      </c>
    </row>
    <row r="197" spans="16:16" ht="12" customHeight="1">
      <c r="P197" s="393" t="s">
        <v>1353</v>
      </c>
    </row>
    <row r="198" spans="16:16" ht="12" customHeight="1">
      <c r="P198" s="393" t="s">
        <v>1354</v>
      </c>
    </row>
    <row r="199" spans="16:16" ht="12" customHeight="1">
      <c r="P199" s="393" t="s">
        <v>1355</v>
      </c>
    </row>
    <row r="200" spans="16:16" ht="12" customHeight="1">
      <c r="P200" s="393" t="s">
        <v>1356</v>
      </c>
    </row>
    <row r="201" spans="16:16" ht="12" customHeight="1">
      <c r="P201" s="393" t="s">
        <v>1357</v>
      </c>
    </row>
    <row r="202" spans="16:16" ht="12" customHeight="1">
      <c r="P202" s="393" t="s">
        <v>1358</v>
      </c>
    </row>
    <row r="203" spans="16:16" ht="12" customHeight="1">
      <c r="P203" s="393" t="s">
        <v>1359</v>
      </c>
    </row>
    <row r="204" spans="16:16" ht="12" customHeight="1">
      <c r="P204" s="393" t="s">
        <v>1360</v>
      </c>
    </row>
    <row r="205" spans="16:16" ht="12" customHeight="1">
      <c r="P205" s="393" t="s">
        <v>1361</v>
      </c>
    </row>
    <row r="206" spans="16:16" ht="12" customHeight="1">
      <c r="P206" s="393" t="s">
        <v>1362</v>
      </c>
    </row>
    <row r="207" spans="16:16" ht="12" customHeight="1">
      <c r="P207" s="393" t="s">
        <v>1363</v>
      </c>
    </row>
    <row r="208" spans="16:16" ht="12" customHeight="1">
      <c r="P208" s="393" t="s">
        <v>1364</v>
      </c>
    </row>
    <row r="209" spans="16:16" ht="12" customHeight="1">
      <c r="P209" s="393" t="s">
        <v>1365</v>
      </c>
    </row>
    <row r="210" spans="16:16" ht="12" customHeight="1">
      <c r="P210" s="393" t="s">
        <v>1366</v>
      </c>
    </row>
  </sheetData>
  <sheetProtection algorithmName="SHA-512" hashValue="qszuMVuKK9ch3Hz0so3h71WFqKqB9rPQaZ+0+fx0R7jSAidY4BlVaV6r0K1UFMifxbv4aQOPzG/O3dq9CAbKAg==" saltValue="oPELmEYeXVvvoU4i660UOA==" spinCount="100000" sheet="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formula1>1000000000</formula1>
      <formula2>9999999999</formula2>
    </dataValidation>
    <dataValidation type="list" allowBlank="1" showErrorMessage="1" sqref="K139:K151">
      <formula1>"For Profit, Nonprofit, CHDO"</formula1>
    </dataValidation>
    <dataValidation type="list" allowBlank="1" showErrorMessage="1" sqref="F122:F130">
      <formula1>"Select,Yes, No"</formula1>
    </dataValidation>
    <dataValidation type="list" allowBlank="1" showErrorMessage="1" sqref="I139:J151 M139:M151">
      <formula1>"Select, Yes, No"</formula1>
    </dataValidation>
  </dataValidations>
  <hyperlinks>
    <hyperlink ref="N12"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107"/>
  <sheetViews>
    <sheetView showGridLines="0" topLeftCell="A43" zoomScaleNormal="100" workbookViewId="0">
      <selection activeCell="L55" sqref="L55"/>
    </sheetView>
  </sheetViews>
  <sheetFormatPr defaultColWidth="9.140625" defaultRowHeight="13.5"/>
  <cols>
    <col min="1" max="1" width="4.140625" style="394" customWidth="1"/>
    <col min="2" max="17" width="8.140625" style="394" customWidth="1"/>
    <col min="18" max="18" width="3.140625" style="394" customWidth="1"/>
    <col min="19" max="19" width="13.5703125" style="394" customWidth="1"/>
    <col min="20" max="20" width="98.85546875" style="394" customWidth="1"/>
    <col min="21" max="16384" width="9.140625" style="394"/>
  </cols>
  <sheetData>
    <row r="1" spans="1:20" s="300" customFormat="1" ht="14.1" customHeight="1">
      <c r="A1" s="3148" t="str">
        <f>CONCATENATE("PART THREE - SOURCES OF FUNDS","  -  ",'Part I-Project Information'!$O$6," ",'Part I-Project Information'!$F$34,", ",'Part I-Project Information'!$F$38,", ",'Part I-Project Information'!$J$39," County")</f>
        <v>PART THREE - SOURCES OF FUNDS  -  2019-5 Stone Terrace Phase II, Stonecrest, DeKalb County</v>
      </c>
      <c r="B1" s="3149"/>
      <c r="C1" s="3149"/>
      <c r="D1" s="3149"/>
      <c r="E1" s="3149"/>
      <c r="F1" s="3149"/>
      <c r="G1" s="3149"/>
      <c r="H1" s="3149"/>
      <c r="I1" s="3149"/>
      <c r="J1" s="3149"/>
      <c r="K1" s="3149"/>
      <c r="L1" s="3149"/>
      <c r="M1" s="3149"/>
      <c r="N1" s="3149"/>
      <c r="O1" s="3149"/>
      <c r="P1" s="3149"/>
      <c r="Q1" s="3150"/>
      <c r="S1" s="3268" t="str">
        <f>$A$1</f>
        <v>PART THREE - SOURCES OF FUNDS  -  2019-5 Stone Terrace Phase II, Stonecrest, DeKalb County</v>
      </c>
      <c r="T1" s="3268"/>
    </row>
    <row r="2" spans="1:20" ht="17.45" customHeight="1">
      <c r="A2" s="346"/>
      <c r="B2" s="346"/>
      <c r="C2" s="346"/>
      <c r="D2" s="346"/>
      <c r="E2" s="346"/>
      <c r="F2" s="346"/>
      <c r="G2" s="1602"/>
      <c r="H2" s="1602"/>
      <c r="I2" s="1602"/>
      <c r="J2" s="1602"/>
      <c r="K2" s="1602"/>
      <c r="L2" s="1602"/>
    </row>
    <row r="3" spans="1:20" s="300" customFormat="1" ht="13.35" customHeight="1">
      <c r="A3" s="327" t="s">
        <v>616</v>
      </c>
      <c r="B3" s="337" t="s">
        <v>2491</v>
      </c>
      <c r="C3" s="325"/>
      <c r="D3" s="2563"/>
      <c r="E3" s="2563"/>
      <c r="F3" s="2563"/>
      <c r="G3" s="2563"/>
      <c r="L3" s="3279" t="str">
        <f>'Part I-Project Information'!$B$6</f>
        <v>May 2019 Final</v>
      </c>
      <c r="M3" s="3280"/>
      <c r="N3" s="3280"/>
      <c r="O3" s="3280"/>
      <c r="P3" s="3281"/>
      <c r="S3" s="395" t="str">
        <f>B3</f>
        <v>GOVERNMENT FUNDING SOURCES  (check all that apply)</v>
      </c>
    </row>
    <row r="4" spans="1:20" s="300" customFormat="1" ht="15.75" customHeight="1">
      <c r="A4" s="356"/>
      <c r="B4" s="545"/>
      <c r="C4" s="349"/>
      <c r="D4" s="1238"/>
      <c r="E4" s="1238"/>
      <c r="F4" s="1238"/>
      <c r="G4" s="1238"/>
      <c r="S4" s="3225" t="s">
        <v>2683</v>
      </c>
      <c r="T4" s="3225"/>
    </row>
    <row r="5" spans="1:20" s="300" customFormat="1" ht="16.5" customHeight="1">
      <c r="A5" s="545"/>
      <c r="B5" s="2598" t="s">
        <v>2990</v>
      </c>
      <c r="C5" s="2572" t="s">
        <v>2410</v>
      </c>
      <c r="D5" s="325"/>
      <c r="E5" s="2598" t="s">
        <v>2993</v>
      </c>
      <c r="F5" s="2572" t="s">
        <v>3723</v>
      </c>
      <c r="G5" s="325"/>
      <c r="H5" s="3274"/>
      <c r="I5" s="3275"/>
      <c r="L5" s="2598" t="s">
        <v>2993</v>
      </c>
      <c r="M5" s="2572" t="s">
        <v>1537</v>
      </c>
      <c r="S5" s="3195"/>
      <c r="T5" s="3196"/>
    </row>
    <row r="6" spans="1:20" s="300" customFormat="1" ht="16.5" customHeight="1">
      <c r="A6" s="545"/>
      <c r="B6" s="2574" t="s">
        <v>2993</v>
      </c>
      <c r="C6" s="2572" t="s">
        <v>5011</v>
      </c>
      <c r="D6" s="325"/>
      <c r="E6" s="2573" t="s">
        <v>2993</v>
      </c>
      <c r="F6" s="2572" t="s">
        <v>3724</v>
      </c>
      <c r="H6" s="3276"/>
      <c r="I6" s="3277"/>
      <c r="L6" s="2574" t="s">
        <v>2993</v>
      </c>
      <c r="M6" s="2572" t="s">
        <v>549</v>
      </c>
      <c r="S6" s="3176"/>
      <c r="T6" s="3177"/>
    </row>
    <row r="7" spans="1:20" s="300" customFormat="1" ht="16.5" customHeight="1">
      <c r="A7" s="325"/>
      <c r="B7" s="2574" t="s">
        <v>2993</v>
      </c>
      <c r="C7" s="2572" t="s">
        <v>551</v>
      </c>
      <c r="F7" s="325" t="s">
        <v>5010</v>
      </c>
      <c r="H7" s="3282" t="s">
        <v>3450</v>
      </c>
      <c r="I7" s="3283"/>
      <c r="J7" s="3273"/>
      <c r="L7" s="2574" t="s">
        <v>2993</v>
      </c>
      <c r="M7" s="2571" t="s">
        <v>3620</v>
      </c>
      <c r="S7" s="3176"/>
      <c r="T7" s="3177"/>
    </row>
    <row r="8" spans="1:20" s="300" customFormat="1" ht="16.5" customHeight="1">
      <c r="A8" s="545"/>
      <c r="B8" s="2574" t="s">
        <v>2993</v>
      </c>
      <c r="C8" s="2572" t="s">
        <v>2601</v>
      </c>
      <c r="E8" s="2598" t="s">
        <v>2993</v>
      </c>
      <c r="F8" s="2571" t="s">
        <v>2609</v>
      </c>
      <c r="L8" s="2574" t="s">
        <v>2993</v>
      </c>
      <c r="M8" s="2571" t="s">
        <v>5012</v>
      </c>
      <c r="S8" s="3178"/>
      <c r="T8" s="3179"/>
    </row>
    <row r="9" spans="1:20" s="300" customFormat="1" ht="16.5" customHeight="1">
      <c r="A9" s="545"/>
      <c r="B9" s="2574" t="s">
        <v>2993</v>
      </c>
      <c r="C9" s="2572" t="s">
        <v>2602</v>
      </c>
      <c r="E9" s="2574" t="s">
        <v>2993</v>
      </c>
      <c r="F9" s="2571" t="s">
        <v>3722</v>
      </c>
      <c r="H9" s="3271" t="s">
        <v>3875</v>
      </c>
      <c r="I9" s="3272"/>
      <c r="J9" s="3273"/>
      <c r="L9" s="2574" t="s">
        <v>2993</v>
      </c>
      <c r="M9" s="2572" t="s">
        <v>3681</v>
      </c>
      <c r="S9" s="3195"/>
      <c r="T9" s="3196"/>
    </row>
    <row r="10" spans="1:20" s="300" customFormat="1" ht="16.5" customHeight="1">
      <c r="A10" s="545"/>
      <c r="B10" s="2574" t="s">
        <v>2993</v>
      </c>
      <c r="C10" s="2571" t="s">
        <v>3686</v>
      </c>
      <c r="E10" s="2605" t="s">
        <v>2993</v>
      </c>
      <c r="F10" s="3278" t="s">
        <v>4723</v>
      </c>
      <c r="G10" s="2952"/>
      <c r="H10" s="2952"/>
      <c r="I10" s="2952"/>
      <c r="J10" s="2953"/>
      <c r="L10" s="2574" t="s">
        <v>2993</v>
      </c>
      <c r="M10" s="325" t="s">
        <v>2610</v>
      </c>
      <c r="S10" s="3176"/>
      <c r="T10" s="3177"/>
    </row>
    <row r="11" spans="1:20" s="300" customFormat="1" ht="16.5" customHeight="1">
      <c r="A11" s="545"/>
      <c r="B11" s="2574" t="s">
        <v>2993</v>
      </c>
      <c r="C11" s="325" t="s">
        <v>3891</v>
      </c>
      <c r="F11" s="3263" t="s">
        <v>4725</v>
      </c>
      <c r="G11" s="3264"/>
      <c r="H11" s="3264"/>
      <c r="I11" s="3264"/>
      <c r="J11" s="3265"/>
      <c r="L11" s="2574" t="s">
        <v>2993</v>
      </c>
      <c r="M11" s="325" t="s">
        <v>3725</v>
      </c>
      <c r="S11" s="3176"/>
      <c r="T11" s="3177"/>
    </row>
    <row r="12" spans="1:20" s="300" customFormat="1" ht="16.5" customHeight="1">
      <c r="A12" s="545"/>
      <c r="B12" s="2574" t="s">
        <v>2993</v>
      </c>
      <c r="C12" s="325" t="s">
        <v>2608</v>
      </c>
      <c r="E12" s="2606" t="s">
        <v>2993</v>
      </c>
      <c r="F12" s="3278" t="s">
        <v>4724</v>
      </c>
      <c r="G12" s="2952"/>
      <c r="H12" s="2952"/>
      <c r="I12" s="2952"/>
      <c r="J12" s="2953"/>
      <c r="L12" s="2574" t="s">
        <v>2993</v>
      </c>
      <c r="M12" s="325" t="s">
        <v>2796</v>
      </c>
      <c r="S12" s="3176"/>
      <c r="T12" s="3177"/>
    </row>
    <row r="13" spans="1:20" s="300" customFormat="1" ht="16.5" customHeight="1">
      <c r="A13" s="545"/>
      <c r="B13" s="2574" t="s">
        <v>2993</v>
      </c>
      <c r="C13" s="325" t="s">
        <v>3720</v>
      </c>
      <c r="F13" s="3263" t="s">
        <v>4726</v>
      </c>
      <c r="G13" s="3264"/>
      <c r="H13" s="3264"/>
      <c r="I13" s="3264"/>
      <c r="J13" s="3265"/>
      <c r="L13" s="2574" t="s">
        <v>2993</v>
      </c>
      <c r="M13" s="2571" t="s">
        <v>3890</v>
      </c>
      <c r="S13" s="3178"/>
      <c r="T13" s="3179"/>
    </row>
    <row r="14" spans="1:20" s="300" customFormat="1" ht="16.5" customHeight="1">
      <c r="A14" s="545"/>
      <c r="B14" s="2573" t="s">
        <v>2993</v>
      </c>
      <c r="C14" s="2572" t="s">
        <v>1803</v>
      </c>
      <c r="E14" s="963" t="s">
        <v>2990</v>
      </c>
      <c r="F14" s="2572" t="s">
        <v>5009</v>
      </c>
      <c r="I14" s="3269">
        <v>19950000</v>
      </c>
      <c r="J14" s="3270"/>
      <c r="L14" s="2573" t="s">
        <v>2993</v>
      </c>
      <c r="M14" s="320" t="s">
        <v>5014</v>
      </c>
    </row>
    <row r="15" spans="1:20" s="300" customFormat="1" ht="17.100000000000001" customHeight="1">
      <c r="A15" s="545"/>
      <c r="B15" s="300" t="s">
        <v>5013</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740</v>
      </c>
      <c r="B17" s="299" t="s">
        <v>2345</v>
      </c>
      <c r="C17" s="325"/>
      <c r="D17" s="1238"/>
      <c r="E17" s="325"/>
      <c r="F17" s="325"/>
      <c r="G17" s="325"/>
      <c r="H17" s="300"/>
      <c r="L17" s="325"/>
      <c r="M17" s="1238"/>
      <c r="N17" s="3266"/>
      <c r="O17" s="3266"/>
      <c r="P17" s="325"/>
      <c r="Q17" s="325"/>
      <c r="S17" s="395" t="str">
        <f>B17</f>
        <v>CONSTRUCTION FINANCING</v>
      </c>
    </row>
    <row r="18" spans="1:20" s="395" customFormat="1" ht="5.25" customHeight="1">
      <c r="A18" s="327"/>
      <c r="B18" s="299"/>
      <c r="C18" s="325"/>
      <c r="K18" s="325"/>
      <c r="L18" s="325"/>
      <c r="M18" s="1238"/>
      <c r="N18" s="1231"/>
      <c r="O18" s="1231"/>
      <c r="P18" s="325"/>
      <c r="Q18" s="325"/>
    </row>
    <row r="19" spans="1:20" s="300" customFormat="1" ht="17.100000000000001" customHeight="1">
      <c r="A19" s="325"/>
      <c r="B19" s="1228" t="s">
        <v>1871</v>
      </c>
      <c r="C19" s="325"/>
      <c r="D19" s="325"/>
      <c r="E19" s="325"/>
      <c r="F19" s="325"/>
      <c r="G19" s="325"/>
      <c r="H19" s="3267" t="s">
        <v>1297</v>
      </c>
      <c r="I19" s="3267"/>
      <c r="J19" s="3267"/>
      <c r="K19" s="3267"/>
      <c r="L19" s="3063" t="s">
        <v>4965</v>
      </c>
      <c r="M19" s="3063"/>
      <c r="N19" s="3063" t="s">
        <v>1507</v>
      </c>
      <c r="O19" s="3063"/>
      <c r="P19" s="3063" t="s">
        <v>1630</v>
      </c>
      <c r="Q19" s="3063"/>
      <c r="S19" s="3225" t="s">
        <v>2683</v>
      </c>
      <c r="T19" s="3225"/>
    </row>
    <row r="20" spans="1:20" s="300" customFormat="1" ht="15.75" customHeight="1">
      <c r="A20" s="325"/>
      <c r="B20" s="3227" t="s">
        <v>1591</v>
      </c>
      <c r="C20" s="3228"/>
      <c r="D20" s="3228"/>
      <c r="E20" s="1239"/>
      <c r="F20" s="1239"/>
      <c r="G20" s="1239"/>
      <c r="H20" s="3190" t="s">
        <v>5217</v>
      </c>
      <c r="I20" s="3191"/>
      <c r="J20" s="3191"/>
      <c r="K20" s="3192"/>
      <c r="L20" s="3252">
        <v>6865000</v>
      </c>
      <c r="M20" s="3253"/>
      <c r="N20" s="3254">
        <v>4.2500000000000003E-2</v>
      </c>
      <c r="O20" s="3255"/>
      <c r="P20" s="3256">
        <v>24</v>
      </c>
      <c r="Q20" s="3257"/>
      <c r="S20" s="3195"/>
      <c r="T20" s="3196"/>
    </row>
    <row r="21" spans="1:20" s="300" customFormat="1" ht="15.75" customHeight="1">
      <c r="A21" s="325"/>
      <c r="B21" s="3197" t="s">
        <v>1592</v>
      </c>
      <c r="C21" s="3198"/>
      <c r="D21" s="3198"/>
      <c r="E21" s="1238"/>
      <c r="F21" s="1238"/>
      <c r="G21" s="1238"/>
      <c r="H21" s="3159"/>
      <c r="I21" s="3160"/>
      <c r="J21" s="3160"/>
      <c r="K21" s="3161"/>
      <c r="L21" s="3236"/>
      <c r="M21" s="3237"/>
      <c r="N21" s="3284"/>
      <c r="O21" s="3285"/>
      <c r="P21" s="3286"/>
      <c r="Q21" s="3287"/>
      <c r="S21" s="3176"/>
      <c r="T21" s="3177"/>
    </row>
    <row r="22" spans="1:20" s="300" customFormat="1" ht="15.75" customHeight="1">
      <c r="A22" s="325"/>
      <c r="B22" s="3288" t="s">
        <v>1593</v>
      </c>
      <c r="C22" s="3289"/>
      <c r="D22" s="3289"/>
      <c r="E22" s="1245"/>
      <c r="F22" s="1245"/>
      <c r="G22" s="1245"/>
      <c r="H22" s="3166"/>
      <c r="I22" s="3167"/>
      <c r="J22" s="3167"/>
      <c r="K22" s="3168"/>
      <c r="L22" s="3240"/>
      <c r="M22" s="3241"/>
      <c r="N22" s="3248"/>
      <c r="O22" s="3249"/>
      <c r="P22" s="3250"/>
      <c r="Q22" s="3251"/>
      <c r="S22" s="3176"/>
      <c r="T22" s="3177"/>
    </row>
    <row r="23" spans="1:20" s="300" customFormat="1" ht="15.75" customHeight="1">
      <c r="A23" s="325"/>
      <c r="B23" s="3227" t="s">
        <v>2215</v>
      </c>
      <c r="C23" s="3228"/>
      <c r="D23" s="3228"/>
      <c r="E23" s="1238"/>
      <c r="F23" s="1238"/>
      <c r="G23" s="1238"/>
      <c r="H23" s="3258"/>
      <c r="I23" s="3259"/>
      <c r="J23" s="3259"/>
      <c r="K23" s="3260"/>
      <c r="L23" s="3261"/>
      <c r="M23" s="3262"/>
      <c r="N23" s="3238"/>
      <c r="O23" s="3239"/>
      <c r="P23" s="3222"/>
      <c r="Q23" s="3222"/>
      <c r="S23" s="3176"/>
      <c r="T23" s="3177"/>
    </row>
    <row r="24" spans="1:20" s="300" customFormat="1" ht="15.75" customHeight="1">
      <c r="A24" s="325"/>
      <c r="B24" s="3197" t="s">
        <v>801</v>
      </c>
      <c r="C24" s="3198"/>
      <c r="D24" s="3198"/>
      <c r="E24" s="1238"/>
      <c r="H24" s="3159"/>
      <c r="I24" s="3160"/>
      <c r="J24" s="3160"/>
      <c r="K24" s="3161"/>
      <c r="L24" s="3236"/>
      <c r="M24" s="3237"/>
      <c r="N24" s="3238"/>
      <c r="O24" s="3239"/>
      <c r="P24" s="3222"/>
      <c r="Q24" s="3222"/>
      <c r="S24" s="3176"/>
      <c r="T24" s="3177"/>
    </row>
    <row r="25" spans="1:20" s="300" customFormat="1" ht="15.75" customHeight="1">
      <c r="A25" s="325"/>
      <c r="B25" s="3197" t="s">
        <v>641</v>
      </c>
      <c r="C25" s="3198"/>
      <c r="D25" s="3198"/>
      <c r="E25" s="1238"/>
      <c r="H25" s="3159"/>
      <c r="I25" s="3160"/>
      <c r="J25" s="3160"/>
      <c r="K25" s="3161"/>
      <c r="L25" s="3236"/>
      <c r="M25" s="3237"/>
      <c r="N25" s="3238"/>
      <c r="O25" s="3239"/>
      <c r="P25" s="3222"/>
      <c r="Q25" s="3222"/>
      <c r="S25" s="3176"/>
      <c r="T25" s="3177"/>
    </row>
    <row r="26" spans="1:20" s="300" customFormat="1" ht="15.75" customHeight="1">
      <c r="A26" s="325"/>
      <c r="B26" s="3197" t="s">
        <v>802</v>
      </c>
      <c r="C26" s="3198"/>
      <c r="D26" s="3198"/>
      <c r="E26" s="1238"/>
      <c r="H26" s="3159" t="s">
        <v>5295</v>
      </c>
      <c r="I26" s="3160"/>
      <c r="J26" s="3160"/>
      <c r="K26" s="3161"/>
      <c r="L26" s="3236">
        <v>5547639</v>
      </c>
      <c r="M26" s="3237"/>
      <c r="N26" s="325"/>
      <c r="Q26" s="325"/>
      <c r="S26" s="3178"/>
      <c r="T26" s="3179"/>
    </row>
    <row r="27" spans="1:20" s="300" customFormat="1" ht="15.75" customHeight="1">
      <c r="A27" s="325"/>
      <c r="B27" s="3197" t="s">
        <v>803</v>
      </c>
      <c r="C27" s="3198"/>
      <c r="D27" s="3198"/>
      <c r="E27" s="1238"/>
      <c r="H27" s="3159" t="s">
        <v>5295</v>
      </c>
      <c r="I27" s="3160"/>
      <c r="J27" s="3160"/>
      <c r="K27" s="3161"/>
      <c r="L27" s="3236">
        <v>1356126</v>
      </c>
      <c r="M27" s="3237"/>
      <c r="N27" s="325"/>
      <c r="Q27" s="325"/>
      <c r="S27" s="3195"/>
      <c r="T27" s="3196"/>
    </row>
    <row r="28" spans="1:20" s="300" customFormat="1" ht="15.75" customHeight="1">
      <c r="A28" s="325"/>
      <c r="B28" s="1237" t="s">
        <v>242</v>
      </c>
      <c r="C28" s="1238"/>
      <c r="D28" s="3180"/>
      <c r="E28" s="3180"/>
      <c r="F28" s="3180"/>
      <c r="G28" s="3180"/>
      <c r="H28" s="3159"/>
      <c r="I28" s="3160"/>
      <c r="J28" s="3160"/>
      <c r="K28" s="3161"/>
      <c r="L28" s="3236"/>
      <c r="M28" s="3237"/>
      <c r="N28" s="325"/>
      <c r="Q28" s="325"/>
      <c r="S28" s="3176"/>
      <c r="T28" s="3177"/>
    </row>
    <row r="29" spans="1:20" s="300" customFormat="1" ht="15.75" customHeight="1">
      <c r="A29" s="325"/>
      <c r="B29" s="1237" t="s">
        <v>242</v>
      </c>
      <c r="C29" s="1238"/>
      <c r="D29" s="3181"/>
      <c r="E29" s="3181"/>
      <c r="F29" s="3181"/>
      <c r="G29" s="3181"/>
      <c r="H29" s="3159"/>
      <c r="I29" s="3160"/>
      <c r="J29" s="3160"/>
      <c r="K29" s="3161"/>
      <c r="L29" s="3236"/>
      <c r="M29" s="3237"/>
      <c r="N29" s="325"/>
      <c r="S29" s="3176"/>
      <c r="T29" s="3177"/>
    </row>
    <row r="30" spans="1:20" s="300" customFormat="1" ht="15.75" customHeight="1">
      <c r="A30" s="325"/>
      <c r="B30" s="1244" t="s">
        <v>242</v>
      </c>
      <c r="C30" s="1245"/>
      <c r="D30" s="3165"/>
      <c r="E30" s="3165"/>
      <c r="F30" s="3165"/>
      <c r="G30" s="3165"/>
      <c r="H30" s="3166"/>
      <c r="I30" s="3167"/>
      <c r="J30" s="3167"/>
      <c r="K30" s="3168"/>
      <c r="L30" s="3240"/>
      <c r="M30" s="3241"/>
      <c r="N30" s="325"/>
      <c r="S30" s="3176"/>
      <c r="T30" s="3177"/>
    </row>
    <row r="31" spans="1:20" s="300" customFormat="1" ht="16.5" customHeight="1">
      <c r="A31" s="325"/>
      <c r="B31" s="299" t="s">
        <v>1298</v>
      </c>
      <c r="C31" s="325"/>
      <c r="D31" s="325"/>
      <c r="E31" s="325"/>
      <c r="F31" s="325"/>
      <c r="G31" s="325"/>
      <c r="H31" s="325"/>
      <c r="I31" s="325"/>
      <c r="L31" s="3242">
        <f>SUM(L20:L30)</f>
        <v>13768765</v>
      </c>
      <c r="M31" s="3243"/>
      <c r="N31" s="346"/>
      <c r="S31" s="3176"/>
      <c r="T31" s="3177"/>
    </row>
    <row r="32" spans="1:20" s="300" customFormat="1" ht="16.5" customHeight="1">
      <c r="A32" s="325"/>
      <c r="B32" s="1228" t="s">
        <v>1299</v>
      </c>
      <c r="C32" s="325"/>
      <c r="D32" s="325"/>
      <c r="E32" s="325"/>
      <c r="F32" s="325"/>
      <c r="G32" s="325"/>
      <c r="H32" s="325"/>
      <c r="I32" s="325"/>
      <c r="L32" s="324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13768765</v>
      </c>
      <c r="M32" s="3245"/>
      <c r="N32" s="968"/>
      <c r="S32" s="3176"/>
      <c r="T32" s="3177"/>
    </row>
    <row r="33" spans="1:20" s="300" customFormat="1" ht="16.5" customHeight="1">
      <c r="A33" s="325"/>
      <c r="B33" s="330" t="s">
        <v>2157</v>
      </c>
      <c r="C33" s="325"/>
      <c r="D33" s="325"/>
      <c r="E33" s="325"/>
      <c r="F33" s="325"/>
      <c r="G33" s="325"/>
      <c r="H33" s="325"/>
      <c r="I33" s="325"/>
      <c r="L33" s="3246">
        <f>L31-L32</f>
        <v>0</v>
      </c>
      <c r="M33" s="3247"/>
      <c r="N33" s="968"/>
      <c r="S33" s="3178"/>
      <c r="T33" s="3179"/>
    </row>
    <row r="34" spans="1:20" ht="9.6" customHeight="1">
      <c r="A34" s="356"/>
      <c r="B34" s="299"/>
      <c r="C34" s="346"/>
      <c r="D34" s="346"/>
      <c r="E34" s="346"/>
      <c r="F34" s="346"/>
      <c r="G34" s="346"/>
      <c r="H34" s="346"/>
      <c r="I34" s="346"/>
      <c r="J34" s="346"/>
      <c r="K34" s="346"/>
      <c r="L34" s="346"/>
      <c r="M34" s="1243"/>
      <c r="N34" s="1243"/>
    </row>
    <row r="35" spans="1:20" ht="9.6" customHeight="1">
      <c r="A35" s="327" t="s">
        <v>742</v>
      </c>
      <c r="B35" s="299" t="s">
        <v>800</v>
      </c>
      <c r="C35" s="346"/>
      <c r="D35" s="346"/>
      <c r="E35" s="346"/>
      <c r="F35" s="346"/>
      <c r="G35" s="346"/>
      <c r="H35" s="346"/>
      <c r="I35" s="346"/>
      <c r="J35" s="346"/>
      <c r="K35" s="346"/>
      <c r="L35" s="346"/>
      <c r="M35" s="1243"/>
      <c r="N35" s="1243"/>
      <c r="O35" s="346"/>
      <c r="S35" s="395" t="str">
        <f>B35</f>
        <v>PERMANENT FINANCING</v>
      </c>
    </row>
    <row r="36" spans="1:20" s="300" customFormat="1" ht="13.35" customHeight="1">
      <c r="A36" s="325"/>
      <c r="B36" s="325"/>
      <c r="C36" s="325"/>
      <c r="D36" s="325"/>
      <c r="E36" s="325"/>
      <c r="F36" s="1243"/>
      <c r="G36" s="1243"/>
      <c r="H36" s="3222"/>
      <c r="I36" s="3222"/>
      <c r="K36" s="423" t="s">
        <v>2099</v>
      </c>
      <c r="L36" s="1243" t="s">
        <v>1295</v>
      </c>
      <c r="M36" s="1243" t="s">
        <v>1300</v>
      </c>
      <c r="P36" s="3223" t="s">
        <v>34</v>
      </c>
      <c r="Q36" s="3223"/>
      <c r="S36" s="395"/>
    </row>
    <row r="37" spans="1:20" s="300" customFormat="1" ht="13.35" customHeight="1">
      <c r="A37" s="325"/>
      <c r="B37" s="1246" t="s">
        <v>1871</v>
      </c>
      <c r="C37" s="1245"/>
      <c r="D37" s="1245"/>
      <c r="E37" s="2920" t="s">
        <v>1297</v>
      </c>
      <c r="F37" s="2920"/>
      <c r="G37" s="2920"/>
      <c r="H37" s="2920"/>
      <c r="I37" s="3063" t="s">
        <v>4964</v>
      </c>
      <c r="J37" s="3063"/>
      <c r="K37" s="1230" t="s">
        <v>1806</v>
      </c>
      <c r="L37" s="1230" t="s">
        <v>2214</v>
      </c>
      <c r="M37" s="1230" t="s">
        <v>2214</v>
      </c>
      <c r="N37" s="3063" t="s">
        <v>74</v>
      </c>
      <c r="O37" s="3063"/>
      <c r="P37" s="3224"/>
      <c r="Q37" s="3224"/>
      <c r="S37" s="3225" t="s">
        <v>2683</v>
      </c>
      <c r="T37" s="3225"/>
    </row>
    <row r="38" spans="1:20" s="300" customFormat="1" ht="15.75" customHeight="1">
      <c r="A38" s="325"/>
      <c r="B38" s="3227" t="s">
        <v>2614</v>
      </c>
      <c r="C38" s="3228"/>
      <c r="D38" s="3228"/>
      <c r="E38" s="3190" t="s">
        <v>5217</v>
      </c>
      <c r="F38" s="3191"/>
      <c r="G38" s="3191"/>
      <c r="H38" s="3192"/>
      <c r="I38" s="3184">
        <v>6865000</v>
      </c>
      <c r="J38" s="3185"/>
      <c r="K38" s="965">
        <v>4.3999999999999997E-2</v>
      </c>
      <c r="L38" s="1240">
        <v>35</v>
      </c>
      <c r="M38" s="1240">
        <v>35</v>
      </c>
      <c r="N38" s="3229" t="s">
        <v>5223</v>
      </c>
      <c r="O38" s="3229"/>
      <c r="P38" s="3186">
        <f>IF(OR(I38&lt;=0,I38=""),"",IF(N38="Cash Flow",0,IF(N38="Amortizing",-PMT(K38/12,M38*12,I38,0,0)*12,"")))</f>
        <v>384782.82220370776</v>
      </c>
      <c r="Q38" s="3186"/>
      <c r="S38" s="3195"/>
      <c r="T38" s="3196"/>
    </row>
    <row r="39" spans="1:20" s="300" customFormat="1" ht="15.75" customHeight="1">
      <c r="A39" s="325"/>
      <c r="B39" s="3197" t="s">
        <v>2615</v>
      </c>
      <c r="C39" s="3198"/>
      <c r="D39" s="3198"/>
      <c r="E39" s="3159"/>
      <c r="F39" s="3160"/>
      <c r="G39" s="3160"/>
      <c r="H39" s="3161"/>
      <c r="I39" s="3162"/>
      <c r="J39" s="3200"/>
      <c r="K39" s="966"/>
      <c r="L39" s="1241"/>
      <c r="M39" s="1241"/>
      <c r="N39" s="3226"/>
      <c r="O39" s="3226"/>
      <c r="P39" s="3221" t="str">
        <f>IF(OR(I39&lt;=0,I39=""),"",IF(N39="Cash Flow",0,IF(N39="Amortizing",-PMT(K39/12,M39*12,I39,0,0)*12,"")))</f>
        <v/>
      </c>
      <c r="Q39" s="3221"/>
      <c r="S39" s="3176"/>
      <c r="T39" s="3177"/>
    </row>
    <row r="40" spans="1:20" s="300" customFormat="1" ht="15.75" customHeight="1">
      <c r="A40" s="325"/>
      <c r="B40" s="3197" t="s">
        <v>2616</v>
      </c>
      <c r="C40" s="3198"/>
      <c r="D40" s="3198"/>
      <c r="E40" s="3159"/>
      <c r="F40" s="3160"/>
      <c r="G40" s="3160"/>
      <c r="H40" s="3161"/>
      <c r="I40" s="3162"/>
      <c r="J40" s="3200"/>
      <c r="K40" s="966"/>
      <c r="L40" s="1241"/>
      <c r="M40" s="1241"/>
      <c r="N40" s="3226"/>
      <c r="O40" s="3226"/>
      <c r="P40" s="3221" t="str">
        <f>IF(OR(I40&lt;=0,I40=""),"",IF(N40="Cash Flow",0,IF(N40="Amortizing",-PMT(K40/12,M40*12,I40,0,0)*12,"")))</f>
        <v/>
      </c>
      <c r="Q40" s="3221"/>
      <c r="S40" s="3176"/>
      <c r="T40" s="3177"/>
    </row>
    <row r="41" spans="1:20" s="300" customFormat="1" ht="15.75" customHeight="1">
      <c r="A41" s="325"/>
      <c r="B41" s="1237" t="s">
        <v>741</v>
      </c>
      <c r="C41" s="3207"/>
      <c r="D41" s="3208"/>
      <c r="E41" s="3159"/>
      <c r="F41" s="3160"/>
      <c r="G41" s="3160"/>
      <c r="H41" s="3161"/>
      <c r="I41" s="3209"/>
      <c r="J41" s="3210"/>
      <c r="K41" s="967"/>
      <c r="L41" s="1234"/>
      <c r="M41" s="1234"/>
      <c r="N41" s="3212"/>
      <c r="O41" s="3212"/>
      <c r="P41" s="3211" t="str">
        <f>IF(OR(I41&lt;=0,I41=""),"",IF(N41="Cash Flow",0,IF(N41="Amortizing",-PMT(K41/12,M41*12,I41,0,0)*12,"")))</f>
        <v/>
      </c>
      <c r="Q41" s="3211"/>
      <c r="S41" s="3176"/>
      <c r="T41" s="3177"/>
    </row>
    <row r="42" spans="1:20" s="300" customFormat="1" ht="15.75" customHeight="1">
      <c r="A42" s="325"/>
      <c r="B42" s="1237" t="s">
        <v>2749</v>
      </c>
      <c r="C42" s="1238"/>
      <c r="D42" s="1242"/>
      <c r="E42" s="3159"/>
      <c r="F42" s="3160"/>
      <c r="G42" s="3160"/>
      <c r="H42" s="3161"/>
      <c r="I42" s="3162"/>
      <c r="J42" s="3200"/>
      <c r="K42" s="523"/>
      <c r="L42" s="1236"/>
      <c r="M42" s="1236"/>
      <c r="N42" s="3214"/>
      <c r="O42" s="3214"/>
      <c r="P42" s="3213"/>
      <c r="Q42" s="3213"/>
      <c r="S42" s="3176"/>
      <c r="T42" s="3177"/>
    </row>
    <row r="43" spans="1:20" s="300" customFormat="1" ht="15.75" customHeight="1">
      <c r="A43" s="325"/>
      <c r="B43" s="1244" t="s">
        <v>228</v>
      </c>
      <c r="C43" s="1245"/>
      <c r="D43" s="424">
        <f>IF(OR(I43="",I43=0,'Part IV-A-Uses of Funds'!$G$118="",'Part IV-A-Uses of Funds'!$G$118=0),"",I43/'Part IV-A-Uses of Funds'!$G$118)</f>
        <v>0.19111621174524401</v>
      </c>
      <c r="E43" s="3166" t="s">
        <v>5304</v>
      </c>
      <c r="F43" s="3167"/>
      <c r="G43" s="3167"/>
      <c r="H43" s="3168"/>
      <c r="I43" s="3230">
        <v>462119</v>
      </c>
      <c r="J43" s="3231"/>
      <c r="K43" s="964">
        <v>0</v>
      </c>
      <c r="L43" s="963">
        <v>10</v>
      </c>
      <c r="M43" s="963">
        <v>10</v>
      </c>
      <c r="N43" s="3234" t="s">
        <v>5223</v>
      </c>
      <c r="O43" s="3235"/>
      <c r="P43" s="3232">
        <f>IF(OR(I43&lt;=0,I43=""),"",IF(N43="Cash Flow",0,IF(N43="Amortizing",-PMT(K43/12,M43*12,I43,0,0)*12,"")))</f>
        <v>46211.9</v>
      </c>
      <c r="Q43" s="3233"/>
      <c r="S43" s="3176"/>
      <c r="T43" s="3177"/>
    </row>
    <row r="44" spans="1:20" s="300" customFormat="1" ht="3" customHeight="1">
      <c r="A44" s="325"/>
      <c r="B44" s="325"/>
      <c r="C44" s="325"/>
      <c r="D44" s="325"/>
      <c r="E44" s="325"/>
      <c r="F44" s="325"/>
      <c r="G44" s="325"/>
      <c r="H44" s="325"/>
      <c r="I44" s="1553"/>
      <c r="J44" s="1554"/>
      <c r="K44" s="1279"/>
      <c r="L44" s="375"/>
      <c r="M44" s="375"/>
      <c r="N44" s="1280"/>
      <c r="O44" s="1280"/>
      <c r="P44" s="375"/>
      <c r="Q44" s="375"/>
      <c r="S44" s="3176"/>
      <c r="T44" s="3177"/>
    </row>
    <row r="45" spans="1:20" s="300" customFormat="1" ht="14.25" customHeight="1">
      <c r="A45" s="325"/>
      <c r="B45" s="1278" t="s">
        <v>4187</v>
      </c>
      <c r="C45" s="1535"/>
      <c r="E45" s="300" t="s">
        <v>4089</v>
      </c>
      <c r="F45" s="3205">
        <f>IF(OR($I$43="",$I$43=0,'Part VII-Pro Forma'!$S$35=0,'Part VII-Pro Forma'!$S$35=""),"",VLOOKUP($L$43,'Part VII-Pro Forma'!$Q$20:$S$40,3))</f>
        <v>1108774.2181999211</v>
      </c>
      <c r="G45" s="3206"/>
      <c r="H45" s="712" t="s">
        <v>4186</v>
      </c>
      <c r="I45" s="3205">
        <f>IF(OR($I$43="",$I$43=0,'Part VII-Pro Forma'!$R$35=0,'Part VII-Pro Forma'!$R$35=""),"",VLOOKUP($L$43,'Part VII-Pro Forma'!$Q$20:$S$35,2))</f>
        <v>462119.00000000012</v>
      </c>
      <c r="J45" s="3206"/>
      <c r="K45" s="712" t="s">
        <v>4188</v>
      </c>
      <c r="L45" s="3215">
        <f>IF(OR($F$45 = 0,$F$45 =""),"",$I$45/$F$45)</f>
        <v>0.41678368094655344</v>
      </c>
      <c r="M45" s="3216"/>
      <c r="N45" s="3219" t="s">
        <v>4976</v>
      </c>
      <c r="O45" s="3220"/>
      <c r="P45" s="3217">
        <f>IF(OR($I$60=0,$I$58&gt;$I$59),0,ABS($I$58-$I$59))</f>
        <v>0</v>
      </c>
      <c r="Q45" s="3218"/>
      <c r="S45" s="3176"/>
      <c r="T45" s="3177"/>
    </row>
    <row r="46" spans="1:20" s="300" customFormat="1" ht="3" customHeight="1">
      <c r="A46" s="325"/>
      <c r="B46" s="325"/>
      <c r="C46" s="325"/>
      <c r="D46" s="325"/>
      <c r="E46" s="325"/>
      <c r="F46" s="325"/>
      <c r="G46" s="325"/>
      <c r="H46" s="325"/>
      <c r="I46" s="1281"/>
      <c r="J46" s="1282"/>
      <c r="K46" s="1279"/>
      <c r="L46" s="375"/>
      <c r="M46" s="375"/>
      <c r="N46" s="1280"/>
      <c r="O46" s="1280"/>
      <c r="P46" s="375"/>
      <c r="Q46" s="375"/>
      <c r="S46" s="3178"/>
      <c r="T46" s="3179"/>
    </row>
    <row r="47" spans="1:20" s="300" customFormat="1" ht="15.75" customHeight="1">
      <c r="A47" s="325"/>
      <c r="B47" s="3187" t="s">
        <v>2215</v>
      </c>
      <c r="C47" s="3188"/>
      <c r="D47" s="3189"/>
      <c r="E47" s="3190"/>
      <c r="F47" s="3191"/>
      <c r="G47" s="3191"/>
      <c r="H47" s="3192"/>
      <c r="I47" s="3193"/>
      <c r="J47" s="3194"/>
      <c r="K47" s="425"/>
      <c r="L47" s="425"/>
      <c r="M47" s="425"/>
      <c r="N47" s="425"/>
      <c r="O47" s="425"/>
      <c r="P47" s="425"/>
      <c r="Q47" s="425"/>
      <c r="S47" s="3195"/>
      <c r="T47" s="3196"/>
    </row>
    <row r="48" spans="1:20" s="300" customFormat="1" ht="15.75" customHeight="1">
      <c r="A48" s="325"/>
      <c r="B48" s="3197" t="s">
        <v>801</v>
      </c>
      <c r="C48" s="3198"/>
      <c r="D48" s="3199"/>
      <c r="E48" s="3159"/>
      <c r="F48" s="3160"/>
      <c r="G48" s="3160"/>
      <c r="H48" s="3161"/>
      <c r="I48" s="3162"/>
      <c r="J48" s="3200"/>
      <c r="L48" s="3201" t="s">
        <v>517</v>
      </c>
      <c r="M48" s="3201"/>
      <c r="N48" s="3202" t="s">
        <v>518</v>
      </c>
      <c r="O48" s="3202"/>
      <c r="P48" s="458" t="s">
        <v>516</v>
      </c>
      <c r="Q48" s="425"/>
      <c r="S48" s="3176"/>
      <c r="T48" s="3177"/>
    </row>
    <row r="49" spans="1:23" s="300" customFormat="1" ht="15.75" customHeight="1">
      <c r="A49" s="325"/>
      <c r="B49" s="3197" t="s">
        <v>802</v>
      </c>
      <c r="C49" s="3198"/>
      <c r="D49" s="3199"/>
      <c r="E49" s="3159" t="s">
        <v>5295</v>
      </c>
      <c r="F49" s="3160"/>
      <c r="G49" s="3160"/>
      <c r="H49" s="3161"/>
      <c r="I49" s="3162">
        <v>6138539</v>
      </c>
      <c r="J49" s="3162"/>
      <c r="L49" s="3203">
        <f>'Part IV-A-Uses of Funds'!$J$175*10*'Part IV-A-Uses of Funds'!$N$168</f>
        <v>6138539.4000000004</v>
      </c>
      <c r="M49" s="3203"/>
      <c r="N49" s="3204">
        <f>I49-L49</f>
        <v>-0.40000000037252903</v>
      </c>
      <c r="O49" s="3204"/>
      <c r="P49" s="459" t="s">
        <v>2560</v>
      </c>
      <c r="Q49" s="425"/>
      <c r="S49" s="3176"/>
      <c r="T49" s="3177"/>
    </row>
    <row r="50" spans="1:23" s="300" customFormat="1" ht="15.75" customHeight="1">
      <c r="A50" s="325"/>
      <c r="B50" s="3197" t="s">
        <v>803</v>
      </c>
      <c r="C50" s="3198"/>
      <c r="D50" s="3199"/>
      <c r="E50" s="3159" t="s">
        <v>5295</v>
      </c>
      <c r="F50" s="3160"/>
      <c r="G50" s="3160"/>
      <c r="H50" s="3161"/>
      <c r="I50" s="3162">
        <v>4191368</v>
      </c>
      <c r="J50" s="3162"/>
      <c r="L50" s="3203">
        <f>'Part IV-A-Uses of Funds'!$J$175*10*'Part IV-A-Uses of Funds'!$Q$168</f>
        <v>4191368.3000000003</v>
      </c>
      <c r="M50" s="3203"/>
      <c r="N50" s="3204">
        <f>I50-L50</f>
        <v>-0.30000000027939677</v>
      </c>
      <c r="O50" s="3204"/>
      <c r="P50" s="460">
        <f>I49/I59</f>
        <v>0.339261993651859</v>
      </c>
      <c r="Q50" s="425"/>
      <c r="S50" s="3176"/>
      <c r="T50" s="3177"/>
    </row>
    <row r="51" spans="1:23" s="300" customFormat="1" ht="15.75" customHeight="1">
      <c r="A51" s="325"/>
      <c r="B51" s="3197" t="s">
        <v>1410</v>
      </c>
      <c r="C51" s="3198"/>
      <c r="D51" s="3199"/>
      <c r="E51" s="3159"/>
      <c r="F51" s="3160"/>
      <c r="G51" s="3160"/>
      <c r="H51" s="3161"/>
      <c r="I51" s="3162"/>
      <c r="J51" s="3162"/>
      <c r="P51" s="460">
        <f>I50/I59</f>
        <v>0.23164662858843202</v>
      </c>
      <c r="Q51" s="425"/>
      <c r="S51" s="3178"/>
      <c r="T51" s="3179"/>
    </row>
    <row r="52" spans="1:23" s="300" customFormat="1" ht="15.75" customHeight="1">
      <c r="A52" s="325"/>
      <c r="B52" s="1237" t="s">
        <v>531</v>
      </c>
      <c r="C52" s="1238"/>
      <c r="D52" s="1242"/>
      <c r="E52" s="3159"/>
      <c r="F52" s="3160"/>
      <c r="G52" s="3160"/>
      <c r="H52" s="3161"/>
      <c r="I52" s="3162">
        <v>368125</v>
      </c>
      <c r="J52" s="3162"/>
      <c r="K52" s="325"/>
      <c r="P52" s="461">
        <f>SUM(P50:P51)</f>
        <v>0.57090862224029104</v>
      </c>
      <c r="Q52" s="425"/>
      <c r="S52" s="3176"/>
      <c r="T52" s="3177"/>
    </row>
    <row r="53" spans="1:23" s="300" customFormat="1" ht="15.75" customHeight="1">
      <c r="A53" s="325"/>
      <c r="B53" s="1237" t="s">
        <v>1869</v>
      </c>
      <c r="C53" s="1238"/>
      <c r="D53" s="1242"/>
      <c r="E53" s="3159"/>
      <c r="F53" s="3160"/>
      <c r="G53" s="3160"/>
      <c r="H53" s="3161"/>
      <c r="I53" s="3162"/>
      <c r="J53" s="3162"/>
      <c r="N53" s="426"/>
      <c r="O53" s="426"/>
      <c r="P53" s="426"/>
      <c r="Q53" s="425"/>
      <c r="S53" s="3176"/>
      <c r="T53" s="3177"/>
    </row>
    <row r="54" spans="1:23" s="300" customFormat="1" ht="15.75" customHeight="1">
      <c r="A54" s="325"/>
      <c r="B54" s="1237" t="s">
        <v>1870</v>
      </c>
      <c r="C54" s="1238"/>
      <c r="D54" s="1242"/>
      <c r="E54" s="3163"/>
      <c r="F54" s="3160"/>
      <c r="G54" s="3160"/>
      <c r="H54" s="3161"/>
      <c r="I54" s="3162"/>
      <c r="J54" s="3162"/>
      <c r="M54" s="426"/>
      <c r="N54" s="426"/>
      <c r="O54" s="426"/>
      <c r="P54" s="426"/>
      <c r="Q54" s="425"/>
      <c r="S54" s="3176"/>
      <c r="T54" s="3177"/>
    </row>
    <row r="55" spans="1:23" s="300" customFormat="1" ht="23.25" customHeight="1">
      <c r="A55" s="325"/>
      <c r="B55" s="1237" t="s">
        <v>741</v>
      </c>
      <c r="C55" s="3180"/>
      <c r="D55" s="3180"/>
      <c r="E55" s="3159" t="s">
        <v>5317</v>
      </c>
      <c r="F55" s="3160"/>
      <c r="G55" s="3160"/>
      <c r="H55" s="3161"/>
      <c r="I55" s="3162">
        <v>68650</v>
      </c>
      <c r="J55" s="3162"/>
      <c r="M55" s="426"/>
      <c r="N55" s="426"/>
      <c r="O55" s="426"/>
      <c r="P55" s="426"/>
      <c r="Q55" s="425"/>
      <c r="S55" s="3176"/>
      <c r="T55" s="3177"/>
    </row>
    <row r="56" spans="1:23" s="300" customFormat="1" ht="15.75" customHeight="1">
      <c r="A56" s="325"/>
      <c r="B56" s="1237" t="s">
        <v>741</v>
      </c>
      <c r="C56" s="3181"/>
      <c r="D56" s="3181"/>
      <c r="E56" s="3159"/>
      <c r="F56" s="3160"/>
      <c r="G56" s="3160"/>
      <c r="H56" s="3161"/>
      <c r="I56" s="3162"/>
      <c r="J56" s="3162"/>
      <c r="K56" s="325"/>
      <c r="L56" s="427"/>
      <c r="M56" s="426"/>
      <c r="N56" s="426"/>
      <c r="O56" s="426"/>
      <c r="P56" s="426"/>
      <c r="Q56" s="425"/>
      <c r="S56" s="3176"/>
      <c r="T56" s="3177"/>
    </row>
    <row r="57" spans="1:23" s="300" customFormat="1" ht="15.75" customHeight="1">
      <c r="A57" s="325"/>
      <c r="B57" s="1244" t="s">
        <v>741</v>
      </c>
      <c r="C57" s="3165"/>
      <c r="D57" s="3165"/>
      <c r="E57" s="3166"/>
      <c r="F57" s="3167"/>
      <c r="G57" s="3167"/>
      <c r="H57" s="3168"/>
      <c r="I57" s="3169"/>
      <c r="J57" s="3169"/>
      <c r="K57" s="325"/>
      <c r="L57" s="427"/>
      <c r="M57" s="426"/>
      <c r="N57" s="426"/>
      <c r="O57" s="426"/>
      <c r="P57" s="426"/>
      <c r="Q57" s="425"/>
      <c r="S57" s="3176"/>
      <c r="T57" s="3177"/>
    </row>
    <row r="58" spans="1:23" s="300" customFormat="1" ht="14.25" customHeight="1">
      <c r="A58" s="325"/>
      <c r="B58" s="1228" t="s">
        <v>2216</v>
      </c>
      <c r="C58" s="325"/>
      <c r="D58" s="325"/>
      <c r="E58" s="325"/>
      <c r="F58" s="325"/>
      <c r="G58" s="325"/>
      <c r="I58" s="3170">
        <f>SUM(I38:J43)+SUM(I47:J57)</f>
        <v>18093801</v>
      </c>
      <c r="J58" s="3171"/>
      <c r="K58" s="325"/>
      <c r="L58" s="427"/>
      <c r="M58" s="426"/>
      <c r="N58" s="426"/>
      <c r="O58" s="426"/>
      <c r="P58" s="426"/>
      <c r="Q58" s="425"/>
      <c r="S58" s="3176"/>
      <c r="T58" s="3177"/>
    </row>
    <row r="59" spans="1:23" s="300" customFormat="1" ht="14.25" customHeight="1" thickBot="1">
      <c r="A59" s="325"/>
      <c r="B59" s="1228" t="s">
        <v>2217</v>
      </c>
      <c r="C59" s="325"/>
      <c r="D59" s="325"/>
      <c r="E59" s="325"/>
      <c r="F59" s="325"/>
      <c r="G59" s="325"/>
      <c r="I59" s="3172">
        <f>'Part IV-A-Uses of Funds'!$G$132</f>
        <v>18093801</v>
      </c>
      <c r="J59" s="3173"/>
      <c r="K59" s="325"/>
      <c r="L59" s="427"/>
      <c r="M59" s="426"/>
      <c r="N59" s="426"/>
      <c r="O59" s="426"/>
      <c r="P59" s="426"/>
      <c r="Q59" s="425"/>
      <c r="S59" s="3176"/>
      <c r="T59" s="3177"/>
    </row>
    <row r="60" spans="1:23" s="300" customFormat="1" ht="14.25" customHeight="1" thickBot="1">
      <c r="A60" s="325"/>
      <c r="B60" s="330" t="s">
        <v>1525</v>
      </c>
      <c r="C60" s="325"/>
      <c r="D60" s="325"/>
      <c r="E60" s="325"/>
      <c r="F60" s="325"/>
      <c r="G60" s="325"/>
      <c r="I60" s="3174">
        <f>I58-I59</f>
        <v>0</v>
      </c>
      <c r="J60" s="3175"/>
      <c r="K60" s="325"/>
      <c r="L60" s="427"/>
      <c r="M60" s="426"/>
      <c r="N60" s="426"/>
      <c r="O60" s="426"/>
      <c r="P60" s="426"/>
      <c r="Q60" s="425"/>
      <c r="S60" s="3178"/>
      <c r="T60" s="3179"/>
    </row>
    <row r="61" spans="1:23" s="300" customFormat="1" ht="13.35" customHeight="1">
      <c r="A61" s="325" t="s">
        <v>3468</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111.75" customHeight="1">
      <c r="A64" s="3183"/>
      <c r="B64" s="3183"/>
      <c r="C64" s="3183"/>
      <c r="D64" s="3183"/>
      <c r="E64" s="3183"/>
      <c r="F64" s="3183"/>
      <c r="G64" s="3183"/>
      <c r="H64" s="3183"/>
      <c r="I64" s="3183"/>
      <c r="J64" s="3183"/>
      <c r="K64" s="3183"/>
      <c r="L64" s="3183"/>
      <c r="M64" s="3182"/>
      <c r="N64" s="3182"/>
      <c r="O64" s="3182"/>
      <c r="P64" s="3182"/>
      <c r="Q64" s="3182"/>
      <c r="S64" s="3164" t="s">
        <v>2693</v>
      </c>
      <c r="T64" s="3164"/>
      <c r="U64" s="535"/>
      <c r="V64" s="535"/>
      <c r="W64" s="535"/>
    </row>
    <row r="65" spans="1:23" ht="11.25" customHeight="1">
      <c r="S65" s="535"/>
      <c r="T65" s="535"/>
      <c r="U65" s="535"/>
      <c r="V65" s="535"/>
      <c r="W65" s="535"/>
    </row>
    <row r="66" spans="1:23" ht="12" customHeight="1"/>
    <row r="67" spans="1:23" ht="12" customHeight="1">
      <c r="B67" s="397"/>
    </row>
    <row r="68" spans="1:23" ht="14.45" customHeight="1"/>
    <row r="69" spans="1:23" s="300" customFormat="1" ht="14.45" customHeight="1"/>
    <row r="70" spans="1:23" s="300" customFormat="1" ht="14.45" customHeight="1"/>
    <row r="71" spans="1:23" s="300" customFormat="1" ht="14.45" customHeight="1"/>
    <row r="72" spans="1:23" ht="14.45" customHeight="1"/>
    <row r="73" spans="1:23" s="300" customFormat="1" ht="14.45" customHeight="1">
      <c r="A73" s="398"/>
    </row>
    <row r="74" spans="1:23" s="300" customFormat="1" ht="14.45" customHeight="1">
      <c r="A74" s="398"/>
    </row>
    <row r="75" spans="1:23" s="300" customFormat="1" ht="14.45" customHeight="1"/>
    <row r="76" spans="1:23" s="300" customFormat="1" ht="14.45" customHeight="1">
      <c r="A76" s="398"/>
    </row>
    <row r="77" spans="1:23" s="300" customFormat="1" ht="14.45" customHeight="1">
      <c r="A77" s="2599"/>
    </row>
    <row r="78" spans="1:23" s="300" customFormat="1" ht="14.45" customHeight="1">
      <c r="A78" s="2599"/>
    </row>
    <row r="79" spans="1:23" s="300" customFormat="1" ht="14.45" customHeight="1">
      <c r="A79" s="2600"/>
    </row>
    <row r="80" spans="1:23" s="300" customFormat="1" ht="14.45" customHeight="1">
      <c r="A80" s="2601"/>
    </row>
    <row r="81" spans="1:1" s="300" customFormat="1" ht="14.45" customHeight="1">
      <c r="A81" s="2599"/>
    </row>
    <row r="82" spans="1:1" s="300" customFormat="1" ht="14.45" customHeight="1">
      <c r="A82" s="2599"/>
    </row>
    <row r="83" spans="1:1" s="300" customFormat="1" ht="14.45" customHeight="1">
      <c r="A83" s="2600"/>
    </row>
    <row r="84" spans="1:1" s="300" customFormat="1" ht="14.45" customHeight="1">
      <c r="A84" s="2601"/>
    </row>
    <row r="85" spans="1:1" s="300" customFormat="1" ht="14.45" customHeight="1">
      <c r="A85" s="2599"/>
    </row>
    <row r="86" spans="1:1" s="300" customFormat="1" ht="14.45" customHeight="1">
      <c r="A86" s="396"/>
    </row>
    <row r="87" spans="1:1" s="300" customFormat="1" ht="14.45" customHeight="1">
      <c r="A87" s="399"/>
    </row>
    <row r="88" spans="1:1" s="300" customFormat="1" ht="14.45" customHeight="1">
      <c r="A88" s="399"/>
    </row>
    <row r="89" spans="1:1" s="300" customFormat="1" ht="14.45" customHeight="1">
      <c r="A89" s="399"/>
    </row>
    <row r="90" spans="1:1" s="300" customFormat="1" ht="14.45" customHeight="1">
      <c r="A90" s="399"/>
    </row>
    <row r="91" spans="1:1" s="300" customFormat="1" ht="14.45" customHeight="1"/>
    <row r="92" spans="1:1" s="300"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5"/>
      <c r="L99" s="300"/>
      <c r="M99" s="300"/>
      <c r="N99" s="300"/>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count="3">
    <dataValidation type="list" allowBlank="1" showInputMessage="1" showErrorMessage="1" sqref="N38:O42">
      <formula1>"Amortizing, DCA HOME IPS, Cash Flow, Adjusted Interest"</formula1>
    </dataValidation>
    <dataValidation type="list" allowBlank="1" showInputMessage="1" showErrorMessage="1" sqref="E12 E5:E6 E14 L5:L14 E8 B5:B14 E9:E10">
      <formula1>"Yes, No"</formula1>
    </dataValidation>
    <dataValidation type="list" allowBlank="1" showInputMessage="1" showErrorMessage="1" sqref="N43:O43 P44:Q44 P46:Q46">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3" customFormat="1" ht="16.350000000000001" customHeight="1">
      <c r="A1" s="3290" t="e">
        <f>CONCATENATE("PART III B: USD 538 LOAN","  -  ",#REF!," ",#REF!,", ",#REF!,", ",#REF!," County")</f>
        <v>#REF!</v>
      </c>
      <c r="B1" s="3291"/>
      <c r="C1" s="3291"/>
      <c r="D1" s="3291"/>
      <c r="E1" s="3291"/>
      <c r="F1" s="3292"/>
      <c r="G1" s="181"/>
      <c r="H1" s="181"/>
      <c r="I1" s="181"/>
      <c r="J1" s="181"/>
      <c r="K1" s="181"/>
      <c r="L1" s="181"/>
      <c r="M1" s="181"/>
      <c r="N1" s="181"/>
      <c r="O1" s="181"/>
      <c r="P1" s="181"/>
      <c r="Q1" s="181"/>
    </row>
    <row r="2" spans="1:17" ht="11.1" customHeight="1">
      <c r="A2" s="214"/>
      <c r="B2" s="214"/>
      <c r="C2" s="214"/>
      <c r="D2" s="214"/>
      <c r="E2" s="214"/>
      <c r="F2" s="214"/>
      <c r="G2" s="214"/>
      <c r="H2" s="214"/>
    </row>
    <row r="3" spans="1:17" ht="14.45" customHeight="1">
      <c r="A3" s="3299" t="s">
        <v>218</v>
      </c>
      <c r="B3" s="3299"/>
      <c r="C3" s="3299"/>
      <c r="D3" s="3299"/>
      <c r="E3" s="3299"/>
      <c r="F3" s="3299"/>
      <c r="G3" s="214"/>
      <c r="H3" s="214"/>
    </row>
    <row r="4" spans="1:17" s="202" customFormat="1" ht="6" customHeight="1"/>
    <row r="5" spans="1:17">
      <c r="A5" s="33" t="s">
        <v>2255</v>
      </c>
      <c r="B5" s="33"/>
      <c r="C5" s="288"/>
      <c r="D5" s="289">
        <f>IF(C5&gt;1500000,1500000,0)</f>
        <v>0</v>
      </c>
      <c r="E5" s="290">
        <f>IF(C5&gt;1500000,C5-1500000,0)</f>
        <v>0</v>
      </c>
    </row>
    <row r="6" spans="1:17">
      <c r="A6" s="33" t="s">
        <v>2463</v>
      </c>
      <c r="B6" s="236" t="s">
        <v>505</v>
      </c>
      <c r="C6" s="291">
        <v>0</v>
      </c>
      <c r="D6" s="121" t="s">
        <v>506</v>
      </c>
      <c r="E6" s="33"/>
    </row>
    <row r="7" spans="1:17">
      <c r="A7" s="33"/>
      <c r="B7" s="236" t="s">
        <v>2479</v>
      </c>
      <c r="C7" s="292"/>
      <c r="D7" s="121" t="s">
        <v>1663</v>
      </c>
      <c r="E7" s="33"/>
    </row>
    <row r="8" spans="1:17" ht="13.35" customHeight="1">
      <c r="A8" s="33" t="s">
        <v>2467</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300" t="s">
        <v>128</v>
      </c>
      <c r="B14" s="3300"/>
      <c r="C14" s="3300"/>
      <c r="D14" s="3300"/>
      <c r="E14" s="3300"/>
      <c r="F14" s="3300"/>
      <c r="G14" s="214"/>
      <c r="H14" s="214"/>
    </row>
    <row r="15" spans="1:17" ht="5.45" customHeight="1">
      <c r="A15" s="28"/>
      <c r="E15" s="225"/>
      <c r="F15" s="214"/>
      <c r="G15" s="214"/>
      <c r="H15" s="214"/>
    </row>
    <row r="16" spans="1:17" ht="13.35" customHeight="1">
      <c r="A16" s="227" t="s">
        <v>2480</v>
      </c>
      <c r="B16" s="228" t="s">
        <v>2477</v>
      </c>
      <c r="C16" s="228" t="s">
        <v>2478</v>
      </c>
      <c r="D16" s="3296" t="s">
        <v>2254</v>
      </c>
      <c r="E16" s="3296"/>
      <c r="F16" s="214"/>
      <c r="G16" s="214"/>
      <c r="H16" s="214"/>
    </row>
    <row r="17" spans="1:8" ht="12.6" customHeight="1">
      <c r="A17" s="82">
        <v>1</v>
      </c>
      <c r="B17" s="203">
        <f>IF(A17&gt;$C$9,0,SUM(C64:C75)*($C$6/$C$7))</f>
        <v>0</v>
      </c>
      <c r="C17" s="226">
        <f>IF(A17&gt;C9,0,(E63+K63)*$C$8)</f>
        <v>0</v>
      </c>
      <c r="D17" s="3301">
        <f t="shared" ref="D17:D56" si="0">IF(A17&gt;$C$9,0,$C$11+C17)</f>
        <v>0</v>
      </c>
      <c r="E17" s="3301"/>
      <c r="F17" s="214"/>
      <c r="G17" s="214"/>
      <c r="H17" s="214"/>
    </row>
    <row r="18" spans="1:8" ht="12.6" customHeight="1">
      <c r="A18" s="82">
        <v>2</v>
      </c>
      <c r="B18" s="203">
        <f>IF(A18&gt;C9,0,SUM(C76:C87)*($C$6/$C$7))</f>
        <v>0</v>
      </c>
      <c r="C18" s="233">
        <f>IF(A18&gt;C9,0,(E75+K75)*$C$8)</f>
        <v>0</v>
      </c>
      <c r="D18" s="3293">
        <f t="shared" si="0"/>
        <v>0</v>
      </c>
      <c r="E18" s="3293"/>
      <c r="F18" s="214"/>
      <c r="G18" s="214"/>
      <c r="H18" s="214"/>
    </row>
    <row r="19" spans="1:8" ht="12.6" customHeight="1">
      <c r="A19" s="82">
        <v>3</v>
      </c>
      <c r="B19" s="203">
        <f>IF(A19&gt;C9,0,SUM(C88:C99)*($C$6/$C$7))</f>
        <v>0</v>
      </c>
      <c r="C19" s="226">
        <f>IF(A19&gt;C9,0,(E87+K87)*$C$8)</f>
        <v>0</v>
      </c>
      <c r="D19" s="3293">
        <f t="shared" si="0"/>
        <v>0</v>
      </c>
      <c r="E19" s="3293"/>
      <c r="F19" s="214"/>
      <c r="G19" s="214"/>
      <c r="H19" s="214"/>
    </row>
    <row r="20" spans="1:8" ht="12.6" customHeight="1">
      <c r="A20" s="82">
        <v>4</v>
      </c>
      <c r="B20" s="203">
        <f>IF(A20&gt;C9,0,SUM(C100:C111)*($C$6/$C$7))</f>
        <v>0</v>
      </c>
      <c r="C20" s="226">
        <f>IF(A20&gt;C9,0,(E99+K99)*$C$8)</f>
        <v>0</v>
      </c>
      <c r="D20" s="3293">
        <f t="shared" si="0"/>
        <v>0</v>
      </c>
      <c r="E20" s="3293"/>
      <c r="F20" s="214"/>
      <c r="G20" s="214"/>
      <c r="H20" s="214"/>
    </row>
    <row r="21" spans="1:8" ht="12.6" customHeight="1">
      <c r="A21" s="82">
        <v>5</v>
      </c>
      <c r="B21" s="203">
        <f>IF(A21&gt;C9,0,SUM(C112:C123)*($C$6/$C$7))</f>
        <v>0</v>
      </c>
      <c r="C21" s="226">
        <f>IF(A21&gt;C9,0,(E111+K111)*$C$8)</f>
        <v>0</v>
      </c>
      <c r="D21" s="3294">
        <f t="shared" si="0"/>
        <v>0</v>
      </c>
      <c r="E21" s="3294"/>
      <c r="F21" s="214"/>
      <c r="G21" s="214"/>
      <c r="H21" s="214"/>
    </row>
    <row r="22" spans="1:8" ht="12.6" customHeight="1">
      <c r="A22" s="204">
        <v>6</v>
      </c>
      <c r="B22" s="205">
        <f>IF(A22&gt;C9,0,SUM(C124:C135)*($C$6/$C$7))</f>
        <v>0</v>
      </c>
      <c r="C22" s="230">
        <f>IF(A22&gt;C9,0,(E123+K123)*$C$8)</f>
        <v>0</v>
      </c>
      <c r="D22" s="3293">
        <f t="shared" si="0"/>
        <v>0</v>
      </c>
      <c r="E22" s="3293"/>
      <c r="F22" s="214"/>
      <c r="G22" s="214"/>
      <c r="H22" s="214"/>
    </row>
    <row r="23" spans="1:8" ht="12.6" customHeight="1">
      <c r="A23" s="206">
        <v>7</v>
      </c>
      <c r="B23" s="207">
        <f>IF(A23&gt;C9,0,SUM(C136:C147)*($C$6/$C$7))</f>
        <v>0</v>
      </c>
      <c r="C23" s="208">
        <f>IF(A23&gt;C9,0,(E135+K135)*$C$8)</f>
        <v>0</v>
      </c>
      <c r="D23" s="3293">
        <f t="shared" si="0"/>
        <v>0</v>
      </c>
      <c r="E23" s="3293"/>
      <c r="F23" s="214"/>
      <c r="G23" s="214"/>
      <c r="H23" s="214"/>
    </row>
    <row r="24" spans="1:8" ht="12.6" customHeight="1">
      <c r="A24" s="206">
        <v>8</v>
      </c>
      <c r="B24" s="207">
        <f>IF(A24&gt;C9,0,SUM(C148:C159)*($C$6/$C$7))</f>
        <v>0</v>
      </c>
      <c r="C24" s="208">
        <f>IF(A24&gt;C9,0,(E147+K147)*$C$8)</f>
        <v>0</v>
      </c>
      <c r="D24" s="3293">
        <f t="shared" si="0"/>
        <v>0</v>
      </c>
      <c r="E24" s="3293"/>
      <c r="F24" s="214"/>
      <c r="G24" s="214"/>
      <c r="H24" s="214"/>
    </row>
    <row r="25" spans="1:8" ht="12.6" customHeight="1">
      <c r="A25" s="206">
        <v>9</v>
      </c>
      <c r="B25" s="207">
        <f>IF(A25&gt;C9,0,SUM(C160:C171)*($C$6/$C$7))</f>
        <v>0</v>
      </c>
      <c r="C25" s="208">
        <f>IF(A25&gt;C9,0,(E159+K159)*$C$8)</f>
        <v>0</v>
      </c>
      <c r="D25" s="3293">
        <f t="shared" si="0"/>
        <v>0</v>
      </c>
      <c r="E25" s="3293"/>
      <c r="F25" s="214"/>
      <c r="G25" s="214"/>
      <c r="H25" s="214"/>
    </row>
    <row r="26" spans="1:8" ht="12.6" customHeight="1">
      <c r="A26" s="209">
        <v>10</v>
      </c>
      <c r="B26" s="210">
        <f>IF(A26&gt;C9,0,SUM(C172:C183)*($C$6/$C$7))</f>
        <v>0</v>
      </c>
      <c r="C26" s="229">
        <f>IF(A26&gt;C9,0,(E171+K171)*$C$8)</f>
        <v>0</v>
      </c>
      <c r="D26" s="3294">
        <f t="shared" si="0"/>
        <v>0</v>
      </c>
      <c r="E26" s="3294"/>
      <c r="F26" s="214"/>
      <c r="G26" s="214"/>
      <c r="H26" s="214"/>
    </row>
    <row r="27" spans="1:8" ht="12.6" customHeight="1">
      <c r="A27" s="211">
        <v>11</v>
      </c>
      <c r="B27" s="203">
        <f>IF(A27&gt;C9,0,SUM(C184:C195)*($C$6/$C$7))</f>
        <v>0</v>
      </c>
      <c r="C27" s="226">
        <f>IF(A27&gt;C9,0,(E183+K183)*$C$8)</f>
        <v>0</v>
      </c>
      <c r="D27" s="3293">
        <f t="shared" si="0"/>
        <v>0</v>
      </c>
      <c r="E27" s="3293"/>
      <c r="F27" s="214"/>
      <c r="G27" s="214"/>
      <c r="H27" s="214"/>
    </row>
    <row r="28" spans="1:8" ht="12.6" customHeight="1">
      <c r="A28" s="211">
        <v>12</v>
      </c>
      <c r="B28" s="203">
        <f>IF(A28&gt;C9,0,SUM(C196:C207)*($C$6/$C$7))</f>
        <v>0</v>
      </c>
      <c r="C28" s="226">
        <f>IF(A28&gt;C9,0,(E195+K195)*$C$8)</f>
        <v>0</v>
      </c>
      <c r="D28" s="3293">
        <f t="shared" si="0"/>
        <v>0</v>
      </c>
      <c r="E28" s="3293"/>
      <c r="F28" s="214"/>
      <c r="G28" s="214"/>
      <c r="H28" s="214"/>
    </row>
    <row r="29" spans="1:8" ht="12.6" customHeight="1">
      <c r="A29" s="211">
        <v>13</v>
      </c>
      <c r="B29" s="203">
        <f>IF(A29&gt;C9,0,SUM(C208:C219)*($C$6/$C$7))</f>
        <v>0</v>
      </c>
      <c r="C29" s="226">
        <f>IF(A29&gt;C9,0,(E207+K207)*$C$8)</f>
        <v>0</v>
      </c>
      <c r="D29" s="3293">
        <f t="shared" si="0"/>
        <v>0</v>
      </c>
      <c r="E29" s="3293"/>
      <c r="F29" s="214"/>
      <c r="G29" s="214"/>
      <c r="H29" s="214"/>
    </row>
    <row r="30" spans="1:8" ht="12.6" customHeight="1">
      <c r="A30" s="211">
        <v>14</v>
      </c>
      <c r="B30" s="203">
        <f>IF(A30&gt;C9,0,SUM(C220:C231)*($C$6/$C$7))</f>
        <v>0</v>
      </c>
      <c r="C30" s="226">
        <f>IF(A30&gt;C9,0,(E219+K219)*$C$8)</f>
        <v>0</v>
      </c>
      <c r="D30" s="3293">
        <f t="shared" si="0"/>
        <v>0</v>
      </c>
      <c r="E30" s="3293"/>
      <c r="F30" s="214"/>
      <c r="G30" s="214"/>
      <c r="H30" s="214"/>
    </row>
    <row r="31" spans="1:8" ht="12.6" customHeight="1">
      <c r="A31" s="211">
        <v>15</v>
      </c>
      <c r="B31" s="203">
        <f>IF(A31&gt;C9,0,SUM(C232:C243)*($C$6/$C$7))</f>
        <v>0</v>
      </c>
      <c r="C31" s="226">
        <f>IF(A31&gt;C9,0,(E231+K231)*$C$8)</f>
        <v>0</v>
      </c>
      <c r="D31" s="3294">
        <f t="shared" si="0"/>
        <v>0</v>
      </c>
      <c r="E31" s="3294"/>
      <c r="F31" s="214"/>
      <c r="G31" s="214"/>
      <c r="H31" s="214"/>
    </row>
    <row r="32" spans="1:8" ht="12.6" customHeight="1">
      <c r="A32" s="213">
        <v>16</v>
      </c>
      <c r="B32" s="205">
        <f>IF(A32&gt;C9,0,SUM(C244:C255)*($C$6/$C$7))</f>
        <v>0</v>
      </c>
      <c r="C32" s="230">
        <f>IF(A32&gt;C9,0,(E243+K243)*$C$8)</f>
        <v>0</v>
      </c>
      <c r="D32" s="3293">
        <f t="shared" si="0"/>
        <v>0</v>
      </c>
      <c r="E32" s="3293"/>
      <c r="F32" s="214"/>
      <c r="G32" s="214"/>
      <c r="H32" s="214"/>
    </row>
    <row r="33" spans="1:8" ht="12.6" customHeight="1">
      <c r="A33" s="206">
        <v>17</v>
      </c>
      <c r="B33" s="207">
        <f>IF(A33&gt;C9,0,SUM(C256:C267)*($C$6/$C$7))</f>
        <v>0</v>
      </c>
      <c r="C33" s="208">
        <f>IF(A33&gt;C9,0,(E255+K255)*$C$8)</f>
        <v>0</v>
      </c>
      <c r="D33" s="3293">
        <f t="shared" si="0"/>
        <v>0</v>
      </c>
      <c r="E33" s="3293"/>
      <c r="F33" s="214"/>
      <c r="G33" s="214"/>
      <c r="H33" s="214"/>
    </row>
    <row r="34" spans="1:8" ht="12.6" customHeight="1">
      <c r="A34" s="206">
        <v>18</v>
      </c>
      <c r="B34" s="207">
        <f>IF(A34&gt;C9,0,SUM(C268:C279)*($C$6/$C$7))</f>
        <v>0</v>
      </c>
      <c r="C34" s="208">
        <f>IF(A34&gt;C9,0,(E267+K267)*$C$8)</f>
        <v>0</v>
      </c>
      <c r="D34" s="3293">
        <f t="shared" si="0"/>
        <v>0</v>
      </c>
      <c r="E34" s="3293"/>
      <c r="F34" s="214"/>
      <c r="G34" s="214"/>
      <c r="H34" s="214"/>
    </row>
    <row r="35" spans="1:8" ht="12.6" customHeight="1">
      <c r="A35" s="206">
        <v>19</v>
      </c>
      <c r="B35" s="207">
        <f>IF(A35&gt;C9,0,SUM(C280:C291)*($C$6/$C$7))</f>
        <v>0</v>
      </c>
      <c r="C35" s="208">
        <f>IF(A35&gt;C9,0,(E279+K279)*$C$8)</f>
        <v>0</v>
      </c>
      <c r="D35" s="3293">
        <f t="shared" si="0"/>
        <v>0</v>
      </c>
      <c r="E35" s="3293"/>
      <c r="F35" s="214"/>
      <c r="G35" s="214"/>
      <c r="H35" s="214"/>
    </row>
    <row r="36" spans="1:8" ht="12.6" customHeight="1">
      <c r="A36" s="209">
        <v>20</v>
      </c>
      <c r="B36" s="210">
        <f>IF(A36&gt;C9,0,SUM(C292:C303)*($C$6/$C$7))</f>
        <v>0</v>
      </c>
      <c r="C36" s="229">
        <f>IF(A36&gt;C9,0,(E291+K291)*$C$8)</f>
        <v>0</v>
      </c>
      <c r="D36" s="3294">
        <f t="shared" si="0"/>
        <v>0</v>
      </c>
      <c r="E36" s="3294"/>
      <c r="F36" s="214"/>
      <c r="G36" s="214"/>
      <c r="H36" s="214"/>
    </row>
    <row r="37" spans="1:8" ht="12.6" customHeight="1">
      <c r="A37" s="82">
        <v>21</v>
      </c>
      <c r="B37" s="205">
        <f>IF(A37&gt;C9,0,SUM(C293:C304)*($C$6/$C$7))</f>
        <v>0</v>
      </c>
      <c r="C37" s="230">
        <f>IF(A37&gt;C9,0,(E303+K303)*$C$8)</f>
        <v>0</v>
      </c>
      <c r="D37" s="3295">
        <f t="shared" si="0"/>
        <v>0</v>
      </c>
      <c r="E37" s="3295"/>
      <c r="F37" s="214"/>
      <c r="G37" s="214"/>
      <c r="H37" s="214"/>
    </row>
    <row r="38" spans="1:8" ht="12.6" customHeight="1">
      <c r="A38" s="82">
        <v>22</v>
      </c>
      <c r="B38" s="207">
        <f>IF(A38&gt;C9,0,SUM(C294:C305)*($C$6/$C$7))</f>
        <v>0</v>
      </c>
      <c r="C38" s="208">
        <f>IF(A38&gt;C9,0,(E315+K315)*$C$8)</f>
        <v>0</v>
      </c>
      <c r="D38" s="3293">
        <f t="shared" si="0"/>
        <v>0</v>
      </c>
      <c r="E38" s="3293"/>
      <c r="F38" s="214"/>
      <c r="G38" s="214"/>
      <c r="H38" s="214"/>
    </row>
    <row r="39" spans="1:8" ht="12.6" customHeight="1">
      <c r="A39" s="82">
        <v>23</v>
      </c>
      <c r="B39" s="207">
        <f>IF(A39&gt;C9,0,SUM(C295:C306)*($C$6/$C$7))</f>
        <v>0</v>
      </c>
      <c r="C39" s="208">
        <f>IF(A39&gt;C9,0,(E327+K327)*$C$8)</f>
        <v>0</v>
      </c>
      <c r="D39" s="3293">
        <f t="shared" si="0"/>
        <v>0</v>
      </c>
      <c r="E39" s="3293"/>
      <c r="F39" s="214"/>
      <c r="G39" s="214"/>
      <c r="H39" s="214"/>
    </row>
    <row r="40" spans="1:8" ht="12.6" customHeight="1">
      <c r="A40" s="82">
        <v>24</v>
      </c>
      <c r="B40" s="207">
        <f>IF(A40&gt;C9,0,SUM(C296:C307)*($C$6/$C$7))</f>
        <v>0</v>
      </c>
      <c r="C40" s="208">
        <f>IF(A40&gt;C9,0,(E339+K339)*$C$8)</f>
        <v>0</v>
      </c>
      <c r="D40" s="3293">
        <f t="shared" si="0"/>
        <v>0</v>
      </c>
      <c r="E40" s="3293"/>
      <c r="F40" s="214"/>
      <c r="G40" s="214"/>
      <c r="H40" s="214"/>
    </row>
    <row r="41" spans="1:8" ht="12.6" customHeight="1">
      <c r="A41" s="82">
        <v>25</v>
      </c>
      <c r="B41" s="210">
        <f>IF(A41&gt;C9,0,SUM(C297:C308)*($C$6/$C$7))</f>
        <v>0</v>
      </c>
      <c r="C41" s="229">
        <f>IF(A41&gt;C9,0,(E351+K351)*$C$8)</f>
        <v>0</v>
      </c>
      <c r="D41" s="3294">
        <f t="shared" si="0"/>
        <v>0</v>
      </c>
      <c r="E41" s="3294"/>
      <c r="F41" s="214"/>
      <c r="G41" s="214"/>
      <c r="H41" s="214"/>
    </row>
    <row r="42" spans="1:8" ht="12.6" customHeight="1">
      <c r="A42" s="204">
        <v>26</v>
      </c>
      <c r="B42" s="205">
        <f>IF(A42&gt;C9,0,SUM(C298:C309)*($C$6/$C$7))</f>
        <v>0</v>
      </c>
      <c r="C42" s="230">
        <f>IF(A42&gt;C9,0,(E363+K363)*$C$8)</f>
        <v>0</v>
      </c>
      <c r="D42" s="3295">
        <f t="shared" si="0"/>
        <v>0</v>
      </c>
      <c r="E42" s="3295"/>
      <c r="F42" s="214"/>
      <c r="G42" s="214"/>
      <c r="H42" s="214"/>
    </row>
    <row r="43" spans="1:8" ht="12.6" customHeight="1">
      <c r="A43" s="206">
        <v>27</v>
      </c>
      <c r="B43" s="207">
        <f>IF(A43&gt;C9,0,SUM(C299:C310)*($C$6/$C$7))</f>
        <v>0</v>
      </c>
      <c r="C43" s="208">
        <f>IF(A43&gt;C9,0,(E375+K375)*$C$8)</f>
        <v>0</v>
      </c>
      <c r="D43" s="3293">
        <f t="shared" si="0"/>
        <v>0</v>
      </c>
      <c r="E43" s="3293"/>
      <c r="F43" s="214"/>
      <c r="G43" s="214"/>
      <c r="H43" s="214"/>
    </row>
    <row r="44" spans="1:8" ht="12.6" customHeight="1">
      <c r="A44" s="206">
        <v>28</v>
      </c>
      <c r="B44" s="207">
        <f>IF(A44&gt;C9,0,SUM(C300:C311)*($C$6/$C$7))</f>
        <v>0</v>
      </c>
      <c r="C44" s="208">
        <f>IF(A44&gt;C9,0,(E387+K387)*$C$8)</f>
        <v>0</v>
      </c>
      <c r="D44" s="3293">
        <f t="shared" si="0"/>
        <v>0</v>
      </c>
      <c r="E44" s="3293"/>
      <c r="F44" s="214"/>
      <c r="G44" s="214"/>
      <c r="H44" s="214"/>
    </row>
    <row r="45" spans="1:8" ht="12.6" customHeight="1">
      <c r="A45" s="206">
        <v>29</v>
      </c>
      <c r="B45" s="207">
        <f>IF(A45&gt;C9,0,SUM(C301:C312)*($C$6/$C$7))</f>
        <v>0</v>
      </c>
      <c r="C45" s="208">
        <f>IF(A45&gt;C9,0,(E411+K411)*$C$8)</f>
        <v>0</v>
      </c>
      <c r="D45" s="3293">
        <f t="shared" si="0"/>
        <v>0</v>
      </c>
      <c r="E45" s="3293"/>
      <c r="F45" s="214"/>
      <c r="G45" s="214"/>
      <c r="H45" s="214"/>
    </row>
    <row r="46" spans="1:8" ht="12.6" customHeight="1">
      <c r="A46" s="209">
        <v>30</v>
      </c>
      <c r="B46" s="210">
        <f>IF(A46&gt;C9,0,SUM(C302:C313)*($C$6/$C$7))</f>
        <v>0</v>
      </c>
      <c r="C46" s="229">
        <f>IF(A46&gt;C9,0,(E423+K423)*$C$8)</f>
        <v>0</v>
      </c>
      <c r="D46" s="3294">
        <f t="shared" si="0"/>
        <v>0</v>
      </c>
      <c r="E46" s="3294"/>
      <c r="F46" s="214"/>
      <c r="G46" s="214"/>
      <c r="H46" s="214"/>
    </row>
    <row r="47" spans="1:8" ht="12.6" customHeight="1">
      <c r="A47" s="213">
        <v>31</v>
      </c>
      <c r="B47" s="205">
        <f>IF(A47&gt;C9,0,SUM(C303:C314)*($C$6/$C$7))</f>
        <v>0</v>
      </c>
      <c r="C47" s="230">
        <f>IF(A47&gt;C9,0,(E435+K435)*$C$8)</f>
        <v>0</v>
      </c>
      <c r="D47" s="3295">
        <f t="shared" si="0"/>
        <v>0</v>
      </c>
      <c r="E47" s="3295"/>
      <c r="F47" s="214"/>
      <c r="G47" s="214"/>
      <c r="H47" s="214"/>
    </row>
    <row r="48" spans="1:8" ht="12.6" customHeight="1">
      <c r="A48" s="206">
        <v>32</v>
      </c>
      <c r="B48" s="207">
        <f>IF(A48&gt;C9,0,SUM(C304:C315)*($C$6/$C$7))</f>
        <v>0</v>
      </c>
      <c r="C48" s="208">
        <f>IF(A48&gt;C9,0,(E447+K447)*$C$8)</f>
        <v>0</v>
      </c>
      <c r="D48" s="3293">
        <f t="shared" si="0"/>
        <v>0</v>
      </c>
      <c r="E48" s="3293"/>
      <c r="F48" s="214"/>
      <c r="G48" s="214"/>
      <c r="H48" s="214"/>
    </row>
    <row r="49" spans="1:12" ht="12.6" customHeight="1">
      <c r="A49" s="206">
        <v>33</v>
      </c>
      <c r="B49" s="207">
        <f>IF(A49&gt;C9,0,SUM(C305:C316)*($C$6/$C$7))</f>
        <v>0</v>
      </c>
      <c r="C49" s="208">
        <f>IF(A49&gt;C9,0,(E459+K459)*$C$8)</f>
        <v>0</v>
      </c>
      <c r="D49" s="3293">
        <f t="shared" si="0"/>
        <v>0</v>
      </c>
      <c r="E49" s="3293"/>
      <c r="F49" s="214"/>
      <c r="G49" s="214"/>
      <c r="H49" s="214"/>
    </row>
    <row r="50" spans="1:12" ht="12.6" customHeight="1">
      <c r="A50" s="206">
        <v>34</v>
      </c>
      <c r="B50" s="207">
        <f>IF(A50&gt;C9,0,SUM(C306:C317)*($C$6/$C$7))</f>
        <v>0</v>
      </c>
      <c r="C50" s="208">
        <f>IF(A50&gt;C9,0,(E471+K471)*$C$8)</f>
        <v>0</v>
      </c>
      <c r="D50" s="3293">
        <f t="shared" si="0"/>
        <v>0</v>
      </c>
      <c r="E50" s="3293"/>
      <c r="F50" s="214"/>
      <c r="G50" s="214"/>
      <c r="H50" s="214"/>
    </row>
    <row r="51" spans="1:12" ht="12.6" customHeight="1">
      <c r="A51" s="209">
        <v>35</v>
      </c>
      <c r="B51" s="210">
        <f>IF(A51&gt;C9,0,SUM(C307:C318)*($C$6/$C$7))</f>
        <v>0</v>
      </c>
      <c r="C51" s="229">
        <f>IF(A51&gt;C9,0,(E483+K483)*$C$8)</f>
        <v>0</v>
      </c>
      <c r="D51" s="3294">
        <f t="shared" si="0"/>
        <v>0</v>
      </c>
      <c r="E51" s="3294"/>
      <c r="F51" s="214"/>
      <c r="G51" s="214"/>
      <c r="H51" s="214"/>
    </row>
    <row r="52" spans="1:12" ht="12.6" customHeight="1">
      <c r="A52" s="213">
        <v>36</v>
      </c>
      <c r="B52" s="205">
        <f>IF(A52&gt;C9,0,SUM(C308:C319)*($C$6/$C$7))</f>
        <v>0</v>
      </c>
      <c r="C52" s="230">
        <f>IF(A52&gt;C9,0,(E495+K495)*$C$8)</f>
        <v>0</v>
      </c>
      <c r="D52" s="3295">
        <f t="shared" si="0"/>
        <v>0</v>
      </c>
      <c r="E52" s="3295"/>
      <c r="F52" s="214"/>
      <c r="G52" s="214"/>
      <c r="H52" s="214"/>
    </row>
    <row r="53" spans="1:12" ht="12.6" customHeight="1">
      <c r="A53" s="206">
        <v>37</v>
      </c>
      <c r="B53" s="207">
        <f>IF(A53&gt;C9,0,SUM(C309:C320)*($C$6/$C$7))</f>
        <v>0</v>
      </c>
      <c r="C53" s="208">
        <f>IF(A53&gt;C9,0,(E507+K507)*$C$8)</f>
        <v>0</v>
      </c>
      <c r="D53" s="3293">
        <f t="shared" si="0"/>
        <v>0</v>
      </c>
      <c r="E53" s="3293"/>
      <c r="F53" s="214"/>
      <c r="G53" s="214"/>
      <c r="H53" s="214"/>
    </row>
    <row r="54" spans="1:12" ht="12.6" customHeight="1">
      <c r="A54" s="206">
        <v>38</v>
      </c>
      <c r="B54" s="207">
        <f>IF(A54&gt;C9,0,SUM(C310:C321)*($C$6/$C$7))</f>
        <v>0</v>
      </c>
      <c r="C54" s="208">
        <f>IF(A54&gt;C9,0,(E519+K519)*$C$8)</f>
        <v>0</v>
      </c>
      <c r="D54" s="3293">
        <f t="shared" si="0"/>
        <v>0</v>
      </c>
      <c r="E54" s="3293"/>
      <c r="F54" s="214"/>
      <c r="G54" s="214"/>
      <c r="H54" s="214"/>
    </row>
    <row r="55" spans="1:12" ht="12.6" customHeight="1">
      <c r="A55" s="206">
        <v>39</v>
      </c>
      <c r="B55" s="207">
        <f>IF(A55&gt;C9,0,SUM(C311:C322)*($C$6/$C$7))</f>
        <v>0</v>
      </c>
      <c r="C55" s="208">
        <f>IF(A55&gt;C9,0,(E531+K531)*$C$8)</f>
        <v>0</v>
      </c>
      <c r="D55" s="3293">
        <f t="shared" si="0"/>
        <v>0</v>
      </c>
      <c r="E55" s="3293"/>
      <c r="F55" s="214"/>
      <c r="G55" s="214"/>
      <c r="H55" s="214"/>
    </row>
    <row r="56" spans="1:12" ht="12.6" customHeight="1">
      <c r="A56" s="209">
        <v>40</v>
      </c>
      <c r="B56" s="210">
        <f>IF(A56&gt;C9,0,SUM(C312:C323)*($C$6/$C$7))</f>
        <v>0</v>
      </c>
      <c r="C56" s="229">
        <f>IF(A56&gt;C9,0,(E543+K543)*$C$8)</f>
        <v>0</v>
      </c>
      <c r="D56" s="3294">
        <f t="shared" si="0"/>
        <v>0</v>
      </c>
      <c r="E56" s="3294"/>
      <c r="F56" s="214"/>
      <c r="G56" s="214"/>
      <c r="H56" s="214"/>
    </row>
    <row r="57" spans="1:12" ht="3" customHeight="1">
      <c r="A57" s="214"/>
      <c r="B57" s="214"/>
      <c r="C57" s="214"/>
      <c r="D57" s="214"/>
      <c r="E57" s="214"/>
      <c r="F57" s="214"/>
      <c r="G57" s="214"/>
      <c r="H57" s="214"/>
    </row>
    <row r="58" spans="1:12" ht="13.35" customHeight="1">
      <c r="A58" s="3297" t="e">
        <f>CONCATENATE(#REF!," ",#REF!,", ",#REF!,", ",#REF!," County")</f>
        <v>#REF!</v>
      </c>
      <c r="B58" s="3297"/>
      <c r="C58" s="3297"/>
      <c r="D58" s="3297"/>
      <c r="E58" s="3297"/>
      <c r="F58" s="3297"/>
      <c r="G58" s="3297" t="e">
        <f>CONCATENATE(#REF!," ",#REF!,", ",#REF!,", ",#REF!," County")</f>
        <v>#REF!</v>
      </c>
      <c r="H58" s="3297"/>
      <c r="I58" s="3297"/>
      <c r="J58" s="3297"/>
      <c r="K58" s="3297"/>
      <c r="L58" s="3297"/>
    </row>
    <row r="59" spans="1:12" ht="15">
      <c r="A59" s="3298" t="s">
        <v>2471</v>
      </c>
      <c r="B59" s="3298"/>
      <c r="C59" s="3298"/>
      <c r="D59" s="3298"/>
      <c r="E59" s="3298"/>
      <c r="F59" s="3298"/>
      <c r="G59" s="3298" t="s">
        <v>2471</v>
      </c>
      <c r="H59" s="3298"/>
      <c r="I59" s="3298"/>
      <c r="J59" s="3298"/>
      <c r="K59" s="3298"/>
      <c r="L59" s="3298"/>
    </row>
    <row r="60" spans="1:12" ht="6" customHeight="1">
      <c r="C60" s="212"/>
      <c r="D60" s="212"/>
      <c r="I60" s="212"/>
      <c r="J60" s="212"/>
    </row>
    <row r="61" spans="1:12">
      <c r="A61" s="215" t="s">
        <v>2472</v>
      </c>
      <c r="B61" s="216" t="s">
        <v>2473</v>
      </c>
      <c r="C61" s="216" t="s">
        <v>1294</v>
      </c>
      <c r="D61" s="216" t="s">
        <v>2474</v>
      </c>
      <c r="E61" s="215" t="s">
        <v>2475</v>
      </c>
      <c r="F61" s="248" t="s">
        <v>2480</v>
      </c>
      <c r="G61" s="215" t="s">
        <v>2472</v>
      </c>
      <c r="H61" s="216" t="s">
        <v>2473</v>
      </c>
      <c r="I61" s="216" t="s">
        <v>1294</v>
      </c>
      <c r="J61" s="216" t="s">
        <v>2474</v>
      </c>
      <c r="K61" s="215" t="s">
        <v>2475</v>
      </c>
      <c r="L61" s="248" t="s">
        <v>2480</v>
      </c>
    </row>
    <row r="62" spans="1:12" ht="3.6" customHeight="1">
      <c r="A62" s="218"/>
      <c r="B62" s="120"/>
      <c r="C62" s="120"/>
      <c r="D62" s="120"/>
      <c r="E62" s="120"/>
      <c r="F62" s="82"/>
      <c r="G62" s="218"/>
      <c r="H62" s="120"/>
      <c r="I62" s="120"/>
      <c r="J62" s="120"/>
      <c r="K62" s="120"/>
      <c r="L62" s="82"/>
    </row>
    <row r="63" spans="1:12">
      <c r="A63" s="219" t="s">
        <v>2476</v>
      </c>
      <c r="B63" s="220"/>
      <c r="C63" s="220"/>
      <c r="D63" s="220"/>
      <c r="E63" s="221">
        <f>IF($C$5&gt;1500000,$D$5,$C$5)</f>
        <v>0</v>
      </c>
      <c r="F63" s="82"/>
      <c r="G63" s="219" t="s">
        <v>2476</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2" customWidth="1"/>
    <col min="9" max="9" width="10.42578125" style="27" bestFit="1" customWidth="1"/>
    <col min="10" max="10" width="12.140625" style="27" customWidth="1"/>
    <col min="11" max="11" width="10.85546875" style="27" customWidth="1"/>
    <col min="12" max="16384" width="8.85546875" style="27"/>
  </cols>
  <sheetData>
    <row r="1" spans="1:17" s="183" customFormat="1" ht="16.350000000000001" customHeight="1">
      <c r="A1" s="3290" t="e">
        <f>CONCATENATE("PART III C  - HUD INSURED LOAN","  -  ",#REF!," ",#REF!,", ",#REF!,", ",#REF!," County")</f>
        <v>#REF!</v>
      </c>
      <c r="B1" s="3291"/>
      <c r="C1" s="3291"/>
      <c r="D1" s="3291"/>
      <c r="E1" s="3291"/>
      <c r="F1" s="3292"/>
      <c r="G1" s="181"/>
      <c r="H1" s="181"/>
      <c r="I1" s="181"/>
      <c r="J1" s="181"/>
      <c r="K1" s="181"/>
      <c r="L1" s="181"/>
      <c r="M1" s="181"/>
      <c r="N1" s="181"/>
      <c r="O1" s="181"/>
      <c r="P1" s="181"/>
      <c r="Q1" s="181"/>
    </row>
    <row r="2" spans="1:17">
      <c r="A2" s="13"/>
      <c r="B2" s="202"/>
      <c r="C2" s="202"/>
      <c r="D2" s="202"/>
    </row>
    <row r="3" spans="1:17" ht="15.6" customHeight="1">
      <c r="A3" s="3299" t="s">
        <v>218</v>
      </c>
      <c r="B3" s="3299"/>
      <c r="C3" s="3299"/>
      <c r="D3" s="3299"/>
      <c r="E3" s="3299"/>
      <c r="F3" s="3299"/>
      <c r="G3" s="252"/>
      <c r="H3" s="252"/>
    </row>
    <row r="4" spans="1:17">
      <c r="A4" s="13"/>
      <c r="B4" s="202"/>
      <c r="C4" s="202"/>
      <c r="D4" s="202"/>
    </row>
    <row r="5" spans="1:17" ht="13.35" customHeight="1">
      <c r="A5" s="27" t="s">
        <v>2255</v>
      </c>
      <c r="D5" s="246"/>
      <c r="E5" s="3302" t="s">
        <v>956</v>
      </c>
      <c r="F5" s="3303"/>
      <c r="G5" s="164"/>
    </row>
    <row r="6" spans="1:17">
      <c r="E6" s="3303"/>
      <c r="F6" s="3303"/>
      <c r="G6" s="164"/>
    </row>
    <row r="7" spans="1:17">
      <c r="A7" s="27" t="s">
        <v>2463</v>
      </c>
      <c r="C7" s="27" t="s">
        <v>2464</v>
      </c>
      <c r="D7" s="247"/>
      <c r="E7" s="3303"/>
      <c r="F7" s="3303"/>
      <c r="G7" s="164"/>
    </row>
    <row r="8" spans="1:17">
      <c r="C8" s="27" t="s">
        <v>2465</v>
      </c>
      <c r="D8" s="247"/>
      <c r="E8" s="3303"/>
      <c r="F8" s="3303"/>
      <c r="G8" s="164"/>
    </row>
    <row r="9" spans="1:17">
      <c r="C9" s="27" t="s">
        <v>2466</v>
      </c>
      <c r="D9" s="247"/>
      <c r="E9" s="3303"/>
      <c r="F9" s="3303"/>
      <c r="G9" s="164"/>
    </row>
    <row r="10" spans="1:17">
      <c r="C10" s="27" t="s">
        <v>2479</v>
      </c>
      <c r="D10" s="253">
        <f>D7+D8+D9</f>
        <v>0</v>
      </c>
      <c r="E10" s="3303"/>
      <c r="F10" s="3303"/>
      <c r="G10" s="164"/>
    </row>
    <row r="11" spans="1:17">
      <c r="F11" s="164"/>
      <c r="G11" s="164"/>
    </row>
    <row r="12" spans="1:17">
      <c r="A12" s="27" t="s">
        <v>1716</v>
      </c>
      <c r="D12" s="245"/>
      <c r="E12" s="27" t="s">
        <v>2134</v>
      </c>
      <c r="F12" s="164"/>
      <c r="G12" s="164"/>
    </row>
    <row r="13" spans="1:17">
      <c r="D13" s="212"/>
      <c r="F13" s="164"/>
      <c r="G13" s="164"/>
    </row>
    <row r="14" spans="1:17">
      <c r="A14" s="27" t="s">
        <v>2468</v>
      </c>
      <c r="D14" s="244"/>
      <c r="E14" s="27" t="s">
        <v>2469</v>
      </c>
      <c r="F14" s="254"/>
    </row>
    <row r="15" spans="1:17">
      <c r="D15" s="232"/>
      <c r="F15" s="254"/>
    </row>
    <row r="16" spans="1:17">
      <c r="A16" s="27" t="s">
        <v>2470</v>
      </c>
      <c r="D16" s="244"/>
      <c r="E16" s="27" t="s">
        <v>2469</v>
      </c>
      <c r="F16" s="254"/>
    </row>
    <row r="17" spans="1:10">
      <c r="D17" s="212"/>
      <c r="F17" s="254"/>
    </row>
    <row r="18" spans="1:10">
      <c r="A18" s="27" t="s">
        <v>930</v>
      </c>
      <c r="D18" s="255" t="e">
        <f>PMT(D10/12,D16*12,-D5,0,0)*12</f>
        <v>#NUM!</v>
      </c>
      <c r="E18" s="27" t="s">
        <v>1501</v>
      </c>
      <c r="F18" s="254"/>
    </row>
    <row r="19" spans="1:10">
      <c r="D19" s="212"/>
      <c r="F19" s="254"/>
    </row>
    <row r="20" spans="1:10">
      <c r="A20" s="27" t="s">
        <v>1502</v>
      </c>
      <c r="D20" s="212" t="e">
        <f>D18/12</f>
        <v>#NUM!</v>
      </c>
      <c r="E20" s="27" t="s">
        <v>1501</v>
      </c>
      <c r="F20" s="254"/>
    </row>
    <row r="24" spans="1:10" ht="18" customHeight="1">
      <c r="A24" s="3300" t="s">
        <v>1717</v>
      </c>
      <c r="B24" s="3300"/>
      <c r="C24" s="3300"/>
      <c r="D24" s="3300"/>
      <c r="E24" s="3300"/>
      <c r="F24" s="3300"/>
      <c r="J24" s="256"/>
    </row>
    <row r="25" spans="1:10">
      <c r="C25" s="212"/>
      <c r="J25" s="256"/>
    </row>
    <row r="26" spans="1:10">
      <c r="A26" s="107"/>
      <c r="B26" s="82"/>
      <c r="C26" s="3304" t="s">
        <v>2254</v>
      </c>
      <c r="D26" s="251"/>
      <c r="E26" s="82"/>
      <c r="F26" s="3304" t="s">
        <v>2254</v>
      </c>
      <c r="J26" s="256"/>
    </row>
    <row r="27" spans="1:10">
      <c r="A27" s="257" t="s">
        <v>2480</v>
      </c>
      <c r="B27" s="72" t="s">
        <v>1026</v>
      </c>
      <c r="C27" s="3305"/>
      <c r="D27" s="258" t="s">
        <v>2480</v>
      </c>
      <c r="E27" s="72" t="s">
        <v>1026</v>
      </c>
      <c r="F27" s="3305"/>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297" t="e">
        <f>CONCATENATE(#REF!," ",#REF!,", ",#REF!,", ",#REF!," County")</f>
        <v>#REF!</v>
      </c>
      <c r="B50" s="3297"/>
      <c r="C50" s="3297"/>
      <c r="D50" s="3297"/>
      <c r="E50" s="3297"/>
      <c r="F50" s="3297"/>
      <c r="G50" s="236"/>
      <c r="H50" s="236"/>
    </row>
    <row r="51" spans="1:10" ht="15">
      <c r="A51" s="3298" t="s">
        <v>2471</v>
      </c>
      <c r="B51" s="3298"/>
      <c r="C51" s="3298"/>
      <c r="D51" s="3298"/>
      <c r="E51" s="3298"/>
      <c r="F51" s="3298"/>
      <c r="G51" s="268"/>
      <c r="H51" s="268"/>
      <c r="I51" s="268"/>
      <c r="J51" s="268"/>
    </row>
    <row r="52" spans="1:10" ht="5.45" customHeight="1">
      <c r="C52" s="212"/>
      <c r="D52" s="212"/>
      <c r="G52" s="217"/>
      <c r="H52" s="211"/>
      <c r="I52" s="217"/>
    </row>
    <row r="53" spans="1:10">
      <c r="A53" s="215" t="s">
        <v>2472</v>
      </c>
      <c r="B53" s="215" t="s">
        <v>2473</v>
      </c>
      <c r="C53" s="215" t="s">
        <v>1294</v>
      </c>
      <c r="D53" s="215" t="s">
        <v>2474</v>
      </c>
      <c r="E53" s="215" t="s">
        <v>2475</v>
      </c>
      <c r="F53" s="248" t="s">
        <v>2480</v>
      </c>
      <c r="G53" s="269"/>
      <c r="H53" s="269"/>
      <c r="I53" s="269"/>
    </row>
    <row r="54" spans="1:10" ht="3.6" customHeight="1">
      <c r="F54" s="82"/>
      <c r="G54" s="217"/>
      <c r="H54" s="211"/>
      <c r="I54" s="217"/>
    </row>
    <row r="55" spans="1:10">
      <c r="A55" s="27" t="s">
        <v>2476</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X222"/>
  <sheetViews>
    <sheetView showGridLines="0" topLeftCell="A145" zoomScaleNormal="100" workbookViewId="0">
      <selection activeCell="Q175" sqref="Q175"/>
    </sheetView>
  </sheetViews>
  <sheetFormatPr defaultColWidth="9.140625" defaultRowHeight="12.75"/>
  <cols>
    <col min="1" max="1" width="2.42578125" style="346" customWidth="1"/>
    <col min="2" max="2" width="5.42578125" style="346" customWidth="1"/>
    <col min="3" max="3" width="18" style="346" customWidth="1"/>
    <col min="4" max="4" width="7.140625" style="346" customWidth="1"/>
    <col min="5" max="5" width="12.5703125" style="346" customWidth="1"/>
    <col min="6" max="6" width="10.42578125" style="346" customWidth="1"/>
    <col min="7" max="8" width="6.42578125" style="346" customWidth="1"/>
    <col min="9" max="9" width="1.85546875" style="346" customWidth="1"/>
    <col min="10" max="11" width="6.42578125" style="346" customWidth="1"/>
    <col min="12" max="12" width="1.85546875" style="346" customWidth="1"/>
    <col min="13" max="14" width="6.42578125" style="346" customWidth="1"/>
    <col min="15" max="15" width="1.85546875" style="346" customWidth="1"/>
    <col min="16" max="17" width="6.42578125" style="346" customWidth="1"/>
    <col min="18" max="18" width="1.85546875" style="346" customWidth="1"/>
    <col min="19" max="20" width="7" style="346" customWidth="1"/>
    <col min="21" max="21" width="5.85546875" style="346" customWidth="1"/>
    <col min="22" max="22" width="13.140625" style="346" customWidth="1"/>
    <col min="23" max="23" width="24.85546875" style="346" customWidth="1"/>
    <col min="24" max="24" width="73.42578125" style="346" customWidth="1"/>
    <col min="25" max="16384" width="9.140625" style="346"/>
  </cols>
  <sheetData>
    <row r="1" spans="1:24" s="325" customFormat="1" ht="13.5" customHeight="1">
      <c r="A1" s="3445" t="str">
        <f>CONCATENATE("PART FOUR -  USES OF FUNDS","  -  ",'Part I-Project Information'!$O$6," ",'Part I-Project Information'!$F$34,", ",'Part I-Project Information'!F38,", ",'Part I-Project Information'!J39," County")</f>
        <v>PART FOUR -  USES OF FUNDS  -  2019-5 Stone Terrace Phase II, Stonecrest, DeKalb County</v>
      </c>
      <c r="B1" s="3446"/>
      <c r="C1" s="3446"/>
      <c r="D1" s="3446"/>
      <c r="E1" s="3446"/>
      <c r="F1" s="3446"/>
      <c r="G1" s="3446"/>
      <c r="H1" s="3446"/>
      <c r="I1" s="3446"/>
      <c r="J1" s="3446"/>
      <c r="K1" s="3446"/>
      <c r="L1" s="3446"/>
      <c r="M1" s="3446"/>
      <c r="N1" s="3446"/>
      <c r="O1" s="3446"/>
      <c r="P1" s="3446"/>
      <c r="Q1" s="3446"/>
      <c r="R1" s="3446"/>
      <c r="S1" s="3446"/>
      <c r="T1" s="3446"/>
      <c r="W1" s="3447" t="str">
        <f>A1</f>
        <v>PART FOUR -  USES OF FUNDS  -  2019-5 Stone Terrace Phase II, Stonecrest, DeKalb County</v>
      </c>
      <c r="X1" s="3447"/>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616</v>
      </c>
      <c r="B5" s="486" t="s">
        <v>900</v>
      </c>
      <c r="D5" s="3312" t="str">
        <f>'Part I-Project Information'!$B$6</f>
        <v>May 2019 Final</v>
      </c>
      <c r="E5" s="3312"/>
      <c r="F5" s="3312"/>
      <c r="G5" s="3312"/>
      <c r="H5" s="3312"/>
      <c r="I5" s="549"/>
      <c r="J5" s="3380" t="s">
        <v>271</v>
      </c>
      <c r="K5" s="3381"/>
      <c r="L5" s="400"/>
      <c r="M5" s="3411" t="s">
        <v>489</v>
      </c>
      <c r="N5" s="3412"/>
      <c r="P5" s="3380" t="s">
        <v>272</v>
      </c>
      <c r="Q5" s="3381"/>
      <c r="S5" s="3380" t="s">
        <v>273</v>
      </c>
      <c r="T5" s="3381"/>
      <c r="V5" s="487" t="str">
        <f>B5</f>
        <v>DEVELOPMENT BUDGET</v>
      </c>
    </row>
    <row r="6" spans="1:24" s="325" customFormat="1" ht="19.5" customHeight="1" thickBot="1">
      <c r="D6" s="2591"/>
      <c r="E6" s="2591"/>
      <c r="F6" s="2591"/>
      <c r="G6" s="3415" t="s">
        <v>101</v>
      </c>
      <c r="H6" s="3416"/>
      <c r="J6" s="3382"/>
      <c r="K6" s="3383"/>
      <c r="L6" s="400"/>
      <c r="M6" s="3413"/>
      <c r="N6" s="3414"/>
      <c r="P6" s="3382"/>
      <c r="Q6" s="3383"/>
      <c r="S6" s="3382"/>
      <c r="T6" s="3383"/>
      <c r="V6" s="371" t="s">
        <v>2683</v>
      </c>
      <c r="X6" s="371"/>
    </row>
    <row r="7" spans="1:24" s="325" customFormat="1" ht="12" customHeight="1">
      <c r="B7" s="327" t="s">
        <v>102</v>
      </c>
      <c r="O7" s="545" t="str">
        <f>B7</f>
        <v>PRE-DEVELOPMENT COSTS</v>
      </c>
      <c r="W7" s="325" t="str">
        <f>B7</f>
        <v>PRE-DEVELOPMENT COSTS</v>
      </c>
    </row>
    <row r="8" spans="1:24" s="325" customFormat="1" ht="12.6" customHeight="1">
      <c r="B8" s="325" t="s">
        <v>2000</v>
      </c>
      <c r="G8" s="3252">
        <v>11700</v>
      </c>
      <c r="H8" s="3253"/>
      <c r="J8" s="3252">
        <v>11700</v>
      </c>
      <c r="K8" s="3253"/>
      <c r="L8" s="1247"/>
      <c r="M8" s="3252"/>
      <c r="N8" s="3253"/>
      <c r="P8" s="3252"/>
      <c r="Q8" s="3253"/>
      <c r="S8" s="3252"/>
      <c r="T8" s="3253"/>
      <c r="V8" s="1295"/>
      <c r="W8" s="3306"/>
      <c r="X8" s="3307"/>
    </row>
    <row r="9" spans="1:24" s="325" customFormat="1" ht="12.6" customHeight="1">
      <c r="B9" s="325" t="s">
        <v>457</v>
      </c>
      <c r="G9" s="3236">
        <v>12000</v>
      </c>
      <c r="H9" s="3237"/>
      <c r="J9" s="3236">
        <v>12000</v>
      </c>
      <c r="K9" s="3237"/>
      <c r="L9" s="1247"/>
      <c r="M9" s="3236"/>
      <c r="N9" s="3237"/>
      <c r="P9" s="3236"/>
      <c r="Q9" s="3237"/>
      <c r="S9" s="3236"/>
      <c r="T9" s="3237"/>
      <c r="V9" s="1295"/>
      <c r="W9" s="3306"/>
      <c r="X9" s="3307"/>
    </row>
    <row r="10" spans="1:24" s="325" customFormat="1" ht="12.6" customHeight="1">
      <c r="B10" s="325" t="s">
        <v>486</v>
      </c>
      <c r="G10" s="3236">
        <v>6500</v>
      </c>
      <c r="H10" s="3237"/>
      <c r="J10" s="3236">
        <v>6500</v>
      </c>
      <c r="K10" s="3237"/>
      <c r="L10" s="1247"/>
      <c r="M10" s="3236"/>
      <c r="N10" s="3237"/>
      <c r="P10" s="3236"/>
      <c r="Q10" s="3237"/>
      <c r="S10" s="3236"/>
      <c r="T10" s="3237"/>
      <c r="V10" s="1295"/>
      <c r="W10" s="3306"/>
      <c r="X10" s="3307"/>
    </row>
    <row r="11" spans="1:24" s="325" customFormat="1" ht="12.6" customHeight="1">
      <c r="B11" s="325" t="s">
        <v>487</v>
      </c>
      <c r="G11" s="3236">
        <v>15000</v>
      </c>
      <c r="H11" s="3237"/>
      <c r="J11" s="3236">
        <v>15000</v>
      </c>
      <c r="K11" s="3237"/>
      <c r="L11" s="1247"/>
      <c r="M11" s="3236"/>
      <c r="N11" s="3237"/>
      <c r="P11" s="3236"/>
      <c r="Q11" s="3237"/>
      <c r="S11" s="3236"/>
      <c r="T11" s="3237"/>
      <c r="V11" s="1295"/>
      <c r="W11" s="3306"/>
      <c r="X11" s="3307"/>
    </row>
    <row r="12" spans="1:24" s="325" customFormat="1" ht="12.6" customHeight="1">
      <c r="B12" s="325" t="s">
        <v>2500</v>
      </c>
      <c r="G12" s="3236">
        <v>14700</v>
      </c>
      <c r="H12" s="3237"/>
      <c r="J12" s="3236">
        <v>14700</v>
      </c>
      <c r="K12" s="3237"/>
      <c r="L12" s="1247"/>
      <c r="M12" s="3236"/>
      <c r="N12" s="3237"/>
      <c r="P12" s="3236"/>
      <c r="Q12" s="3237"/>
      <c r="S12" s="3236"/>
      <c r="T12" s="3237"/>
      <c r="V12" s="1295"/>
      <c r="W12" s="3306"/>
      <c r="X12" s="3307"/>
    </row>
    <row r="13" spans="1:24" s="325" customFormat="1" ht="12.6" customHeight="1">
      <c r="B13" s="325" t="s">
        <v>190</v>
      </c>
      <c r="G13" s="3236"/>
      <c r="H13" s="3237"/>
      <c r="J13" s="3236"/>
      <c r="K13" s="3237"/>
      <c r="L13" s="1247"/>
      <c r="M13" s="3236"/>
      <c r="N13" s="3237"/>
      <c r="P13" s="3236"/>
      <c r="Q13" s="3237"/>
      <c r="S13" s="3236"/>
      <c r="T13" s="3237"/>
      <c r="V13" s="1295"/>
      <c r="W13" s="3306"/>
      <c r="X13" s="3307"/>
    </row>
    <row r="14" spans="1:24" s="325" customFormat="1" ht="12.6" customHeight="1">
      <c r="A14" s="429" t="str">
        <f>IF(AND(G14&gt;0,OR(C14="",C14="&lt;Enter detailed description here; use Comments section if needed&gt;")),"X","")</f>
        <v/>
      </c>
      <c r="B14" s="325" t="s">
        <v>741</v>
      </c>
      <c r="C14" s="3392" t="s">
        <v>3712</v>
      </c>
      <c r="D14" s="3392"/>
      <c r="E14" s="3392"/>
      <c r="F14" s="3393"/>
      <c r="G14" s="3236"/>
      <c r="H14" s="3237"/>
      <c r="J14" s="3236"/>
      <c r="K14" s="3237"/>
      <c r="L14" s="1247"/>
      <c r="M14" s="3236"/>
      <c r="N14" s="3237"/>
      <c r="P14" s="3236"/>
      <c r="Q14" s="3237"/>
      <c r="S14" s="3236"/>
      <c r="T14" s="3237"/>
      <c r="U14" s="428" t="str">
        <f>IF(AND(G14&gt;0,OR(C14="",C14="&lt;Enter detailed description here; use Comments section if needed&gt;")),"NO DESCRIPTION PROVIDED - please enter detailed description in Other box at left; use Comments section below if needed.","")</f>
        <v/>
      </c>
      <c r="V14" s="1296"/>
      <c r="W14" s="3306"/>
      <c r="X14" s="3307"/>
    </row>
    <row r="15" spans="1:24" s="325" customFormat="1" ht="12.6" customHeight="1">
      <c r="A15" s="429" t="str">
        <f>IF(AND(G15&gt;0,OR(C15="",C15="&lt;Enter detailed description here; use Comments section if needed&gt;")),"X","")</f>
        <v/>
      </c>
      <c r="B15" s="325" t="s">
        <v>741</v>
      </c>
      <c r="C15" s="3392" t="s">
        <v>3712</v>
      </c>
      <c r="D15" s="3392"/>
      <c r="E15" s="3392"/>
      <c r="F15" s="3393"/>
      <c r="G15" s="3236"/>
      <c r="H15" s="3237"/>
      <c r="J15" s="3236"/>
      <c r="K15" s="3237"/>
      <c r="L15" s="1247"/>
      <c r="M15" s="3236"/>
      <c r="N15" s="3237"/>
      <c r="P15" s="3236"/>
      <c r="Q15" s="3237"/>
      <c r="S15" s="3236"/>
      <c r="T15" s="3237"/>
      <c r="U15" s="428" t="str">
        <f>IF(AND(G15&gt;0,OR(C15="",C15="&lt;Enter detailed description here; use Comments section if needed&gt;")),"NO DESCRIPTION PROVIDED - please enter detailed description in Other box at left; use Comments section below if needed.","")</f>
        <v/>
      </c>
      <c r="V15" s="1296"/>
      <c r="W15" s="3306"/>
      <c r="X15" s="3307"/>
    </row>
    <row r="16" spans="1:24" s="325" customFormat="1" ht="12.6" customHeight="1" thickBot="1">
      <c r="A16" s="429" t="str">
        <f>IF(AND(G16&gt;0,OR(C16="",C16="&lt;Enter detailed description here; use Comments section if needed&gt;")),"X","")</f>
        <v/>
      </c>
      <c r="B16" s="325" t="s">
        <v>741</v>
      </c>
      <c r="C16" s="3392" t="s">
        <v>3712</v>
      </c>
      <c r="D16" s="3392"/>
      <c r="E16" s="3392"/>
      <c r="F16" s="3393"/>
      <c r="G16" s="3401"/>
      <c r="H16" s="3402"/>
      <c r="J16" s="3401"/>
      <c r="K16" s="3402"/>
      <c r="L16" s="1247"/>
      <c r="M16" s="3401"/>
      <c r="N16" s="3402"/>
      <c r="P16" s="3401"/>
      <c r="Q16" s="3402"/>
      <c r="S16" s="3401"/>
      <c r="T16" s="3402"/>
      <c r="U16" s="428" t="str">
        <f>IF(AND(G16&gt;0,OR(C16="",C16="&lt;Enter detailed description here; use Comments section if needed&gt;")),"NO DESCRIPTION PROVIDED - please enter detailed description in Other box at left; use Comments section below if needed.","")</f>
        <v/>
      </c>
      <c r="V16" s="1296"/>
      <c r="W16" s="3308"/>
      <c r="X16" s="3309"/>
    </row>
    <row r="17" spans="2:24" s="325" customFormat="1" ht="12.6" customHeight="1" thickTop="1">
      <c r="F17" s="401" t="s">
        <v>191</v>
      </c>
      <c r="G17" s="3394">
        <f>SUM(G8:H16)</f>
        <v>59900</v>
      </c>
      <c r="H17" s="3395"/>
      <c r="J17" s="3394">
        <f>SUM(J8:K16)</f>
        <v>59900</v>
      </c>
      <c r="K17" s="3444"/>
      <c r="L17" s="1247"/>
      <c r="M17" s="3394">
        <f>SUM(M8:N16)</f>
        <v>0</v>
      </c>
      <c r="N17" s="3395"/>
      <c r="P17" s="3394">
        <f>SUM(P8:Q16)</f>
        <v>0</v>
      </c>
      <c r="Q17" s="3395"/>
      <c r="S17" s="3394">
        <f>SUM(S8:T16)</f>
        <v>0</v>
      </c>
      <c r="T17" s="3395"/>
      <c r="V17" s="1297">
        <f>SUM(V8:V16)</f>
        <v>0</v>
      </c>
      <c r="W17" s="3324"/>
      <c r="X17" s="3325"/>
    </row>
    <row r="18" spans="2:24" s="325" customFormat="1" ht="12" customHeight="1">
      <c r="B18" s="327" t="s">
        <v>2197</v>
      </c>
      <c r="J18" s="400"/>
      <c r="K18" s="400"/>
      <c r="M18" s="400"/>
      <c r="N18" s="400"/>
      <c r="O18" s="402" t="str">
        <f>B18</f>
        <v>ACQUISITION</v>
      </c>
      <c r="P18" s="400"/>
      <c r="Q18" s="400"/>
      <c r="S18" s="400"/>
      <c r="T18" s="400"/>
      <c r="V18" s="1298"/>
      <c r="W18" s="325" t="str">
        <f>B18</f>
        <v>ACQUISITION</v>
      </c>
    </row>
    <row r="19" spans="2:24" s="325" customFormat="1" ht="12.6" customHeight="1">
      <c r="B19" s="325" t="s">
        <v>2198</v>
      </c>
      <c r="E19" s="969" t="s">
        <v>3727</v>
      </c>
      <c r="F19" s="524" t="str">
        <f>IF('Part I-Project Information'!$O$37="","",G19/'Part I-Project Information'!$O$37)</f>
        <v/>
      </c>
      <c r="G19" s="3252">
        <v>725000</v>
      </c>
      <c r="H19" s="3253"/>
      <c r="J19" s="403"/>
      <c r="K19" s="400"/>
      <c r="L19" s="403"/>
      <c r="M19" s="403"/>
      <c r="N19" s="400"/>
      <c r="P19" s="403"/>
      <c r="Q19" s="400"/>
      <c r="S19" s="3252">
        <v>725000</v>
      </c>
      <c r="T19" s="3253"/>
      <c r="V19" s="1295"/>
      <c r="W19" s="3306"/>
      <c r="X19" s="3307"/>
    </row>
    <row r="20" spans="2:24" s="325" customFormat="1" ht="12.6" customHeight="1">
      <c r="B20" s="325" t="s">
        <v>1119</v>
      </c>
      <c r="G20" s="3236"/>
      <c r="H20" s="3237"/>
      <c r="J20" s="403"/>
      <c r="K20" s="400"/>
      <c r="L20" s="403"/>
      <c r="M20" s="403"/>
      <c r="N20" s="400"/>
      <c r="P20" s="403"/>
      <c r="Q20" s="400"/>
      <c r="S20" s="3236"/>
      <c r="T20" s="3237"/>
      <c r="V20" s="1295"/>
      <c r="W20" s="3306"/>
      <c r="X20" s="3307"/>
    </row>
    <row r="21" spans="2:24" s="325" customFormat="1" ht="12.6" customHeight="1">
      <c r="B21" s="325" t="s">
        <v>458</v>
      </c>
      <c r="G21" s="3236"/>
      <c r="H21" s="3237"/>
      <c r="J21" s="403"/>
      <c r="K21" s="400"/>
      <c r="L21" s="403"/>
      <c r="M21" s="3252"/>
      <c r="N21" s="3253"/>
      <c r="P21" s="403"/>
      <c r="Q21" s="400"/>
      <c r="S21" s="3236"/>
      <c r="T21" s="3237"/>
      <c r="V21" s="1295"/>
      <c r="W21" s="3306"/>
      <c r="X21" s="3307"/>
    </row>
    <row r="22" spans="2:24" s="325" customFormat="1" ht="12.6" customHeight="1" thickBot="1">
      <c r="B22" s="325" t="s">
        <v>430</v>
      </c>
      <c r="G22" s="3401"/>
      <c r="H22" s="3402"/>
      <c r="J22" s="403"/>
      <c r="K22" s="400"/>
      <c r="L22" s="403"/>
      <c r="M22" s="3401"/>
      <c r="N22" s="3402"/>
      <c r="P22" s="403"/>
      <c r="Q22" s="400"/>
      <c r="S22" s="3401"/>
      <c r="T22" s="3402"/>
      <c r="V22" s="1295"/>
      <c r="W22" s="3308"/>
      <c r="X22" s="3309"/>
    </row>
    <row r="23" spans="2:24" s="325" customFormat="1" ht="12.6" customHeight="1" thickTop="1">
      <c r="F23" s="401" t="s">
        <v>191</v>
      </c>
      <c r="G23" s="3394">
        <f>SUM(G19:H22)</f>
        <v>725000</v>
      </c>
      <c r="H23" s="3395"/>
      <c r="J23" s="403"/>
      <c r="K23" s="400"/>
      <c r="L23" s="403"/>
      <c r="M23" s="3394">
        <f>SUM(M21:N22)</f>
        <v>0</v>
      </c>
      <c r="N23" s="3395"/>
      <c r="P23" s="403"/>
      <c r="Q23" s="400"/>
      <c r="S23" s="3394">
        <f>SUM(S19:T22)</f>
        <v>725000</v>
      </c>
      <c r="T23" s="3395"/>
      <c r="V23" s="1297">
        <f>SUM(V19:V22)</f>
        <v>0</v>
      </c>
      <c r="W23" s="3324"/>
      <c r="X23" s="3325"/>
    </row>
    <row r="24" spans="2:24" s="325" customFormat="1" ht="12" customHeight="1">
      <c r="B24" s="327" t="s">
        <v>1120</v>
      </c>
      <c r="J24" s="403"/>
      <c r="K24" s="400"/>
      <c r="M24" s="403"/>
      <c r="N24" s="400"/>
      <c r="O24" s="402" t="str">
        <f>B24</f>
        <v>LAND IMPROVEMENTS</v>
      </c>
      <c r="P24" s="403"/>
      <c r="Q24" s="400"/>
      <c r="S24" s="403"/>
      <c r="T24" s="400"/>
      <c r="V24" s="1298"/>
      <c r="W24" s="325" t="str">
        <f>B24</f>
        <v>LAND IMPROVEMENTS</v>
      </c>
    </row>
    <row r="25" spans="2:24" s="325" customFormat="1" ht="12.6" customHeight="1">
      <c r="B25" s="325" t="s">
        <v>1121</v>
      </c>
      <c r="E25" s="969" t="s">
        <v>3727</v>
      </c>
      <c r="F25" s="524" t="str">
        <f>IF('Part I-Project Information'!$O$37="","",G25/'Part I-Project Information'!$O$37)</f>
        <v/>
      </c>
      <c r="G25" s="3252">
        <v>2100000</v>
      </c>
      <c r="H25" s="3253"/>
      <c r="J25" s="3252">
        <v>2100000</v>
      </c>
      <c r="K25" s="3253"/>
      <c r="L25" s="1247"/>
      <c r="M25" s="3442"/>
      <c r="N25" s="3443"/>
      <c r="P25" s="3442"/>
      <c r="Q25" s="3443"/>
      <c r="S25" s="3252"/>
      <c r="T25" s="3253"/>
      <c r="V25" s="1295"/>
      <c r="W25" s="3306"/>
      <c r="X25" s="3307"/>
    </row>
    <row r="26" spans="2:24" s="325" customFormat="1" ht="12.6" customHeight="1" thickBot="1">
      <c r="B26" s="325" t="s">
        <v>1122</v>
      </c>
      <c r="G26" s="3401"/>
      <c r="H26" s="3402"/>
      <c r="J26" s="3401"/>
      <c r="K26" s="3402"/>
      <c r="L26" s="404"/>
      <c r="M26" s="3441"/>
      <c r="N26" s="3441"/>
      <c r="P26" s="3441"/>
      <c r="Q26" s="3441"/>
      <c r="S26" s="3401"/>
      <c r="T26" s="3402"/>
      <c r="V26" s="1295"/>
      <c r="W26" s="3308"/>
      <c r="X26" s="3309"/>
    </row>
    <row r="27" spans="2:24" s="325" customFormat="1" ht="12.6" customHeight="1" thickTop="1">
      <c r="F27" s="401" t="s">
        <v>191</v>
      </c>
      <c r="G27" s="3394">
        <f>SUM(G25:H26)</f>
        <v>2100000</v>
      </c>
      <c r="H27" s="3395"/>
      <c r="J27" s="3394">
        <f>SUM(J25:K26)</f>
        <v>2100000</v>
      </c>
      <c r="K27" s="3395"/>
      <c r="L27" s="403"/>
      <c r="M27" s="3394">
        <f>M25</f>
        <v>0</v>
      </c>
      <c r="N27" s="3395"/>
      <c r="P27" s="3394">
        <f>P25</f>
        <v>0</v>
      </c>
      <c r="Q27" s="3395"/>
      <c r="S27" s="3394">
        <f>SUM(S25:T26)</f>
        <v>0</v>
      </c>
      <c r="T27" s="3395"/>
      <c r="V27" s="1297">
        <f>SUM(V25:V26)</f>
        <v>0</v>
      </c>
      <c r="W27" s="3324"/>
      <c r="X27" s="3325"/>
    </row>
    <row r="28" spans="2:24" s="325" customFormat="1" ht="12" customHeight="1">
      <c r="B28" s="327" t="s">
        <v>1123</v>
      </c>
      <c r="J28" s="403"/>
      <c r="K28" s="400"/>
      <c r="M28" s="403"/>
      <c r="N28" s="400"/>
      <c r="O28" s="402" t="str">
        <f>B28</f>
        <v>STRUCTURES</v>
      </c>
      <c r="P28" s="403"/>
      <c r="Q28" s="400"/>
      <c r="S28" s="403"/>
      <c r="T28" s="400"/>
      <c r="V28" s="1298"/>
      <c r="W28" s="325" t="str">
        <f>B28</f>
        <v>STRUCTURES</v>
      </c>
    </row>
    <row r="29" spans="2:24" s="325" customFormat="1" ht="12.6" customHeight="1">
      <c r="B29" s="325" t="s">
        <v>1124</v>
      </c>
      <c r="G29" s="3252">
        <v>7728000</v>
      </c>
      <c r="H29" s="3253"/>
      <c r="J29" s="3252">
        <v>7728000</v>
      </c>
      <c r="K29" s="3253"/>
      <c r="L29" s="1247"/>
      <c r="M29" s="3252"/>
      <c r="N29" s="3253"/>
      <c r="P29" s="3252"/>
      <c r="Q29" s="3253"/>
      <c r="S29" s="3252"/>
      <c r="T29" s="3253"/>
      <c r="V29" s="1295"/>
      <c r="W29" s="3306"/>
      <c r="X29" s="3307"/>
    </row>
    <row r="30" spans="2:24" s="325" customFormat="1" ht="12.6" customHeight="1">
      <c r="B30" s="325" t="s">
        <v>1125</v>
      </c>
      <c r="G30" s="3236"/>
      <c r="H30" s="3237"/>
      <c r="J30" s="3236"/>
      <c r="K30" s="3237"/>
      <c r="L30" s="1247"/>
      <c r="M30" s="3236"/>
      <c r="N30" s="3237"/>
      <c r="P30" s="3236"/>
      <c r="Q30" s="3237"/>
      <c r="S30" s="3236"/>
      <c r="T30" s="3237"/>
      <c r="V30" s="1295"/>
      <c r="W30" s="3306"/>
      <c r="X30" s="3307"/>
    </row>
    <row r="31" spans="2:24" s="325" customFormat="1" ht="12.6" customHeight="1">
      <c r="B31" s="325" t="s">
        <v>2780</v>
      </c>
      <c r="G31" s="3236"/>
      <c r="H31" s="3237"/>
      <c r="J31" s="3236"/>
      <c r="K31" s="3237"/>
      <c r="L31" s="1247"/>
      <c r="M31" s="3236"/>
      <c r="N31" s="3237"/>
      <c r="P31" s="3236"/>
      <c r="Q31" s="3237"/>
      <c r="S31" s="3236"/>
      <c r="T31" s="3237"/>
      <c r="V31" s="1295"/>
      <c r="W31" s="3306"/>
      <c r="X31" s="3307"/>
    </row>
    <row r="32" spans="2:24" ht="12.6" customHeight="1" thickBot="1">
      <c r="B32" s="325" t="s">
        <v>2779</v>
      </c>
      <c r="G32" s="3401"/>
      <c r="H32" s="3402"/>
      <c r="I32" s="325"/>
      <c r="J32" s="3401"/>
      <c r="K32" s="3402"/>
      <c r="L32" s="1247"/>
      <c r="M32" s="3401"/>
      <c r="N32" s="3402"/>
      <c r="O32" s="325"/>
      <c r="P32" s="3401"/>
      <c r="Q32" s="3402"/>
      <c r="R32" s="325"/>
      <c r="S32" s="3401"/>
      <c r="T32" s="3402"/>
      <c r="V32" s="1295"/>
      <c r="W32" s="3308"/>
      <c r="X32" s="3309"/>
    </row>
    <row r="33" spans="1:24" s="325" customFormat="1" ht="12.6" customHeight="1" thickTop="1">
      <c r="C33" s="3440"/>
      <c r="D33" s="3440"/>
      <c r="E33" s="1252"/>
      <c r="F33" s="401" t="s">
        <v>191</v>
      </c>
      <c r="G33" s="3394">
        <f>SUM(G29:H32)</f>
        <v>7728000</v>
      </c>
      <c r="H33" s="3395"/>
      <c r="J33" s="3394">
        <f>SUM(J29:K32)</f>
        <v>7728000</v>
      </c>
      <c r="K33" s="3395"/>
      <c r="L33" s="1247"/>
      <c r="M33" s="3394">
        <f>SUM(M29:N32)</f>
        <v>0</v>
      </c>
      <c r="N33" s="3395"/>
      <c r="P33" s="3394">
        <f>SUM(P29:Q32)</f>
        <v>0</v>
      </c>
      <c r="Q33" s="3395"/>
      <c r="S33" s="3394">
        <f>SUM(S29:T32)</f>
        <v>0</v>
      </c>
      <c r="T33" s="3395"/>
      <c r="V33" s="1297">
        <f>SUM(V29:V32)</f>
        <v>0</v>
      </c>
      <c r="W33" s="3324"/>
      <c r="X33" s="3325"/>
    </row>
    <row r="34" spans="1:24" s="325" customFormat="1" ht="12" customHeight="1">
      <c r="B34" s="327" t="s">
        <v>2343</v>
      </c>
      <c r="D34" s="3439" t="s">
        <v>3731</v>
      </c>
      <c r="E34" s="3439"/>
      <c r="F34" s="1132">
        <f>SUM(F35:F37)</f>
        <v>0.13986161986161988</v>
      </c>
      <c r="G34" s="1141"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8"/>
      <c r="W34" s="325" t="str">
        <f>B34</f>
        <v>CONTRACTOR SERVICES</v>
      </c>
    </row>
    <row r="35" spans="1:24" s="325" customFormat="1" ht="12.6" customHeight="1">
      <c r="B35" s="325" t="s">
        <v>2344</v>
      </c>
      <c r="D35" s="1134">
        <f>'DCA Underwriting Assumptions'!$R$73</f>
        <v>0.06</v>
      </c>
      <c r="E35" s="1136">
        <f>D35*(G27+G33)</f>
        <v>589680</v>
      </c>
      <c r="F35" s="1133">
        <f>IF(($G$27+$G$33)=0,0,G35/($G$27+$G$33))</f>
        <v>5.9930809930809931E-2</v>
      </c>
      <c r="G35" s="3252">
        <v>589000</v>
      </c>
      <c r="H35" s="3253"/>
      <c r="I35" s="346"/>
      <c r="J35" s="3252">
        <v>589000</v>
      </c>
      <c r="K35" s="3253"/>
      <c r="L35" s="1247"/>
      <c r="M35" s="3252"/>
      <c r="N35" s="3253"/>
      <c r="P35" s="3252"/>
      <c r="Q35" s="3253"/>
      <c r="S35" s="3252"/>
      <c r="T35" s="3253"/>
      <c r="V35" s="1295"/>
      <c r="W35" s="3306"/>
      <c r="X35" s="3307"/>
    </row>
    <row r="36" spans="1:24" s="325" customFormat="1" ht="12.6" customHeight="1">
      <c r="B36" s="325" t="s">
        <v>2736</v>
      </c>
      <c r="D36" s="1135">
        <f>'DCA Underwriting Assumptions'!$R$74</f>
        <v>0.02</v>
      </c>
      <c r="E36" s="1136">
        <f>D36*(G27+G33)</f>
        <v>196560</v>
      </c>
      <c r="F36" s="1133">
        <f>IF(($G$27+$G$33)=0,0,G36/($G$27+$G$33))</f>
        <v>0.02</v>
      </c>
      <c r="G36" s="3236">
        <v>196560</v>
      </c>
      <c r="H36" s="3237"/>
      <c r="I36" s="346"/>
      <c r="J36" s="3236">
        <v>196560</v>
      </c>
      <c r="K36" s="3237"/>
      <c r="L36" s="1247"/>
      <c r="M36" s="3236"/>
      <c r="N36" s="3237"/>
      <c r="P36" s="3236"/>
      <c r="Q36" s="3237"/>
      <c r="S36" s="3236"/>
      <c r="T36" s="3237"/>
      <c r="V36" s="1295"/>
      <c r="W36" s="3306"/>
      <c r="X36" s="3307"/>
    </row>
    <row r="37" spans="1:24" s="325" customFormat="1" ht="12.6" customHeight="1" thickBot="1">
      <c r="B37" s="325" t="s">
        <v>2737</v>
      </c>
      <c r="D37" s="1139">
        <f>'DCA Underwriting Assumptions'!$R$75</f>
        <v>0.06</v>
      </c>
      <c r="E37" s="1140">
        <f>D37*(G27+G33)</f>
        <v>589680</v>
      </c>
      <c r="F37" s="1531">
        <f>IF(($G$27+$G$33)=0,0,G37/($G$27+$G$33))</f>
        <v>5.9930809930809931E-2</v>
      </c>
      <c r="G37" s="3401">
        <v>589000</v>
      </c>
      <c r="H37" s="3402"/>
      <c r="I37" s="346"/>
      <c r="J37" s="3401">
        <v>589000</v>
      </c>
      <c r="K37" s="3402"/>
      <c r="L37" s="1247"/>
      <c r="M37" s="3401"/>
      <c r="N37" s="3402"/>
      <c r="P37" s="3401"/>
      <c r="Q37" s="3402"/>
      <c r="S37" s="3401"/>
      <c r="T37" s="3402"/>
      <c r="V37" s="1295"/>
      <c r="W37" s="3308"/>
      <c r="X37" s="3309"/>
    </row>
    <row r="38" spans="1:24" s="325" customFormat="1" ht="12.6" customHeight="1" thickTop="1">
      <c r="B38" s="192" t="s">
        <v>3732</v>
      </c>
      <c r="D38" s="1137">
        <f>SUM(D35:D37)</f>
        <v>0.14000000000000001</v>
      </c>
      <c r="E38" s="1138">
        <f>SUM(E35:E37)</f>
        <v>1375920</v>
      </c>
      <c r="F38" s="1117" t="s">
        <v>191</v>
      </c>
      <c r="G38" s="3394">
        <f>SUM(G35:H37)</f>
        <v>1374560</v>
      </c>
      <c r="H38" s="3395"/>
      <c r="J38" s="3394">
        <f>SUM(J35:K37)</f>
        <v>1374560</v>
      </c>
      <c r="K38" s="3395"/>
      <c r="L38" s="403"/>
      <c r="M38" s="3394">
        <f>SUM(M35:N37)</f>
        <v>0</v>
      </c>
      <c r="N38" s="3395"/>
      <c r="P38" s="3394">
        <f>SUM(P35:Q37)</f>
        <v>0</v>
      </c>
      <c r="Q38" s="3395"/>
      <c r="S38" s="3394">
        <f>SUM(S35:T37)</f>
        <v>0</v>
      </c>
      <c r="T38" s="3395"/>
      <c r="V38" s="1297">
        <f>SUM(V35:V37)</f>
        <v>0</v>
      </c>
      <c r="W38" s="3324"/>
      <c r="X38" s="3325"/>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8"/>
    </row>
    <row r="40" spans="1:24" s="325" customFormat="1" ht="12" customHeight="1">
      <c r="B40" s="327" t="s">
        <v>2741</v>
      </c>
      <c r="J40" s="403"/>
      <c r="K40" s="400"/>
      <c r="M40" s="403"/>
      <c r="N40" s="400"/>
      <c r="O40" s="402" t="str">
        <f>B40</f>
        <v>OTHER CONSTRUCTION HARD COSTS (Non-GC work scope items done by Owner)</v>
      </c>
      <c r="P40" s="403"/>
      <c r="Q40" s="400"/>
      <c r="S40" s="403"/>
      <c r="T40" s="400"/>
      <c r="V40" s="1298"/>
      <c r="W40" s="325" t="str">
        <f>B40</f>
        <v>OTHER CONSTRUCTION HARD COSTS (Non-GC work scope items done by Owner)</v>
      </c>
    </row>
    <row r="41" spans="1:24" ht="12.6" customHeight="1">
      <c r="B41" s="325" t="s">
        <v>741</v>
      </c>
      <c r="C41" s="3392" t="s">
        <v>3712</v>
      </c>
      <c r="D41" s="3437"/>
      <c r="E41" s="3437"/>
      <c r="F41" s="3438"/>
      <c r="G41" s="3419">
        <v>560128</v>
      </c>
      <c r="H41" s="3420"/>
      <c r="I41" s="325"/>
      <c r="J41" s="3419">
        <v>560128</v>
      </c>
      <c r="K41" s="3420"/>
      <c r="L41" s="1247"/>
      <c r="M41" s="3419"/>
      <c r="N41" s="3420"/>
      <c r="O41" s="325"/>
      <c r="P41" s="3419"/>
      <c r="Q41" s="3420"/>
      <c r="R41" s="325"/>
      <c r="S41" s="3419"/>
      <c r="T41" s="3420"/>
      <c r="V41" s="1295"/>
      <c r="W41" s="3425"/>
      <c r="X41" s="3426"/>
    </row>
    <row r="42" spans="1:24" s="325" customFormat="1" ht="6" customHeight="1">
      <c r="A42" s="545"/>
      <c r="B42" s="545"/>
      <c r="C42" s="545"/>
      <c r="D42" s="1001"/>
      <c r="E42" s="1001"/>
      <c r="F42" s="1001"/>
      <c r="G42" s="545"/>
      <c r="H42" s="545"/>
      <c r="I42" s="545"/>
      <c r="J42" s="545"/>
      <c r="K42" s="545"/>
      <c r="L42" s="545"/>
      <c r="M42" s="545"/>
      <c r="N42" s="545"/>
      <c r="O42" s="545"/>
      <c r="P42" s="545"/>
      <c r="Q42" s="545"/>
      <c r="R42" s="545"/>
      <c r="S42" s="545"/>
      <c r="T42" s="545"/>
      <c r="V42" s="1298"/>
      <c r="W42" s="3427"/>
      <c r="X42" s="3428"/>
    </row>
    <row r="43" spans="1:24" s="325" customFormat="1" ht="12.6" customHeight="1">
      <c r="B43" s="578" t="s">
        <v>2745</v>
      </c>
      <c r="C43" s="579"/>
      <c r="E43" s="3431" t="s">
        <v>2744</v>
      </c>
      <c r="F43" s="1248">
        <f>B44/'Part VI-Revenues &amp; Expenses'!$O$65</f>
        <v>140032</v>
      </c>
      <c r="G43" s="1250" t="s">
        <v>2771</v>
      </c>
      <c r="H43" s="546"/>
      <c r="I43" s="546"/>
      <c r="J43" s="3433">
        <f>B44/'Part VI-Revenues &amp; Expenses'!$O$67</f>
        <v>140032</v>
      </c>
      <c r="K43" s="3433"/>
      <c r="L43" s="546"/>
      <c r="M43" s="3434" t="s">
        <v>1402</v>
      </c>
      <c r="N43" s="3434"/>
      <c r="O43" s="546"/>
      <c r="P43" s="3433">
        <f>B44/'Part I-Project Information'!$P$75</f>
        <v>137.24782973956874</v>
      </c>
      <c r="Q43" s="3433"/>
      <c r="R43" s="546"/>
      <c r="S43" s="3435" t="s">
        <v>2778</v>
      </c>
      <c r="T43" s="3436"/>
      <c r="V43" s="1298"/>
      <c r="W43" s="3427"/>
      <c r="X43" s="3428"/>
    </row>
    <row r="44" spans="1:24" s="325" customFormat="1" ht="12.6" customHeight="1">
      <c r="B44" s="3421">
        <f>G27+G33+G38+G41</f>
        <v>11762688</v>
      </c>
      <c r="C44" s="3422"/>
      <c r="E44" s="3432"/>
      <c r="F44" s="1249">
        <f>B44/'Part VI-Revenues &amp; Expenses'!$O$154</f>
        <v>137.24782973956874</v>
      </c>
      <c r="G44" s="577" t="s">
        <v>2772</v>
      </c>
      <c r="H44" s="1245"/>
      <c r="I44" s="1245"/>
      <c r="J44" s="3423">
        <f>B44/'Part VI-Revenues &amp; Expenses'!$O$156</f>
        <v>137.24782973956874</v>
      </c>
      <c r="K44" s="3423"/>
      <c r="L44" s="1245"/>
      <c r="M44" s="3424" t="s">
        <v>2777</v>
      </c>
      <c r="N44" s="3424"/>
      <c r="O44" s="1245"/>
      <c r="P44" s="1245"/>
      <c r="Q44" s="1245"/>
      <c r="R44" s="1245"/>
      <c r="S44" s="1245"/>
      <c r="T44" s="391"/>
      <c r="V44" s="1298"/>
      <c r="W44" s="3429"/>
      <c r="X44" s="3430"/>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8"/>
    </row>
    <row r="46" spans="1:24" s="325" customFormat="1" ht="12" customHeight="1">
      <c r="B46" s="327" t="s">
        <v>1126</v>
      </c>
      <c r="F46" s="1530" t="s">
        <v>4192</v>
      </c>
      <c r="J46" s="403"/>
      <c r="K46" s="400"/>
      <c r="M46" s="403"/>
      <c r="N46" s="400"/>
      <c r="O46" s="402" t="str">
        <f>B46</f>
        <v>CONSTRUCTION CONTINGENCY</v>
      </c>
      <c r="P46" s="403"/>
      <c r="Q46" s="400"/>
      <c r="S46" s="403"/>
      <c r="T46" s="400"/>
      <c r="V46" s="1298"/>
      <c r="W46" s="325" t="str">
        <f>B46</f>
        <v>CONSTRUCTION CONTINGENCY</v>
      </c>
    </row>
    <row r="47" spans="1:24" ht="12.6" customHeight="1">
      <c r="B47" s="325" t="s">
        <v>1961</v>
      </c>
      <c r="D47" s="596" t="s">
        <v>4191</v>
      </c>
      <c r="E47" s="152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588134.40000000002</v>
      </c>
      <c r="F47" s="405">
        <f>G47/B44</f>
        <v>0</v>
      </c>
      <c r="G47" s="3419"/>
      <c r="H47" s="3420"/>
      <c r="I47" s="325"/>
      <c r="J47" s="3419"/>
      <c r="K47" s="3420"/>
      <c r="L47" s="1247"/>
      <c r="M47" s="3419"/>
      <c r="N47" s="3420"/>
      <c r="O47" s="325"/>
      <c r="P47" s="3419"/>
      <c r="Q47" s="3420"/>
      <c r="R47" s="325"/>
      <c r="S47" s="3419"/>
      <c r="T47" s="3420"/>
      <c r="V47" s="1295"/>
      <c r="W47" s="3306"/>
      <c r="X47" s="3307"/>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8"/>
    </row>
    <row r="49" spans="1:24" s="325" customFormat="1" ht="18.75" customHeight="1" thickBot="1">
      <c r="A49" s="486" t="s">
        <v>616</v>
      </c>
      <c r="B49" s="486" t="s">
        <v>2845</v>
      </c>
      <c r="H49" s="1238"/>
      <c r="I49" s="1238"/>
      <c r="J49" s="3380" t="s">
        <v>271</v>
      </c>
      <c r="K49" s="3381"/>
      <c r="L49" s="400"/>
      <c r="M49" s="3411" t="s">
        <v>489</v>
      </c>
      <c r="N49" s="3412"/>
      <c r="P49" s="3380" t="s">
        <v>272</v>
      </c>
      <c r="Q49" s="3381"/>
      <c r="S49" s="3380" t="s">
        <v>273</v>
      </c>
      <c r="T49" s="3381"/>
      <c r="V49" s="1298"/>
      <c r="W49" s="487" t="str">
        <f>B49</f>
        <v>DEVELOPMENT BUDGET (cont'd)</v>
      </c>
    </row>
    <row r="50" spans="1:24" s="325" customFormat="1" ht="18.75" customHeight="1" thickBot="1">
      <c r="G50" s="3415" t="s">
        <v>101</v>
      </c>
      <c r="H50" s="3416"/>
      <c r="J50" s="3382"/>
      <c r="K50" s="3383"/>
      <c r="L50" s="400"/>
      <c r="M50" s="3413"/>
      <c r="N50" s="3414"/>
      <c r="P50" s="3382"/>
      <c r="Q50" s="3383"/>
      <c r="S50" s="3382"/>
      <c r="T50" s="3383"/>
      <c r="V50" s="1298"/>
      <c r="W50" s="3326" t="s">
        <v>2683</v>
      </c>
      <c r="X50" s="3326"/>
    </row>
    <row r="51" spans="1:24" s="325" customFormat="1" ht="12" customHeight="1">
      <c r="B51" s="327" t="s">
        <v>722</v>
      </c>
      <c r="J51" s="403"/>
      <c r="K51" s="400"/>
      <c r="M51" s="403"/>
      <c r="N51" s="400"/>
      <c r="O51" s="402" t="str">
        <f>B51</f>
        <v>CONSTRUCTION PERIOD FINANCING</v>
      </c>
      <c r="P51" s="403"/>
      <c r="Q51" s="400"/>
      <c r="S51" s="403"/>
      <c r="T51" s="400"/>
      <c r="V51" s="1298"/>
      <c r="W51" s="325" t="str">
        <f>B51</f>
        <v>CONSTRUCTION PERIOD FINANCING</v>
      </c>
    </row>
    <row r="52" spans="1:24" s="325" customFormat="1" ht="12" customHeight="1">
      <c r="B52" s="325" t="s">
        <v>3733</v>
      </c>
      <c r="G52" s="3252"/>
      <c r="H52" s="3253"/>
      <c r="J52" s="3252"/>
      <c r="K52" s="3253"/>
      <c r="L52" s="1247"/>
      <c r="M52" s="3252"/>
      <c r="N52" s="3253"/>
      <c r="P52" s="3252"/>
      <c r="Q52" s="3253"/>
      <c r="S52" s="3252"/>
      <c r="T52" s="3253"/>
      <c r="V52" s="1299"/>
      <c r="W52" s="3306"/>
      <c r="X52" s="3307"/>
    </row>
    <row r="53" spans="1:24" s="325" customFormat="1" ht="12" customHeight="1">
      <c r="B53" s="325" t="s">
        <v>3734</v>
      </c>
      <c r="G53" s="3236"/>
      <c r="H53" s="3237"/>
      <c r="J53" s="3236"/>
      <c r="K53" s="3237"/>
      <c r="L53" s="1247"/>
      <c r="M53" s="3236"/>
      <c r="N53" s="3237"/>
      <c r="P53" s="3236"/>
      <c r="Q53" s="3237"/>
      <c r="S53" s="3236"/>
      <c r="T53" s="3237"/>
      <c r="V53" s="1299"/>
      <c r="W53" s="3306"/>
      <c r="X53" s="3307"/>
    </row>
    <row r="54" spans="1:24" s="325" customFormat="1" ht="12" customHeight="1">
      <c r="B54" s="325" t="s">
        <v>2346</v>
      </c>
      <c r="G54" s="3236">
        <v>125000</v>
      </c>
      <c r="H54" s="3237"/>
      <c r="J54" s="3236">
        <v>125000</v>
      </c>
      <c r="K54" s="3237"/>
      <c r="L54" s="1247"/>
      <c r="M54" s="3236"/>
      <c r="N54" s="3237"/>
      <c r="P54" s="3236"/>
      <c r="Q54" s="3237"/>
      <c r="S54" s="3236"/>
      <c r="T54" s="3237"/>
      <c r="V54" s="1299"/>
      <c r="W54" s="3306"/>
      <c r="X54" s="3307"/>
    </row>
    <row r="55" spans="1:24" s="325" customFormat="1" ht="12" customHeight="1">
      <c r="B55" s="325" t="s">
        <v>2347</v>
      </c>
      <c r="G55" s="3236">
        <v>350000</v>
      </c>
      <c r="H55" s="3237"/>
      <c r="J55" s="3236">
        <v>350000</v>
      </c>
      <c r="K55" s="3237"/>
      <c r="L55" s="1247"/>
      <c r="M55" s="3236"/>
      <c r="N55" s="3237"/>
      <c r="P55" s="3236"/>
      <c r="Q55" s="3237"/>
      <c r="S55" s="3236"/>
      <c r="T55" s="3237"/>
      <c r="V55" s="1299"/>
      <c r="W55" s="3306"/>
      <c r="X55" s="3307"/>
    </row>
    <row r="56" spans="1:24" s="325" customFormat="1" ht="12" customHeight="1">
      <c r="B56" s="325" t="s">
        <v>2348</v>
      </c>
      <c r="G56" s="3236">
        <v>65000</v>
      </c>
      <c r="H56" s="3237"/>
      <c r="J56" s="3236">
        <v>65000</v>
      </c>
      <c r="K56" s="3237"/>
      <c r="L56" s="1247"/>
      <c r="M56" s="3236"/>
      <c r="N56" s="3237"/>
      <c r="P56" s="3236"/>
      <c r="Q56" s="3237"/>
      <c r="S56" s="3236"/>
      <c r="T56" s="3237"/>
      <c r="V56" s="1299"/>
      <c r="W56" s="3306"/>
      <c r="X56" s="3307"/>
    </row>
    <row r="57" spans="1:24" s="325" customFormat="1" ht="12" customHeight="1">
      <c r="B57" s="325" t="s">
        <v>2687</v>
      </c>
      <c r="G57" s="3236">
        <v>36000</v>
      </c>
      <c r="H57" s="3237"/>
      <c r="J57" s="3236">
        <v>36000</v>
      </c>
      <c r="K57" s="3237"/>
      <c r="L57" s="1247"/>
      <c r="M57" s="3236"/>
      <c r="N57" s="3237"/>
      <c r="P57" s="3236"/>
      <c r="Q57" s="3237"/>
      <c r="S57" s="3236"/>
      <c r="T57" s="3237"/>
      <c r="V57" s="1299"/>
      <c r="W57" s="3306"/>
      <c r="X57" s="3307"/>
    </row>
    <row r="58" spans="1:24" s="325" customFormat="1" ht="12" customHeight="1">
      <c r="B58" s="325" t="s">
        <v>723</v>
      </c>
      <c r="G58" s="3236">
        <v>10000</v>
      </c>
      <c r="H58" s="3237"/>
      <c r="J58" s="3236">
        <v>10000</v>
      </c>
      <c r="K58" s="3237"/>
      <c r="L58" s="1247"/>
      <c r="M58" s="3236"/>
      <c r="N58" s="3237"/>
      <c r="P58" s="3236"/>
      <c r="Q58" s="3237"/>
      <c r="S58" s="3236"/>
      <c r="T58" s="3237"/>
      <c r="V58" s="1299"/>
      <c r="W58" s="3306"/>
      <c r="X58" s="3307"/>
    </row>
    <row r="59" spans="1:24" s="325" customFormat="1" ht="12" customHeight="1">
      <c r="B59" s="325" t="s">
        <v>2349</v>
      </c>
      <c r="G59" s="3236">
        <v>75000</v>
      </c>
      <c r="H59" s="3237"/>
      <c r="J59" s="3236">
        <v>75000</v>
      </c>
      <c r="K59" s="3237"/>
      <c r="L59" s="1247"/>
      <c r="M59" s="3236"/>
      <c r="N59" s="3237"/>
      <c r="P59" s="3236"/>
      <c r="Q59" s="3237"/>
      <c r="S59" s="3236"/>
      <c r="T59" s="3237"/>
      <c r="V59" s="1299"/>
      <c r="W59" s="3306"/>
      <c r="X59" s="3307"/>
    </row>
    <row r="60" spans="1:24" s="325" customFormat="1" ht="12" customHeight="1">
      <c r="B60" s="325" t="s">
        <v>1276</v>
      </c>
      <c r="G60" s="3236">
        <v>35000</v>
      </c>
      <c r="H60" s="3237"/>
      <c r="J60" s="3236">
        <v>35000</v>
      </c>
      <c r="K60" s="3237"/>
      <c r="L60" s="1247"/>
      <c r="M60" s="3236"/>
      <c r="N60" s="3237"/>
      <c r="P60" s="3236"/>
      <c r="Q60" s="3237"/>
      <c r="S60" s="3236"/>
      <c r="T60" s="3237"/>
      <c r="V60" s="1299"/>
      <c r="W60" s="3306"/>
      <c r="X60" s="3307"/>
    </row>
    <row r="61" spans="1:24" s="325" customFormat="1" ht="12" customHeight="1">
      <c r="B61" s="407" t="s">
        <v>1153</v>
      </c>
      <c r="D61" s="405"/>
      <c r="E61" s="405"/>
      <c r="F61" s="406"/>
      <c r="G61" s="3236">
        <v>75000</v>
      </c>
      <c r="H61" s="3237"/>
      <c r="I61" s="346"/>
      <c r="J61" s="3236">
        <v>75000</v>
      </c>
      <c r="K61" s="3237"/>
      <c r="L61" s="1247"/>
      <c r="M61" s="3236"/>
      <c r="N61" s="3237"/>
      <c r="P61" s="3236"/>
      <c r="Q61" s="3237"/>
      <c r="S61" s="3236"/>
      <c r="T61" s="3237"/>
      <c r="V61" s="1299"/>
      <c r="W61" s="3306"/>
      <c r="X61" s="3307"/>
    </row>
    <row r="62" spans="1:24" s="325" customFormat="1" ht="12" customHeight="1">
      <c r="A62" s="429" t="str">
        <f>IF(AND(G62&gt;0,OR(C62="",C62="&lt;Enter detailed description here; use Comments section if needed&gt;")),"X","")</f>
        <v/>
      </c>
      <c r="B62" s="325" t="s">
        <v>741</v>
      </c>
      <c r="C62" s="3407" t="s">
        <v>5316</v>
      </c>
      <c r="D62" s="3407"/>
      <c r="E62" s="3407"/>
      <c r="F62" s="3408"/>
      <c r="G62" s="3236">
        <v>370000</v>
      </c>
      <c r="H62" s="3237"/>
      <c r="J62" s="3236">
        <v>370000</v>
      </c>
      <c r="K62" s="3237"/>
      <c r="L62" s="1247"/>
      <c r="M62" s="3236"/>
      <c r="N62" s="3237"/>
      <c r="P62" s="3236"/>
      <c r="Q62" s="3237"/>
      <c r="S62" s="3236"/>
      <c r="T62" s="3237"/>
      <c r="U62" s="428" t="str">
        <f>IF(AND(G62&gt;0,OR(C62="",C62="&lt;Enter detailed description here; use Comments section if needed&gt;")),"NO DESCRIPTION PROVIDED - please enter detailed description in Other box at left; use Comments section below if needed.","")</f>
        <v/>
      </c>
      <c r="V62" s="1299"/>
      <c r="W62" s="3306"/>
      <c r="X62" s="3307"/>
    </row>
    <row r="63" spans="1:24" s="325" customFormat="1" ht="12" customHeight="1" thickBot="1">
      <c r="A63" s="429" t="str">
        <f>IF(AND(G63&gt;0,OR(C63="",C63="&lt;Enter detailed description here; use Comments section if needed&gt;")),"X","")</f>
        <v/>
      </c>
      <c r="B63" s="325" t="s">
        <v>741</v>
      </c>
      <c r="C63" s="3409" t="s">
        <v>3712</v>
      </c>
      <c r="D63" s="3409"/>
      <c r="E63" s="3409"/>
      <c r="F63" s="3410"/>
      <c r="G63" s="3240"/>
      <c r="H63" s="3241"/>
      <c r="J63" s="3240"/>
      <c r="K63" s="3241"/>
      <c r="L63" s="1247"/>
      <c r="M63" s="3240"/>
      <c r="N63" s="3241"/>
      <c r="P63" s="3240"/>
      <c r="Q63" s="3241"/>
      <c r="S63" s="3240"/>
      <c r="T63" s="3241"/>
      <c r="U63" s="428" t="str">
        <f>IF(AND(G63&gt;0,OR(C63="",C63="&lt;Enter detailed description here; use Comments section if needed&gt;")),"NO DESCRIPTION PROVIDED - please enter detailed description in Other box at left; use Comments section below if needed.","")</f>
        <v/>
      </c>
      <c r="V63" s="1299"/>
      <c r="W63" s="3308"/>
      <c r="X63" s="3309"/>
    </row>
    <row r="64" spans="1:24" s="325" customFormat="1" ht="12" customHeight="1" thickTop="1">
      <c r="F64" s="401" t="s">
        <v>191</v>
      </c>
      <c r="G64" s="3394">
        <f>SUM(G52:H63)</f>
        <v>1141000</v>
      </c>
      <c r="H64" s="3395"/>
      <c r="J64" s="3394">
        <f>SUM(J52:K63)</f>
        <v>1141000</v>
      </c>
      <c r="K64" s="3395"/>
      <c r="L64" s="403"/>
      <c r="M64" s="3394">
        <f>SUM(M52:N63)</f>
        <v>0</v>
      </c>
      <c r="N64" s="3395"/>
      <c r="P64" s="3394">
        <f>SUM(P52:Q63)</f>
        <v>0</v>
      </c>
      <c r="Q64" s="3395"/>
      <c r="S64" s="3394">
        <f>SUM(S52:T63)</f>
        <v>0</v>
      </c>
      <c r="T64" s="3395"/>
      <c r="V64" s="1300">
        <f>SUM(V52:V63)</f>
        <v>0</v>
      </c>
      <c r="W64" s="3324"/>
      <c r="X64" s="3325"/>
    </row>
    <row r="65" spans="1:24" s="325" customFormat="1" ht="12" customHeight="1">
      <c r="B65" s="327" t="s">
        <v>476</v>
      </c>
      <c r="G65" s="400"/>
      <c r="H65" s="400"/>
      <c r="J65" s="400"/>
      <c r="K65" s="400"/>
      <c r="M65" s="400"/>
      <c r="N65" s="400"/>
      <c r="O65" s="402" t="str">
        <f>B65</f>
        <v>PROFESSIONAL SERVICES</v>
      </c>
      <c r="P65" s="400"/>
      <c r="Q65" s="400"/>
      <c r="S65" s="400"/>
      <c r="T65" s="400"/>
      <c r="V65" s="1298"/>
      <c r="W65" s="325" t="str">
        <f>B65</f>
        <v>PROFESSIONAL SERVICES</v>
      </c>
    </row>
    <row r="66" spans="1:24" s="325" customFormat="1" ht="12" customHeight="1">
      <c r="B66" s="325" t="s">
        <v>477</v>
      </c>
      <c r="G66" s="3252">
        <v>200000</v>
      </c>
      <c r="H66" s="3253"/>
      <c r="J66" s="3252">
        <v>200000</v>
      </c>
      <c r="K66" s="3253"/>
      <c r="L66" s="1247"/>
      <c r="M66" s="3252"/>
      <c r="N66" s="3253"/>
      <c r="P66" s="3252"/>
      <c r="Q66" s="3253"/>
      <c r="S66" s="3252"/>
      <c r="T66" s="3253"/>
      <c r="V66" s="1295"/>
      <c r="W66" s="3306"/>
      <c r="X66" s="3307"/>
    </row>
    <row r="67" spans="1:24" s="325" customFormat="1" ht="12" customHeight="1">
      <c r="B67" s="325" t="s">
        <v>478</v>
      </c>
      <c r="G67" s="3236">
        <v>20000</v>
      </c>
      <c r="H67" s="3237"/>
      <c r="J67" s="3236">
        <v>20000</v>
      </c>
      <c r="K67" s="3237"/>
      <c r="L67" s="1247"/>
      <c r="M67" s="3236"/>
      <c r="N67" s="3237"/>
      <c r="P67" s="3236"/>
      <c r="Q67" s="3237"/>
      <c r="S67" s="3236"/>
      <c r="T67" s="3237"/>
      <c r="V67" s="1295"/>
      <c r="W67" s="3306"/>
      <c r="X67" s="3307"/>
    </row>
    <row r="68" spans="1:24" s="325" customFormat="1" ht="12" customHeight="1">
      <c r="B68" s="325" t="s">
        <v>1127</v>
      </c>
      <c r="D68" s="339" t="s">
        <v>3850</v>
      </c>
      <c r="E68" s="1283">
        <f>'DCA Underwriting Assumptions'!R76</f>
        <v>20000</v>
      </c>
      <c r="F68" s="1284" t="str">
        <f>IF(G68&gt;E68,"CHECK!!!","")</f>
        <v/>
      </c>
      <c r="G68" s="3236"/>
      <c r="H68" s="3237"/>
      <c r="J68" s="3236"/>
      <c r="K68" s="3237"/>
      <c r="L68" s="1247"/>
      <c r="M68" s="3236"/>
      <c r="N68" s="3237"/>
      <c r="P68" s="3236"/>
      <c r="Q68" s="3237"/>
      <c r="S68" s="3236"/>
      <c r="T68" s="3237"/>
      <c r="V68" s="1295"/>
      <c r="W68" s="3306"/>
      <c r="X68" s="3307"/>
    </row>
    <row r="69" spans="1:24" s="325" customFormat="1" ht="12" customHeight="1">
      <c r="B69" s="325" t="s">
        <v>1128</v>
      </c>
      <c r="G69" s="3236"/>
      <c r="H69" s="3237"/>
      <c r="J69" s="3236"/>
      <c r="K69" s="3237"/>
      <c r="L69" s="1247"/>
      <c r="M69" s="3236"/>
      <c r="N69" s="3237"/>
      <c r="P69" s="3236"/>
      <c r="Q69" s="3237"/>
      <c r="S69" s="3236"/>
      <c r="T69" s="3237"/>
      <c r="V69" s="1295"/>
      <c r="W69" s="3306"/>
      <c r="X69" s="3307"/>
    </row>
    <row r="70" spans="1:24" s="325" customFormat="1" ht="12" customHeight="1">
      <c r="B70" s="325" t="s">
        <v>1129</v>
      </c>
      <c r="G70" s="3236"/>
      <c r="H70" s="3237"/>
      <c r="J70" s="3236"/>
      <c r="K70" s="3237"/>
      <c r="L70" s="1247"/>
      <c r="M70" s="3236"/>
      <c r="N70" s="3237"/>
      <c r="P70" s="3236"/>
      <c r="Q70" s="3237"/>
      <c r="S70" s="3236"/>
      <c r="T70" s="3237"/>
      <c r="V70" s="1295"/>
      <c r="W70" s="3306"/>
      <c r="X70" s="3307"/>
    </row>
    <row r="71" spans="1:24" s="325" customFormat="1" ht="12" customHeight="1">
      <c r="B71" s="325" t="s">
        <v>1130</v>
      </c>
      <c r="G71" s="3236"/>
      <c r="H71" s="3237"/>
      <c r="J71" s="3236"/>
      <c r="K71" s="3237"/>
      <c r="L71" s="1247"/>
      <c r="M71" s="3236"/>
      <c r="N71" s="3237"/>
      <c r="P71" s="3236"/>
      <c r="Q71" s="3237"/>
      <c r="S71" s="3236"/>
      <c r="T71" s="3237"/>
      <c r="V71" s="1295"/>
      <c r="W71" s="3306"/>
      <c r="X71" s="3307"/>
    </row>
    <row r="72" spans="1:24" s="325" customFormat="1" ht="12" customHeight="1">
      <c r="B72" s="325" t="s">
        <v>479</v>
      </c>
      <c r="G72" s="3236">
        <v>75000</v>
      </c>
      <c r="H72" s="3237"/>
      <c r="J72" s="3236">
        <v>75000</v>
      </c>
      <c r="K72" s="3237"/>
      <c r="L72" s="1247"/>
      <c r="M72" s="3236"/>
      <c r="N72" s="3237"/>
      <c r="P72" s="3236"/>
      <c r="Q72" s="3237"/>
      <c r="S72" s="3236"/>
      <c r="T72" s="3237"/>
      <c r="V72" s="1295"/>
      <c r="W72" s="3306"/>
      <c r="X72" s="3307"/>
    </row>
    <row r="73" spans="1:24" s="325" customFormat="1" ht="12" customHeight="1">
      <c r="B73" s="325" t="s">
        <v>480</v>
      </c>
      <c r="G73" s="3236">
        <v>50000</v>
      </c>
      <c r="H73" s="3237"/>
      <c r="J73" s="3236">
        <v>50000</v>
      </c>
      <c r="K73" s="3237"/>
      <c r="L73" s="1247"/>
      <c r="M73" s="3236"/>
      <c r="N73" s="3237"/>
      <c r="P73" s="3236"/>
      <c r="Q73" s="3237"/>
      <c r="S73" s="3236"/>
      <c r="T73" s="3237"/>
      <c r="V73" s="1295"/>
      <c r="W73" s="3306"/>
      <c r="X73" s="3307"/>
    </row>
    <row r="74" spans="1:24" s="325" customFormat="1" ht="12" customHeight="1">
      <c r="B74" s="325" t="s">
        <v>2049</v>
      </c>
      <c r="G74" s="3236"/>
      <c r="H74" s="3237"/>
      <c r="J74" s="3236"/>
      <c r="K74" s="3237"/>
      <c r="L74" s="1247"/>
      <c r="M74" s="3236"/>
      <c r="N74" s="3237"/>
      <c r="P74" s="3236"/>
      <c r="Q74" s="3237"/>
      <c r="S74" s="3236"/>
      <c r="T74" s="3237"/>
      <c r="V74" s="1295"/>
      <c r="W74" s="3306"/>
      <c r="X74" s="3307"/>
    </row>
    <row r="75" spans="1:24" s="325" customFormat="1" ht="12" customHeight="1">
      <c r="B75" s="325" t="s">
        <v>1277</v>
      </c>
      <c r="G75" s="3236"/>
      <c r="H75" s="3237"/>
      <c r="J75" s="3236"/>
      <c r="K75" s="3237"/>
      <c r="L75" s="1247"/>
      <c r="M75" s="3236"/>
      <c r="N75" s="3237"/>
      <c r="P75" s="3236"/>
      <c r="Q75" s="3237"/>
      <c r="S75" s="3236"/>
      <c r="T75" s="3237"/>
      <c r="V75" s="1295"/>
      <c r="W75" s="3306"/>
      <c r="X75" s="3307"/>
    </row>
    <row r="76" spans="1:24" s="325" customFormat="1" ht="12" customHeight="1" thickBot="1">
      <c r="A76" s="429" t="str">
        <f>IF(AND(G76&gt;0,OR(C76="",C76="&lt;Enter detailed description here; use Comments section if needed&gt;")),"X","")</f>
        <v/>
      </c>
      <c r="B76" s="325" t="s">
        <v>741</v>
      </c>
      <c r="C76" s="3392" t="s">
        <v>3712</v>
      </c>
      <c r="D76" s="3392"/>
      <c r="E76" s="3392"/>
      <c r="F76" s="3393"/>
      <c r="G76" s="3240"/>
      <c r="H76" s="3241"/>
      <c r="J76" s="3240"/>
      <c r="K76" s="3241"/>
      <c r="L76" s="1247"/>
      <c r="M76" s="3240"/>
      <c r="N76" s="3241"/>
      <c r="P76" s="3240"/>
      <c r="Q76" s="3241"/>
      <c r="S76" s="3240"/>
      <c r="T76" s="3241"/>
      <c r="U76" s="428" t="str">
        <f>IF(AND(G76&gt;0,OR(C76="",C76="&lt;Enter detailed description here; use Comments section if needed&gt;")),"NO DESCRIPTION PROVIDED - please enter detailed description in Other box at left; use Comments section below if needed.","")</f>
        <v/>
      </c>
      <c r="V76" s="1295"/>
      <c r="W76" s="3308"/>
      <c r="X76" s="3309"/>
    </row>
    <row r="77" spans="1:24" s="325" customFormat="1" ht="12" customHeight="1" thickTop="1">
      <c r="F77" s="401" t="s">
        <v>191</v>
      </c>
      <c r="G77" s="3394">
        <f>SUM(G66:H76)</f>
        <v>345000</v>
      </c>
      <c r="H77" s="3395"/>
      <c r="J77" s="3394">
        <f>SUM(J66:K76)</f>
        <v>345000</v>
      </c>
      <c r="K77" s="3395"/>
      <c r="L77" s="403"/>
      <c r="M77" s="3394">
        <f>SUM(M66:N76)</f>
        <v>0</v>
      </c>
      <c r="N77" s="3395"/>
      <c r="P77" s="3394">
        <f>SUM(P66:Q76)</f>
        <v>0</v>
      </c>
      <c r="Q77" s="3395"/>
      <c r="S77" s="3394">
        <f>SUM(S66:T76)</f>
        <v>0</v>
      </c>
      <c r="T77" s="3395"/>
      <c r="V77" s="1297">
        <f>SUM(V66:V76)</f>
        <v>0</v>
      </c>
      <c r="W77" s="3324"/>
      <c r="X77" s="3325"/>
    </row>
    <row r="78" spans="1:24" ht="12" customHeight="1">
      <c r="A78" s="325"/>
      <c r="B78" s="327" t="s">
        <v>1269</v>
      </c>
      <c r="C78" s="325"/>
      <c r="D78" s="1039" t="s">
        <v>3737</v>
      </c>
      <c r="E78" s="1142">
        <f>G83/'Part VI-Revenues &amp; Expenses'!$O$67</f>
        <v>2809.5238095238096</v>
      </c>
      <c r="F78" s="325"/>
      <c r="G78" s="325"/>
      <c r="H78" s="325"/>
      <c r="I78" s="325"/>
      <c r="J78" s="403"/>
      <c r="K78" s="403"/>
      <c r="M78" s="403"/>
      <c r="N78" s="403"/>
      <c r="O78" s="402" t="str">
        <f>B78</f>
        <v>LOCAL GOVERNMENT FEES</v>
      </c>
      <c r="P78" s="403"/>
      <c r="Q78" s="403"/>
      <c r="S78" s="403"/>
      <c r="T78" s="403"/>
      <c r="V78" s="1298"/>
      <c r="W78" s="325" t="str">
        <f>B78</f>
        <v>LOCAL GOVERNMENT FEES</v>
      </c>
    </row>
    <row r="79" spans="1:24" s="325" customFormat="1" ht="12" customHeight="1">
      <c r="B79" s="325" t="s">
        <v>1270</v>
      </c>
      <c r="G79" s="3252">
        <v>60000</v>
      </c>
      <c r="H79" s="3253"/>
      <c r="J79" s="3252">
        <v>60000</v>
      </c>
      <c r="K79" s="3253"/>
      <c r="L79" s="1247"/>
      <c r="M79" s="3252"/>
      <c r="N79" s="3253"/>
      <c r="P79" s="3252"/>
      <c r="Q79" s="3253"/>
      <c r="S79" s="3252"/>
      <c r="T79" s="3253"/>
      <c r="V79" s="1295"/>
      <c r="W79" s="3306"/>
      <c r="X79" s="3307"/>
    </row>
    <row r="80" spans="1:24" s="325" customFormat="1" ht="12" customHeight="1">
      <c r="B80" s="325" t="s">
        <v>1271</v>
      </c>
      <c r="G80" s="3236"/>
      <c r="H80" s="3237"/>
      <c r="J80" s="3236"/>
      <c r="K80" s="3237"/>
      <c r="L80" s="1247"/>
      <c r="M80" s="3236"/>
      <c r="N80" s="3237"/>
      <c r="P80" s="3236"/>
      <c r="Q80" s="3237"/>
      <c r="S80" s="3236"/>
      <c r="T80" s="3237"/>
      <c r="V80" s="1295"/>
      <c r="W80" s="3306"/>
      <c r="X80" s="3307"/>
    </row>
    <row r="81" spans="1:24" s="325" customFormat="1" ht="12" customHeight="1">
      <c r="B81" s="325" t="s">
        <v>1272</v>
      </c>
      <c r="D81" s="409" t="s">
        <v>1403</v>
      </c>
      <c r="E81" s="1321" t="s">
        <v>2993</v>
      </c>
      <c r="G81" s="3236">
        <v>88000</v>
      </c>
      <c r="H81" s="3237"/>
      <c r="I81" s="346"/>
      <c r="J81" s="3236">
        <v>75000</v>
      </c>
      <c r="K81" s="3237"/>
      <c r="L81" s="1247"/>
      <c r="M81" s="3236"/>
      <c r="N81" s="3237"/>
      <c r="P81" s="3236"/>
      <c r="Q81" s="3237"/>
      <c r="S81" s="3236">
        <v>13000</v>
      </c>
      <c r="T81" s="3237"/>
      <c r="V81" s="1295"/>
      <c r="W81" s="3306"/>
      <c r="X81" s="3307"/>
    </row>
    <row r="82" spans="1:24" s="325" customFormat="1" ht="12" customHeight="1" thickBot="1">
      <c r="B82" s="325" t="s">
        <v>1273</v>
      </c>
      <c r="D82" s="409" t="s">
        <v>1403</v>
      </c>
      <c r="E82" s="1322" t="s">
        <v>2993</v>
      </c>
      <c r="G82" s="3240">
        <v>88000</v>
      </c>
      <c r="H82" s="3241"/>
      <c r="I82" s="346"/>
      <c r="J82" s="3240">
        <v>75000</v>
      </c>
      <c r="K82" s="3241"/>
      <c r="L82" s="1247"/>
      <c r="M82" s="3240"/>
      <c r="N82" s="3241"/>
      <c r="P82" s="3240"/>
      <c r="Q82" s="3241"/>
      <c r="S82" s="3240">
        <v>13000</v>
      </c>
      <c r="T82" s="3241"/>
      <c r="V82" s="1295"/>
      <c r="W82" s="3308"/>
      <c r="X82" s="3309"/>
    </row>
    <row r="83" spans="1:24" s="325" customFormat="1" ht="12" customHeight="1" thickTop="1">
      <c r="F83" s="401" t="s">
        <v>191</v>
      </c>
      <c r="G83" s="3394">
        <f>SUM(G79:H82)</f>
        <v>236000</v>
      </c>
      <c r="H83" s="3395"/>
      <c r="J83" s="3394">
        <f>SUM(J79:K82)</f>
        <v>210000</v>
      </c>
      <c r="K83" s="3395"/>
      <c r="L83" s="403"/>
      <c r="M83" s="3394">
        <f>SUM(M79:N82)</f>
        <v>0</v>
      </c>
      <c r="N83" s="3395"/>
      <c r="P83" s="3394">
        <f>SUM(P79:Q82)</f>
        <v>0</v>
      </c>
      <c r="Q83" s="3395"/>
      <c r="S83" s="3394">
        <f>SUM(S79:T82)</f>
        <v>26000</v>
      </c>
      <c r="T83" s="3395"/>
      <c r="V83" s="1297">
        <f>SUM(V79:V82)</f>
        <v>0</v>
      </c>
      <c r="W83" s="3324"/>
      <c r="X83" s="3325"/>
    </row>
    <row r="84" spans="1:24" s="325" customFormat="1" ht="12" customHeight="1">
      <c r="B84" s="327" t="s">
        <v>724</v>
      </c>
      <c r="J84" s="403"/>
      <c r="K84" s="403"/>
      <c r="M84" s="403"/>
      <c r="N84" s="403"/>
      <c r="O84" s="402" t="str">
        <f>B84</f>
        <v>PERMANENT FINANCING FEES</v>
      </c>
      <c r="P84" s="403"/>
      <c r="Q84" s="403"/>
      <c r="S84" s="403"/>
      <c r="T84" s="403"/>
      <c r="V84" s="1298"/>
      <c r="W84" s="325" t="str">
        <f>B84</f>
        <v>PERMANENT FINANCING FEES</v>
      </c>
    </row>
    <row r="85" spans="1:24" s="325" customFormat="1" ht="12" customHeight="1">
      <c r="B85" s="325" t="s">
        <v>1274</v>
      </c>
      <c r="G85" s="3252">
        <v>100000</v>
      </c>
      <c r="H85" s="3253"/>
      <c r="J85" s="3406"/>
      <c r="K85" s="3406"/>
      <c r="L85" s="1247"/>
      <c r="M85" s="3406"/>
      <c r="N85" s="3406"/>
      <c r="P85" s="3406"/>
      <c r="Q85" s="3406"/>
      <c r="S85" s="3252">
        <v>100000</v>
      </c>
      <c r="T85" s="3253"/>
      <c r="V85" s="1295"/>
      <c r="W85" s="3306"/>
      <c r="X85" s="3307"/>
    </row>
    <row r="86" spans="1:24" s="325" customFormat="1" ht="12" customHeight="1">
      <c r="B86" s="325" t="s">
        <v>1275</v>
      </c>
      <c r="G86" s="3236">
        <v>70000</v>
      </c>
      <c r="H86" s="3237"/>
      <c r="J86" s="3406"/>
      <c r="K86" s="3406"/>
      <c r="L86" s="1247"/>
      <c r="M86" s="3406"/>
      <c r="N86" s="3406"/>
      <c r="P86" s="3406"/>
      <c r="Q86" s="3406"/>
      <c r="S86" s="3236">
        <v>70000</v>
      </c>
      <c r="T86" s="3237"/>
      <c r="V86" s="1295"/>
      <c r="W86" s="3306"/>
      <c r="X86" s="3307"/>
    </row>
    <row r="87" spans="1:24" s="325" customFormat="1" ht="12" customHeight="1">
      <c r="B87" s="325" t="s">
        <v>1276</v>
      </c>
      <c r="G87" s="3236"/>
      <c r="H87" s="3237"/>
      <c r="J87" s="3406"/>
      <c r="K87" s="3406"/>
      <c r="L87" s="1247"/>
      <c r="M87" s="3406"/>
      <c r="N87" s="3406"/>
      <c r="P87" s="3406"/>
      <c r="Q87" s="3406"/>
      <c r="S87" s="3236"/>
      <c r="T87" s="3237"/>
      <c r="V87" s="1295"/>
      <c r="W87" s="3306"/>
      <c r="X87" s="3307"/>
    </row>
    <row r="88" spans="1:24" s="325" customFormat="1" ht="12" customHeight="1">
      <c r="B88" s="325" t="s">
        <v>1278</v>
      </c>
      <c r="G88" s="3236"/>
      <c r="H88" s="3237"/>
      <c r="J88" s="3406"/>
      <c r="K88" s="3406"/>
      <c r="L88" s="1247"/>
      <c r="M88" s="3406"/>
      <c r="N88" s="3406"/>
      <c r="P88" s="3406"/>
      <c r="Q88" s="3406"/>
      <c r="S88" s="3236"/>
      <c r="T88" s="3237"/>
      <c r="V88" s="1295"/>
      <c r="W88" s="3306"/>
      <c r="X88" s="3307"/>
    </row>
    <row r="89" spans="1:24" s="325" customFormat="1" ht="12" customHeight="1">
      <c r="B89" s="325" t="s">
        <v>2298</v>
      </c>
      <c r="G89" s="3236">
        <f>24000+17500+15000+5901+18+1269+1600+2000+2200+2850+3600+119700+100000+250000+28561-597-17894</f>
        <v>555708</v>
      </c>
      <c r="H89" s="3237"/>
      <c r="J89" s="3406"/>
      <c r="K89" s="3406"/>
      <c r="L89" s="1247"/>
      <c r="M89" s="3406"/>
      <c r="N89" s="3406"/>
      <c r="P89" s="3406"/>
      <c r="Q89" s="3406"/>
      <c r="S89" s="3236">
        <v>55708</v>
      </c>
      <c r="T89" s="3237"/>
      <c r="V89" s="1295"/>
      <c r="W89" s="3306"/>
      <c r="X89" s="3307"/>
    </row>
    <row r="90" spans="1:24" s="325" customFormat="1" ht="12" customHeight="1" thickBot="1">
      <c r="A90" s="429" t="str">
        <f>IF(AND(G90&gt;0,OR(C90="",C90="&lt;Enter detailed description here; use Comments section if needed&gt;")),"X","")</f>
        <v/>
      </c>
      <c r="B90" s="325" t="s">
        <v>741</v>
      </c>
      <c r="C90" s="3392" t="s">
        <v>3712</v>
      </c>
      <c r="D90" s="3392"/>
      <c r="E90" s="3392"/>
      <c r="F90" s="3393"/>
      <c r="G90" s="3240"/>
      <c r="H90" s="3241"/>
      <c r="J90" s="3406"/>
      <c r="K90" s="3406"/>
      <c r="L90" s="1247"/>
      <c r="M90" s="3406"/>
      <c r="N90" s="3406"/>
      <c r="P90" s="3406"/>
      <c r="Q90" s="3406"/>
      <c r="S90" s="3240"/>
      <c r="T90" s="3241"/>
      <c r="U90" s="428" t="str">
        <f>IF(AND(G90&gt;0,OR(C90="",C90="&lt;Enter detailed description here; use Comments section if needed&gt;")),"NO DESCRIPTION PROVIDED - please enter detailed description in Other box at left; use Comments section below if needed.","")</f>
        <v/>
      </c>
      <c r="V90" s="1295"/>
      <c r="W90" s="3308"/>
      <c r="X90" s="3309"/>
    </row>
    <row r="91" spans="1:24" s="325" customFormat="1" ht="12" customHeight="1" thickTop="1">
      <c r="F91" s="401" t="s">
        <v>191</v>
      </c>
      <c r="G91" s="3394">
        <f>SUM(G85:H90)</f>
        <v>725708</v>
      </c>
      <c r="H91" s="3395"/>
      <c r="J91" s="3406"/>
      <c r="K91" s="3406"/>
      <c r="L91" s="403"/>
      <c r="M91" s="3406"/>
      <c r="N91" s="3406"/>
      <c r="P91" s="3406"/>
      <c r="Q91" s="3406"/>
      <c r="S91" s="3394">
        <f>SUM(S85:T90)</f>
        <v>225708</v>
      </c>
      <c r="T91" s="3395"/>
      <c r="V91" s="1297">
        <f>SUM(V85:V90)</f>
        <v>0</v>
      </c>
      <c r="W91" s="3324"/>
      <c r="X91" s="3325"/>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8"/>
    </row>
    <row r="93" spans="1:24" s="325" customFormat="1" ht="18" customHeight="1" thickBot="1">
      <c r="A93" s="486" t="s">
        <v>616</v>
      </c>
      <c r="B93" s="486" t="s">
        <v>2844</v>
      </c>
      <c r="H93" s="1238"/>
      <c r="I93" s="1238"/>
      <c r="J93" s="3380" t="s">
        <v>271</v>
      </c>
      <c r="K93" s="3381"/>
      <c r="L93" s="400"/>
      <c r="M93" s="3411" t="s">
        <v>489</v>
      </c>
      <c r="N93" s="3412"/>
      <c r="P93" s="3380" t="s">
        <v>272</v>
      </c>
      <c r="Q93" s="3381"/>
      <c r="S93" s="3380" t="s">
        <v>273</v>
      </c>
      <c r="T93" s="3381"/>
      <c r="V93" s="487" t="str">
        <f>B93</f>
        <v>DEVELOPMENT BUDGET  (cont'd)</v>
      </c>
    </row>
    <row r="94" spans="1:24" s="325" customFormat="1" ht="18" customHeight="1" thickBot="1">
      <c r="G94" s="3415" t="s">
        <v>101</v>
      </c>
      <c r="H94" s="3416"/>
      <c r="J94" s="3382"/>
      <c r="K94" s="3383"/>
      <c r="L94" s="400"/>
      <c r="M94" s="3413"/>
      <c r="N94" s="3414"/>
      <c r="P94" s="3382"/>
      <c r="Q94" s="3383"/>
      <c r="S94" s="3382"/>
      <c r="T94" s="3383"/>
      <c r="V94" s="371" t="s">
        <v>2683</v>
      </c>
      <c r="X94" s="371"/>
    </row>
    <row r="95" spans="1:24" s="325" customFormat="1" ht="13.35" customHeight="1">
      <c r="B95" s="327" t="s">
        <v>725</v>
      </c>
      <c r="J95" s="403"/>
      <c r="K95" s="403"/>
      <c r="M95" s="403"/>
      <c r="N95" s="403"/>
      <c r="O95" s="402" t="str">
        <f>B95</f>
        <v>DCA-RELATED COSTS</v>
      </c>
      <c r="P95" s="403"/>
      <c r="Q95" s="403"/>
      <c r="S95" s="403"/>
      <c r="T95" s="403"/>
      <c r="V95" s="1298"/>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52"/>
      <c r="H96" s="3253"/>
      <c r="J96" s="403"/>
      <c r="K96" s="403"/>
      <c r="L96" s="1247"/>
      <c r="M96" s="403"/>
      <c r="N96" s="403"/>
      <c r="P96" s="403"/>
      <c r="Q96" s="403"/>
      <c r="S96" s="3252"/>
      <c r="T96" s="3253"/>
      <c r="V96" s="1295"/>
      <c r="W96" s="3306"/>
      <c r="X96" s="3307"/>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36">
        <v>5000</v>
      </c>
      <c r="H97" s="3237"/>
      <c r="J97" s="403"/>
      <c r="K97" s="403"/>
      <c r="L97" s="410"/>
      <c r="M97" s="403"/>
      <c r="N97" s="403"/>
      <c r="P97" s="403"/>
      <c r="Q97" s="403"/>
      <c r="S97" s="3236">
        <v>5000</v>
      </c>
      <c r="T97" s="3237"/>
      <c r="V97" s="1295"/>
      <c r="W97" s="3306"/>
      <c r="X97" s="3307"/>
    </row>
    <row r="98" spans="1:24" s="325" customFormat="1" ht="12.6" customHeight="1">
      <c r="B98" s="325" t="s">
        <v>3953</v>
      </c>
      <c r="G98" s="3236">
        <v>1500</v>
      </c>
      <c r="H98" s="3237"/>
      <c r="J98" s="403"/>
      <c r="K98" s="403"/>
      <c r="L98" s="410"/>
      <c r="M98" s="403"/>
      <c r="N98" s="403"/>
      <c r="O98" s="1238"/>
      <c r="P98" s="403"/>
      <c r="Q98" s="403"/>
      <c r="S98" s="3236">
        <v>1500</v>
      </c>
      <c r="T98" s="3237"/>
      <c r="V98" s="1295"/>
      <c r="W98" s="3306"/>
      <c r="X98" s="3307"/>
    </row>
    <row r="99" spans="1:24" s="325" customFormat="1" ht="12.6" customHeight="1">
      <c r="B99" s="325" t="s">
        <v>519</v>
      </c>
      <c r="E99" s="3417">
        <f>ROUNDUP('DCA Underwriting Assumptions'!$Q$88*J175,0)</f>
        <v>52805</v>
      </c>
      <c r="F99" s="3418"/>
      <c r="G99" s="3236">
        <v>52805</v>
      </c>
      <c r="H99" s="3237"/>
      <c r="J99" s="1143" t="str">
        <f>IF(E99&gt;G99,"WARNING!  LIHTC Allocation Fee proposed is below minimum required.","")</f>
        <v/>
      </c>
      <c r="K99" s="403"/>
      <c r="L99" s="1247"/>
      <c r="M99" s="403"/>
      <c r="N99" s="403"/>
      <c r="O99" s="1238"/>
      <c r="P99" s="403"/>
      <c r="Q99" s="403"/>
      <c r="S99" s="3236">
        <v>52805</v>
      </c>
      <c r="T99" s="3237"/>
      <c r="V99" s="1295"/>
      <c r="W99" s="3306"/>
      <c r="X99" s="3307"/>
    </row>
    <row r="100" spans="1:24" s="325" customFormat="1" ht="12.6" customHeight="1">
      <c r="B100" s="325" t="s">
        <v>753</v>
      </c>
      <c r="E100" s="3417">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67200</v>
      </c>
      <c r="F100" s="3418"/>
      <c r="G100" s="3236">
        <v>67200</v>
      </c>
      <c r="H100" s="3237"/>
      <c r="J100" s="1143" t="str">
        <f>IF(E100&gt;G100,"WARNING!  LIHTC Compliance Fee proposed is below minimum required.","")</f>
        <v/>
      </c>
      <c r="K100" s="188"/>
      <c r="L100" s="188"/>
      <c r="M100" s="188"/>
      <c r="N100" s="188"/>
      <c r="O100" s="188"/>
      <c r="P100" s="188"/>
      <c r="Q100" s="188"/>
      <c r="S100" s="3236">
        <v>67200</v>
      </c>
      <c r="T100" s="3237"/>
      <c r="V100" s="1295"/>
      <c r="W100" s="3306"/>
      <c r="X100" s="3307"/>
    </row>
    <row r="101" spans="1:24" s="325" customFormat="1" ht="12.6" customHeight="1">
      <c r="B101" s="325" t="s">
        <v>4244</v>
      </c>
      <c r="F101" s="1555">
        <f>ROUNDUP('DCA Underwriting Assumptions'!$Q$90,0)</f>
        <v>3000</v>
      </c>
      <c r="G101" s="3236"/>
      <c r="H101" s="3237"/>
      <c r="J101" s="188"/>
      <c r="K101" s="188"/>
      <c r="L101" s="188"/>
      <c r="M101" s="188"/>
      <c r="N101" s="188"/>
      <c r="O101" s="188"/>
      <c r="P101" s="188"/>
      <c r="Q101" s="188"/>
      <c r="S101" s="3236"/>
      <c r="T101" s="3237"/>
      <c r="V101" s="1295"/>
      <c r="W101" s="3306"/>
      <c r="X101" s="3307"/>
    </row>
    <row r="102" spans="1:24" s="325" customFormat="1" ht="12.6" customHeight="1">
      <c r="B102" s="325" t="s">
        <v>4245</v>
      </c>
      <c r="F102" s="1555">
        <f>ROUNDUP('DCA Underwriting Assumptions'!$Q$113,0)</f>
        <v>3000</v>
      </c>
      <c r="G102" s="3236"/>
      <c r="H102" s="3237"/>
      <c r="J102" s="188"/>
      <c r="K102" s="188"/>
      <c r="L102" s="188"/>
      <c r="M102" s="188"/>
      <c r="N102" s="188"/>
      <c r="O102" s="188"/>
      <c r="P102" s="188"/>
      <c r="Q102" s="188"/>
      <c r="S102" s="3236"/>
      <c r="T102" s="3237"/>
      <c r="V102" s="1295"/>
      <c r="W102" s="3306"/>
      <c r="X102" s="3307"/>
    </row>
    <row r="103" spans="1:24" s="325" customFormat="1" ht="12.6" customHeight="1">
      <c r="A103" s="429" t="str">
        <f>IF(AND(G103&gt;0,OR(C103="",C103="&lt;Enter detailed description here; use Comments section if needed&gt;")),"X","")</f>
        <v/>
      </c>
      <c r="B103" s="325" t="s">
        <v>741</v>
      </c>
      <c r="C103" s="3407" t="s">
        <v>3712</v>
      </c>
      <c r="D103" s="3407"/>
      <c r="E103" s="3407"/>
      <c r="F103" s="3408"/>
      <c r="G103" s="3236"/>
      <c r="H103" s="3237"/>
      <c r="J103" s="188"/>
      <c r="K103" s="188"/>
      <c r="L103" s="188"/>
      <c r="M103" s="188"/>
      <c r="N103" s="188"/>
      <c r="O103" s="188"/>
      <c r="P103" s="188"/>
      <c r="Q103" s="188"/>
      <c r="S103" s="3236"/>
      <c r="T103" s="3237"/>
      <c r="U103" s="428" t="str">
        <f>IF(AND(G103&gt;0,OR(C103="",C103="&lt;Enter detailed description here; use Comments section if needed&gt;")),"NO DESCRIPTION PROVIDED - please enter detailed description in Other box at left; use Comments section below if needed.","")</f>
        <v/>
      </c>
      <c r="V103" s="1295"/>
      <c r="W103" s="3306"/>
      <c r="X103" s="3307"/>
    </row>
    <row r="104" spans="1:24" s="325" customFormat="1" ht="12.6" customHeight="1" thickBot="1">
      <c r="A104" s="429" t="str">
        <f>IF(AND(G104&gt;0,OR(C104="",C104="&lt;Enter detailed description here; use Comments section if needed&gt;")),"X","")</f>
        <v/>
      </c>
      <c r="B104" s="325" t="s">
        <v>741</v>
      </c>
      <c r="C104" s="3409" t="s">
        <v>3712</v>
      </c>
      <c r="D104" s="3409"/>
      <c r="E104" s="3409"/>
      <c r="F104" s="3410"/>
      <c r="G104" s="3240"/>
      <c r="H104" s="3241"/>
      <c r="J104" s="188"/>
      <c r="K104" s="188"/>
      <c r="L104" s="188"/>
      <c r="M104" s="188"/>
      <c r="N104" s="188"/>
      <c r="O104" s="188"/>
      <c r="P104" s="188"/>
      <c r="Q104" s="188"/>
      <c r="S104" s="3240"/>
      <c r="T104" s="3241"/>
      <c r="U104" s="428" t="str">
        <f>IF(AND(G104&gt;0,OR(C104="",C104="&lt;Enter detailed description here; use Comments section if needed&gt;")),"NO DESCRIPTION PROVIDED - please enter detailed description in Other box at left; use Comments section below if needed.","")</f>
        <v/>
      </c>
      <c r="V104" s="1295"/>
      <c r="W104" s="3308"/>
      <c r="X104" s="3309"/>
    </row>
    <row r="105" spans="1:24" s="325" customFormat="1" ht="12.6" customHeight="1" thickTop="1">
      <c r="F105" s="401" t="s">
        <v>191</v>
      </c>
      <c r="G105" s="3394">
        <f>SUM(G96:H104)</f>
        <v>126505</v>
      </c>
      <c r="H105" s="3395"/>
      <c r="J105" s="403"/>
      <c r="K105" s="403"/>
      <c r="L105" s="1247"/>
      <c r="M105" s="403"/>
      <c r="N105" s="403"/>
      <c r="P105" s="403"/>
      <c r="Q105" s="403"/>
      <c r="S105" s="3394">
        <f>SUM(S96:T104)</f>
        <v>126505</v>
      </c>
      <c r="T105" s="3395"/>
      <c r="V105" s="1297">
        <f>SUM(V96:V104)</f>
        <v>0</v>
      </c>
      <c r="W105" s="3310"/>
      <c r="X105" s="3311"/>
    </row>
    <row r="106" spans="1:24" s="325" customFormat="1" ht="13.35" customHeight="1">
      <c r="B106" s="327" t="s">
        <v>2299</v>
      </c>
      <c r="J106" s="403"/>
      <c r="K106" s="403"/>
      <c r="M106" s="403"/>
      <c r="N106" s="403"/>
      <c r="O106" s="402" t="str">
        <f>B106</f>
        <v>EQUITY COSTS</v>
      </c>
      <c r="P106" s="403"/>
      <c r="Q106" s="403"/>
      <c r="S106" s="403"/>
      <c r="T106" s="403"/>
      <c r="V106" s="1298"/>
      <c r="W106" s="325" t="str">
        <f>B106</f>
        <v>EQUITY COSTS</v>
      </c>
    </row>
    <row r="107" spans="1:24" s="325" customFormat="1" ht="12.6" customHeight="1">
      <c r="B107" s="325" t="s">
        <v>279</v>
      </c>
      <c r="G107" s="3252"/>
      <c r="H107" s="3253"/>
      <c r="J107" s="3406"/>
      <c r="K107" s="3406"/>
      <c r="L107" s="1247"/>
      <c r="M107" s="3406"/>
      <c r="N107" s="3406"/>
      <c r="O107" s="1238"/>
      <c r="P107" s="3406"/>
      <c r="Q107" s="3406"/>
      <c r="S107" s="3252"/>
      <c r="T107" s="3253"/>
      <c r="V107" s="1295"/>
      <c r="W107" s="3306"/>
      <c r="X107" s="3307"/>
    </row>
    <row r="108" spans="1:24" s="325" customFormat="1" ht="12.6" customHeight="1">
      <c r="B108" s="325" t="s">
        <v>280</v>
      </c>
      <c r="G108" s="3236">
        <v>24000</v>
      </c>
      <c r="H108" s="3237"/>
      <c r="J108" s="3406"/>
      <c r="K108" s="3406"/>
      <c r="L108" s="1247"/>
      <c r="M108" s="3406"/>
      <c r="N108" s="3406"/>
      <c r="O108" s="1238"/>
      <c r="P108" s="3406"/>
      <c r="Q108" s="3406"/>
      <c r="S108" s="3236">
        <v>24000</v>
      </c>
      <c r="T108" s="3237"/>
      <c r="V108" s="1295"/>
      <c r="W108" s="3306"/>
      <c r="X108" s="3307"/>
    </row>
    <row r="109" spans="1:24" s="325" customFormat="1" ht="12.6" customHeight="1">
      <c r="B109" s="325" t="s">
        <v>2386</v>
      </c>
      <c r="G109" s="3236"/>
      <c r="H109" s="3237"/>
      <c r="J109" s="3406"/>
      <c r="K109" s="3406"/>
      <c r="L109" s="1247"/>
      <c r="M109" s="3406"/>
      <c r="N109" s="3406"/>
      <c r="O109" s="1238"/>
      <c r="P109" s="3406"/>
      <c r="Q109" s="3406"/>
      <c r="S109" s="3236"/>
      <c r="T109" s="3237"/>
      <c r="V109" s="1295"/>
      <c r="W109" s="3306"/>
      <c r="X109" s="3307"/>
    </row>
    <row r="110" spans="1:24" s="325" customFormat="1" ht="12.6" customHeight="1" thickBot="1">
      <c r="A110" s="429" t="str">
        <f>IF(AND(G110&gt;0,OR(C110="",C110="&lt;Enter detailed description here; use Comments section if needed&gt;")),"X","")</f>
        <v/>
      </c>
      <c r="B110" s="325" t="s">
        <v>741</v>
      </c>
      <c r="C110" s="3392" t="s">
        <v>3712</v>
      </c>
      <c r="D110" s="3392"/>
      <c r="E110" s="3392"/>
      <c r="F110" s="3393"/>
      <c r="G110" s="3240"/>
      <c r="H110" s="3241"/>
      <c r="J110" s="3406"/>
      <c r="K110" s="3406"/>
      <c r="L110" s="1247"/>
      <c r="M110" s="3406"/>
      <c r="N110" s="3406"/>
      <c r="O110" s="1238"/>
      <c r="P110" s="3406"/>
      <c r="Q110" s="3406"/>
      <c r="S110" s="3240"/>
      <c r="T110" s="3241"/>
      <c r="U110" s="428" t="str">
        <f>IF(AND(G110&gt;0,OR(C110="",C110="&lt;Enter detailed description here; use Comments section if needed&gt;")),"NO DESCRIPTION PROVIDED - please enter detailed description in Other box at left; use Comments section below if needed.","")</f>
        <v/>
      </c>
      <c r="V110" s="1295"/>
      <c r="W110" s="3308"/>
      <c r="X110" s="3309"/>
    </row>
    <row r="111" spans="1:24" s="325" customFormat="1" ht="12.6" customHeight="1" thickTop="1">
      <c r="F111" s="401" t="s">
        <v>191</v>
      </c>
      <c r="G111" s="3394">
        <f>SUM(G107:H110)</f>
        <v>24000</v>
      </c>
      <c r="H111" s="3395"/>
      <c r="J111" s="3406"/>
      <c r="K111" s="3406"/>
      <c r="L111" s="1247"/>
      <c r="M111" s="3406"/>
      <c r="N111" s="3406"/>
      <c r="O111" s="1238"/>
      <c r="P111" s="3406"/>
      <c r="Q111" s="3406"/>
      <c r="S111" s="3394">
        <f>SUM(S107:T110)</f>
        <v>24000</v>
      </c>
      <c r="T111" s="3395"/>
      <c r="V111" s="1297">
        <f>SUM(V107:V110)</f>
        <v>0</v>
      </c>
      <c r="W111" s="3324"/>
      <c r="X111" s="3325"/>
    </row>
    <row r="112" spans="1:24" s="325" customFormat="1" ht="13.35" customHeight="1">
      <c r="B112" s="327" t="s">
        <v>281</v>
      </c>
      <c r="J112" s="403"/>
      <c r="K112" s="400"/>
      <c r="M112" s="403"/>
      <c r="N112" s="400"/>
      <c r="O112" s="402" t="str">
        <f>B112</f>
        <v>DEVELOPER'S FEE</v>
      </c>
      <c r="P112" s="403"/>
      <c r="Q112" s="400"/>
      <c r="S112" s="403"/>
      <c r="T112" s="400"/>
      <c r="V112" s="1298"/>
      <c r="W112" s="325" t="str">
        <f>B112</f>
        <v>DEVELOPER'S FEE</v>
      </c>
    </row>
    <row r="113" spans="1:24" s="325" customFormat="1" ht="12.6" customHeight="1">
      <c r="B113" s="325" t="s">
        <v>1860</v>
      </c>
      <c r="F113" s="457">
        <f>IF($G$118=0,0,G113/$G$118)</f>
        <v>7.4441687344913151E-3</v>
      </c>
      <c r="G113" s="3403">
        <v>18000</v>
      </c>
      <c r="H113" s="3403"/>
      <c r="J113" s="3404">
        <v>18000</v>
      </c>
      <c r="K113" s="3405"/>
      <c r="L113" s="402"/>
      <c r="M113" s="3404"/>
      <c r="N113" s="3405"/>
      <c r="P113" s="3404"/>
      <c r="Q113" s="3405"/>
      <c r="S113" s="3404"/>
      <c r="T113" s="3405"/>
      <c r="V113" s="1295"/>
      <c r="W113" s="3306"/>
      <c r="X113" s="3307"/>
    </row>
    <row r="114" spans="1:24" s="325" customFormat="1" ht="12.6" customHeight="1">
      <c r="B114" s="325" t="s">
        <v>4200</v>
      </c>
      <c r="F114" s="1533"/>
      <c r="V114" s="1295"/>
      <c r="W114" s="3306"/>
      <c r="X114" s="3307"/>
    </row>
    <row r="115" spans="1:24" s="325" customFormat="1" ht="12.6" customHeight="1">
      <c r="B115" s="325" t="s">
        <v>1861</v>
      </c>
      <c r="F115" s="457">
        <f>IF($G$118=0,0,G115/$G$118)</f>
        <v>0</v>
      </c>
      <c r="G115" s="3252"/>
      <c r="H115" s="3253"/>
      <c r="J115" s="3252"/>
      <c r="K115" s="3253"/>
      <c r="L115" s="1247"/>
      <c r="M115" s="3252"/>
      <c r="N115" s="3253"/>
      <c r="P115" s="3252"/>
      <c r="Q115" s="3253"/>
      <c r="S115" s="3252"/>
      <c r="T115" s="3253"/>
      <c r="V115" s="1295"/>
      <c r="W115" s="3306"/>
      <c r="X115" s="3307"/>
    </row>
    <row r="116" spans="1:24" s="325" customFormat="1" ht="12.6" customHeight="1">
      <c r="B116" s="325" t="s">
        <v>3634</v>
      </c>
      <c r="F116" s="457">
        <f>IF($G$118=0,0,G116/$G$118)</f>
        <v>0</v>
      </c>
      <c r="G116" s="3236"/>
      <c r="H116" s="3237"/>
      <c r="J116" s="3236"/>
      <c r="K116" s="3237"/>
      <c r="L116" s="1247"/>
      <c r="M116" s="3236"/>
      <c r="N116" s="3237"/>
      <c r="P116" s="3236"/>
      <c r="Q116" s="3237"/>
      <c r="S116" s="3236"/>
      <c r="T116" s="3237"/>
      <c r="V116" s="1295"/>
      <c r="W116" s="3306"/>
      <c r="X116" s="3307"/>
    </row>
    <row r="117" spans="1:24" s="325" customFormat="1" ht="12.6" customHeight="1" thickBot="1">
      <c r="B117" s="325" t="s">
        <v>1853</v>
      </c>
      <c r="F117" s="457">
        <f>IF($G$118=0,0,G117/$G$118)</f>
        <v>0.99255583126550873</v>
      </c>
      <c r="G117" s="3240">
        <v>2400000</v>
      </c>
      <c r="H117" s="3241"/>
      <c r="J117" s="3240">
        <v>2400000</v>
      </c>
      <c r="K117" s="3241"/>
      <c r="L117" s="1247"/>
      <c r="M117" s="3240"/>
      <c r="N117" s="3241"/>
      <c r="P117" s="3240"/>
      <c r="Q117" s="3241"/>
      <c r="S117" s="3240"/>
      <c r="T117" s="3241"/>
      <c r="V117" s="1295"/>
      <c r="W117" s="3308"/>
      <c r="X117" s="3309"/>
    </row>
    <row r="118" spans="1:24" s="325" customFormat="1" ht="12.6" customHeight="1" thickTop="1">
      <c r="C118" s="428"/>
      <c r="F118" s="401" t="s">
        <v>191</v>
      </c>
      <c r="G118" s="3399">
        <f>SUM(G113:H117)</f>
        <v>2418000</v>
      </c>
      <c r="H118" s="3400"/>
      <c r="J118" s="3394">
        <f>SUM(J113:K117)</f>
        <v>2418000</v>
      </c>
      <c r="K118" s="3395"/>
      <c r="L118" s="1247"/>
      <c r="M118" s="3394">
        <f>SUM(M113:N117)</f>
        <v>0</v>
      </c>
      <c r="N118" s="3395"/>
      <c r="P118" s="3394">
        <f>SUM(P113:Q117)</f>
        <v>0</v>
      </c>
      <c r="Q118" s="3395"/>
      <c r="S118" s="3394">
        <f>SUM(S113:T117)</f>
        <v>0</v>
      </c>
      <c r="T118" s="3395"/>
      <c r="V118" s="1297">
        <f>SUM(V113:V117)</f>
        <v>0</v>
      </c>
      <c r="W118" s="3324"/>
      <c r="X118" s="3325"/>
    </row>
    <row r="119" spans="1:24" s="325" customFormat="1" ht="13.35" customHeight="1">
      <c r="B119" s="327" t="s">
        <v>1309</v>
      </c>
      <c r="J119" s="400"/>
      <c r="K119" s="400"/>
      <c r="M119" s="400"/>
      <c r="N119" s="400"/>
      <c r="O119" s="402" t="str">
        <f>B119</f>
        <v>START-UP AND RESERVES</v>
      </c>
      <c r="P119" s="400"/>
      <c r="Q119" s="400"/>
      <c r="S119" s="400"/>
      <c r="T119" s="400"/>
      <c r="V119" s="1298"/>
      <c r="W119" s="325" t="str">
        <f>B119</f>
        <v>START-UP AND RESERVES</v>
      </c>
    </row>
    <row r="120" spans="1:24" s="325" customFormat="1" ht="12.6" customHeight="1">
      <c r="B120" s="325" t="s">
        <v>251</v>
      </c>
      <c r="G120" s="3252"/>
      <c r="H120" s="3253"/>
      <c r="J120" s="411"/>
      <c r="K120" s="411"/>
      <c r="L120" s="411"/>
      <c r="M120" s="411"/>
      <c r="N120" s="411"/>
      <c r="P120" s="411"/>
      <c r="Q120" s="411"/>
      <c r="S120" s="3252"/>
      <c r="T120" s="3253"/>
      <c r="V120" s="1295"/>
      <c r="W120" s="3306"/>
      <c r="X120" s="3307"/>
    </row>
    <row r="121" spans="1:24" s="325" customFormat="1" ht="12.6" customHeight="1">
      <c r="B121" s="325" t="s">
        <v>1536</v>
      </c>
      <c r="F121" s="524">
        <f>+'Part VI-Revenues &amp; Expenses'!$P$226*('DCA Underwriting Assumptions'!$Q$112/12)</f>
        <v>98687.25</v>
      </c>
      <c r="G121" s="3236">
        <v>100000</v>
      </c>
      <c r="H121" s="3237"/>
      <c r="J121" s="1145" t="str">
        <f>IF(E121&gt;G121,"WARNING! Rent-Up Reserves proposed is below minimum - add comment.","")</f>
        <v/>
      </c>
      <c r="K121" s="1145"/>
      <c r="L121" s="1247"/>
      <c r="M121" s="1116"/>
      <c r="N121" s="1116"/>
      <c r="O121" s="1238"/>
      <c r="P121" s="1116"/>
      <c r="Q121" s="1116"/>
      <c r="R121" s="1238"/>
      <c r="S121" s="3236">
        <v>100000</v>
      </c>
      <c r="T121" s="3237"/>
      <c r="V121" s="1295"/>
      <c r="W121" s="3306"/>
      <c r="X121" s="3307"/>
    </row>
    <row r="122" spans="1:24" s="325" customFormat="1" ht="12.6" customHeight="1">
      <c r="B122" s="325" t="s">
        <v>678</v>
      </c>
      <c r="F122" s="524">
        <f>'Part VI-Revenues &amp; Expenses'!$P$226*('DCA Underwriting Assumptions'!$Q$111/12)+('Part VII-Pro Forma'!$B$25+'Part VII-Pro Forma'!$B$26+'Part VII-Pro Forma'!$B$27+'Part VII-Pro Forma'!$B$28)*'DCA Underwriting Assumptions'!$Q$110/(-12)</f>
        <v>389765.91110185382</v>
      </c>
      <c r="G122" s="3236">
        <v>400000</v>
      </c>
      <c r="H122" s="3237"/>
      <c r="J122" s="1145" t="str">
        <f>IF(E122&gt;G122,"WARNING! ODR proposed is below minimum - add comment.","")</f>
        <v/>
      </c>
      <c r="K122" s="410"/>
      <c r="L122" s="410"/>
      <c r="M122" s="410"/>
      <c r="N122" s="410"/>
      <c r="O122" s="1238"/>
      <c r="P122" s="410"/>
      <c r="Q122" s="410"/>
      <c r="R122" s="1238"/>
      <c r="S122" s="3236">
        <v>400000</v>
      </c>
      <c r="T122" s="3237"/>
      <c r="V122" s="1295"/>
      <c r="W122" s="3306"/>
      <c r="X122" s="3307"/>
    </row>
    <row r="123" spans="1:24" s="325" customFormat="1" ht="12.6" customHeight="1">
      <c r="B123" s="325" t="s">
        <v>1244</v>
      </c>
      <c r="G123" s="3236"/>
      <c r="H123" s="3237"/>
      <c r="J123" s="411"/>
      <c r="K123" s="411"/>
      <c r="L123" s="411"/>
      <c r="M123" s="411"/>
      <c r="N123" s="411"/>
      <c r="P123" s="411"/>
      <c r="Q123" s="411"/>
      <c r="S123" s="3236"/>
      <c r="T123" s="3237"/>
      <c r="V123" s="1295"/>
      <c r="W123" s="3306"/>
      <c r="X123" s="3307"/>
    </row>
    <row r="124" spans="1:24" s="325" customFormat="1" ht="12.6" customHeight="1">
      <c r="B124" s="325" t="s">
        <v>1245</v>
      </c>
      <c r="E124" s="969" t="s">
        <v>3567</v>
      </c>
      <c r="F124" s="524">
        <f>IF('Part VI-Revenues &amp; Expenses'!$O$67=0,0,G124/'Part VI-Revenues &amp; Expenses'!$O$67)</f>
        <v>357.14285714285717</v>
      </c>
      <c r="G124" s="3236">
        <v>30000</v>
      </c>
      <c r="H124" s="3237"/>
      <c r="J124" s="3252">
        <v>30000</v>
      </c>
      <c r="K124" s="3253"/>
      <c r="L124" s="1247"/>
      <c r="M124" s="3252"/>
      <c r="N124" s="3253"/>
      <c r="P124" s="3252"/>
      <c r="Q124" s="3253"/>
      <c r="S124" s="3236"/>
      <c r="T124" s="3237"/>
      <c r="V124" s="1295"/>
      <c r="W124" s="3306"/>
      <c r="X124" s="3307"/>
    </row>
    <row r="125" spans="1:24" s="325" customFormat="1" ht="12.6" customHeight="1" thickBot="1">
      <c r="A125" s="429" t="str">
        <f>IF(AND(G125&gt;0,OR(C125="",C125="&lt;Enter detailed description here; use Comments section if needed&gt;")),"X","")</f>
        <v/>
      </c>
      <c r="B125" s="325" t="s">
        <v>741</v>
      </c>
      <c r="C125" s="3392" t="s">
        <v>3712</v>
      </c>
      <c r="D125" s="3392"/>
      <c r="E125" s="3392"/>
      <c r="F125" s="3393"/>
      <c r="G125" s="3240"/>
      <c r="H125" s="3241"/>
      <c r="J125" s="3401"/>
      <c r="K125" s="3402"/>
      <c r="L125" s="1247"/>
      <c r="M125" s="3240"/>
      <c r="N125" s="3241"/>
      <c r="P125" s="3240"/>
      <c r="Q125" s="3241"/>
      <c r="S125" s="3240"/>
      <c r="T125" s="3241"/>
      <c r="U125" s="428" t="str">
        <f>IF(AND(G125&gt;0,OR(C125="",C125="&lt;Enter detailed description here; use Comments section if needed&gt;")),"NO DESCRIPTION PROVIDED - please enter detailed description in Other box at left; use Comments section below if needed.","")</f>
        <v/>
      </c>
      <c r="V125" s="1295"/>
      <c r="W125" s="3308"/>
      <c r="X125" s="3309"/>
    </row>
    <row r="126" spans="1:24" s="325" customFormat="1" ht="12.6" customHeight="1" thickTop="1">
      <c r="B126" s="412"/>
      <c r="F126" s="401" t="s">
        <v>191</v>
      </c>
      <c r="G126" s="3394">
        <f>SUM(G120:H125)</f>
        <v>530000</v>
      </c>
      <c r="H126" s="3395"/>
      <c r="J126" s="3394">
        <f>SUM(J124:K125)</f>
        <v>30000</v>
      </c>
      <c r="K126" s="3395"/>
      <c r="L126" s="1247"/>
      <c r="M126" s="3394">
        <f>SUM(M124:N125)</f>
        <v>0</v>
      </c>
      <c r="N126" s="3395"/>
      <c r="P126" s="3394">
        <f>SUM(P124:Q125)</f>
        <v>0</v>
      </c>
      <c r="Q126" s="3395"/>
      <c r="S126" s="3394">
        <f>SUM(S120:T125)</f>
        <v>500000</v>
      </c>
      <c r="T126" s="3395"/>
      <c r="V126" s="1297">
        <f>SUM(V120:V125)</f>
        <v>0</v>
      </c>
      <c r="W126" s="3324"/>
      <c r="X126" s="3325"/>
    </row>
    <row r="127" spans="1:24" s="325" customFormat="1" ht="13.35" customHeight="1">
      <c r="B127" s="327" t="s">
        <v>610</v>
      </c>
      <c r="C127" s="1228"/>
      <c r="H127" s="408"/>
      <c r="I127" s="408"/>
      <c r="J127" s="400"/>
      <c r="K127" s="400"/>
      <c r="M127" s="400"/>
      <c r="N127" s="400"/>
      <c r="O127" s="402" t="str">
        <f>B127</f>
        <v>OTHER COSTS</v>
      </c>
      <c r="P127" s="400"/>
      <c r="Q127" s="400"/>
      <c r="S127" s="400"/>
      <c r="T127" s="400"/>
      <c r="V127" s="1298"/>
      <c r="W127" s="325" t="str">
        <f>B127</f>
        <v>OTHER COSTS</v>
      </c>
    </row>
    <row r="128" spans="1:24" s="325" customFormat="1" ht="12.6" customHeight="1">
      <c r="B128" s="325" t="s">
        <v>611</v>
      </c>
      <c r="C128" s="1228"/>
      <c r="G128" s="3252"/>
      <c r="H128" s="3253"/>
      <c r="J128" s="3252"/>
      <c r="K128" s="3253"/>
      <c r="L128" s="402"/>
      <c r="M128" s="3252"/>
      <c r="N128" s="3253"/>
      <c r="P128" s="3252"/>
      <c r="Q128" s="3253"/>
      <c r="S128" s="3252"/>
      <c r="T128" s="3253"/>
      <c r="V128" s="1295"/>
      <c r="W128" s="3306"/>
      <c r="X128" s="3307"/>
    </row>
    <row r="129" spans="1:24" s="325" customFormat="1" ht="12.6" customHeight="1" thickBot="1">
      <c r="A129" s="429" t="str">
        <f>IF(AND(G129&gt;0,OR(C129="",C129="&lt;Enter detailed description here; use Comments section if needed&gt;")),"X","")</f>
        <v/>
      </c>
      <c r="B129" s="325" t="s">
        <v>741</v>
      </c>
      <c r="C129" s="3392" t="s">
        <v>3712</v>
      </c>
      <c r="D129" s="3392"/>
      <c r="E129" s="3392"/>
      <c r="F129" s="3393"/>
      <c r="G129" s="3240"/>
      <c r="H129" s="3241"/>
      <c r="J129" s="3240"/>
      <c r="K129" s="3241"/>
      <c r="L129" s="1247"/>
      <c r="M129" s="3240"/>
      <c r="N129" s="3241"/>
      <c r="P129" s="3240"/>
      <c r="Q129" s="3241"/>
      <c r="S129" s="3240"/>
      <c r="T129" s="3241"/>
      <c r="U129" s="428" t="str">
        <f>IF(AND(G129&gt;0,OR(C129="",C129="&lt;Enter detailed description here; use Comments section if needed&gt;")),"NO DESCRIPTION PROVIDED - please enter detailed description in Other box at left; use Comments section below if needed.","")</f>
        <v/>
      </c>
      <c r="V129" s="1295"/>
      <c r="W129" s="3308"/>
      <c r="X129" s="3309"/>
    </row>
    <row r="130" spans="1:24" s="325" customFormat="1" ht="12.6" customHeight="1" thickTop="1">
      <c r="C130" s="1228"/>
      <c r="F130" s="401" t="s">
        <v>191</v>
      </c>
      <c r="G130" s="3394">
        <f>SUM(G128:H129)</f>
        <v>0</v>
      </c>
      <c r="H130" s="3395"/>
      <c r="J130" s="3394">
        <f>SUM(J128:K129)</f>
        <v>0</v>
      </c>
      <c r="K130" s="3395"/>
      <c r="L130" s="1247"/>
      <c r="M130" s="3394">
        <f>SUM(M128:N129)</f>
        <v>0</v>
      </c>
      <c r="N130" s="3395"/>
      <c r="P130" s="3394">
        <f>SUM(P128:Q129)</f>
        <v>0</v>
      </c>
      <c r="Q130" s="3395"/>
      <c r="S130" s="3394">
        <f>SUM(S128:T129)</f>
        <v>0</v>
      </c>
      <c r="T130" s="3395"/>
      <c r="V130" s="1297">
        <f>SUM(V128:V129)</f>
        <v>0</v>
      </c>
      <c r="W130" s="3324"/>
      <c r="X130" s="3325"/>
    </row>
    <row r="131" spans="1:24" s="325" customFormat="1" ht="3" customHeight="1" thickBot="1">
      <c r="C131" s="1228"/>
      <c r="H131" s="408"/>
      <c r="I131" s="408"/>
      <c r="L131" s="1238"/>
      <c r="V131" s="1298"/>
      <c r="W131" s="1293"/>
      <c r="X131" s="1294"/>
    </row>
    <row r="132" spans="1:24" s="325" customFormat="1" ht="14.1" customHeight="1" thickBot="1">
      <c r="B132" s="331" t="s">
        <v>2768</v>
      </c>
      <c r="G132" s="3396">
        <f>G17+G23+G27+G33+G38+G41+G47+G64+G77+G83+G91+G105+G111+G118+G126+G130</f>
        <v>18093801</v>
      </c>
      <c r="H132" s="3397"/>
      <c r="J132" s="3396">
        <f>J17+J23+J27+J33+J38+J41+J47+J64+J77+J83+J91+J105+J111+J118+J126+J130</f>
        <v>15966588</v>
      </c>
      <c r="K132" s="3397"/>
      <c r="M132" s="3396">
        <f>M17+M23+M27+M33+M38+M41+M47+M64+M77+M83+M91+M105+M111+M118+M126+M130</f>
        <v>0</v>
      </c>
      <c r="N132" s="3397"/>
      <c r="P132" s="3396">
        <f>P17+P23+P27+P33+P38+P41+P47+P64+P77+P83+P91+P105+P111+P118+P126+P130</f>
        <v>0</v>
      </c>
      <c r="Q132" s="3397"/>
      <c r="S132" s="3396">
        <f>S17+S23+S27+S33+S38+S41+S47+S64+S77+S83+S91+S105+S111+S118+S126+S130</f>
        <v>1627213</v>
      </c>
      <c r="T132" s="3397"/>
      <c r="V132" s="1301">
        <f>V17+V23+V27+V33+V38+V41+V47+V64+V77+V83+V91+V105+V111+V118+V126+V130</f>
        <v>0</v>
      </c>
      <c r="W132" s="3398"/>
      <c r="X132" s="3325"/>
    </row>
    <row r="133" spans="1:24" s="325" customFormat="1" ht="3" customHeight="1">
      <c r="C133" s="1228"/>
      <c r="H133" s="408"/>
      <c r="I133" s="408"/>
      <c r="L133" s="1238"/>
      <c r="V133" s="1298"/>
    </row>
    <row r="134" spans="1:24" s="325" customFormat="1" ht="14.1" customHeight="1">
      <c r="B134" s="571" t="s">
        <v>2764</v>
      </c>
      <c r="C134" s="569"/>
      <c r="D134" s="3377">
        <f>IF('Part VI-Revenues &amp; Expenses'!$O$67=0,0,G132/'Part VI-Revenues &amp; Expenses'!$O$67)</f>
        <v>215402.39285714287</v>
      </c>
      <c r="E134" s="3377"/>
      <c r="F134" s="570" t="s">
        <v>2763</v>
      </c>
      <c r="G134" s="3378">
        <f>IF('Part I-Project Information'!$P$75=0,0,G132/'Part I-Project Information'!$P$75)</f>
        <v>211.1196793615234</v>
      </c>
      <c r="H134" s="3379"/>
      <c r="I134" s="413"/>
      <c r="V134" s="1298"/>
    </row>
    <row r="135" spans="1:24" s="325" customFormat="1" ht="3" customHeight="1">
      <c r="I135" s="413"/>
      <c r="L135" s="413"/>
      <c r="V135" s="1298"/>
    </row>
    <row r="136" spans="1:24" s="325" customFormat="1" ht="3.6" customHeight="1" thickBot="1">
      <c r="D136" s="1228"/>
      <c r="E136" s="1228"/>
      <c r="I136" s="408"/>
      <c r="J136" s="408"/>
      <c r="K136" s="414"/>
      <c r="L136" s="330"/>
      <c r="P136" s="1238"/>
      <c r="V136" s="1298"/>
    </row>
    <row r="137" spans="1:24" s="325" customFormat="1" ht="26.1" customHeight="1">
      <c r="A137" s="486" t="s">
        <v>740</v>
      </c>
      <c r="B137" s="488" t="s">
        <v>1426</v>
      </c>
      <c r="C137" s="1001"/>
      <c r="D137" s="1247"/>
      <c r="E137" s="1247"/>
      <c r="F137" s="1247"/>
      <c r="G137" s="1238"/>
      <c r="H137" s="1238"/>
      <c r="I137" s="415"/>
      <c r="J137" s="3380" t="s">
        <v>271</v>
      </c>
      <c r="K137" s="3381"/>
      <c r="M137" s="3380" t="s">
        <v>100</v>
      </c>
      <c r="N137" s="3381"/>
      <c r="P137" s="3380" t="s">
        <v>272</v>
      </c>
      <c r="Q137" s="3381"/>
      <c r="V137" s="1298"/>
      <c r="W137" s="487" t="str">
        <f>B137</f>
        <v>TAX CREDIT CALCULATION - BASIS METHOD</v>
      </c>
    </row>
    <row r="138" spans="1:24" s="325" customFormat="1" ht="15" customHeight="1" thickBot="1">
      <c r="B138" s="331" t="s">
        <v>2044</v>
      </c>
      <c r="D138" s="1247"/>
      <c r="E138" s="1247"/>
      <c r="I138" s="415"/>
      <c r="J138" s="3382"/>
      <c r="K138" s="3383"/>
      <c r="L138" s="1001"/>
      <c r="M138" s="3382"/>
      <c r="N138" s="3383"/>
      <c r="P138" s="3382"/>
      <c r="Q138" s="3383"/>
      <c r="V138" s="1298"/>
      <c r="W138" s="325" t="str">
        <f>B138</f>
        <v>Subtractions From Eligible Basis</v>
      </c>
      <c r="X138" s="371"/>
    </row>
    <row r="139" spans="1:24" s="325" customFormat="1" ht="6" customHeight="1">
      <c r="D139" s="1228"/>
      <c r="E139" s="1228"/>
      <c r="I139" s="408"/>
      <c r="J139" s="408"/>
      <c r="K139" s="414"/>
      <c r="L139" s="330"/>
      <c r="P139" s="1238"/>
      <c r="V139" s="1298"/>
    </row>
    <row r="140" spans="1:24" s="325" customFormat="1" ht="14.1" customHeight="1">
      <c r="B140" s="1228" t="s">
        <v>144</v>
      </c>
      <c r="D140" s="1238"/>
      <c r="E140" s="1238"/>
      <c r="F140" s="1238"/>
      <c r="G140" s="1238"/>
      <c r="H140" s="1238"/>
      <c r="I140" s="415"/>
      <c r="J140" s="3384"/>
      <c r="K140" s="3385"/>
      <c r="P140" s="3384"/>
      <c r="Q140" s="3385"/>
      <c r="V140" s="1295"/>
      <c r="W140" s="3306"/>
      <c r="X140" s="3307"/>
    </row>
    <row r="141" spans="1:24" s="325" customFormat="1" ht="14.1" customHeight="1">
      <c r="B141" s="1238" t="s">
        <v>2152</v>
      </c>
      <c r="D141" s="1238"/>
      <c r="E141" s="1238"/>
      <c r="F141" s="1238"/>
      <c r="G141" s="1238"/>
      <c r="H141" s="1238"/>
      <c r="I141" s="415"/>
      <c r="J141" s="3386"/>
      <c r="K141" s="3387"/>
      <c r="P141" s="3386"/>
      <c r="Q141" s="3387"/>
      <c r="V141" s="1295"/>
      <c r="W141" s="3306"/>
      <c r="X141" s="3307"/>
    </row>
    <row r="142" spans="1:24" s="325" customFormat="1" ht="14.1" customHeight="1">
      <c r="B142" s="1238" t="s">
        <v>1863</v>
      </c>
      <c r="D142" s="1238"/>
      <c r="E142" s="1238"/>
      <c r="I142" s="415"/>
      <c r="J142" s="3386"/>
      <c r="K142" s="3387"/>
      <c r="P142" s="3386"/>
      <c r="Q142" s="3387"/>
      <c r="V142" s="1295"/>
      <c r="W142" s="3306"/>
      <c r="X142" s="3307"/>
    </row>
    <row r="143" spans="1:24" s="325" customFormat="1" ht="14.1" customHeight="1">
      <c r="B143" s="1238" t="s">
        <v>1864</v>
      </c>
      <c r="D143" s="1238"/>
      <c r="E143" s="1238"/>
      <c r="I143" s="415"/>
      <c r="J143" s="3386"/>
      <c r="K143" s="3387"/>
      <c r="P143" s="3386"/>
      <c r="Q143" s="3387"/>
      <c r="V143" s="1295"/>
      <c r="W143" s="3306"/>
      <c r="X143" s="3307"/>
    </row>
    <row r="144" spans="1:24" s="325" customFormat="1" ht="14.1" customHeight="1">
      <c r="B144" s="1238" t="s">
        <v>254</v>
      </c>
      <c r="D144" s="1238"/>
      <c r="E144" s="1238"/>
      <c r="I144" s="415"/>
      <c r="J144" s="3386"/>
      <c r="K144" s="3387"/>
      <c r="P144" s="3386"/>
      <c r="Q144" s="3387"/>
      <c r="V144" s="1295"/>
      <c r="W144" s="3306"/>
      <c r="X144" s="3307"/>
    </row>
    <row r="145" spans="1:24" s="325" customFormat="1" ht="14.1" customHeight="1" thickBot="1">
      <c r="B145" s="1238" t="s">
        <v>1601</v>
      </c>
      <c r="C145" s="3388" t="s">
        <v>2415</v>
      </c>
      <c r="D145" s="3388"/>
      <c r="E145" s="3388"/>
      <c r="F145" s="3388"/>
      <c r="G145" s="3388"/>
      <c r="H145" s="3388"/>
      <c r="I145" s="3389"/>
      <c r="J145" s="3390"/>
      <c r="K145" s="3391"/>
      <c r="P145" s="3390"/>
      <c r="Q145" s="3391"/>
      <c r="V145" s="1295"/>
      <c r="W145" s="3308"/>
      <c r="X145" s="3309"/>
    </row>
    <row r="146" spans="1:24" s="325" customFormat="1" ht="14.1" customHeight="1" thickBot="1">
      <c r="B146" s="337" t="s">
        <v>1865</v>
      </c>
      <c r="C146" s="340"/>
      <c r="J146" s="3174">
        <f>SUM(J140:K145)</f>
        <v>0</v>
      </c>
      <c r="K146" s="3175"/>
      <c r="P146" s="3174">
        <f>SUM(P140:Q145)</f>
        <v>0</v>
      </c>
      <c r="Q146" s="3175"/>
      <c r="V146" s="1297">
        <f>SUM(V140:V145)</f>
        <v>0</v>
      </c>
      <c r="W146" s="3324"/>
      <c r="X146" s="3325"/>
    </row>
    <row r="147" spans="1:24" s="325" customFormat="1" ht="3" customHeight="1">
      <c r="V147" s="1298"/>
    </row>
    <row r="148" spans="1:24" s="325" customFormat="1" ht="15" customHeight="1" thickBot="1">
      <c r="B148" s="327" t="s">
        <v>2340</v>
      </c>
      <c r="V148" s="1298"/>
      <c r="W148" s="325" t="str">
        <f>B148</f>
        <v>Eligible Basis Calculation</v>
      </c>
    </row>
    <row r="149" spans="1:24" s="325" customFormat="1" ht="14.1" customHeight="1">
      <c r="B149" s="325" t="s">
        <v>1790</v>
      </c>
      <c r="J149" s="3373">
        <f>J132</f>
        <v>15966588</v>
      </c>
      <c r="K149" s="3374"/>
      <c r="M149" s="3375">
        <f>M132</f>
        <v>0</v>
      </c>
      <c r="N149" s="3376"/>
      <c r="P149" s="3373">
        <f>P132</f>
        <v>0</v>
      </c>
      <c r="Q149" s="3374"/>
      <c r="R149" s="3313" t="s">
        <v>4734</v>
      </c>
      <c r="S149" s="3314"/>
      <c r="T149" s="3314"/>
      <c r="V149" s="1295"/>
      <c r="W149" s="3306"/>
      <c r="X149" s="3307"/>
    </row>
    <row r="150" spans="1:24" s="325" customFormat="1" ht="14.1" customHeight="1">
      <c r="B150" s="325" t="s">
        <v>2220</v>
      </c>
      <c r="J150" s="3335">
        <f>J146</f>
        <v>0</v>
      </c>
      <c r="K150" s="3336"/>
      <c r="M150" s="3349"/>
      <c r="N150" s="3349"/>
      <c r="P150" s="3335">
        <f>P146</f>
        <v>0</v>
      </c>
      <c r="Q150" s="3336"/>
      <c r="R150" s="3313"/>
      <c r="S150" s="3314"/>
      <c r="T150" s="3314"/>
      <c r="U150" s="2401"/>
      <c r="V150" s="1295"/>
      <c r="W150" s="3306"/>
      <c r="X150" s="3307"/>
    </row>
    <row r="151" spans="1:24" s="325" customFormat="1" ht="14.1" customHeight="1">
      <c r="B151" s="325" t="s">
        <v>2221</v>
      </c>
      <c r="J151" s="3335">
        <f>J149-J150</f>
        <v>15966588</v>
      </c>
      <c r="K151" s="3336"/>
      <c r="M151" s="3335">
        <f>M149</f>
        <v>0</v>
      </c>
      <c r="N151" s="3336"/>
      <c r="P151" s="3335">
        <f>P149-P150</f>
        <v>0</v>
      </c>
      <c r="Q151" s="3336"/>
      <c r="R151" s="3313"/>
      <c r="S151" s="3314"/>
      <c r="T151" s="3314"/>
      <c r="U151" s="2401"/>
      <c r="V151" s="1295"/>
      <c r="W151" s="3306"/>
      <c r="X151" s="3307"/>
    </row>
    <row r="152" spans="1:24" s="325" customFormat="1" ht="14.1" customHeight="1">
      <c r="B152" s="325" t="s">
        <v>1485</v>
      </c>
      <c r="G152" s="1231" t="s">
        <v>1714</v>
      </c>
      <c r="H152" s="3041" t="s">
        <v>5222</v>
      </c>
      <c r="I152" s="3042"/>
      <c r="J152" s="3366">
        <v>1.3</v>
      </c>
      <c r="K152" s="3367"/>
      <c r="M152" s="3368"/>
      <c r="N152" s="3368"/>
      <c r="P152" s="3366"/>
      <c r="Q152" s="3367"/>
      <c r="R152" s="3315" t="s">
        <v>3701</v>
      </c>
      <c r="S152" s="3316"/>
      <c r="T152" s="3317"/>
      <c r="U152" s="2402"/>
      <c r="V152" s="1295"/>
      <c r="W152" s="3306"/>
      <c r="X152" s="3307"/>
    </row>
    <row r="153" spans="1:24" s="325" customFormat="1" ht="14.1" customHeight="1">
      <c r="B153" s="325" t="s">
        <v>2054</v>
      </c>
      <c r="J153" s="3335">
        <f>J151*J152</f>
        <v>20756564.400000002</v>
      </c>
      <c r="K153" s="3336"/>
      <c r="M153" s="3335">
        <f>+M151</f>
        <v>0</v>
      </c>
      <c r="N153" s="3336"/>
      <c r="P153" s="3335">
        <f>P151*P152</f>
        <v>0</v>
      </c>
      <c r="Q153" s="3336"/>
      <c r="R153" s="3318"/>
      <c r="S153" s="3319"/>
      <c r="T153" s="3320"/>
      <c r="U153" s="2402"/>
      <c r="V153" s="1295"/>
      <c r="W153" s="3306"/>
      <c r="X153" s="3307"/>
    </row>
    <row r="154" spans="1:24" s="325" customFormat="1" ht="14.1" customHeight="1">
      <c r="B154" s="325" t="s">
        <v>2541</v>
      </c>
      <c r="J154" s="3369">
        <f>MIN('Part VI-Revenues &amp; Expenses'!$O$63/'Part VI-Revenues &amp; Expenses'!$O$65,'Part VI-Revenues &amp; Expenses'!$O$152/'Part VI-Revenues &amp; Expenses'!$O$154)</f>
        <v>1</v>
      </c>
      <c r="K154" s="3370"/>
      <c r="M154" s="3369">
        <f>MIN('Part VI-Revenues &amp; Expenses'!$O$63/'Part VI-Revenues &amp; Expenses'!$O$65,'Part VI-Revenues &amp; Expenses'!$O$152/'Part VI-Revenues &amp; Expenses'!$O$154)</f>
        <v>1</v>
      </c>
      <c r="N154" s="3370"/>
      <c r="P154" s="3369">
        <f>MIN('Part VI-Revenues &amp; Expenses'!$O$63/'Part VI-Revenues &amp; Expenses'!$O$65,'Part VI-Revenues &amp; Expenses'!$O$152/'Part VI-Revenues &amp; Expenses'!$O$154)</f>
        <v>1</v>
      </c>
      <c r="Q154" s="3370"/>
      <c r="R154" s="3321"/>
      <c r="S154" s="3322"/>
      <c r="T154" s="3323"/>
      <c r="V154" s="1295"/>
      <c r="W154" s="3306"/>
      <c r="X154" s="3307"/>
    </row>
    <row r="155" spans="1:24" s="325" customFormat="1" ht="14.1" customHeight="1">
      <c r="B155" s="325" t="s">
        <v>2045</v>
      </c>
      <c r="J155" s="3335">
        <f>J153*J154</f>
        <v>20756564.400000002</v>
      </c>
      <c r="K155" s="3336"/>
      <c r="M155" s="3335">
        <f>M153*M154</f>
        <v>0</v>
      </c>
      <c r="N155" s="3336"/>
      <c r="P155" s="3335">
        <f>P153*P154</f>
        <v>0</v>
      </c>
      <c r="Q155" s="3336"/>
      <c r="V155" s="1295"/>
      <c r="W155" s="3306"/>
      <c r="X155" s="3307"/>
    </row>
    <row r="156" spans="1:24" s="325" customFormat="1" ht="14.1" customHeight="1">
      <c r="B156" s="325" t="s">
        <v>2046</v>
      </c>
      <c r="J156" s="3366">
        <v>3.1800000000000002E-2</v>
      </c>
      <c r="K156" s="3367"/>
      <c r="M156" s="3366"/>
      <c r="N156" s="3367"/>
      <c r="P156" s="3366"/>
      <c r="Q156" s="3367"/>
      <c r="V156" s="1295"/>
      <c r="W156" s="3306"/>
      <c r="X156" s="3307"/>
    </row>
    <row r="157" spans="1:24" s="325" customFormat="1" ht="14.1" customHeight="1" thickBot="1">
      <c r="B157" s="325" t="s">
        <v>2542</v>
      </c>
      <c r="J157" s="3371">
        <f>J155*J156</f>
        <v>660058.74792000011</v>
      </c>
      <c r="K157" s="3372"/>
      <c r="M157" s="3371">
        <f>M155*M156</f>
        <v>0</v>
      </c>
      <c r="N157" s="3372"/>
      <c r="P157" s="3371">
        <f>P155*P156</f>
        <v>0</v>
      </c>
      <c r="Q157" s="3372"/>
      <c r="V157" s="1302"/>
      <c r="W157" s="3308"/>
      <c r="X157" s="3309"/>
    </row>
    <row r="158" spans="1:24" s="325" customFormat="1" ht="14.1" customHeight="1" thickBot="1">
      <c r="B158" s="327" t="s">
        <v>1424</v>
      </c>
      <c r="J158" s="3174">
        <f>ROUNDDOWN(J157+M157+P157,0)</f>
        <v>660058</v>
      </c>
      <c r="K158" s="3342"/>
      <c r="L158" s="3342"/>
      <c r="M158" s="3342"/>
      <c r="N158" s="3342"/>
      <c r="O158" s="3342"/>
      <c r="P158" s="3342"/>
      <c r="Q158" s="3175"/>
      <c r="V158" s="1297"/>
      <c r="W158" s="3310"/>
      <c r="X158" s="3311"/>
    </row>
    <row r="159" spans="1:24" s="325" customFormat="1" ht="6" customHeight="1">
      <c r="B159" s="416"/>
      <c r="L159" s="417"/>
      <c r="M159" s="417"/>
      <c r="N159" s="417"/>
      <c r="O159" s="417"/>
      <c r="V159" s="1298"/>
    </row>
    <row r="160" spans="1:24" s="325" customFormat="1" ht="14.1" customHeight="1">
      <c r="A160" s="487" t="s">
        <v>742</v>
      </c>
      <c r="B160" s="487" t="s">
        <v>1427</v>
      </c>
      <c r="H160" s="408"/>
      <c r="I160" s="408"/>
      <c r="L160" s="1238"/>
      <c r="M160" s="540"/>
      <c r="N160" s="1238"/>
      <c r="O160" s="1238"/>
      <c r="P160" s="1238"/>
      <c r="Q160" s="1238"/>
      <c r="R160" s="1238"/>
      <c r="S160" s="1238"/>
      <c r="T160" s="1238"/>
      <c r="V160" s="1298"/>
    </row>
    <row r="161" spans="1:24" s="325" customFormat="1" ht="15" customHeight="1" thickBot="1">
      <c r="B161" s="327" t="s">
        <v>174</v>
      </c>
      <c r="H161" s="300"/>
      <c r="M161" s="540"/>
      <c r="N161" s="1238"/>
      <c r="O161" s="1238"/>
      <c r="P161" s="1238"/>
      <c r="Q161" s="1238"/>
      <c r="R161" s="1238"/>
      <c r="S161" s="1238"/>
      <c r="T161" s="1238"/>
      <c r="V161" s="1298"/>
      <c r="W161" s="487" t="str">
        <f>B160</f>
        <v>TAX CREDIT CALCULATION - GAP METHOD</v>
      </c>
    </row>
    <row r="162" spans="1:24" s="325" customFormat="1" ht="15" customHeight="1">
      <c r="B162" s="320" t="s">
        <v>2769</v>
      </c>
      <c r="G162" s="3327" t="str">
        <f>IF(J163&gt;J162,"TDC exceeds QAP PUCL!","")</f>
        <v/>
      </c>
      <c r="H162" s="3327"/>
      <c r="I162" s="3328"/>
      <c r="J162" s="3362">
        <f>'Part VIII-Threshold Criteria'!$P$63</f>
        <v>18573020</v>
      </c>
      <c r="K162" s="3363"/>
      <c r="L162" s="3364"/>
      <c r="M162" s="3329" t="s">
        <v>2746</v>
      </c>
      <c r="N162" s="3330"/>
      <c r="O162" s="3330"/>
      <c r="P162" s="3330"/>
      <c r="Q162" s="3330"/>
      <c r="R162" s="3331"/>
      <c r="S162" s="3329" t="s">
        <v>3675</v>
      </c>
      <c r="T162" s="3331"/>
      <c r="V162" s="1295"/>
      <c r="W162" s="3306"/>
      <c r="X162" s="3307"/>
    </row>
    <row r="163" spans="1:24" s="325" customFormat="1" ht="14.1" customHeight="1">
      <c r="B163" s="325" t="s">
        <v>2748</v>
      </c>
      <c r="J163" s="3346">
        <f>MIN(G132,J162,(G132-O165))</f>
        <v>18093801</v>
      </c>
      <c r="K163" s="3347"/>
      <c r="L163" s="3348"/>
      <c r="M163" s="3332"/>
      <c r="N163" s="3333"/>
      <c r="O163" s="3333"/>
      <c r="P163" s="3333"/>
      <c r="Q163" s="3333"/>
      <c r="R163" s="3334"/>
      <c r="S163" s="3332"/>
      <c r="T163" s="3334"/>
      <c r="V163" s="1295"/>
      <c r="W163" s="3306"/>
      <c r="X163" s="3307"/>
    </row>
    <row r="164" spans="1:24" s="325" customFormat="1" ht="14.1" customHeight="1">
      <c r="B164" s="325" t="s">
        <v>263</v>
      </c>
      <c r="J164" s="3335">
        <f>'Part III-Sources of Funds'!$I$58-'Part III-Sources of Funds'!$I$42-'Part III-Sources of Funds'!$I$43-'Part III-Sources of Funds'!$I$49-'Part III-Sources of Funds'!$I$50</f>
        <v>7301775</v>
      </c>
      <c r="K164" s="3349"/>
      <c r="L164" s="3350"/>
      <c r="M164" s="3332"/>
      <c r="N164" s="3333"/>
      <c r="O164" s="3333"/>
      <c r="P164" s="3333"/>
      <c r="Q164" s="3333"/>
      <c r="R164" s="3334"/>
      <c r="S164" s="3332"/>
      <c r="T164" s="3334"/>
      <c r="V164" s="1295"/>
      <c r="W164" s="3306"/>
      <c r="X164" s="3307"/>
    </row>
    <row r="165" spans="1:24" s="325" customFormat="1" ht="14.1" customHeight="1" thickBot="1">
      <c r="B165" s="325" t="s">
        <v>2232</v>
      </c>
      <c r="J165" s="3335">
        <f>+J163-J164</f>
        <v>10792026</v>
      </c>
      <c r="K165" s="3349"/>
      <c r="L165" s="3350"/>
      <c r="M165" s="3351" t="s">
        <v>2747</v>
      </c>
      <c r="N165" s="3352"/>
      <c r="O165" s="3353">
        <f>'Part III-Sources of Funds'!$I$42</f>
        <v>0</v>
      </c>
      <c r="P165" s="3353"/>
      <c r="Q165" s="3353"/>
      <c r="R165" s="3354"/>
      <c r="S165" s="468" t="s">
        <v>1662</v>
      </c>
      <c r="T165" s="469"/>
      <c r="V165" s="1295"/>
      <c r="W165" s="3306"/>
      <c r="X165" s="3307"/>
    </row>
    <row r="166" spans="1:24" s="325" customFormat="1" ht="14.1" customHeight="1">
      <c r="B166" s="325" t="s">
        <v>1286</v>
      </c>
      <c r="J166" s="3355" t="str">
        <f>"/ 10"</f>
        <v>/ 10</v>
      </c>
      <c r="K166" s="3355"/>
      <c r="L166" s="3355"/>
      <c r="M166" s="1238"/>
      <c r="N166" s="537"/>
      <c r="O166" s="537"/>
      <c r="P166" s="537"/>
      <c r="Q166" s="537"/>
      <c r="R166" s="537"/>
      <c r="V166" s="1298"/>
      <c r="W166" s="3306"/>
      <c r="X166" s="3307"/>
    </row>
    <row r="167" spans="1:24" s="325" customFormat="1" ht="14.1" customHeight="1">
      <c r="B167" s="325" t="s">
        <v>1287</v>
      </c>
      <c r="J167" s="3335">
        <f>J165/10</f>
        <v>1079202.6000000001</v>
      </c>
      <c r="K167" s="3349"/>
      <c r="L167" s="3336"/>
      <c r="M167" s="346"/>
      <c r="N167" s="3063" t="s">
        <v>1288</v>
      </c>
      <c r="O167" s="3063"/>
      <c r="Q167" s="3063" t="s">
        <v>1799</v>
      </c>
      <c r="R167" s="3063"/>
      <c r="V167" s="1295"/>
      <c r="W167" s="3306"/>
      <c r="X167" s="3307"/>
    </row>
    <row r="168" spans="1:24" s="325" customFormat="1" ht="14.1" customHeight="1" thickBot="1">
      <c r="B168" s="325" t="s">
        <v>1484</v>
      </c>
      <c r="J168" s="3337">
        <f>N168+Q168</f>
        <v>1.5649999999999999</v>
      </c>
      <c r="K168" s="3338"/>
      <c r="L168" s="3339"/>
      <c r="M168" s="1231" t="s">
        <v>1289</v>
      </c>
      <c r="N168" s="3340">
        <v>0.93</v>
      </c>
      <c r="O168" s="3341"/>
      <c r="P168" s="1231" t="s">
        <v>612</v>
      </c>
      <c r="Q168" s="3340">
        <v>0.63500000000000001</v>
      </c>
      <c r="R168" s="3341"/>
      <c r="V168" s="1295"/>
      <c r="W168" s="3306"/>
      <c r="X168" s="3307"/>
    </row>
    <row r="169" spans="1:24" s="325" customFormat="1" ht="14.1" customHeight="1" thickBot="1">
      <c r="B169" s="327" t="s">
        <v>1425</v>
      </c>
      <c r="J169" s="3174">
        <f>ROUNDDOWN(IF(J168=0,"",J167/J168),0)</f>
        <v>689586</v>
      </c>
      <c r="K169" s="3342"/>
      <c r="L169" s="3175"/>
      <c r="M169" s="346"/>
      <c r="N169" s="1238"/>
      <c r="O169" s="1238"/>
      <c r="V169" s="1295"/>
      <c r="W169" s="3306"/>
      <c r="X169" s="3307"/>
    </row>
    <row r="170" spans="1:24" s="325" customFormat="1" ht="6" customHeight="1">
      <c r="J170" s="418"/>
      <c r="K170" s="418"/>
      <c r="L170" s="418"/>
      <c r="M170" s="346"/>
      <c r="N170" s="1243"/>
      <c r="O170" s="1243"/>
      <c r="V170" s="1298"/>
      <c r="W170" s="3306"/>
      <c r="X170" s="3307"/>
    </row>
    <row r="171" spans="1:24" s="325" customFormat="1" ht="16.350000000000001" customHeight="1">
      <c r="B171" s="327" t="s">
        <v>2901</v>
      </c>
      <c r="J171" s="334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660058</v>
      </c>
      <c r="K171" s="3344"/>
      <c r="L171" s="3345"/>
      <c r="M171" s="346"/>
      <c r="N171" s="1243"/>
      <c r="O171" s="1243"/>
      <c r="V171" s="1295"/>
      <c r="W171" s="3306"/>
      <c r="X171" s="3307"/>
    </row>
    <row r="172" spans="1:24" s="325" customFormat="1" ht="3" customHeight="1">
      <c r="J172" s="418"/>
      <c r="K172" s="418"/>
      <c r="L172" s="418"/>
      <c r="M172" s="346"/>
      <c r="N172" s="1243"/>
      <c r="O172" s="1243"/>
      <c r="V172" s="1298"/>
      <c r="W172" s="1293"/>
      <c r="X172" s="1294"/>
    </row>
    <row r="173" spans="1:24" s="325" customFormat="1" ht="16.350000000000001" customHeight="1">
      <c r="B173" s="327" t="s">
        <v>349</v>
      </c>
      <c r="J173" s="3356">
        <v>660058</v>
      </c>
      <c r="K173" s="3357"/>
      <c r="L173" s="3358"/>
      <c r="M173" s="419" t="str">
        <f>IF(J171=0,"",IF(J173&gt;J171,"ALLOCATION CANNOT EXCEED MAXIMUM - REVISE REQUEST (Try Round Down)!",""))</f>
        <v/>
      </c>
      <c r="N173" s="1243"/>
      <c r="O173" s="1243"/>
      <c r="V173" s="1295"/>
      <c r="W173" s="3306"/>
      <c r="X173" s="3307"/>
    </row>
    <row r="174" spans="1:24" s="325" customFormat="1" ht="3" customHeight="1">
      <c r="J174" s="418"/>
      <c r="K174" s="418"/>
      <c r="L174" s="418"/>
      <c r="M174" s="346"/>
      <c r="N174" s="1243"/>
      <c r="O174" s="1243"/>
      <c r="V174" s="1298"/>
      <c r="W174" s="1293"/>
      <c r="X174" s="1294"/>
    </row>
    <row r="175" spans="1:24" s="325" customFormat="1" ht="16.350000000000001" customHeight="1">
      <c r="A175" s="487" t="s">
        <v>1792</v>
      </c>
      <c r="B175" s="487" t="s">
        <v>2620</v>
      </c>
      <c r="D175" s="346"/>
      <c r="E175" s="346"/>
      <c r="F175" s="330"/>
      <c r="J175" s="3359">
        <f>IF(J173="",0,+MIN(J171,J173))</f>
        <v>660058</v>
      </c>
      <c r="K175" s="3360"/>
      <c r="L175" s="3361"/>
      <c r="N175" s="420"/>
      <c r="O175" s="420"/>
      <c r="P175" s="420"/>
      <c r="Q175" s="420"/>
      <c r="R175" s="420"/>
      <c r="S175" s="420"/>
      <c r="T175" s="420"/>
      <c r="V175" s="1295"/>
      <c r="W175" s="3306"/>
      <c r="X175" s="3307"/>
    </row>
    <row r="176" spans="1:24" ht="3" customHeight="1"/>
    <row r="177" spans="1:24" ht="6" customHeight="1"/>
    <row r="178" spans="1:24" ht="12" customHeight="1">
      <c r="A178" s="327" t="s">
        <v>1794</v>
      </c>
      <c r="B178" s="356" t="s">
        <v>572</v>
      </c>
      <c r="N178" s="327" t="s">
        <v>530</v>
      </c>
      <c r="O178" s="327" t="s">
        <v>79</v>
      </c>
    </row>
    <row r="179" spans="1:24" ht="352.5" customHeight="1">
      <c r="A179" s="3183" t="s">
        <v>3735</v>
      </c>
      <c r="B179" s="3183"/>
      <c r="C179" s="3183"/>
      <c r="D179" s="3183"/>
      <c r="E179" s="3183"/>
      <c r="F179" s="3183"/>
      <c r="G179" s="3183"/>
      <c r="H179" s="3183"/>
      <c r="I179" s="3183"/>
      <c r="J179" s="3183"/>
      <c r="K179" s="3183"/>
      <c r="L179" s="3183"/>
      <c r="M179" s="3183"/>
      <c r="N179" s="3365"/>
      <c r="O179" s="3365"/>
      <c r="P179" s="3365"/>
      <c r="Q179" s="3365"/>
      <c r="R179" s="3365"/>
      <c r="S179" s="3365"/>
      <c r="T179" s="3365"/>
      <c r="V179" s="1120"/>
      <c r="W179" s="3164" t="s">
        <v>2693</v>
      </c>
      <c r="X179" s="3164"/>
    </row>
    <row r="180" spans="1:24" ht="11.25" customHeight="1"/>
    <row r="181" spans="1:24" ht="12" customHeight="1"/>
    <row r="182" spans="1:24" ht="12" customHeight="1"/>
    <row r="183" spans="1:24" ht="14.45" customHeight="1"/>
    <row r="184" spans="1:24" s="325" customFormat="1" ht="14.45" customHeight="1"/>
    <row r="185" spans="1:24" s="325" customFormat="1" ht="14.45" customHeight="1"/>
    <row r="186" spans="1:24" s="325" customFormat="1" ht="14.45" customHeight="1"/>
    <row r="187" spans="1:24" ht="14.45" customHeight="1"/>
    <row r="188" spans="1:24" s="325" customFormat="1" ht="14.45" customHeight="1">
      <c r="A188" s="331"/>
    </row>
    <row r="189" spans="1:24" ht="14.45" customHeight="1"/>
    <row r="190" spans="1:24" s="325" customFormat="1" ht="14.45" customHeight="1"/>
    <row r="191" spans="1:24" s="325" customFormat="1" ht="14.45" customHeight="1">
      <c r="A191" s="331"/>
    </row>
    <row r="192" spans="1:24" s="325" customFormat="1" ht="14.45" customHeight="1">
      <c r="A192" s="545"/>
    </row>
    <row r="193" spans="1:1" s="325" customFormat="1" ht="14.45" customHeight="1"/>
    <row r="194" spans="1:1" s="325" customFormat="1" ht="14.45" customHeight="1">
      <c r="A194" s="373"/>
    </row>
    <row r="195" spans="1:1" s="325" customFormat="1" ht="14.45" customHeight="1">
      <c r="A195" s="373"/>
    </row>
    <row r="196" spans="1:1" s="325" customFormat="1" ht="14.45" customHeight="1">
      <c r="A196" s="373"/>
    </row>
    <row r="197" spans="1:1" s="325" customFormat="1" ht="14.45" customHeight="1"/>
    <row r="198" spans="1:1" s="32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8bQo0J3C/5NRLBFkoaTR+YYSbVJ67INVmbGE3iIn5/BEP+8KCQdzvYWkGtBUicSi25Jw00N5DtnKRHiUjpVQ==" saltValue="s2bVewaIWPSeV+t0OJm81A==" spinCount="100000" sheet="1" formatRows="0"/>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count="4">
    <dataValidation type="list" allowBlank="1" showInputMessage="1" showErrorMessage="1" sqref="E81:E82">
      <formula1>"Yes, No"</formula1>
    </dataValidation>
    <dataValidation type="list" allowBlank="1" showInputMessage="1" showErrorMessage="1" sqref="H152">
      <formula1>"&lt;&lt;Select&gt;&gt;,DDA/QCT, State Boost"</formula1>
    </dataValidation>
    <dataValidation type="list" operator="greaterThanOrEqual" allowBlank="1" showInputMessage="1" showErrorMessage="1" sqref="T165">
      <formula1>"Yes, No"</formula1>
    </dataValidation>
    <dataValidation type="list" allowBlank="1" showInputMessage="1" showErrorMessage="1" sqref="R152:T154">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topLeftCell="A71" zoomScaleNormal="100" workbookViewId="0">
      <selection activeCell="F36" sqref="F36:F40"/>
    </sheetView>
  </sheetViews>
  <sheetFormatPr defaultColWidth="9.140625" defaultRowHeight="12.75"/>
  <cols>
    <col min="1" max="1" width="7.140625" style="635" customWidth="1"/>
    <col min="2" max="2" width="12.85546875" style="635" customWidth="1"/>
    <col min="3" max="3" width="7.85546875" style="635" customWidth="1"/>
    <col min="4" max="4" width="12.85546875" style="635" customWidth="1"/>
    <col min="5" max="5" width="0.85546875" style="635" customWidth="1"/>
    <col min="6" max="6" width="46.85546875" style="635" customWidth="1"/>
    <col min="7" max="7" width="0.85546875" style="635" customWidth="1"/>
    <col min="8" max="8" width="46.85546875" style="635" customWidth="1"/>
    <col min="9" max="16384" width="9.140625" style="635"/>
  </cols>
  <sheetData>
    <row r="1" spans="1:14" ht="15.75">
      <c r="A1" s="3463" t="str">
        <f>CONCATENATE("PART FOUR (b) -  OTHER COSTS","  -  ",'Part I-Project Information'!$O$6," - ",'Part I-Project Information'!$F$34,"  -  ",'Part I-Project Information'!$F$38,"  -  ",'Part I-Project Information'!$J$39,",  ","County")</f>
        <v>PART FOUR (b) -  OTHER COSTS  -  2019-5 - Stone Terrace Phase II  -  Stonecrest  -  DeKalb,  County</v>
      </c>
      <c r="B1" s="3464"/>
      <c r="C1" s="3464"/>
      <c r="D1" s="3464"/>
      <c r="E1" s="3464"/>
      <c r="F1" s="3464"/>
      <c r="G1" s="3464"/>
      <c r="H1" s="3464"/>
      <c r="I1" s="1086"/>
      <c r="J1" s="1086"/>
      <c r="K1" s="1086"/>
      <c r="L1" s="1086"/>
      <c r="M1" s="1086"/>
      <c r="N1" s="1086"/>
    </row>
    <row r="2" spans="1:14" ht="9" customHeight="1"/>
    <row r="3" spans="1:14" ht="57" customHeight="1">
      <c r="A3" s="3465" t="s">
        <v>3714</v>
      </c>
      <c r="B3" s="3466"/>
      <c r="C3" s="3466"/>
      <c r="D3" s="3466"/>
      <c r="E3" s="3466"/>
      <c r="F3" s="3466"/>
      <c r="G3" s="3466"/>
      <c r="H3" s="3467"/>
    </row>
    <row r="4" spans="1:14" ht="6" customHeight="1"/>
    <row r="5" spans="1:14" ht="38.25" customHeight="1">
      <c r="A5" s="3468" t="s">
        <v>3833</v>
      </c>
      <c r="B5" s="3468"/>
      <c r="C5" s="3468"/>
      <c r="D5" s="3468"/>
      <c r="F5" s="1087" t="s">
        <v>3705</v>
      </c>
      <c r="G5" s="649"/>
      <c r="H5" s="1087" t="s">
        <v>3706</v>
      </c>
    </row>
    <row r="6" spans="1:14" ht="6.75" customHeight="1">
      <c r="A6" s="649"/>
      <c r="B6" s="649"/>
      <c r="C6" s="649"/>
      <c r="D6" s="649"/>
    </row>
    <row r="7" spans="1:14" s="1089" customFormat="1" ht="4.5" customHeight="1">
      <c r="A7" s="1088"/>
      <c r="B7" s="1088"/>
      <c r="C7" s="1088"/>
      <c r="D7" s="1088"/>
      <c r="E7" s="1088"/>
      <c r="F7" s="1088"/>
      <c r="G7" s="1088"/>
    </row>
    <row r="8" spans="1:14" s="1089" customFormat="1">
      <c r="A8" s="1100" t="s">
        <v>102</v>
      </c>
      <c r="B8" s="1090"/>
      <c r="C8" s="1090"/>
      <c r="D8" s="1090"/>
      <c r="E8" s="1090"/>
      <c r="F8" s="1090"/>
      <c r="G8" s="1090"/>
      <c r="H8" s="1090"/>
    </row>
    <row r="9" spans="1:14" s="1089" customFormat="1" ht="41.25" customHeight="1">
      <c r="A9" s="3460" t="str">
        <f>'Part IV-A-Uses of Funds'!$C$14</f>
        <v>&lt;&lt; Enter description here; provide detail &amp; justification in tab Part IV-b &gt;&gt;</v>
      </c>
      <c r="B9" s="3461"/>
      <c r="C9" s="3461"/>
      <c r="D9" s="3462"/>
      <c r="F9" s="3457"/>
      <c r="G9" s="1090"/>
      <c r="H9" s="3457"/>
    </row>
    <row r="10" spans="1:14" s="1089" customFormat="1" ht="41.25" customHeight="1">
      <c r="A10" s="3451"/>
      <c r="B10" s="3452"/>
      <c r="C10" s="3452"/>
      <c r="D10" s="3453"/>
      <c r="F10" s="3458"/>
      <c r="G10" s="1090"/>
      <c r="H10" s="3458"/>
    </row>
    <row r="11" spans="1:14" s="1089" customFormat="1" ht="4.5" customHeight="1">
      <c r="F11" s="3458"/>
      <c r="G11" s="1090"/>
      <c r="H11" s="3458"/>
    </row>
    <row r="12" spans="1:14" s="1089" customFormat="1" ht="15" customHeight="1">
      <c r="A12" s="1099" t="s">
        <v>3708</v>
      </c>
      <c r="B12" s="1098">
        <f>'Part IV-A-Uses of Funds'!$G$14</f>
        <v>0</v>
      </c>
      <c r="C12" s="1099" t="s">
        <v>1790</v>
      </c>
      <c r="D12" s="1098">
        <f>'Part IV-A-Uses of Funds'!$J$14+'Part IV-A-Uses of Funds'!$M$14+'Part IV-A-Uses of Funds'!$P$14</f>
        <v>0</v>
      </c>
      <c r="F12" s="3458"/>
      <c r="G12" s="1090"/>
      <c r="H12" s="3458"/>
    </row>
    <row r="13" spans="1:14" s="1089" customFormat="1" ht="6" customHeight="1">
      <c r="A13" s="1090"/>
      <c r="B13" s="1091"/>
      <c r="C13" s="1090"/>
      <c r="D13" s="1090"/>
      <c r="F13" s="3458"/>
      <c r="G13" s="1092"/>
      <c r="H13" s="3458"/>
    </row>
    <row r="14" spans="1:14" s="1089" customFormat="1" ht="41.25" customHeight="1">
      <c r="A14" s="3460" t="str">
        <f>'Part IV-A-Uses of Funds'!$C$15</f>
        <v>&lt;&lt; Enter description here; provide detail &amp; justification in tab Part IV-b &gt;&gt;</v>
      </c>
      <c r="B14" s="3461"/>
      <c r="C14" s="3461"/>
      <c r="D14" s="3462"/>
      <c r="F14" s="3458"/>
      <c r="G14" s="1090"/>
      <c r="H14" s="3458"/>
    </row>
    <row r="15" spans="1:14" s="1089" customFormat="1" ht="41.25" customHeight="1">
      <c r="A15" s="3451"/>
      <c r="B15" s="3452"/>
      <c r="C15" s="3452"/>
      <c r="D15" s="3453"/>
      <c r="F15" s="3458"/>
      <c r="G15" s="1090"/>
      <c r="H15" s="3458"/>
    </row>
    <row r="16" spans="1:14" s="1089" customFormat="1" ht="4.5" customHeight="1">
      <c r="F16" s="3458"/>
      <c r="G16" s="1090"/>
      <c r="H16" s="3458"/>
    </row>
    <row r="17" spans="1:8" s="1089" customFormat="1" ht="15" customHeight="1">
      <c r="A17" s="1099" t="s">
        <v>3708</v>
      </c>
      <c r="B17" s="1098">
        <f>'Part IV-A-Uses of Funds'!$G$15</f>
        <v>0</v>
      </c>
      <c r="C17" s="1099" t="s">
        <v>1790</v>
      </c>
      <c r="D17" s="1098">
        <f>'Part IV-A-Uses of Funds'!$J$15+'Part IV-A-Uses of Funds'!$M$15+'Part IV-A-Uses of Funds'!$P$15</f>
        <v>0</v>
      </c>
      <c r="F17" s="3458"/>
      <c r="G17" s="1090"/>
      <c r="H17" s="3458"/>
    </row>
    <row r="18" spans="1:8" s="1089" customFormat="1" ht="6" customHeight="1">
      <c r="A18" s="1090"/>
      <c r="B18" s="1091"/>
      <c r="C18" s="1090"/>
      <c r="D18" s="1090"/>
      <c r="F18" s="3458"/>
      <c r="G18" s="1092"/>
      <c r="H18" s="3458"/>
    </row>
    <row r="19" spans="1:8" s="1089" customFormat="1" ht="41.25" customHeight="1">
      <c r="A19" s="3460" t="str">
        <f>'Part IV-A-Uses of Funds'!$C$16</f>
        <v>&lt;&lt; Enter description here; provide detail &amp; justification in tab Part IV-b &gt;&gt;</v>
      </c>
      <c r="B19" s="3461"/>
      <c r="C19" s="3461"/>
      <c r="D19" s="3462"/>
      <c r="F19" s="3458"/>
      <c r="G19" s="1090"/>
      <c r="H19" s="3458"/>
    </row>
    <row r="20" spans="1:8" s="1089" customFormat="1" ht="41.25" customHeight="1">
      <c r="A20" s="3451"/>
      <c r="B20" s="3452"/>
      <c r="C20" s="3452"/>
      <c r="D20" s="3453"/>
      <c r="F20" s="3458"/>
      <c r="G20" s="1090"/>
      <c r="H20" s="3458"/>
    </row>
    <row r="21" spans="1:8" s="1089" customFormat="1" ht="4.5" customHeight="1">
      <c r="F21" s="3458"/>
      <c r="G21" s="1090"/>
      <c r="H21" s="3458"/>
    </row>
    <row r="22" spans="1:8" s="1089" customFormat="1" ht="15" customHeight="1">
      <c r="A22" s="1099" t="s">
        <v>3708</v>
      </c>
      <c r="B22" s="1098">
        <f>'Part IV-A-Uses of Funds'!$G$16</f>
        <v>0</v>
      </c>
      <c r="C22" s="1099" t="s">
        <v>1790</v>
      </c>
      <c r="D22" s="1098">
        <f>'Part IV-A-Uses of Funds'!$J$16+'Part IV-A-Uses of Funds'!$M$16+'Part IV-A-Uses of Funds'!$P$16</f>
        <v>0</v>
      </c>
      <c r="F22" s="3458"/>
      <c r="G22" s="1090"/>
      <c r="H22" s="3458"/>
    </row>
    <row r="23" spans="1:8" s="1089" customFormat="1" ht="6" customHeight="1">
      <c r="A23" s="1090"/>
      <c r="B23" s="1091"/>
      <c r="C23" s="1090"/>
      <c r="D23" s="1090"/>
      <c r="F23" s="3459"/>
      <c r="G23" s="1092"/>
      <c r="H23" s="3459"/>
    </row>
    <row r="24" spans="1:8" s="1089" customFormat="1">
      <c r="A24" s="1100" t="s">
        <v>3707</v>
      </c>
      <c r="B24" s="1090"/>
      <c r="C24" s="1090"/>
      <c r="D24" s="1090"/>
      <c r="E24" s="1090"/>
      <c r="F24" s="1090"/>
      <c r="G24" s="1090"/>
    </row>
    <row r="25" spans="1:8" s="1089" customFormat="1" ht="41.25" customHeight="1">
      <c r="A25" s="3460" t="str">
        <f>'Part IV-A-Uses of Funds'!$C$41</f>
        <v>&lt;&lt; Enter description here; provide detail &amp; justification in tab Part IV-b &gt;&gt;</v>
      </c>
      <c r="B25" s="3461"/>
      <c r="C25" s="3461"/>
      <c r="D25" s="3462"/>
      <c r="E25" s="1090"/>
      <c r="F25" s="3454"/>
      <c r="G25" s="1090"/>
      <c r="H25" s="3454"/>
    </row>
    <row r="26" spans="1:8" s="1089" customFormat="1" ht="41.25" customHeight="1">
      <c r="A26" s="3451"/>
      <c r="B26" s="3452"/>
      <c r="C26" s="3452"/>
      <c r="D26" s="3453"/>
      <c r="E26" s="1090"/>
      <c r="F26" s="3455"/>
      <c r="G26" s="1090"/>
      <c r="H26" s="3455"/>
    </row>
    <row r="27" spans="1:8" s="1089" customFormat="1" ht="4.5" customHeight="1">
      <c r="A27" s="1090"/>
      <c r="B27" s="1090"/>
      <c r="C27" s="1090"/>
      <c r="D27" s="1090"/>
      <c r="E27" s="1090"/>
      <c r="F27" s="3455"/>
      <c r="G27" s="1090"/>
      <c r="H27" s="3455"/>
    </row>
    <row r="28" spans="1:8" s="1089" customFormat="1" ht="25.5">
      <c r="A28" s="1099" t="s">
        <v>3708</v>
      </c>
      <c r="B28" s="1098">
        <f>'Part IV-A-Uses of Funds'!$G$41</f>
        <v>560128</v>
      </c>
      <c r="C28" s="1099" t="s">
        <v>1790</v>
      </c>
      <c r="D28" s="1098">
        <f>'Part IV-A-Uses of Funds'!$J$41+'Part IV-A-Uses of Funds'!$M$41+'Part IV-A-Uses of Funds'!$P$41</f>
        <v>560128</v>
      </c>
      <c r="E28" s="1090"/>
      <c r="F28" s="3455"/>
      <c r="G28" s="1090"/>
      <c r="H28" s="3455"/>
    </row>
    <row r="29" spans="1:8" s="1089" customFormat="1" ht="6" customHeight="1">
      <c r="A29" s="1090"/>
      <c r="B29" s="1091"/>
      <c r="C29" s="1090"/>
      <c r="D29" s="1090"/>
      <c r="E29" s="1090"/>
      <c r="F29" s="3456"/>
      <c r="G29" s="1092"/>
      <c r="H29" s="3456"/>
    </row>
    <row r="30" spans="1:8" s="1089" customFormat="1">
      <c r="A30" s="1100" t="s">
        <v>722</v>
      </c>
      <c r="B30" s="1090"/>
      <c r="C30" s="1090"/>
      <c r="D30" s="1090"/>
      <c r="E30" s="1090"/>
      <c r="F30" s="1090"/>
      <c r="G30" s="1090"/>
    </row>
    <row r="31" spans="1:8" s="1089" customFormat="1" ht="41.25" customHeight="1">
      <c r="A31" s="3448" t="str">
        <f>'Part IV-A-Uses of Funds'!$C$62</f>
        <v>Tax Exempt Bond Interest Expense</v>
      </c>
      <c r="B31" s="3449"/>
      <c r="C31" s="3449"/>
      <c r="D31" s="3450"/>
      <c r="E31" s="1090"/>
      <c r="F31" s="3457" t="s">
        <v>5324</v>
      </c>
      <c r="G31" s="1090"/>
      <c r="H31" s="3457" t="s">
        <v>5325</v>
      </c>
    </row>
    <row r="32" spans="1:8" s="1089" customFormat="1" ht="41.25" customHeight="1">
      <c r="A32" s="3451"/>
      <c r="B32" s="3452"/>
      <c r="C32" s="3452"/>
      <c r="D32" s="3453"/>
      <c r="E32" s="1090"/>
      <c r="F32" s="3458"/>
      <c r="G32" s="1090"/>
      <c r="H32" s="3458"/>
    </row>
    <row r="33" spans="1:8" s="1089" customFormat="1" ht="4.5" customHeight="1">
      <c r="A33" s="1090"/>
      <c r="B33" s="1090"/>
      <c r="C33" s="1090"/>
      <c r="D33" s="1090"/>
      <c r="E33" s="1090"/>
      <c r="F33" s="3458"/>
      <c r="G33" s="1090"/>
      <c r="H33" s="3458"/>
    </row>
    <row r="34" spans="1:8" s="1089" customFormat="1" ht="14.25" customHeight="1">
      <c r="A34" s="1099" t="s">
        <v>3708</v>
      </c>
      <c r="B34" s="1098">
        <f>'Part IV-A-Uses of Funds'!$G$62</f>
        <v>370000</v>
      </c>
      <c r="C34" s="1099" t="s">
        <v>1790</v>
      </c>
      <c r="D34" s="1098">
        <f>'Part IV-A-Uses of Funds'!$J$62+'Part IV-A-Uses of Funds'!$M$62+'Part IV-A-Uses of Funds'!$P$62</f>
        <v>370000</v>
      </c>
      <c r="E34" s="1090"/>
      <c r="F34" s="3458"/>
      <c r="G34" s="1090"/>
      <c r="H34" s="3458"/>
    </row>
    <row r="35" spans="1:8" s="1089" customFormat="1" ht="6" customHeight="1">
      <c r="D35" s="1090"/>
      <c r="E35" s="1090"/>
      <c r="F35" s="3458"/>
      <c r="G35" s="1092"/>
      <c r="H35" s="3458"/>
    </row>
    <row r="36" spans="1:8" s="1089" customFormat="1" ht="41.25" customHeight="1">
      <c r="A36" s="3448" t="str">
        <f>'Part IV-A-Uses of Funds'!$C$63</f>
        <v>&lt;&lt; Enter description here; provide detail &amp; justification in tab Part IV-b &gt;&gt;</v>
      </c>
      <c r="B36" s="3449"/>
      <c r="C36" s="3449"/>
      <c r="D36" s="3450"/>
      <c r="E36" s="1090"/>
      <c r="F36" s="3458"/>
      <c r="G36" s="1090"/>
      <c r="H36" s="3458"/>
    </row>
    <row r="37" spans="1:8" s="1089" customFormat="1" ht="41.25" customHeight="1">
      <c r="A37" s="3451"/>
      <c r="B37" s="3452"/>
      <c r="C37" s="3452"/>
      <c r="D37" s="3453"/>
      <c r="E37" s="1090"/>
      <c r="F37" s="3458"/>
      <c r="G37" s="1090"/>
      <c r="H37" s="3458"/>
    </row>
    <row r="38" spans="1:8" s="1089" customFormat="1" ht="4.5" customHeight="1">
      <c r="A38" s="1090"/>
      <c r="B38" s="1090"/>
      <c r="C38" s="1090"/>
      <c r="D38" s="1090"/>
      <c r="E38" s="1090"/>
      <c r="F38" s="3458"/>
      <c r="G38" s="1090"/>
      <c r="H38" s="3458"/>
    </row>
    <row r="39" spans="1:8" s="1089" customFormat="1" ht="14.25" customHeight="1">
      <c r="A39" s="1099" t="s">
        <v>3708</v>
      </c>
      <c r="B39" s="1098">
        <f>'Part IV-A-Uses of Funds'!$G$63</f>
        <v>0</v>
      </c>
      <c r="C39" s="1099" t="s">
        <v>1790</v>
      </c>
      <c r="D39" s="1098">
        <f>'Part IV-A-Uses of Funds'!$J$63+'Part IV-A-Uses of Funds'!$M$63+'Part IV-A-Uses of Funds'!$P$63</f>
        <v>0</v>
      </c>
      <c r="E39" s="1090"/>
      <c r="F39" s="3458"/>
      <c r="G39" s="1090"/>
      <c r="H39" s="3458"/>
    </row>
    <row r="40" spans="1:8" s="1089" customFormat="1" ht="6" customHeight="1">
      <c r="D40" s="1090"/>
      <c r="E40" s="1090"/>
      <c r="F40" s="3459"/>
      <c r="G40" s="1092"/>
      <c r="H40" s="3459"/>
    </row>
    <row r="41" spans="1:8" s="1089" customFormat="1">
      <c r="A41" s="1100" t="s">
        <v>476</v>
      </c>
      <c r="B41" s="1090"/>
      <c r="C41" s="1090"/>
      <c r="D41" s="1090"/>
      <c r="E41" s="1094"/>
      <c r="F41" s="1094"/>
      <c r="G41" s="1090"/>
    </row>
    <row r="42" spans="1:8" s="1089" customFormat="1" ht="41.25" customHeight="1">
      <c r="A42" s="3448" t="str">
        <f>'Part IV-A-Uses of Funds'!$C$76</f>
        <v>&lt;&lt; Enter description here; provide detail &amp; justification in tab Part IV-b &gt;&gt;</v>
      </c>
      <c r="B42" s="3449"/>
      <c r="C42" s="3449"/>
      <c r="D42" s="3450"/>
      <c r="F42" s="3454"/>
      <c r="G42" s="1090"/>
      <c r="H42" s="3454"/>
    </row>
    <row r="43" spans="1:8" s="1089" customFormat="1" ht="41.25" customHeight="1">
      <c r="A43" s="3451"/>
      <c r="B43" s="3452"/>
      <c r="C43" s="3452"/>
      <c r="D43" s="3453"/>
      <c r="E43" s="1090"/>
      <c r="F43" s="3455"/>
      <c r="G43" s="1090"/>
      <c r="H43" s="3455"/>
    </row>
    <row r="44" spans="1:8" s="1089" customFormat="1" ht="4.5" customHeight="1">
      <c r="A44" s="1090"/>
      <c r="B44" s="1090"/>
      <c r="C44" s="1090"/>
      <c r="D44" s="1090"/>
      <c r="E44" s="1090"/>
      <c r="F44" s="3455"/>
      <c r="G44" s="1090"/>
      <c r="H44" s="3455"/>
    </row>
    <row r="45" spans="1:8" s="1089" customFormat="1" ht="13.5" customHeight="1">
      <c r="A45" s="1099" t="s">
        <v>3708</v>
      </c>
      <c r="B45" s="1098">
        <f>'Part IV-A-Uses of Funds'!$G$76</f>
        <v>0</v>
      </c>
      <c r="C45" s="1099" t="s">
        <v>1790</v>
      </c>
      <c r="D45" s="1098">
        <f>'Part IV-A-Uses of Funds'!$J$76+'Part IV-A-Uses of Funds'!$M$76+'Part IV-A-Uses of Funds'!$P$76</f>
        <v>0</v>
      </c>
      <c r="E45" s="1090"/>
      <c r="F45" s="3455"/>
      <c r="G45" s="1090"/>
      <c r="H45" s="3455"/>
    </row>
    <row r="46" spans="1:8" s="1089" customFormat="1" ht="6" customHeight="1">
      <c r="A46" s="1090"/>
      <c r="B46" s="1091"/>
      <c r="C46" s="1090"/>
      <c r="D46" s="1090"/>
      <c r="E46" s="1090"/>
      <c r="F46" s="3456"/>
      <c r="G46" s="1092"/>
      <c r="H46" s="3456"/>
    </row>
    <row r="47" spans="1:8" s="1089" customFormat="1">
      <c r="A47" s="1100" t="s">
        <v>724</v>
      </c>
      <c r="B47" s="1090"/>
      <c r="C47" s="1090"/>
      <c r="D47" s="1090"/>
      <c r="E47" s="1090"/>
      <c r="F47" s="1090"/>
      <c r="G47" s="1090"/>
    </row>
    <row r="48" spans="1:8" s="1089" customFormat="1" ht="41.25" customHeight="1">
      <c r="A48" s="3448" t="str">
        <f>'Part IV-A-Uses of Funds'!$C$90</f>
        <v>&lt;&lt; Enter description here; provide detail &amp; justification in tab Part IV-b &gt;&gt;</v>
      </c>
      <c r="B48" s="3449"/>
      <c r="C48" s="3449"/>
      <c r="D48" s="3450"/>
      <c r="F48" s="3454"/>
      <c r="G48" s="1090"/>
    </row>
    <row r="49" spans="1:7" s="1089" customFormat="1" ht="41.25" customHeight="1">
      <c r="A49" s="3451"/>
      <c r="B49" s="3452"/>
      <c r="C49" s="3452"/>
      <c r="D49" s="3453"/>
      <c r="E49" s="1090"/>
      <c r="F49" s="3455"/>
      <c r="G49" s="1090"/>
    </row>
    <row r="50" spans="1:7" s="1089" customFormat="1" ht="3" customHeight="1">
      <c r="A50" s="1090"/>
      <c r="B50" s="1090"/>
      <c r="C50" s="1090"/>
      <c r="D50" s="1090"/>
      <c r="E50" s="1090"/>
      <c r="F50" s="3455"/>
      <c r="G50" s="1090"/>
    </row>
    <row r="51" spans="1:7" s="1089" customFormat="1" ht="13.5" customHeight="1">
      <c r="A51" s="1099" t="s">
        <v>3708</v>
      </c>
      <c r="B51" s="1098">
        <f>'Part IV-A-Uses of Funds'!$G$90</f>
        <v>0</v>
      </c>
      <c r="C51" s="1093"/>
      <c r="D51" s="1093"/>
      <c r="E51" s="1090"/>
      <c r="F51" s="3455"/>
      <c r="G51" s="1090"/>
    </row>
    <row r="52" spans="1:7" s="1089" customFormat="1" ht="3.75" customHeight="1">
      <c r="A52" s="1090"/>
      <c r="B52" s="1090"/>
      <c r="C52" s="1090"/>
      <c r="D52" s="1090"/>
      <c r="E52" s="1090"/>
      <c r="F52" s="3456"/>
      <c r="G52" s="1092"/>
    </row>
    <row r="53" spans="1:7" s="1089" customFormat="1">
      <c r="A53" s="1100" t="s">
        <v>3709</v>
      </c>
      <c r="B53" s="1090"/>
      <c r="C53" s="1090"/>
      <c r="D53" s="1090"/>
      <c r="E53" s="1090"/>
      <c r="F53" s="1090"/>
      <c r="G53" s="1090"/>
    </row>
    <row r="54" spans="1:7" s="1089" customFormat="1" ht="41.25" customHeight="1">
      <c r="A54" s="3448" t="str">
        <f>'Part IV-A-Uses of Funds'!$C$103</f>
        <v>&lt;&lt; Enter description here; provide detail &amp; justification in tab Part IV-b &gt;&gt;</v>
      </c>
      <c r="B54" s="3449"/>
      <c r="C54" s="3449"/>
      <c r="D54" s="3450"/>
      <c r="F54" s="3457"/>
      <c r="G54" s="1090"/>
    </row>
    <row r="55" spans="1:7" s="1089" customFormat="1" ht="41.25" customHeight="1">
      <c r="A55" s="3451"/>
      <c r="B55" s="3452"/>
      <c r="C55" s="3452"/>
      <c r="D55" s="3453"/>
      <c r="E55" s="1090"/>
      <c r="F55" s="3458"/>
      <c r="G55" s="1090"/>
    </row>
    <row r="56" spans="1:7" s="1089" customFormat="1" ht="3" customHeight="1">
      <c r="A56" s="1090"/>
      <c r="B56" s="1090"/>
      <c r="C56" s="1090"/>
      <c r="D56" s="1090"/>
      <c r="E56" s="1090"/>
      <c r="F56" s="3458"/>
      <c r="G56" s="1090"/>
    </row>
    <row r="57" spans="1:7" s="1089" customFormat="1" ht="25.5">
      <c r="A57" s="1099" t="s">
        <v>3708</v>
      </c>
      <c r="B57" s="1098">
        <f>'Part IV-A-Uses of Funds'!$G$103</f>
        <v>0</v>
      </c>
      <c r="C57" s="1093"/>
      <c r="D57" s="1093"/>
      <c r="E57" s="1090"/>
      <c r="F57" s="3458"/>
      <c r="G57" s="1090"/>
    </row>
    <row r="58" spans="1:7" s="1089" customFormat="1" ht="3.75" customHeight="1">
      <c r="A58" s="1088"/>
      <c r="B58" s="1088"/>
      <c r="C58" s="1088"/>
      <c r="D58" s="1088"/>
      <c r="E58" s="1088"/>
      <c r="F58" s="3458"/>
      <c r="G58" s="1092"/>
    </row>
    <row r="59" spans="1:7" s="1089" customFormat="1" ht="41.25" customHeight="1">
      <c r="A59" s="3448" t="str">
        <f>'Part IV-A-Uses of Funds'!$C$104</f>
        <v>&lt;&lt; Enter description here; provide detail &amp; justification in tab Part IV-b &gt;&gt;</v>
      </c>
      <c r="B59" s="3449"/>
      <c r="C59" s="3449"/>
      <c r="D59" s="3450"/>
      <c r="F59" s="3458"/>
      <c r="G59" s="1090"/>
    </row>
    <row r="60" spans="1:7" s="1089" customFormat="1" ht="41.25" customHeight="1">
      <c r="A60" s="3451"/>
      <c r="B60" s="3452"/>
      <c r="C60" s="3452"/>
      <c r="D60" s="3453"/>
      <c r="E60" s="1090"/>
      <c r="F60" s="3458"/>
      <c r="G60" s="1090"/>
    </row>
    <row r="61" spans="1:7" s="1089" customFormat="1" ht="3" customHeight="1">
      <c r="A61" s="1090"/>
      <c r="B61" s="1090"/>
      <c r="C61" s="1090"/>
      <c r="D61" s="1090"/>
      <c r="E61" s="1090"/>
      <c r="F61" s="3458"/>
      <c r="G61" s="1090"/>
    </row>
    <row r="62" spans="1:7" s="1089" customFormat="1" ht="25.5">
      <c r="A62" s="1099" t="s">
        <v>3708</v>
      </c>
      <c r="B62" s="1098">
        <f>'Part IV-A-Uses of Funds'!$G$104</f>
        <v>0</v>
      </c>
      <c r="C62" s="1093"/>
      <c r="D62" s="1093"/>
      <c r="E62" s="1090"/>
      <c r="F62" s="3458"/>
      <c r="G62" s="1090"/>
    </row>
    <row r="63" spans="1:7" s="1089" customFormat="1" ht="3.75" customHeight="1">
      <c r="A63" s="1088"/>
      <c r="B63" s="1088"/>
      <c r="C63" s="1088"/>
      <c r="D63" s="1088"/>
      <c r="E63" s="1088"/>
      <c r="F63" s="3459"/>
      <c r="G63" s="1092"/>
    </row>
    <row r="64" spans="1:7" s="1089" customFormat="1">
      <c r="A64" s="1100" t="s">
        <v>3710</v>
      </c>
      <c r="B64" s="1090"/>
      <c r="C64" s="1090"/>
      <c r="D64" s="1090"/>
      <c r="E64" s="1090"/>
      <c r="F64" s="1090"/>
      <c r="G64" s="1090"/>
    </row>
    <row r="65" spans="1:8" s="1089" customFormat="1" ht="41.25" customHeight="1">
      <c r="A65" s="3448" t="str">
        <f>'Part IV-A-Uses of Funds'!$C$110</f>
        <v>&lt;&lt; Enter description here; provide detail &amp; justification in tab Part IV-b &gt;&gt;</v>
      </c>
      <c r="B65" s="3449"/>
      <c r="C65" s="3449"/>
      <c r="D65" s="3450"/>
      <c r="F65" s="3454"/>
      <c r="G65" s="1090"/>
    </row>
    <row r="66" spans="1:8" s="1089" customFormat="1" ht="41.25" customHeight="1">
      <c r="A66" s="3451"/>
      <c r="B66" s="3452"/>
      <c r="C66" s="3452"/>
      <c r="D66" s="3453"/>
      <c r="E66" s="1090"/>
      <c r="F66" s="3455"/>
      <c r="G66" s="1090"/>
    </row>
    <row r="67" spans="1:8" s="1089" customFormat="1" ht="3" customHeight="1">
      <c r="A67" s="1090"/>
      <c r="B67" s="1090"/>
      <c r="C67" s="1090"/>
      <c r="D67" s="1090"/>
      <c r="E67" s="1090"/>
      <c r="F67" s="3455"/>
      <c r="G67" s="1090"/>
    </row>
    <row r="68" spans="1:8" s="1089" customFormat="1" ht="25.5">
      <c r="A68" s="1099" t="s">
        <v>3708</v>
      </c>
      <c r="B68" s="1098">
        <f>'Part IV-A-Uses of Funds'!$G$110</f>
        <v>0</v>
      </c>
      <c r="C68" s="1093"/>
      <c r="D68" s="1093"/>
      <c r="E68" s="1090"/>
      <c r="F68" s="3455"/>
      <c r="G68" s="1090"/>
    </row>
    <row r="69" spans="1:8" s="1089" customFormat="1" ht="3.75" customHeight="1">
      <c r="A69" s="1090"/>
      <c r="B69" s="1091"/>
      <c r="C69" s="1090"/>
      <c r="D69" s="1090"/>
      <c r="E69" s="1090"/>
      <c r="F69" s="3456"/>
      <c r="G69" s="1092"/>
    </row>
    <row r="70" spans="1:8" s="1089" customFormat="1">
      <c r="A70" s="1100" t="s">
        <v>1309</v>
      </c>
      <c r="B70" s="1090"/>
      <c r="C70" s="1090"/>
      <c r="D70" s="1090"/>
      <c r="E70" s="1090"/>
      <c r="F70" s="1090"/>
      <c r="G70" s="1090"/>
    </row>
    <row r="71" spans="1:8" s="1089" customFormat="1" ht="41.25" customHeight="1">
      <c r="A71" s="3448" t="str">
        <f>'Part IV-A-Uses of Funds'!$C$125</f>
        <v>&lt;&lt; Enter description here; provide detail &amp; justification in tab Part IV-b &gt;&gt;</v>
      </c>
      <c r="B71" s="3449"/>
      <c r="C71" s="3449"/>
      <c r="D71" s="3450"/>
      <c r="F71" s="3454"/>
      <c r="G71" s="1090"/>
      <c r="H71" s="3454"/>
    </row>
    <row r="72" spans="1:8" s="1089" customFormat="1" ht="41.25" customHeight="1">
      <c r="A72" s="3451"/>
      <c r="B72" s="3452"/>
      <c r="C72" s="3452"/>
      <c r="D72" s="3453"/>
      <c r="E72" s="1090"/>
      <c r="F72" s="3455"/>
      <c r="G72" s="1090"/>
      <c r="H72" s="3455"/>
    </row>
    <row r="73" spans="1:8" s="1089" customFormat="1" ht="4.5" customHeight="1">
      <c r="A73" s="1090"/>
      <c r="B73" s="1090"/>
      <c r="C73" s="1090"/>
      <c r="D73" s="1090"/>
      <c r="E73" s="1090"/>
      <c r="F73" s="3455"/>
      <c r="G73" s="1090"/>
      <c r="H73" s="3455"/>
    </row>
    <row r="74" spans="1:8" s="1089" customFormat="1" ht="12.75" customHeight="1">
      <c r="A74" s="1099" t="s">
        <v>3708</v>
      </c>
      <c r="B74" s="1098">
        <f>'Part IV-A-Uses of Funds'!$G$125</f>
        <v>0</v>
      </c>
      <c r="C74" s="1099" t="s">
        <v>1790</v>
      </c>
      <c r="D74" s="1098">
        <f>'Part IV-A-Uses of Funds'!$J$125+'Part IV-A-Uses of Funds'!$M$125+'Part IV-A-Uses of Funds'!$P$125</f>
        <v>0</v>
      </c>
      <c r="E74" s="1090"/>
      <c r="F74" s="3455"/>
      <c r="G74" s="1090"/>
      <c r="H74" s="3455"/>
    </row>
    <row r="75" spans="1:8" s="1089" customFormat="1" ht="6" customHeight="1">
      <c r="A75" s="1090"/>
      <c r="B75" s="1091"/>
      <c r="C75" s="1090"/>
      <c r="D75" s="1090"/>
      <c r="E75" s="1090"/>
      <c r="F75" s="3456"/>
      <c r="G75" s="1092"/>
      <c r="H75" s="3456"/>
    </row>
    <row r="76" spans="1:8" s="1089" customFormat="1">
      <c r="A76" s="1100" t="s">
        <v>3711</v>
      </c>
      <c r="B76" s="1091"/>
      <c r="C76" s="1090"/>
      <c r="D76" s="1090"/>
      <c r="E76" s="1090"/>
      <c r="F76" s="1090"/>
      <c r="G76" s="1092"/>
    </row>
    <row r="77" spans="1:8" s="1089" customFormat="1" ht="41.25" customHeight="1">
      <c r="A77" s="3448" t="str">
        <f>'Part IV-A-Uses of Funds'!$C$129</f>
        <v>&lt;&lt; Enter description here; provide detail &amp; justification in tab Part IV-b &gt;&gt;</v>
      </c>
      <c r="B77" s="3449"/>
      <c r="C77" s="3449"/>
      <c r="D77" s="3450"/>
      <c r="F77" s="3454"/>
      <c r="G77" s="1090"/>
      <c r="H77" s="3454"/>
    </row>
    <row r="78" spans="1:8" s="1089" customFormat="1" ht="41.25" customHeight="1">
      <c r="A78" s="3451"/>
      <c r="B78" s="3452"/>
      <c r="C78" s="3452"/>
      <c r="D78" s="3453"/>
      <c r="E78" s="1090"/>
      <c r="F78" s="3455"/>
      <c r="G78" s="1090"/>
      <c r="H78" s="3455"/>
    </row>
    <row r="79" spans="1:8" s="1089" customFormat="1" ht="4.5" customHeight="1">
      <c r="A79" s="1090"/>
      <c r="B79" s="1090"/>
      <c r="C79" s="1090"/>
      <c r="D79" s="1090"/>
      <c r="E79" s="1090"/>
      <c r="F79" s="3455"/>
      <c r="G79" s="1090"/>
      <c r="H79" s="3455"/>
    </row>
    <row r="80" spans="1:8" s="1089" customFormat="1" ht="12.75" customHeight="1">
      <c r="A80" s="1099" t="s">
        <v>3708</v>
      </c>
      <c r="B80" s="1098">
        <f>'Part IV-A-Uses of Funds'!$G$129</f>
        <v>0</v>
      </c>
      <c r="C80" s="1099" t="s">
        <v>1790</v>
      </c>
      <c r="D80" s="1098">
        <f>'Part IV-A-Uses of Funds'!$J$129+'Part IV-A-Uses of Funds'!$M$129+'Part IV-A-Uses of Funds'!$P$129</f>
        <v>0</v>
      </c>
      <c r="E80" s="1095"/>
      <c r="F80" s="3455"/>
      <c r="G80" s="1090"/>
      <c r="H80" s="3455"/>
    </row>
    <row r="81" spans="4:8" s="1089" customFormat="1" ht="6" customHeight="1">
      <c r="D81" s="1096"/>
      <c r="E81" s="1097"/>
      <c r="F81" s="3456"/>
      <c r="G81" s="1092"/>
      <c r="H81" s="3456"/>
    </row>
    <row r="82" spans="4:8" s="1089" customFormat="1"/>
    <row r="83" spans="4:8" s="1089" customFormat="1"/>
    <row r="84" spans="4:8" s="1089" customFormat="1"/>
    <row r="85" spans="4:8" s="1089" customFormat="1"/>
    <row r="86" spans="4:8" s="1089" customFormat="1"/>
    <row r="87" spans="4:8" s="1089" customFormat="1"/>
    <row r="88" spans="4:8" s="1089" customFormat="1"/>
    <row r="89" spans="4:8" s="1089" customFormat="1"/>
    <row r="90" spans="4:8" s="1089" customFormat="1"/>
    <row r="91" spans="4:8" s="1089" customFormat="1"/>
    <row r="92" spans="4:8" s="1089" customFormat="1"/>
  </sheetData>
  <sheetProtection algorithmName="SHA-512" hashValue="7apB0I9JuRSOLV4Hf9MeqApMjS8tPY4DANLU1SPsf6UEu7uwMMQbMuF5AbAbGOHvUjPuTLJrl4KyQ1ZyOPJW6w==" saltValue="MniuTceIwjHyFu1ZJgKwCg==" spinCount="100000" sheet="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6"/>
  <sheetViews>
    <sheetView showGridLines="0" zoomScaleNormal="100" workbookViewId="0">
      <selection activeCell="I22" sqref="I22"/>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92" t="str">
        <f>CONCATENATE("PART FIVE - UTILITY ALLOWANCES","  -  ",'Part I-Project Information'!$O$6," ",'Part I-Project Information'!$F$34,", ",'Part I-Project Information'!F38,", ",'Part I-Project Information'!J39," County")</f>
        <v>PART FIVE - UTILITY ALLOWANCES  -  2019-5 Stone Terrace Phase II, Stonecrest, DeKalb County</v>
      </c>
      <c r="B1" s="3493"/>
      <c r="C1" s="3493"/>
      <c r="D1" s="3493"/>
      <c r="E1" s="3493"/>
      <c r="F1" s="3493"/>
      <c r="G1" s="3493"/>
      <c r="H1" s="3493"/>
      <c r="I1" s="3493"/>
      <c r="J1" s="3493"/>
      <c r="K1" s="3493"/>
      <c r="L1" s="3493"/>
      <c r="M1" s="3493"/>
      <c r="N1" s="10"/>
      <c r="O1" s="10"/>
      <c r="P1" s="10"/>
      <c r="Q1" s="10"/>
      <c r="R1" s="16"/>
      <c r="S1" s="16"/>
      <c r="T1" s="16"/>
    </row>
    <row r="2" spans="1:20" s="8" customFormat="1" ht="7.5" customHeight="1"/>
    <row r="3" spans="1:20" s="8" customFormat="1" ht="12.75" customHeight="1">
      <c r="B3" s="3495" t="str">
        <f>'Part I-Project Information'!$B$6</f>
        <v>May 2019 Final</v>
      </c>
      <c r="C3" s="3495"/>
      <c r="D3" s="3495"/>
      <c r="E3" s="3495"/>
      <c r="F3" s="4" t="s">
        <v>4613</v>
      </c>
      <c r="I3" s="1260" t="str">
        <f>VLOOKUP('Part I-Project Information'!$J$39,'DCA Underwriting Assumptions'!$G$158:$H$317,2)</f>
        <v>Local PHA</v>
      </c>
    </row>
    <row r="4" spans="1:20" s="8" customFormat="1" ht="6" customHeight="1"/>
    <row r="5" spans="1:20">
      <c r="A5" s="279" t="s">
        <v>3807</v>
      </c>
    </row>
    <row r="6" spans="1:20" ht="6" customHeight="1">
      <c r="A6" s="8"/>
    </row>
    <row r="7" spans="1:20" s="8" customFormat="1">
      <c r="A7" s="13" t="s">
        <v>616</v>
      </c>
      <c r="B7" s="13" t="s">
        <v>2227</v>
      </c>
      <c r="F7" s="1" t="s">
        <v>2519</v>
      </c>
      <c r="G7" s="1"/>
      <c r="H7" s="1"/>
      <c r="I7" s="3494" t="s">
        <v>5310</v>
      </c>
      <c r="J7" s="3473"/>
      <c r="K7" s="3473"/>
      <c r="L7" s="3473"/>
      <c r="M7" s="3474"/>
    </row>
    <row r="8" spans="1:20" s="8" customFormat="1" ht="13.35" customHeight="1">
      <c r="A8" s="13"/>
      <c r="F8" s="1" t="s">
        <v>636</v>
      </c>
      <c r="G8" s="1"/>
      <c r="H8" s="33"/>
      <c r="I8" s="3485">
        <v>43282</v>
      </c>
      <c r="J8" s="3486"/>
      <c r="K8" s="6" t="s">
        <v>540</v>
      </c>
      <c r="L8" s="3487" t="s">
        <v>5311</v>
      </c>
      <c r="M8" s="3488"/>
    </row>
    <row r="9" spans="1:20" s="8" customFormat="1" ht="4.5" customHeight="1">
      <c r="A9" s="13"/>
    </row>
    <row r="10" spans="1:20" s="13" customFormat="1">
      <c r="B10" s="273"/>
      <c r="C10" s="273"/>
      <c r="D10" s="273"/>
      <c r="E10" s="273"/>
      <c r="F10" s="3481" t="s">
        <v>609</v>
      </c>
      <c r="G10" s="3481"/>
      <c r="I10" s="3482" t="s">
        <v>200</v>
      </c>
      <c r="J10" s="3482"/>
      <c r="K10" s="3482"/>
      <c r="L10" s="3482"/>
      <c r="M10" s="3482"/>
    </row>
    <row r="11" spans="1:20" s="13" customFormat="1">
      <c r="B11" s="273" t="s">
        <v>798</v>
      </c>
      <c r="D11" s="273" t="s">
        <v>1599</v>
      </c>
      <c r="F11" s="1253" t="s">
        <v>642</v>
      </c>
      <c r="G11" s="1253" t="s">
        <v>1850</v>
      </c>
      <c r="I11" s="274" t="s">
        <v>568</v>
      </c>
      <c r="J11" s="275">
        <v>1</v>
      </c>
      <c r="K11" s="275">
        <v>2</v>
      </c>
      <c r="L11" s="275">
        <v>3</v>
      </c>
      <c r="M11" s="275">
        <v>4</v>
      </c>
    </row>
    <row r="12" spans="1:20" s="8" customFormat="1" ht="12" customHeight="1">
      <c r="B12" s="2689" t="s">
        <v>1852</v>
      </c>
      <c r="C12" s="2690"/>
      <c r="D12" s="3483" t="s">
        <v>5312</v>
      </c>
      <c r="E12" s="3484"/>
      <c r="F12" s="280" t="s">
        <v>441</v>
      </c>
      <c r="G12" s="280"/>
      <c r="H12" s="1195"/>
      <c r="I12" s="2684"/>
      <c r="J12" s="2684">
        <v>9</v>
      </c>
      <c r="K12" s="2684">
        <v>11</v>
      </c>
      <c r="L12" s="2684">
        <v>13</v>
      </c>
      <c r="M12" s="2684">
        <v>14</v>
      </c>
      <c r="O12" s="3469" t="s">
        <v>3832</v>
      </c>
      <c r="P12" s="3469"/>
    </row>
    <row r="13" spans="1:20" s="8" customFormat="1" ht="12" customHeight="1">
      <c r="B13" s="2691" t="s">
        <v>1597</v>
      </c>
      <c r="C13" s="2692"/>
      <c r="D13" s="3470" t="s">
        <v>1596</v>
      </c>
      <c r="E13" s="3471"/>
      <c r="F13" s="281" t="s">
        <v>441</v>
      </c>
      <c r="G13" s="281"/>
      <c r="H13" s="1194"/>
      <c r="I13" s="2685"/>
      <c r="J13" s="2685">
        <v>4</v>
      </c>
      <c r="K13" s="2685">
        <v>6</v>
      </c>
      <c r="L13" s="2686">
        <v>8</v>
      </c>
      <c r="M13" s="2686">
        <v>10</v>
      </c>
      <c r="O13" s="3469"/>
      <c r="P13" s="3469"/>
    </row>
    <row r="14" spans="1:20" s="8" customFormat="1" ht="12" customHeight="1">
      <c r="B14" s="2693" t="s">
        <v>1598</v>
      </c>
      <c r="C14" s="2694"/>
      <c r="D14" s="3470" t="s">
        <v>1596</v>
      </c>
      <c r="E14" s="3471"/>
      <c r="F14" s="281" t="s">
        <v>441</v>
      </c>
      <c r="G14" s="281"/>
      <c r="H14" s="276"/>
      <c r="I14" s="2685"/>
      <c r="J14" s="2685">
        <v>10</v>
      </c>
      <c r="K14" s="2685">
        <v>13</v>
      </c>
      <c r="L14" s="2686">
        <v>16</v>
      </c>
      <c r="M14" s="2686">
        <v>19</v>
      </c>
      <c r="O14" s="3469"/>
      <c r="P14" s="3469"/>
    </row>
    <row r="15" spans="1:20" s="8" customFormat="1" ht="12" customHeight="1">
      <c r="B15" s="2695" t="s">
        <v>467</v>
      </c>
      <c r="C15" s="2696"/>
      <c r="D15" s="2695" t="s">
        <v>1596</v>
      </c>
      <c r="E15" s="277"/>
      <c r="F15" s="281" t="s">
        <v>441</v>
      </c>
      <c r="G15" s="281"/>
      <c r="H15" s="1193"/>
      <c r="I15" s="2685"/>
      <c r="J15" s="2685">
        <v>8</v>
      </c>
      <c r="K15" s="2685">
        <v>11</v>
      </c>
      <c r="L15" s="2686">
        <v>13</v>
      </c>
      <c r="M15" s="2686">
        <v>16</v>
      </c>
      <c r="O15" s="3469"/>
      <c r="P15" s="3469"/>
    </row>
    <row r="16" spans="1:20" s="8" customFormat="1" ht="12" customHeight="1">
      <c r="B16" s="2697" t="s">
        <v>3804</v>
      </c>
      <c r="C16" s="2692"/>
      <c r="D16" s="2691" t="s">
        <v>1596</v>
      </c>
      <c r="E16" s="1192"/>
      <c r="F16" s="281"/>
      <c r="G16" s="281" t="s">
        <v>441</v>
      </c>
      <c r="H16" s="1194"/>
      <c r="I16" s="2685"/>
      <c r="J16" s="2685"/>
      <c r="K16" s="2685"/>
      <c r="L16" s="2686"/>
      <c r="M16" s="2686"/>
      <c r="O16" s="3469"/>
      <c r="P16" s="3469"/>
    </row>
    <row r="17" spans="1:19" s="8" customFormat="1" ht="12" customHeight="1">
      <c r="B17" s="2697" t="s">
        <v>3805</v>
      </c>
      <c r="C17" s="2692"/>
      <c r="D17" s="2691" t="s">
        <v>1596</v>
      </c>
      <c r="E17" s="1192"/>
      <c r="F17" s="281"/>
      <c r="G17" s="281" t="s">
        <v>441</v>
      </c>
      <c r="H17" s="1194"/>
      <c r="I17" s="2685"/>
      <c r="J17" s="2685"/>
      <c r="K17" s="2685"/>
      <c r="L17" s="2686"/>
      <c r="M17" s="2686"/>
      <c r="O17" s="3469"/>
      <c r="P17" s="3469"/>
    </row>
    <row r="18" spans="1:19" s="8" customFormat="1" ht="12" customHeight="1">
      <c r="B18" s="2698" t="s">
        <v>3806</v>
      </c>
      <c r="C18" s="2694"/>
      <c r="D18" s="2693" t="s">
        <v>1596</v>
      </c>
      <c r="E18" s="1192"/>
      <c r="F18" s="281" t="s">
        <v>441</v>
      </c>
      <c r="G18" s="281"/>
      <c r="H18" s="276"/>
      <c r="I18" s="2685"/>
      <c r="J18" s="2685">
        <v>16</v>
      </c>
      <c r="K18" s="2685">
        <v>23</v>
      </c>
      <c r="L18" s="2686">
        <v>29</v>
      </c>
      <c r="M18" s="2686">
        <v>36</v>
      </c>
      <c r="O18" s="3469"/>
      <c r="P18" s="3469"/>
    </row>
    <row r="19" spans="1:19" s="8" customFormat="1" ht="12" customHeight="1">
      <c r="B19" s="2695" t="s">
        <v>1370</v>
      </c>
      <c r="C19" s="2696"/>
      <c r="D19" s="2701" t="s">
        <v>3469</v>
      </c>
      <c r="E19" s="2880" t="s">
        <v>2990</v>
      </c>
      <c r="F19" s="281"/>
      <c r="G19" s="281" t="s">
        <v>441</v>
      </c>
      <c r="H19" s="1193"/>
      <c r="I19" s="2685"/>
      <c r="J19" s="2685"/>
      <c r="K19" s="2685"/>
      <c r="L19" s="2686"/>
      <c r="M19" s="2686"/>
      <c r="O19" s="3469"/>
      <c r="P19" s="3469"/>
    </row>
    <row r="20" spans="1:19" s="8" customFormat="1" ht="12" customHeight="1">
      <c r="B20" s="2699" t="s">
        <v>1851</v>
      </c>
      <c r="C20" s="2700"/>
      <c r="D20" s="278"/>
      <c r="E20" s="250"/>
      <c r="F20" s="281"/>
      <c r="G20" s="281" t="s">
        <v>441</v>
      </c>
      <c r="H20" s="1194"/>
      <c r="I20" s="2685"/>
      <c r="J20" s="2685"/>
      <c r="K20" s="2685"/>
      <c r="L20" s="2686"/>
      <c r="M20" s="2686"/>
      <c r="O20" s="3469"/>
      <c r="P20" s="3469"/>
    </row>
    <row r="21" spans="1:19" s="8" customFormat="1" ht="12" customHeight="1">
      <c r="B21" s="2699" t="s">
        <v>741</v>
      </c>
      <c r="C21" s="3489" t="s">
        <v>5313</v>
      </c>
      <c r="D21" s="3490"/>
      <c r="E21" s="3491"/>
      <c r="F21" s="282" t="s">
        <v>441</v>
      </c>
      <c r="G21" s="282"/>
      <c r="H21" s="1196"/>
      <c r="I21" s="2687"/>
      <c r="J21" s="2687">
        <v>14</v>
      </c>
      <c r="K21" s="2687">
        <v>14</v>
      </c>
      <c r="L21" s="2688">
        <v>14</v>
      </c>
      <c r="M21" s="2688">
        <v>14</v>
      </c>
      <c r="O21" s="3469"/>
      <c r="P21" s="3469"/>
    </row>
    <row r="22" spans="1:19" s="8" customFormat="1">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61</v>
      </c>
      <c r="K22" s="155">
        <f>IF(SUM(K12:K21)=0,0,IF(OR($D12="&lt;&lt;Select Fuel &gt;&gt;",$D13="&lt;&lt;Select Fuel &gt;&gt;",$D14="&lt;&lt;Select Fuel &gt;&gt;"),"Select Fuel",IF($E19="&lt;Select&gt;","Submeter?",SUM(K12:K21))))</f>
        <v>78</v>
      </c>
      <c r="L22" s="155">
        <f>IF(SUM(L12:L21)=0,0,IF(OR($D12="&lt;&lt;Select Fuel &gt;&gt;",$D13="&lt;&lt;Select Fuel &gt;&gt;",$D14="&lt;&lt;Select Fuel &gt;&gt;"),"Select Fuel",IF($E19="&lt;Select&gt;","Submeter?",SUM(L12:L21))))</f>
        <v>93</v>
      </c>
      <c r="M22" s="155">
        <f>IF(SUM(M12:M21)=0,0,IF(OR($D12="&lt;&lt;Select Fuel &gt;&gt;",$D13="&lt;&lt;Select Fuel &gt;&gt;",$D14="&lt;&lt;Select Fuel &gt;&gt;"),"Select Fuel",IF($E19="&lt;Select&gt;","Submeter?",SUM(M12:M21))))</f>
        <v>109</v>
      </c>
    </row>
    <row r="23" spans="1:19" s="8" customFormat="1" ht="7.5" customHeight="1">
      <c r="M23" s="27"/>
      <c r="N23" s="27"/>
      <c r="O23" s="27"/>
      <c r="P23" s="27"/>
      <c r="Q23" s="27"/>
      <c r="R23" s="27"/>
      <c r="S23" s="27"/>
    </row>
    <row r="24" spans="1:19" s="8" customFormat="1">
      <c r="A24" s="13" t="s">
        <v>740</v>
      </c>
      <c r="B24" s="13" t="s">
        <v>2228</v>
      </c>
      <c r="F24" s="1" t="s">
        <v>2519</v>
      </c>
      <c r="G24" s="1"/>
      <c r="H24" s="1"/>
      <c r="I24" s="3472"/>
      <c r="J24" s="3473"/>
      <c r="K24" s="3473"/>
      <c r="L24" s="3473"/>
      <c r="M24" s="3474"/>
    </row>
    <row r="25" spans="1:19" s="8" customFormat="1" ht="13.35" customHeight="1">
      <c r="A25" s="13"/>
      <c r="B25" s="13"/>
      <c r="F25" s="1" t="s">
        <v>636</v>
      </c>
      <c r="G25" s="1"/>
      <c r="H25" s="33"/>
      <c r="I25" s="3485"/>
      <c r="J25" s="3486"/>
      <c r="K25" s="6" t="s">
        <v>540</v>
      </c>
      <c r="L25" s="3487"/>
      <c r="M25" s="3488"/>
    </row>
    <row r="26" spans="1:19" s="8" customFormat="1" ht="4.5" customHeight="1">
      <c r="A26" s="13"/>
    </row>
    <row r="27" spans="1:19" s="13" customFormat="1">
      <c r="B27" s="273"/>
      <c r="C27" s="273"/>
      <c r="D27" s="273"/>
      <c r="E27" s="273"/>
      <c r="F27" s="3481" t="s">
        <v>609</v>
      </c>
      <c r="G27" s="3481"/>
      <c r="I27" s="3482" t="s">
        <v>200</v>
      </c>
      <c r="J27" s="3482"/>
      <c r="K27" s="3482"/>
      <c r="L27" s="3482"/>
      <c r="M27" s="3482"/>
    </row>
    <row r="28" spans="1:19" s="13" customFormat="1">
      <c r="B28" s="273" t="s">
        <v>798</v>
      </c>
      <c r="D28" s="273" t="s">
        <v>1599</v>
      </c>
      <c r="F28" s="1253" t="s">
        <v>642</v>
      </c>
      <c r="G28" s="1253" t="s">
        <v>1850</v>
      </c>
      <c r="I28" s="274" t="s">
        <v>568</v>
      </c>
      <c r="J28" s="275">
        <v>1</v>
      </c>
      <c r="K28" s="275">
        <v>2</v>
      </c>
      <c r="L28" s="275">
        <v>3</v>
      </c>
      <c r="M28" s="275">
        <v>4</v>
      </c>
    </row>
    <row r="29" spans="1:19" s="8" customFormat="1" ht="12" customHeight="1">
      <c r="B29" s="2689" t="s">
        <v>1852</v>
      </c>
      <c r="C29" s="2690"/>
      <c r="D29" s="3483" t="s">
        <v>1820</v>
      </c>
      <c r="E29" s="3484"/>
      <c r="F29" s="280"/>
      <c r="G29" s="280"/>
      <c r="H29" s="1195"/>
      <c r="I29" s="2684"/>
      <c r="J29" s="2684"/>
      <c r="K29" s="2684"/>
      <c r="L29" s="2684"/>
      <c r="M29" s="2684"/>
      <c r="O29" s="3469" t="s">
        <v>3832</v>
      </c>
      <c r="P29" s="3469"/>
    </row>
    <row r="30" spans="1:19" s="8" customFormat="1" ht="12" customHeight="1">
      <c r="B30" s="2691" t="s">
        <v>1597</v>
      </c>
      <c r="C30" s="2692"/>
      <c r="D30" s="3470" t="s">
        <v>1820</v>
      </c>
      <c r="E30" s="3471"/>
      <c r="F30" s="281"/>
      <c r="G30" s="281"/>
      <c r="H30" s="1194"/>
      <c r="I30" s="2685"/>
      <c r="J30" s="2685"/>
      <c r="K30" s="2685"/>
      <c r="L30" s="2686"/>
      <c r="M30" s="2686"/>
      <c r="O30" s="3469"/>
      <c r="P30" s="3469"/>
    </row>
    <row r="31" spans="1:19" s="8" customFormat="1" ht="12" customHeight="1">
      <c r="B31" s="2693" t="s">
        <v>1598</v>
      </c>
      <c r="C31" s="2694"/>
      <c r="D31" s="3470" t="s">
        <v>1820</v>
      </c>
      <c r="E31" s="3471"/>
      <c r="F31" s="281"/>
      <c r="G31" s="281"/>
      <c r="H31" s="276"/>
      <c r="I31" s="2685"/>
      <c r="J31" s="2685"/>
      <c r="K31" s="2685"/>
      <c r="L31" s="2686"/>
      <c r="M31" s="2686"/>
      <c r="O31" s="3469"/>
      <c r="P31" s="3469"/>
    </row>
    <row r="32" spans="1:19" s="8" customFormat="1" ht="12" customHeight="1">
      <c r="B32" s="2695" t="s">
        <v>467</v>
      </c>
      <c r="C32" s="2696"/>
      <c r="D32" s="2695" t="s">
        <v>1596</v>
      </c>
      <c r="E32" s="277"/>
      <c r="F32" s="281"/>
      <c r="G32" s="281"/>
      <c r="H32" s="1193"/>
      <c r="I32" s="2685"/>
      <c r="J32" s="2685"/>
      <c r="K32" s="2685"/>
      <c r="L32" s="2686"/>
      <c r="M32" s="2686"/>
      <c r="O32" s="3469"/>
      <c r="P32" s="3469"/>
    </row>
    <row r="33" spans="1:19" s="8" customFormat="1" ht="12" customHeight="1">
      <c r="B33" s="2697" t="s">
        <v>3804</v>
      </c>
      <c r="C33" s="2692"/>
      <c r="D33" s="2691" t="s">
        <v>1596</v>
      </c>
      <c r="E33" s="1192"/>
      <c r="F33" s="281"/>
      <c r="G33" s="281"/>
      <c r="H33" s="1194"/>
      <c r="I33" s="2685"/>
      <c r="J33" s="2685"/>
      <c r="K33" s="2685"/>
      <c r="L33" s="2686"/>
      <c r="M33" s="2686"/>
      <c r="O33" s="3469"/>
      <c r="P33" s="3469"/>
    </row>
    <row r="34" spans="1:19" s="8" customFormat="1" ht="12" customHeight="1">
      <c r="B34" s="2697" t="s">
        <v>3805</v>
      </c>
      <c r="C34" s="2692"/>
      <c r="D34" s="2691" t="s">
        <v>1596</v>
      </c>
      <c r="E34" s="1192"/>
      <c r="F34" s="281"/>
      <c r="G34" s="281"/>
      <c r="H34" s="1194"/>
      <c r="I34" s="2685"/>
      <c r="J34" s="2685"/>
      <c r="K34" s="2685"/>
      <c r="L34" s="2686"/>
      <c r="M34" s="2686"/>
      <c r="O34" s="3469"/>
      <c r="P34" s="3469"/>
    </row>
    <row r="35" spans="1:19" s="8" customFormat="1" ht="12" customHeight="1">
      <c r="B35" s="2698" t="s">
        <v>3806</v>
      </c>
      <c r="C35" s="2694"/>
      <c r="D35" s="2693" t="s">
        <v>1596</v>
      </c>
      <c r="E35" s="1192"/>
      <c r="F35" s="281"/>
      <c r="G35" s="281"/>
      <c r="H35" s="276"/>
      <c r="I35" s="2685"/>
      <c r="J35" s="2685"/>
      <c r="K35" s="2685"/>
      <c r="L35" s="2686"/>
      <c r="M35" s="2686"/>
      <c r="O35" s="3469"/>
      <c r="P35" s="3469"/>
    </row>
    <row r="36" spans="1:19" s="8" customFormat="1" ht="12" customHeight="1">
      <c r="B36" s="2695" t="s">
        <v>1370</v>
      </c>
      <c r="C36" s="2696"/>
      <c r="D36" s="2701" t="s">
        <v>3469</v>
      </c>
      <c r="E36" s="2683" t="s">
        <v>201</v>
      </c>
      <c r="F36" s="281"/>
      <c r="G36" s="281"/>
      <c r="H36" s="1193"/>
      <c r="I36" s="2685"/>
      <c r="J36" s="2685"/>
      <c r="K36" s="2685"/>
      <c r="L36" s="2686"/>
      <c r="M36" s="2686"/>
      <c r="O36" s="3469"/>
      <c r="P36" s="3469"/>
    </row>
    <row r="37" spans="1:19" s="8" customFormat="1" ht="12" customHeight="1">
      <c r="B37" s="2699" t="s">
        <v>1851</v>
      </c>
      <c r="C37" s="2700"/>
      <c r="D37" s="278"/>
      <c r="E37" s="250"/>
      <c r="F37" s="281"/>
      <c r="G37" s="281"/>
      <c r="H37" s="1194"/>
      <c r="I37" s="2685"/>
      <c r="J37" s="2685"/>
      <c r="K37" s="2685"/>
      <c r="L37" s="2686"/>
      <c r="M37" s="2686"/>
      <c r="O37" s="3469"/>
      <c r="P37" s="3469"/>
    </row>
    <row r="38" spans="1:19" s="8" customFormat="1" ht="12" customHeight="1">
      <c r="B38" s="2699" t="s">
        <v>741</v>
      </c>
      <c r="C38" s="3489"/>
      <c r="D38" s="3490"/>
      <c r="E38" s="3491"/>
      <c r="F38" s="282"/>
      <c r="G38" s="282"/>
      <c r="H38" s="1196"/>
      <c r="I38" s="2687"/>
      <c r="J38" s="2687"/>
      <c r="K38" s="2687"/>
      <c r="L38" s="2688"/>
      <c r="M38" s="2688"/>
      <c r="O38" s="3469"/>
      <c r="P38" s="3469"/>
    </row>
    <row r="39" spans="1:19" s="8" customFormat="1">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5" t="s">
        <v>3470</v>
      </c>
      <c r="D41" s="27"/>
      <c r="E41" s="27"/>
      <c r="F41" s="82"/>
      <c r="G41" s="82"/>
      <c r="I41" s="1253"/>
      <c r="J41" s="1253"/>
      <c r="K41" s="1253"/>
      <c r="L41" s="1253"/>
      <c r="M41" s="1253"/>
    </row>
    <row r="42" spans="1:19" s="8" customFormat="1" ht="12" customHeight="1">
      <c r="A42" s="13"/>
      <c r="B42" s="13" t="s">
        <v>572</v>
      </c>
      <c r="M42" s="27"/>
      <c r="N42" s="27"/>
      <c r="O42" s="27"/>
      <c r="P42" s="27"/>
      <c r="Q42" s="27"/>
      <c r="R42" s="27"/>
      <c r="S42" s="27"/>
    </row>
    <row r="43" spans="1:19" s="8" customFormat="1" ht="24.75" customHeight="1">
      <c r="B43" s="3475"/>
      <c r="C43" s="3476"/>
      <c r="D43" s="3476"/>
      <c r="E43" s="3476"/>
      <c r="F43" s="3476"/>
      <c r="G43" s="3476"/>
      <c r="H43" s="3476"/>
      <c r="I43" s="3476"/>
      <c r="J43" s="3476"/>
      <c r="K43" s="3476"/>
      <c r="L43" s="3476"/>
      <c r="M43" s="3477"/>
      <c r="N43" s="27"/>
      <c r="O43" s="2882" t="s">
        <v>2693</v>
      </c>
      <c r="P43" s="2882"/>
      <c r="Q43" s="2882"/>
      <c r="R43" s="2882"/>
      <c r="S43" s="2882"/>
    </row>
    <row r="44" spans="1:19" s="8" customFormat="1" ht="3" customHeight="1">
      <c r="M44" s="27"/>
      <c r="N44" s="27"/>
      <c r="O44" s="2882"/>
      <c r="P44" s="2882"/>
      <c r="Q44" s="2882"/>
      <c r="R44" s="2882"/>
      <c r="S44" s="2882"/>
    </row>
    <row r="45" spans="1:19" s="8" customFormat="1" ht="12" customHeight="1">
      <c r="A45" s="13"/>
      <c r="B45" s="13" t="s">
        <v>1845</v>
      </c>
      <c r="M45" s="27"/>
      <c r="N45" s="27"/>
      <c r="O45" s="2882"/>
      <c r="P45" s="2882"/>
      <c r="Q45" s="2882"/>
      <c r="R45" s="2882"/>
      <c r="S45" s="2882"/>
    </row>
    <row r="46" spans="1:19" s="8" customFormat="1" ht="24.75" customHeight="1">
      <c r="B46" s="3478"/>
      <c r="C46" s="3479"/>
      <c r="D46" s="3479"/>
      <c r="E46" s="3479"/>
      <c r="F46" s="3479"/>
      <c r="G46" s="3479"/>
      <c r="H46" s="3479"/>
      <c r="I46" s="3479"/>
      <c r="J46" s="3479"/>
      <c r="K46" s="3479"/>
      <c r="L46" s="3479"/>
      <c r="M46" s="3480"/>
      <c r="N46" s="27"/>
      <c r="O46" s="2882"/>
      <c r="P46" s="2882"/>
      <c r="Q46" s="2882"/>
      <c r="R46" s="2882"/>
      <c r="S46" s="2882"/>
    </row>
  </sheetData>
  <sheetProtection algorithmName="SHA-512" hashValue="1MBqCkNQD316WN4iz8ZbC4Nlx0NXLdLVK907kE19l1y4FKVvD+tJOQ4w3vQI0L9G+AhtH7p2lJYZk2x0M6+PoA==" saltValue="CkGys/YluOe6eX+i83DRmA==" spinCount="100000" sheet="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formula1>"&lt;&lt;Select Fuel &gt;&gt;,Natural Gas, Electric, Propane, Electric Heat Pump"</formula1>
    </dataValidation>
    <dataValidation type="list" allowBlank="1" showInputMessage="1" showErrorMessage="1" sqref="E19 E36">
      <formula1>"&lt;Select&gt;,Yes, No"</formula1>
    </dataValidation>
    <dataValidation type="list" allowBlank="1" showInputMessage="1" showErrorMessage="1" sqref="D13:E14 D30:E31">
      <formula1>"&lt;&lt;Select Fuel &gt;&gt;,Natural Gas, Electric, Propane"</formula1>
    </dataValidation>
    <dataValidation type="list" allowBlank="1" showInputMessage="1" showErrorMessage="1" sqref="L25:M25 L8:M8">
      <formula1>"MF, SF Detached, Mfd Home, Duplex, Townhome, 1-Story, 2-Story, 2-Story Walkup, 3+ Story"</formula1>
    </dataValidation>
    <dataValidation type="list" allowBlank="1" showInputMessage="1" showErrorMessage="1" sqref="F12:G21 F29:G38">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9521F9C299D7D4AB03FF3315DB887D4" ma:contentTypeVersion="13" ma:contentTypeDescription="Create a new document." ma:contentTypeScope="" ma:versionID="4f47a17cf3fe78d0a495aee59e587fd3">
  <xsd:schema xmlns:xsd="http://www.w3.org/2001/XMLSchema" xmlns:xs="http://www.w3.org/2001/XMLSchema" xmlns:p="http://schemas.microsoft.com/office/2006/metadata/properties" xmlns:ns3="6aa9c205-6ea4-43dc-b0a5-c25cd1962eee" xmlns:ns4="28c66438-72d4-4e82-b76e-f08a4d5f6f49" targetNamespace="http://schemas.microsoft.com/office/2006/metadata/properties" ma:root="true" ma:fieldsID="910bba270c26d03f269f5f1774396517" ns3:_="" ns4:_="">
    <xsd:import namespace="6aa9c205-6ea4-43dc-b0a5-c25cd1962eee"/>
    <xsd:import namespace="28c66438-72d4-4e82-b76e-f08a4d5f6f49"/>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a9c205-6ea4-43dc-b0a5-c25cd1962ee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c66438-72d4-4e82-b76e-f08a4d5f6f4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D8C771E-79A2-4306-B930-CE93466DA361}">
  <ds:schemaRefs>
    <ds:schemaRef ds:uri="http://schemas.microsoft.com/sharepoint/v3/contenttype/forms"/>
  </ds:schemaRefs>
</ds:datastoreItem>
</file>

<file path=customXml/itemProps2.xml><?xml version="1.0" encoding="utf-8"?>
<ds:datastoreItem xmlns:ds="http://schemas.openxmlformats.org/officeDocument/2006/customXml" ds:itemID="{3B4091DA-27ED-47BA-8AE9-14DCD648F0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a9c205-6ea4-43dc-b0a5-c25cd1962eee"/>
    <ds:schemaRef ds:uri="28c66438-72d4-4e82-b76e-f08a4d5f6f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5767BAB-208B-4127-9FAC-35BA0EC2E5BB}">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6aa9c205-6ea4-43dc-b0a5-c25cd1962eee"/>
    <ds:schemaRef ds:uri="28c66438-72d4-4e82-b76e-f08a4d5f6f49"/>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Nathan Mize</cp:lastModifiedBy>
  <cp:lastPrinted>2020-01-14T20:01:58Z</cp:lastPrinted>
  <dcterms:created xsi:type="dcterms:W3CDTF">2005-09-15T20:51:37Z</dcterms:created>
  <dcterms:modified xsi:type="dcterms:W3CDTF">2020-01-14T20:27:14Z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0x01010099521F9C299D7D4AB03FF3315DB887D4</vt:lpwstr>
  </property>
</Properties>
</file>